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sanders\Documents\"/>
    </mc:Choice>
  </mc:AlternateContent>
  <xr:revisionPtr revIDLastSave="0" documentId="13_ncr:1_{43411CC7-43F7-425E-9A75-B7561077EB3A}" xr6:coauthVersionLast="45" xr6:coauthVersionMax="45" xr10:uidLastSave="{00000000-0000-0000-0000-000000000000}"/>
  <bookViews>
    <workbookView xWindow="-19310" yWindow="-110" windowWidth="19420" windowHeight="10420" tabRatio="745" activeTab="1" xr2:uid="{00000000-000D-0000-FFFF-FFFF00000000}"/>
  </bookViews>
  <sheets>
    <sheet name="Rev Log" sheetId="34" r:id="rId1"/>
    <sheet name="Cover Sheets" sheetId="12" r:id="rId2"/>
    <sheet name="Summary-ATRR" sheetId="32" r:id="rId3"/>
    <sheet name="WS1-RateBase" sheetId="5" r:id="rId4"/>
    <sheet name="WS2-AllocFactor" sheetId="7" r:id="rId5"/>
    <sheet name="WS3-RevCredits" sheetId="33" r:id="rId6"/>
    <sheet name="WS4-CostData" sheetId="6" r:id="rId7"/>
    <sheet name="WS5-BPUz" sheetId="31" r:id="rId8"/>
    <sheet name="WS6-BPUr" sheetId="29" r:id="rId9"/>
    <sheet name="WS7-BPUFac" sheetId="30" r:id="rId10"/>
    <sheet name="WS8-TranFac" sheetId="13" r:id="rId11"/>
    <sheet name="WS9-AI-Incl" sheetId="27" r:id="rId12"/>
    <sheet name="WS10-AI-Excl" sheetId="28" r:id="rId13"/>
    <sheet name="WS11-FacChanges" sheetId="18" r:id="rId14"/>
    <sheet name="WS12-SSCD" sheetId="4" r:id="rId15"/>
    <sheet name="WS13-SSCDFac" sheetId="2" r:id="rId16"/>
    <sheet name="WS14-Reg" sheetId="8" r:id="rId17"/>
    <sheet name="WS15-Res" sheetId="9" r:id="rId18"/>
  </sheets>
  <externalReferences>
    <externalReference r:id="rId19"/>
  </externalReferences>
  <definedNames>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 localSheetId="10">'[1]Input Sheet'!#REF!</definedName>
    <definedName name="Act14_ActRegRevRqmt">'[1]Input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1">#REF!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 localSheetId="10">#REF!</definedName>
    <definedName name="CUSTAR">#REF!</definedName>
    <definedName name="Custar1" localSheetId="1">#REF!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 localSheetId="10">#REF!</definedName>
    <definedName name="Custar1">#REF!</definedName>
    <definedName name="CUYAHOGA_FALLS" localSheetId="1">#REF!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 localSheetId="10">#REF!</definedName>
    <definedName name="CUYAHOGA_FALLS">#REF!</definedName>
    <definedName name="DETERMINATION_OF_PICK_SLOAN_MISSOURI_BASIN_PROGRAM__EASTERN_DIVISION" localSheetId="1">#REF!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 localSheetId="10">#REF!</definedName>
    <definedName name="DETERMINATION_OF_PICK_SLOAN_MISSOURI_BASIN_PROGRAM__EASTERN_DIVISION">#REF!</definedName>
    <definedName name="EDGERTON" localSheetId="1">#REF!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 localSheetId="10">#REF!</definedName>
    <definedName name="EDGERTON">#REF!</definedName>
    <definedName name="Ellwood_City" localSheetId="1">#REF!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 localSheetId="10">#REF!</definedName>
    <definedName name="Ellwood_City">#REF!</definedName>
    <definedName name="ELMORE" localSheetId="1">#REF!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 localSheetId="10">#REF!</definedName>
    <definedName name="ELMORE">#REF!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1">#REF!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 localSheetId="10">#REF!</definedName>
    <definedName name="GALION">#REF!</definedName>
    <definedName name="GENOA" localSheetId="1">#REF!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 localSheetId="10">#REF!</definedName>
    <definedName name="GENOA">#REF!</definedName>
    <definedName name="GENOA_NORTH" localSheetId="1">#REF!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 localSheetId="10">#REF!</definedName>
    <definedName name="GENOA_NORTH">#REF!</definedName>
    <definedName name="GENOA_SOUTH" localSheetId="1">#REF!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 localSheetId="10">#REF!</definedName>
    <definedName name="GENOA_SOUTH">#REF!</definedName>
    <definedName name="GRAFTON" localSheetId="1">#REF!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 localSheetId="10">#REF!</definedName>
    <definedName name="GRAFTON">#REF!</definedName>
    <definedName name="Grove_City" localSheetId="1">#REF!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 localSheetId="10">#REF!</definedName>
    <definedName name="Grove_City">#REF!</definedName>
    <definedName name="HASKINS" localSheetId="1">#REF!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 localSheetId="10">#REF!</definedName>
    <definedName name="HASKINS">#REF!</definedName>
    <definedName name="hourending" localSheetId="1">#REF!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 localSheetId="10">#REF!</definedName>
    <definedName name="hourending">#REF!</definedName>
    <definedName name="HUBBARD" localSheetId="1">#REF!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 localSheetId="10">#REF!</definedName>
    <definedName name="HUBBARD">#REF!</definedName>
    <definedName name="HUBBARD1" localSheetId="1">#REF!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 localSheetId="10">#REF!</definedName>
    <definedName name="HUBBARD1">#REF!</definedName>
    <definedName name="LODI" localSheetId="1">#REF!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 localSheetId="10">#REF!</definedName>
    <definedName name="LODI">#REF!</definedName>
    <definedName name="LUCAS" localSheetId="1">#REF!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 localSheetId="10">#REF!</definedName>
    <definedName name="LUCAS">#REF!</definedName>
    <definedName name="MILAN" localSheetId="1">#REF!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 localSheetId="10">#REF!</definedName>
    <definedName name="MILAN">#REF!</definedName>
    <definedName name="MONROEVILLE" localSheetId="1">#REF!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 localSheetId="10">#REF!</definedName>
    <definedName name="MONROEVILLE">#REF!</definedName>
    <definedName name="NAPOLEON" localSheetId="1">#REF!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 localSheetId="10">#REF!</definedName>
    <definedName name="NAPOLEON">#REF!</definedName>
    <definedName name="NEASG" localSheetId="1">#REF!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 localSheetId="10">#REF!</definedName>
    <definedName name="NEASG">#REF!</definedName>
    <definedName name="New_Wilmington" localSheetId="1">#REF!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 localSheetId="10">#REF!</definedName>
    <definedName name="New_Wilmington">#REF!</definedName>
    <definedName name="NEWTON_FALLS" localSheetId="1">#REF!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 localSheetId="10">#REF!</definedName>
    <definedName name="NEWTON_FALLS">#REF!</definedName>
    <definedName name="NILES" localSheetId="1">#REF!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 localSheetId="10">#REF!</definedName>
    <definedName name="NILES">#REF!</definedName>
    <definedName name="NWASG" localSheetId="1">#REF!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 localSheetId="10">#REF!</definedName>
    <definedName name="NWASG">#REF!</definedName>
    <definedName name="OAK_HARBOR" localSheetId="1">#REF!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 localSheetId="10">#REF!</definedName>
    <definedName name="OAK_HARBOR">#REF!</definedName>
    <definedName name="OBERLIN" localSheetId="1">#REF!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 localSheetId="10">#REF!</definedName>
    <definedName name="OBERLIN">#REF!</definedName>
    <definedName name="PEMBERVILLE" localSheetId="1">#REF!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 localSheetId="10">#REF!</definedName>
    <definedName name="PEMBERVILLE">#REF!</definedName>
    <definedName name="PIONEER" localSheetId="1">#REF!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 localSheetId="10">#REF!</definedName>
    <definedName name="PIONEER">#REF!</definedName>
    <definedName name="_xlnm.Print_Area" localSheetId="0">'Rev Log'!$A:$I</definedName>
    <definedName name="_xlnm.Print_Area" localSheetId="2">'Summary-ATRR'!$A$1:$I$29</definedName>
    <definedName name="_xlnm.Print_Area" localSheetId="12">'WS10-AI-Excl'!$A$1:$E$183</definedName>
    <definedName name="_xlnm.Print_Area" localSheetId="13">'WS11-FacChanges'!$A$1:$B$18</definedName>
    <definedName name="_xlnm.Print_Area" localSheetId="14">'WS12-SSCD'!$A$1:$D$21</definedName>
    <definedName name="_xlnm.Print_Area" localSheetId="15">'WS13-SSCDFac'!$A$1:$I$121</definedName>
    <definedName name="_xlnm.Print_Area" localSheetId="16">'WS14-Reg'!$A$1:$D$22</definedName>
    <definedName name="_xlnm.Print_Area" localSheetId="17">'WS15-Res'!$A$1:$D$23</definedName>
    <definedName name="_xlnm.Print_Area" localSheetId="3">'WS1-RateBase'!$A$1:$I$173</definedName>
    <definedName name="_xlnm.Print_Area" localSheetId="4">'WS2-AllocFactor'!$A$1:$H$37</definedName>
    <definedName name="_xlnm.Print_Area" localSheetId="5">'WS3-RevCredits'!$A$1:$J$38</definedName>
    <definedName name="_xlnm.Print_Area" localSheetId="6">'WS4-CostData'!$A$1:$L$135</definedName>
    <definedName name="_xlnm.Print_Area" localSheetId="7">'WS5-BPUz'!$A$1:$O$19</definedName>
    <definedName name="_xlnm.Print_Area" localSheetId="8">'WS6-BPUr'!$A$1:$O$19</definedName>
    <definedName name="_xlnm.Print_Area" localSheetId="9">'WS7-BPUFac'!$A$1:$I$28</definedName>
    <definedName name="_xlnm.Print_Area" localSheetId="10">'WS8-TranFac'!$A$1:$K$520</definedName>
    <definedName name="_xlnm.Print_Area" localSheetId="11">'WS9-AI-Incl'!$A$1:$N$804</definedName>
    <definedName name="PROSPECT" localSheetId="1">#REF!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 localSheetId="10">#REF!</definedName>
    <definedName name="PROSPECT">#REF!</definedName>
    <definedName name="revreq" localSheetId="1">#REF!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 localSheetId="10">#REF!</definedName>
    <definedName name="revreq">#REF!</definedName>
    <definedName name="SEVILLE" localSheetId="1">#REF!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 localSheetId="10">#REF!</definedName>
    <definedName name="SEVILLE">#REF!</definedName>
    <definedName name="SOUTH_VIENNA" localSheetId="1">#REF!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 localSheetId="10">#REF!</definedName>
    <definedName name="SOUTH_VIENNA">#REF!</definedName>
    <definedName name="TOTAL_COLUMBIANA" localSheetId="1">#REF!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 localSheetId="10">#REF!</definedName>
    <definedName name="TOTAL_COLUMBIANA">#REF!</definedName>
    <definedName name="Total_Grove_City" localSheetId="1">#REF!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 localSheetId="10">#REF!</definedName>
    <definedName name="Total_Grove_City">#REF!</definedName>
    <definedName name="TOTAL_HUDSON" localSheetId="1">#REF!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 localSheetId="10">#REF!</definedName>
    <definedName name="TOTAL_HUDSON">#REF!</definedName>
    <definedName name="TOTAL_MONTPELIER" localSheetId="1">#REF!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 localSheetId="10">#REF!</definedName>
    <definedName name="TOTAL_MONTPELIER">#REF!</definedName>
    <definedName name="TOTAL_WOODVILLE" localSheetId="1">#REF!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 localSheetId="10">#REF!</definedName>
    <definedName name="TOTAL_WOODVILLE">#REF!</definedName>
    <definedName name="WADSWORTH" localSheetId="1">#REF!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 localSheetId="10">#REF!</definedName>
    <definedName name="WADSWORTH">#REF!</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32" l="1"/>
  <c r="H514" i="13" l="1"/>
  <c r="G22" i="32" l="1"/>
  <c r="K514" i="13" l="1"/>
  <c r="A520" i="13" l="1"/>
  <c r="A518" i="13" l="1"/>
  <c r="A519" i="13" s="1"/>
  <c r="I67" i="6" l="1"/>
  <c r="G67" i="6"/>
  <c r="E67" i="6"/>
  <c r="C67" i="6"/>
  <c r="C122" i="6" l="1"/>
  <c r="C115" i="6"/>
  <c r="C93" i="6"/>
  <c r="C121" i="6" l="1"/>
  <c r="D14" i="32" l="1"/>
  <c r="D10" i="32"/>
  <c r="G14" i="32" l="1"/>
  <c r="G303" i="13" l="1"/>
  <c r="K303" i="13" s="1"/>
  <c r="G302" i="13"/>
  <c r="K302" i="13" s="1"/>
  <c r="F105" i="13"/>
  <c r="G7" i="6" l="1"/>
  <c r="E121" i="2" l="1"/>
  <c r="I100" i="2"/>
  <c r="G100" i="2"/>
  <c r="E100" i="2"/>
  <c r="G47" i="2"/>
  <c r="G41" i="2"/>
  <c r="I122" i="6" l="1"/>
  <c r="G122" i="6"/>
  <c r="A122" i="6"/>
  <c r="A123" i="6" s="1"/>
  <c r="A124" i="6" s="1"/>
  <c r="A125" i="6" s="1"/>
  <c r="A126" i="6" s="1"/>
  <c r="G112" i="6"/>
  <c r="E69" i="6" l="1"/>
  <c r="C69" i="6"/>
  <c r="E26" i="33"/>
  <c r="H25" i="33"/>
  <c r="H26" i="33" s="1"/>
  <c r="H24" i="33"/>
  <c r="E27" i="30"/>
  <c r="G82" i="13"/>
  <c r="K82" i="13" s="1"/>
  <c r="F189" i="13"/>
  <c r="F266" i="13" s="1"/>
  <c r="G79" i="13"/>
  <c r="K79" i="13" s="1"/>
  <c r="I92" i="2"/>
  <c r="I93" i="2"/>
  <c r="I94" i="2"/>
  <c r="I95" i="2"/>
  <c r="I96" i="2"/>
  <c r="I97" i="2"/>
  <c r="G92" i="2"/>
  <c r="G93" i="2"/>
  <c r="G94" i="2"/>
  <c r="G95" i="2"/>
  <c r="G96" i="2"/>
  <c r="G97" i="2"/>
  <c r="G98" i="2"/>
  <c r="G471" i="13"/>
  <c r="I471" i="13" s="1"/>
  <c r="G431" i="13"/>
  <c r="G345" i="13"/>
  <c r="I345" i="13" s="1"/>
  <c r="G246" i="13"/>
  <c r="K246" i="13" s="1"/>
  <c r="G23" i="13"/>
  <c r="K23" i="13" s="1"/>
  <c r="A3" i="7"/>
  <c r="A4" i="5"/>
  <c r="A3" i="28" s="1"/>
  <c r="G10" i="30"/>
  <c r="I13" i="30"/>
  <c r="A1" i="18"/>
  <c r="A8" i="27"/>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G123" i="13"/>
  <c r="K123" i="13" s="1"/>
  <c r="G124" i="13"/>
  <c r="K124" i="13" s="1"/>
  <c r="A94" i="27"/>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1" i="27"/>
  <c r="E12" i="30"/>
  <c r="E19" i="30"/>
  <c r="E28" i="30"/>
  <c r="D9" i="5"/>
  <c r="H9" i="5" s="1"/>
  <c r="D118" i="5"/>
  <c r="D55" i="5"/>
  <c r="D54" i="5"/>
  <c r="D50" i="5"/>
  <c r="G16" i="32"/>
  <c r="B171" i="5"/>
  <c r="A1" i="32"/>
  <c r="K117" i="6"/>
  <c r="A1" i="9"/>
  <c r="A3" i="8"/>
  <c r="A1" i="8"/>
  <c r="A1" i="2"/>
  <c r="A3" i="4"/>
  <c r="A1" i="4"/>
  <c r="A1" i="28"/>
  <c r="A3" i="27"/>
  <c r="A3" i="13"/>
  <c r="A1" i="13"/>
  <c r="A3" i="30"/>
  <c r="A1" i="30"/>
  <c r="A3" i="29"/>
  <c r="A1" i="29"/>
  <c r="A3" i="31"/>
  <c r="A1" i="31"/>
  <c r="A3" i="6"/>
  <c r="A1" i="6"/>
  <c r="A3" i="33"/>
  <c r="A1" i="33"/>
  <c r="A1" i="7"/>
  <c r="A1" i="5"/>
  <c r="E29" i="33"/>
  <c r="H28" i="33"/>
  <c r="H27" i="33"/>
  <c r="H29" i="33" s="1"/>
  <c r="E23" i="33"/>
  <c r="H22" i="33"/>
  <c r="H21" i="33"/>
  <c r="E20" i="33"/>
  <c r="H19" i="33"/>
  <c r="H18" i="33"/>
  <c r="H16" i="33"/>
  <c r="E14" i="33"/>
  <c r="H13" i="33"/>
  <c r="H12" i="33"/>
  <c r="E11" i="33"/>
  <c r="H10" i="33"/>
  <c r="H9" i="33"/>
  <c r="H11" i="33" s="1"/>
  <c r="H7" i="33"/>
  <c r="H6" i="33"/>
  <c r="H8" i="33" s="1"/>
  <c r="E8" i="33"/>
  <c r="H20" i="33"/>
  <c r="E17" i="33"/>
  <c r="H14" i="33"/>
  <c r="D9" i="32" s="1"/>
  <c r="G9" i="32" s="1"/>
  <c r="H15" i="33"/>
  <c r="H23" i="33"/>
  <c r="D12" i="32" s="1"/>
  <c r="I11" i="30"/>
  <c r="I12" i="30" s="1"/>
  <c r="I10" i="30"/>
  <c r="G11" i="30"/>
  <c r="E7" i="30"/>
  <c r="E8" i="30" s="1"/>
  <c r="G12" i="30"/>
  <c r="G5" i="30" s="1"/>
  <c r="A8" i="5"/>
  <c r="G13" i="32"/>
  <c r="A7" i="31"/>
  <c r="A8" i="31"/>
  <c r="A9" i="31" s="1"/>
  <c r="A10" i="31" s="1"/>
  <c r="A11" i="31" s="1"/>
  <c r="A12" i="31" s="1"/>
  <c r="A13" i="31" s="1"/>
  <c r="A14" i="31" s="1"/>
  <c r="A15" i="31" s="1"/>
  <c r="A16" i="31" s="1"/>
  <c r="A17" i="31" s="1"/>
  <c r="A18" i="31" s="1"/>
  <c r="A19" i="31" s="1"/>
  <c r="J290" i="13"/>
  <c r="A7" i="29"/>
  <c r="A8" i="29" s="1"/>
  <c r="A9" i="29" s="1"/>
  <c r="A10" i="29" s="1"/>
  <c r="A11" i="29" s="1"/>
  <c r="A12" i="29" s="1"/>
  <c r="A13" i="29" s="1"/>
  <c r="A14" i="29" s="1"/>
  <c r="A15" i="29" s="1"/>
  <c r="A16" i="29" s="1"/>
  <c r="A17" i="29" s="1"/>
  <c r="A18" i="29" s="1"/>
  <c r="A19" i="29" s="1"/>
  <c r="I26" i="30"/>
  <c r="I24" i="30"/>
  <c r="I23" i="30"/>
  <c r="I22" i="30"/>
  <c r="I21" i="30"/>
  <c r="I20" i="30"/>
  <c r="I18" i="30"/>
  <c r="I16" i="30"/>
  <c r="I15" i="30"/>
  <c r="I14" i="30"/>
  <c r="G20" i="30"/>
  <c r="G23" i="30"/>
  <c r="G15" i="30"/>
  <c r="G14" i="30"/>
  <c r="G18" i="30"/>
  <c r="G22" i="30"/>
  <c r="G26" i="30"/>
  <c r="G13" i="30"/>
  <c r="G17" i="30"/>
  <c r="G19" i="30" s="1"/>
  <c r="G6" i="30" s="1"/>
  <c r="I17" i="30"/>
  <c r="G25" i="30"/>
  <c r="I25" i="30"/>
  <c r="I27" i="30"/>
  <c r="H7" i="30" s="1"/>
  <c r="D8" i="31" s="1"/>
  <c r="G16" i="30"/>
  <c r="G21" i="30"/>
  <c r="G24" i="30"/>
  <c r="G27" i="30" s="1"/>
  <c r="G7" i="30" s="1"/>
  <c r="I19" i="30"/>
  <c r="H6" i="30" s="1"/>
  <c r="D7" i="31" s="1"/>
  <c r="C70" i="6"/>
  <c r="J266" i="13"/>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E473" i="13"/>
  <c r="G473" i="13" s="1"/>
  <c r="G373" i="13"/>
  <c r="G365" i="13"/>
  <c r="I365" i="13" s="1"/>
  <c r="K365" i="13" s="1"/>
  <c r="E295" i="13"/>
  <c r="E287" i="13"/>
  <c r="E218" i="13"/>
  <c r="E202" i="13"/>
  <c r="G202" i="13" s="1"/>
  <c r="K202" i="13" s="1"/>
  <c r="E183" i="13"/>
  <c r="G369" i="13"/>
  <c r="I369" i="13" s="1"/>
  <c r="K369" i="13" s="1"/>
  <c r="I373" i="13"/>
  <c r="K373" i="13" s="1"/>
  <c r="A148" i="28"/>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E511" i="13"/>
  <c r="I511" i="13"/>
  <c r="H511" i="13"/>
  <c r="F511" i="13"/>
  <c r="G506" i="13"/>
  <c r="G507" i="13"/>
  <c r="K507" i="13" s="1"/>
  <c r="G508" i="13"/>
  <c r="K508" i="13" s="1"/>
  <c r="G509" i="13"/>
  <c r="K509" i="13" s="1"/>
  <c r="G510" i="13"/>
  <c r="K510" i="13" s="1"/>
  <c r="G505" i="13"/>
  <c r="K505" i="13" s="1"/>
  <c r="E120" i="2"/>
  <c r="E119" i="2"/>
  <c r="E118" i="2"/>
  <c r="E117" i="2"/>
  <c r="E116" i="2"/>
  <c r="E115" i="2"/>
  <c r="E114" i="2"/>
  <c r="E113" i="2"/>
  <c r="E110" i="2"/>
  <c r="E109" i="2"/>
  <c r="E108" i="2"/>
  <c r="E107" i="2"/>
  <c r="E106" i="2"/>
  <c r="E103" i="2"/>
  <c r="E102" i="2"/>
  <c r="E101"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7" i="2" s="1"/>
  <c r="E52" i="2"/>
  <c r="E51" i="2"/>
  <c r="E50" i="2"/>
  <c r="E40" i="2"/>
  <c r="E39" i="2"/>
  <c r="E38" i="2"/>
  <c r="E37" i="2"/>
  <c r="E36" i="2"/>
  <c r="E35" i="2"/>
  <c r="E34" i="2"/>
  <c r="E33" i="2"/>
  <c r="E32" i="2"/>
  <c r="E31" i="2"/>
  <c r="E30" i="2"/>
  <c r="E29" i="2"/>
  <c r="E28" i="2"/>
  <c r="E27" i="2"/>
  <c r="E26" i="2"/>
  <c r="E25" i="2"/>
  <c r="E24" i="2"/>
  <c r="E23" i="2"/>
  <c r="E22" i="2"/>
  <c r="E21" i="2"/>
  <c r="E20" i="2"/>
  <c r="E19" i="2"/>
  <c r="E18" i="2"/>
  <c r="E17" i="2"/>
  <c r="E16" i="2"/>
  <c r="G16" i="2" s="1"/>
  <c r="E15" i="2"/>
  <c r="E14" i="2"/>
  <c r="E13" i="2"/>
  <c r="E12" i="2"/>
  <c r="E41" i="2" s="1"/>
  <c r="E5" i="2" s="1"/>
  <c r="E8" i="2" s="1"/>
  <c r="E11" i="2"/>
  <c r="E10" i="2"/>
  <c r="E47" i="2"/>
  <c r="E6" i="2" s="1"/>
  <c r="C16" i="8"/>
  <c r="I99" i="2"/>
  <c r="G99" i="2"/>
  <c r="I98" i="2"/>
  <c r="I46" i="2"/>
  <c r="I45" i="2"/>
  <c r="G46" i="2"/>
  <c r="G45" i="2"/>
  <c r="I31" i="2"/>
  <c r="G31" i="2"/>
  <c r="I18" i="2"/>
  <c r="G18" i="2"/>
  <c r="D121" i="5"/>
  <c r="G322" i="13"/>
  <c r="K322" i="13" s="1"/>
  <c r="G101" i="13"/>
  <c r="K101" i="13" s="1"/>
  <c r="G385" i="13"/>
  <c r="I385" i="13" s="1"/>
  <c r="K385" i="13" s="1"/>
  <c r="G9" i="13"/>
  <c r="K9" i="13" s="1"/>
  <c r="G11" i="13"/>
  <c r="K11" i="13" s="1"/>
  <c r="G13" i="13"/>
  <c r="K13" i="13" s="1"/>
  <c r="G32" i="13"/>
  <c r="K32" i="13" s="1"/>
  <c r="G40" i="13"/>
  <c r="K40" i="13" s="1"/>
  <c r="G41" i="13"/>
  <c r="K41" i="13" s="1"/>
  <c r="G48" i="13"/>
  <c r="K48" i="13" s="1"/>
  <c r="G50" i="13"/>
  <c r="K50" i="13" s="1"/>
  <c r="G54" i="13"/>
  <c r="K54" i="13" s="1"/>
  <c r="G56" i="13"/>
  <c r="K56" i="13" s="1"/>
  <c r="G57" i="13"/>
  <c r="K57" i="13" s="1"/>
  <c r="G58" i="13"/>
  <c r="K58" i="13" s="1"/>
  <c r="G59" i="13"/>
  <c r="K59" i="13" s="1"/>
  <c r="G182" i="13"/>
  <c r="K182" i="13" s="1"/>
  <c r="I266" i="13"/>
  <c r="I44" i="2"/>
  <c r="G44" i="2"/>
  <c r="I39" i="2"/>
  <c r="G39" i="2"/>
  <c r="E504" i="13"/>
  <c r="G499" i="13"/>
  <c r="K499" i="13" s="1"/>
  <c r="G503" i="13"/>
  <c r="K503" i="13" s="1"/>
  <c r="H501" i="13"/>
  <c r="H500" i="13"/>
  <c r="H504" i="13" s="1"/>
  <c r="G501" i="13"/>
  <c r="G500" i="13"/>
  <c r="G237" i="13"/>
  <c r="K237" i="13" s="1"/>
  <c r="G240" i="13"/>
  <c r="K240" i="13" s="1"/>
  <c r="G203" i="13"/>
  <c r="K203" i="13" s="1"/>
  <c r="I16" i="2"/>
  <c r="I15" i="2"/>
  <c r="G15" i="2"/>
  <c r="F504" i="13"/>
  <c r="G497" i="13"/>
  <c r="K497" i="13" s="1"/>
  <c r="G498" i="13"/>
  <c r="K498" i="13" s="1"/>
  <c r="G502" i="13"/>
  <c r="G496" i="13"/>
  <c r="K496" i="13" s="1"/>
  <c r="F495" i="13"/>
  <c r="G479" i="13"/>
  <c r="K479" i="13" s="1"/>
  <c r="G480" i="13"/>
  <c r="K480" i="13" s="1"/>
  <c r="G481" i="13"/>
  <c r="K481" i="13" s="1"/>
  <c r="G482" i="13"/>
  <c r="K482" i="13" s="1"/>
  <c r="G483" i="13"/>
  <c r="K483" i="13" s="1"/>
  <c r="G484" i="13"/>
  <c r="K484" i="13" s="1"/>
  <c r="G485" i="13"/>
  <c r="K485" i="13" s="1"/>
  <c r="G486" i="13"/>
  <c r="K486" i="13" s="1"/>
  <c r="G487" i="13"/>
  <c r="K487" i="13" s="1"/>
  <c r="G488" i="13"/>
  <c r="K488" i="13" s="1"/>
  <c r="G489" i="13"/>
  <c r="K489" i="13" s="1"/>
  <c r="G490" i="13"/>
  <c r="K490" i="13" s="1"/>
  <c r="G491" i="13"/>
  <c r="K491" i="13" s="1"/>
  <c r="G492" i="13"/>
  <c r="K492" i="13" s="1"/>
  <c r="G493" i="13"/>
  <c r="K493" i="13" s="1"/>
  <c r="G494" i="13"/>
  <c r="K494" i="13" s="1"/>
  <c r="G478" i="13"/>
  <c r="K478" i="13" s="1"/>
  <c r="F477" i="13"/>
  <c r="G476" i="13"/>
  <c r="K476" i="13" s="1"/>
  <c r="G475" i="13"/>
  <c r="K475" i="13"/>
  <c r="F474" i="13"/>
  <c r="G463" i="13"/>
  <c r="G464" i="13"/>
  <c r="G465" i="13"/>
  <c r="I465" i="13" s="1"/>
  <c r="K465" i="13" s="1"/>
  <c r="G466" i="13"/>
  <c r="G467" i="13"/>
  <c r="G468" i="13"/>
  <c r="G469" i="13"/>
  <c r="G470" i="13"/>
  <c r="G472" i="13"/>
  <c r="G447" i="13"/>
  <c r="G448" i="13"/>
  <c r="I448" i="13" s="1"/>
  <c r="K448" i="13" s="1"/>
  <c r="G449" i="13"/>
  <c r="G450" i="13"/>
  <c r="G451" i="13"/>
  <c r="G452" i="13"/>
  <c r="I452" i="13" s="1"/>
  <c r="G453" i="13"/>
  <c r="G454" i="13"/>
  <c r="G455" i="13"/>
  <c r="I455" i="13" s="1"/>
  <c r="K455" i="13" s="1"/>
  <c r="G456" i="13"/>
  <c r="I456" i="13" s="1"/>
  <c r="K456" i="13" s="1"/>
  <c r="G457" i="13"/>
  <c r="G458" i="13"/>
  <c r="G459" i="13"/>
  <c r="G460" i="13"/>
  <c r="G461" i="13"/>
  <c r="G462" i="13"/>
  <c r="G428" i="13"/>
  <c r="G429" i="13"/>
  <c r="G430" i="13"/>
  <c r="G432" i="13"/>
  <c r="G433" i="13"/>
  <c r="G434" i="13"/>
  <c r="I434" i="13" s="1"/>
  <c r="G435" i="13"/>
  <c r="G436" i="13"/>
  <c r="G437" i="13"/>
  <c r="I437" i="13" s="1"/>
  <c r="K437" i="13" s="1"/>
  <c r="G438" i="13"/>
  <c r="I438" i="13" s="1"/>
  <c r="K438" i="13" s="1"/>
  <c r="G439" i="13"/>
  <c r="G440" i="13"/>
  <c r="G441" i="13"/>
  <c r="G442" i="13"/>
  <c r="G443" i="13"/>
  <c r="G444" i="13"/>
  <c r="G445" i="13"/>
  <c r="I445" i="13" s="1"/>
  <c r="K445" i="13" s="1"/>
  <c r="G446" i="13"/>
  <c r="G405" i="13"/>
  <c r="G406" i="13"/>
  <c r="G407" i="13"/>
  <c r="G408" i="13"/>
  <c r="G409" i="13"/>
  <c r="G410" i="13"/>
  <c r="G411" i="13"/>
  <c r="I411" i="13" s="1"/>
  <c r="K411" i="13" s="1"/>
  <c r="G412" i="13"/>
  <c r="I412" i="13" s="1"/>
  <c r="K412" i="13" s="1"/>
  <c r="G413" i="13"/>
  <c r="G414" i="13"/>
  <c r="G415" i="13"/>
  <c r="G416" i="13"/>
  <c r="I416" i="13" s="1"/>
  <c r="G417" i="13"/>
  <c r="G418" i="13"/>
  <c r="G419" i="13"/>
  <c r="I419" i="13" s="1"/>
  <c r="K419" i="13" s="1"/>
  <c r="G420" i="13"/>
  <c r="G421" i="13"/>
  <c r="G422" i="13"/>
  <c r="G423" i="13"/>
  <c r="G424" i="13"/>
  <c r="G425" i="13"/>
  <c r="G426" i="13"/>
  <c r="G427" i="13"/>
  <c r="I427" i="13" s="1"/>
  <c r="K427" i="13" s="1"/>
  <c r="G388" i="13"/>
  <c r="I388" i="13" s="1"/>
  <c r="K388" i="13" s="1"/>
  <c r="G389" i="13"/>
  <c r="G390" i="13"/>
  <c r="G391" i="13"/>
  <c r="G392" i="13"/>
  <c r="G393" i="13"/>
  <c r="G394" i="13"/>
  <c r="G395" i="13"/>
  <c r="G396" i="13"/>
  <c r="I396" i="13" s="1"/>
  <c r="K396" i="13" s="1"/>
  <c r="G397" i="13"/>
  <c r="G398" i="13"/>
  <c r="G399" i="13"/>
  <c r="G400" i="13"/>
  <c r="I400" i="13" s="1"/>
  <c r="G401" i="13"/>
  <c r="G402" i="13"/>
  <c r="G403" i="13"/>
  <c r="G404" i="13"/>
  <c r="G380" i="13"/>
  <c r="G381" i="13"/>
  <c r="G382" i="13"/>
  <c r="G383" i="13"/>
  <c r="G384" i="13"/>
  <c r="G386" i="13"/>
  <c r="G387" i="13"/>
  <c r="I387" i="13" s="1"/>
  <c r="K387" i="13" s="1"/>
  <c r="G356" i="13"/>
  <c r="I356" i="13" s="1"/>
  <c r="K356" i="13" s="1"/>
  <c r="G357" i="13"/>
  <c r="G358" i="13"/>
  <c r="G359" i="13"/>
  <c r="G360" i="13"/>
  <c r="I360" i="13" s="1"/>
  <c r="G361" i="13"/>
  <c r="G362" i="13"/>
  <c r="G363" i="13"/>
  <c r="I363" i="13" s="1"/>
  <c r="K363" i="13" s="1"/>
  <c r="G364" i="13"/>
  <c r="G366" i="13"/>
  <c r="G367" i="13"/>
  <c r="G368" i="13"/>
  <c r="G370" i="13"/>
  <c r="G371" i="13"/>
  <c r="G372" i="13"/>
  <c r="G374" i="13"/>
  <c r="I374" i="13" s="1"/>
  <c r="K374" i="13" s="1"/>
  <c r="G375" i="13"/>
  <c r="I375" i="13" s="1"/>
  <c r="K375" i="13" s="1"/>
  <c r="G376" i="13"/>
  <c r="G377" i="13"/>
  <c r="G378" i="13"/>
  <c r="G379" i="13"/>
  <c r="G339" i="13"/>
  <c r="G340" i="13"/>
  <c r="G341" i="13"/>
  <c r="I341" i="13" s="1"/>
  <c r="K341" i="13" s="1"/>
  <c r="G342" i="13"/>
  <c r="I342" i="13" s="1"/>
  <c r="K342" i="13" s="1"/>
  <c r="G343" i="13"/>
  <c r="G344" i="13"/>
  <c r="G346" i="13"/>
  <c r="G347" i="13"/>
  <c r="I347" i="13" s="1"/>
  <c r="G348" i="13"/>
  <c r="G349" i="13"/>
  <c r="G350" i="13"/>
  <c r="G351" i="13"/>
  <c r="G352" i="13"/>
  <c r="G353" i="13"/>
  <c r="G354" i="13"/>
  <c r="G355" i="13"/>
  <c r="G324" i="13"/>
  <c r="G325" i="13"/>
  <c r="G326" i="13"/>
  <c r="I326" i="13" s="1"/>
  <c r="K326" i="13" s="1"/>
  <c r="G327" i="13"/>
  <c r="I327" i="13" s="1"/>
  <c r="K327" i="13" s="1"/>
  <c r="G328" i="13"/>
  <c r="G329" i="13"/>
  <c r="G330" i="13"/>
  <c r="G331" i="13"/>
  <c r="I331" i="13" s="1"/>
  <c r="G332" i="13"/>
  <c r="G333" i="13"/>
  <c r="G334" i="13"/>
  <c r="I334" i="13" s="1"/>
  <c r="K334" i="13" s="1"/>
  <c r="G335" i="13"/>
  <c r="G336" i="13"/>
  <c r="G337" i="13"/>
  <c r="G338" i="13"/>
  <c r="G313" i="13"/>
  <c r="G314" i="13"/>
  <c r="G315" i="13"/>
  <c r="G316" i="13"/>
  <c r="I316" i="13" s="1"/>
  <c r="K316" i="13" s="1"/>
  <c r="G317" i="13"/>
  <c r="I317" i="13" s="1"/>
  <c r="G318" i="13"/>
  <c r="G319" i="13"/>
  <c r="G320" i="13"/>
  <c r="G321" i="13"/>
  <c r="I321" i="13" s="1"/>
  <c r="G323" i="13"/>
  <c r="G312" i="13"/>
  <c r="F311" i="13"/>
  <c r="G308" i="13"/>
  <c r="K308" i="13" s="1"/>
  <c r="G309" i="13"/>
  <c r="K309" i="13" s="1"/>
  <c r="G310" i="13"/>
  <c r="K310" i="13" s="1"/>
  <c r="G307" i="13"/>
  <c r="K307" i="13" s="1"/>
  <c r="F306" i="13"/>
  <c r="G292" i="13"/>
  <c r="K292" i="13" s="1"/>
  <c r="G293" i="13"/>
  <c r="K293" i="13" s="1"/>
  <c r="G294" i="13"/>
  <c r="K294" i="13" s="1"/>
  <c r="G296" i="13"/>
  <c r="K296" i="13" s="1"/>
  <c r="G297" i="13"/>
  <c r="K297" i="13" s="1"/>
  <c r="G298" i="13"/>
  <c r="K298" i="13" s="1"/>
  <c r="G299" i="13"/>
  <c r="K299" i="13" s="1"/>
  <c r="G300" i="13"/>
  <c r="K300" i="13" s="1"/>
  <c r="G301" i="13"/>
  <c r="K301" i="13" s="1"/>
  <c r="G304" i="13"/>
  <c r="K304" i="13" s="1"/>
  <c r="G305" i="13"/>
  <c r="K305" i="13" s="1"/>
  <c r="G291" i="13"/>
  <c r="K291" i="13" s="1"/>
  <c r="F290" i="13"/>
  <c r="G288" i="13"/>
  <c r="G289" i="13"/>
  <c r="G287" i="13"/>
  <c r="F286" i="13"/>
  <c r="G281" i="13"/>
  <c r="K281" i="13" s="1"/>
  <c r="G282" i="13"/>
  <c r="K282" i="13" s="1"/>
  <c r="G283" i="13"/>
  <c r="K283" i="13" s="1"/>
  <c r="G284" i="13"/>
  <c r="K284" i="13" s="1"/>
  <c r="G285" i="13"/>
  <c r="K285" i="13" s="1"/>
  <c r="G268" i="13"/>
  <c r="K268" i="13" s="1"/>
  <c r="G269" i="13"/>
  <c r="K269" i="13" s="1"/>
  <c r="G270" i="13"/>
  <c r="K270" i="13" s="1"/>
  <c r="G271" i="13"/>
  <c r="K271" i="13" s="1"/>
  <c r="G272" i="13"/>
  <c r="K272" i="13" s="1"/>
  <c r="G273" i="13"/>
  <c r="K273" i="13" s="1"/>
  <c r="G274" i="13"/>
  <c r="K274" i="13" s="1"/>
  <c r="G275" i="13"/>
  <c r="K275" i="13" s="1"/>
  <c r="G276" i="13"/>
  <c r="K276" i="13" s="1"/>
  <c r="G277" i="13"/>
  <c r="K277" i="13" s="1"/>
  <c r="G278" i="13"/>
  <c r="K278" i="13" s="1"/>
  <c r="G279" i="13"/>
  <c r="K279" i="13" s="1"/>
  <c r="G280" i="13"/>
  <c r="K280" i="13" s="1"/>
  <c r="G267" i="13"/>
  <c r="K267" i="13" s="1"/>
  <c r="G253" i="13"/>
  <c r="K253" i="13" s="1"/>
  <c r="G254" i="13"/>
  <c r="K254" i="13" s="1"/>
  <c r="G255" i="13"/>
  <c r="K255" i="13" s="1"/>
  <c r="G256" i="13"/>
  <c r="K256" i="13" s="1"/>
  <c r="G257" i="13"/>
  <c r="K257" i="13" s="1"/>
  <c r="G258" i="13"/>
  <c r="K258" i="13" s="1"/>
  <c r="G259" i="13"/>
  <c r="K259" i="13" s="1"/>
  <c r="G260" i="13"/>
  <c r="K260" i="13" s="1"/>
  <c r="G261" i="13"/>
  <c r="K261" i="13" s="1"/>
  <c r="G262" i="13"/>
  <c r="K262" i="13" s="1"/>
  <c r="G263" i="13"/>
  <c r="K263" i="13" s="1"/>
  <c r="G264" i="13"/>
  <c r="K264" i="13" s="1"/>
  <c r="G265" i="13"/>
  <c r="K265" i="13" s="1"/>
  <c r="G234" i="13"/>
  <c r="K234" i="13" s="1"/>
  <c r="G235" i="13"/>
  <c r="K235" i="13" s="1"/>
  <c r="G236" i="13"/>
  <c r="K236" i="13" s="1"/>
  <c r="G238" i="13"/>
  <c r="K238" i="13" s="1"/>
  <c r="G239" i="13"/>
  <c r="K239" i="13" s="1"/>
  <c r="G241" i="13"/>
  <c r="K241" i="13" s="1"/>
  <c r="G242" i="13"/>
  <c r="K242" i="13" s="1"/>
  <c r="G243" i="13"/>
  <c r="K243" i="13" s="1"/>
  <c r="G244" i="13"/>
  <c r="K244" i="13" s="1"/>
  <c r="G245" i="13"/>
  <c r="K245" i="13" s="1"/>
  <c r="G247" i="13"/>
  <c r="K247" i="13" s="1"/>
  <c r="G248" i="13"/>
  <c r="K248" i="13" s="1"/>
  <c r="G249" i="13"/>
  <c r="K249" i="13" s="1"/>
  <c r="G250" i="13"/>
  <c r="K250" i="13" s="1"/>
  <c r="G251" i="13"/>
  <c r="K251" i="13" s="1"/>
  <c r="G252" i="13"/>
  <c r="K252" i="13" s="1"/>
  <c r="G214" i="13"/>
  <c r="K214" i="13" s="1"/>
  <c r="G215" i="13"/>
  <c r="K215" i="13" s="1"/>
  <c r="G216" i="13"/>
  <c r="K216" i="13" s="1"/>
  <c r="G217" i="13"/>
  <c r="K217" i="13" s="1"/>
  <c r="G218" i="13"/>
  <c r="K218" i="13" s="1"/>
  <c r="G219" i="13"/>
  <c r="K219" i="13" s="1"/>
  <c r="G221" i="13"/>
  <c r="K221" i="13" s="1"/>
  <c r="G222" i="13"/>
  <c r="K222" i="13" s="1"/>
  <c r="G223" i="13"/>
  <c r="K223" i="13" s="1"/>
  <c r="G224" i="13"/>
  <c r="K224" i="13" s="1"/>
  <c r="G225" i="13"/>
  <c r="K225" i="13" s="1"/>
  <c r="G226" i="13"/>
  <c r="K226" i="13" s="1"/>
  <c r="G227" i="13"/>
  <c r="K227" i="13" s="1"/>
  <c r="G228" i="13"/>
  <c r="K228" i="13" s="1"/>
  <c r="G229" i="13"/>
  <c r="K229" i="13" s="1"/>
  <c r="G230" i="13"/>
  <c r="K230" i="13" s="1"/>
  <c r="G231" i="13"/>
  <c r="K231" i="13" s="1"/>
  <c r="G232" i="13"/>
  <c r="K232" i="13" s="1"/>
  <c r="G233" i="13"/>
  <c r="K233" i="13" s="1"/>
  <c r="G194" i="13"/>
  <c r="K194" i="13" s="1"/>
  <c r="G195" i="13"/>
  <c r="K195" i="13" s="1"/>
  <c r="G196" i="13"/>
  <c r="K196" i="13" s="1"/>
  <c r="G197" i="13"/>
  <c r="K197" i="13" s="1"/>
  <c r="G198" i="13"/>
  <c r="K198" i="13" s="1"/>
  <c r="G199" i="13"/>
  <c r="K199" i="13" s="1"/>
  <c r="G200" i="13"/>
  <c r="K200" i="13" s="1"/>
  <c r="G201" i="13"/>
  <c r="K201" i="13" s="1"/>
  <c r="G204" i="13"/>
  <c r="K204" i="13" s="1"/>
  <c r="G205" i="13"/>
  <c r="K205" i="13" s="1"/>
  <c r="G206" i="13"/>
  <c r="K206" i="13" s="1"/>
  <c r="G207" i="13"/>
  <c r="K207" i="13" s="1"/>
  <c r="G208" i="13"/>
  <c r="K208" i="13" s="1"/>
  <c r="G209" i="13"/>
  <c r="K209" i="13" s="1"/>
  <c r="G210" i="13"/>
  <c r="K210" i="13" s="1"/>
  <c r="G211" i="13"/>
  <c r="K211" i="13" s="1"/>
  <c r="G212" i="13"/>
  <c r="K212" i="13" s="1"/>
  <c r="G213" i="13"/>
  <c r="K213" i="13" s="1"/>
  <c r="G176" i="13"/>
  <c r="K176" i="13" s="1"/>
  <c r="G177" i="13"/>
  <c r="K177" i="13" s="1"/>
  <c r="G178" i="13"/>
  <c r="K178" i="13" s="1"/>
  <c r="G179" i="13"/>
  <c r="K179" i="13" s="1"/>
  <c r="G180" i="13"/>
  <c r="K180" i="13" s="1"/>
  <c r="G181" i="13"/>
  <c r="K181" i="13" s="1"/>
  <c r="G183" i="13"/>
  <c r="K183" i="13" s="1"/>
  <c r="G184" i="13"/>
  <c r="K184" i="13" s="1"/>
  <c r="G185" i="13"/>
  <c r="K185" i="13" s="1"/>
  <c r="G186" i="13"/>
  <c r="K186" i="13" s="1"/>
  <c r="G187" i="13"/>
  <c r="K187" i="13" s="1"/>
  <c r="G188" i="13"/>
  <c r="K188" i="13" s="1"/>
  <c r="G189" i="13"/>
  <c r="K189" i="13" s="1"/>
  <c r="G190" i="13"/>
  <c r="K190" i="13" s="1"/>
  <c r="G191" i="13"/>
  <c r="K191" i="13" s="1"/>
  <c r="G192" i="13"/>
  <c r="K192" i="13" s="1"/>
  <c r="G193" i="13"/>
  <c r="K193" i="13" s="1"/>
  <c r="G158" i="13"/>
  <c r="K158" i="13" s="1"/>
  <c r="G159" i="13"/>
  <c r="K159" i="13" s="1"/>
  <c r="G160" i="13"/>
  <c r="K160" i="13" s="1"/>
  <c r="G161" i="13"/>
  <c r="K161" i="13" s="1"/>
  <c r="G162" i="13"/>
  <c r="K162" i="13" s="1"/>
  <c r="G163" i="13"/>
  <c r="K163" i="13" s="1"/>
  <c r="G164" i="13"/>
  <c r="K164" i="13" s="1"/>
  <c r="G165" i="13"/>
  <c r="K165" i="13" s="1"/>
  <c r="G166" i="13"/>
  <c r="K166" i="13" s="1"/>
  <c r="G167" i="13"/>
  <c r="K167" i="13" s="1"/>
  <c r="G168" i="13"/>
  <c r="K168" i="13" s="1"/>
  <c r="G169" i="13"/>
  <c r="K169" i="13" s="1"/>
  <c r="G170" i="13"/>
  <c r="K170" i="13" s="1"/>
  <c r="G171" i="13"/>
  <c r="K171" i="13" s="1"/>
  <c r="G172" i="13"/>
  <c r="K172" i="13" s="1"/>
  <c r="G173" i="13"/>
  <c r="K173" i="13" s="1"/>
  <c r="G174" i="13"/>
  <c r="K174" i="13" s="1"/>
  <c r="G175" i="13"/>
  <c r="K175" i="13" s="1"/>
  <c r="G138" i="13"/>
  <c r="K138" i="13" s="1"/>
  <c r="G139" i="13"/>
  <c r="K139" i="13" s="1"/>
  <c r="G140" i="13"/>
  <c r="K140" i="13" s="1"/>
  <c r="G141" i="13"/>
  <c r="K141"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56" i="13"/>
  <c r="K156" i="13" s="1"/>
  <c r="G157" i="13"/>
  <c r="K157" i="13" s="1"/>
  <c r="G125" i="13"/>
  <c r="K125" i="13" s="1"/>
  <c r="G126" i="13"/>
  <c r="K126" i="13" s="1"/>
  <c r="G127" i="13"/>
  <c r="K127" i="13" s="1"/>
  <c r="G128" i="13"/>
  <c r="K128" i="13" s="1"/>
  <c r="G129" i="13"/>
  <c r="K129" i="13" s="1"/>
  <c r="G130" i="13"/>
  <c r="K130" i="13" s="1"/>
  <c r="G131" i="13"/>
  <c r="K131" i="13" s="1"/>
  <c r="G132" i="13"/>
  <c r="K132" i="13" s="1"/>
  <c r="G133" i="13"/>
  <c r="K133" i="13" s="1"/>
  <c r="G134" i="13"/>
  <c r="K134" i="13" s="1"/>
  <c r="G135" i="13"/>
  <c r="K135" i="13" s="1"/>
  <c r="G136" i="13"/>
  <c r="K136" i="13" s="1"/>
  <c r="G137" i="13"/>
  <c r="K137" i="13" s="1"/>
  <c r="F122" i="13"/>
  <c r="G106" i="13"/>
  <c r="K106" i="13" s="1"/>
  <c r="G107" i="13"/>
  <c r="K107" i="13" s="1"/>
  <c r="G108" i="13"/>
  <c r="K108" i="13" s="1"/>
  <c r="G109" i="13"/>
  <c r="K109" i="13" s="1"/>
  <c r="G110" i="13"/>
  <c r="K110" i="13" s="1"/>
  <c r="G111" i="13"/>
  <c r="K111" i="13" s="1"/>
  <c r="G112" i="13"/>
  <c r="K112" i="13" s="1"/>
  <c r="G113" i="13"/>
  <c r="K113" i="13" s="1"/>
  <c r="G114" i="13"/>
  <c r="K114" i="13" s="1"/>
  <c r="G115" i="13"/>
  <c r="K115" i="13" s="1"/>
  <c r="G116" i="13"/>
  <c r="K116" i="13" s="1"/>
  <c r="G117" i="13"/>
  <c r="K117" i="13" s="1"/>
  <c r="G118" i="13"/>
  <c r="K118" i="13" s="1"/>
  <c r="G119" i="13"/>
  <c r="K119" i="13" s="1"/>
  <c r="G120" i="13"/>
  <c r="K120" i="13" s="1"/>
  <c r="G121" i="13"/>
  <c r="K121" i="13" s="1"/>
  <c r="G85" i="13"/>
  <c r="K85" i="13" s="1"/>
  <c r="G86" i="13"/>
  <c r="K86"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99" i="13"/>
  <c r="K99" i="13" s="1"/>
  <c r="G100" i="13"/>
  <c r="K100" i="13" s="1"/>
  <c r="G102" i="13"/>
  <c r="K102" i="13" s="1"/>
  <c r="G103" i="13"/>
  <c r="K103" i="13" s="1"/>
  <c r="G104" i="13"/>
  <c r="K104" i="13" s="1"/>
  <c r="G105" i="13"/>
  <c r="K105"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K77" i="13" s="1"/>
  <c r="G78" i="13"/>
  <c r="K78" i="13" s="1"/>
  <c r="G80" i="13"/>
  <c r="K80" i="13" s="1"/>
  <c r="G81" i="13"/>
  <c r="K81" i="13" s="1"/>
  <c r="G83" i="13"/>
  <c r="K83" i="13" s="1"/>
  <c r="G84" i="13"/>
  <c r="K84" i="13" s="1"/>
  <c r="G39" i="13"/>
  <c r="K39" i="13" s="1"/>
  <c r="G42" i="13"/>
  <c r="K42" i="13" s="1"/>
  <c r="G43" i="13"/>
  <c r="K43" i="13" s="1"/>
  <c r="G44" i="13"/>
  <c r="K44" i="13" s="1"/>
  <c r="G45" i="13"/>
  <c r="K45" i="13" s="1"/>
  <c r="G46" i="13"/>
  <c r="K46" i="13" s="1"/>
  <c r="G47" i="13"/>
  <c r="K47" i="13" s="1"/>
  <c r="G49" i="13"/>
  <c r="K49" i="13" s="1"/>
  <c r="G51" i="13"/>
  <c r="K51" i="13" s="1"/>
  <c r="G52" i="13"/>
  <c r="K52" i="13" s="1"/>
  <c r="G53" i="13"/>
  <c r="K53" i="13" s="1"/>
  <c r="G55" i="13"/>
  <c r="K55" i="13" s="1"/>
  <c r="G60" i="13"/>
  <c r="K60" i="13" s="1"/>
  <c r="G61" i="13"/>
  <c r="K61" i="13" s="1"/>
  <c r="G62" i="13"/>
  <c r="K62" i="13" s="1"/>
  <c r="G18" i="13"/>
  <c r="K18" i="13" s="1"/>
  <c r="G19" i="13"/>
  <c r="K19" i="13" s="1"/>
  <c r="G20" i="13"/>
  <c r="K20" i="13" s="1"/>
  <c r="G22" i="13"/>
  <c r="K22" i="13" s="1"/>
  <c r="G24" i="13"/>
  <c r="K24" i="13" s="1"/>
  <c r="G25" i="13"/>
  <c r="K25" i="13" s="1"/>
  <c r="G26" i="13"/>
  <c r="K26" i="13" s="1"/>
  <c r="G27" i="13"/>
  <c r="K27" i="13" s="1"/>
  <c r="G28" i="13"/>
  <c r="K28" i="13" s="1"/>
  <c r="G29" i="13"/>
  <c r="K29" i="13" s="1"/>
  <c r="G30" i="13"/>
  <c r="K30" i="13" s="1"/>
  <c r="G31" i="13"/>
  <c r="K31" i="13" s="1"/>
  <c r="G33" i="13"/>
  <c r="K33" i="13" s="1"/>
  <c r="G34" i="13"/>
  <c r="K34" i="13" s="1"/>
  <c r="G35" i="13"/>
  <c r="K35" i="13" s="1"/>
  <c r="G36" i="13"/>
  <c r="K36" i="13" s="1"/>
  <c r="G37" i="13"/>
  <c r="K37" i="13" s="1"/>
  <c r="G38" i="13"/>
  <c r="K38" i="13" s="1"/>
  <c r="G7" i="13"/>
  <c r="K7" i="13" s="1"/>
  <c r="G8" i="13"/>
  <c r="G10" i="13"/>
  <c r="K10" i="13" s="1"/>
  <c r="G12" i="13"/>
  <c r="K12" i="13" s="1"/>
  <c r="G14" i="13"/>
  <c r="K14" i="13" s="1"/>
  <c r="G15" i="13"/>
  <c r="K15" i="13" s="1"/>
  <c r="G16" i="13"/>
  <c r="K16" i="13" s="1"/>
  <c r="G17" i="13"/>
  <c r="K17" i="13" s="1"/>
  <c r="G6" i="13"/>
  <c r="K6" i="13" s="1"/>
  <c r="I504" i="13"/>
  <c r="H502" i="13"/>
  <c r="I495" i="13"/>
  <c r="H495" i="13"/>
  <c r="E495" i="13"/>
  <c r="I477" i="13"/>
  <c r="H477" i="13"/>
  <c r="E477" i="13"/>
  <c r="H474" i="13"/>
  <c r="I311" i="13"/>
  <c r="H311" i="13"/>
  <c r="E311" i="13"/>
  <c r="I306" i="13"/>
  <c r="H306" i="13"/>
  <c r="E306" i="13"/>
  <c r="H290" i="13"/>
  <c r="E290" i="13"/>
  <c r="I286" i="13"/>
  <c r="H286" i="13"/>
  <c r="E286" i="13"/>
  <c r="I122" i="13"/>
  <c r="H122" i="13"/>
  <c r="E21" i="13"/>
  <c r="E122" i="13"/>
  <c r="A7" i="13"/>
  <c r="A8" i="13" s="1"/>
  <c r="A9" i="13" s="1"/>
  <c r="I336" i="13"/>
  <c r="K336" i="13" s="1"/>
  <c r="I352" i="13"/>
  <c r="K352" i="13" s="1"/>
  <c r="I366" i="13"/>
  <c r="K366" i="13" s="1"/>
  <c r="I380" i="13"/>
  <c r="K380" i="13" s="1"/>
  <c r="I397" i="13"/>
  <c r="K397" i="13" s="1"/>
  <c r="I389" i="13"/>
  <c r="K389" i="13" s="1"/>
  <c r="I421" i="13"/>
  <c r="K421" i="13" s="1"/>
  <c r="I413" i="13"/>
  <c r="K413" i="13" s="1"/>
  <c r="I405" i="13"/>
  <c r="K405" i="13" s="1"/>
  <c r="I439" i="13"/>
  <c r="K439" i="13" s="1"/>
  <c r="I430" i="13"/>
  <c r="K430" i="13" s="1"/>
  <c r="I457" i="13"/>
  <c r="K457" i="13" s="1"/>
  <c r="I467" i="13"/>
  <c r="K467" i="13" s="1"/>
  <c r="I403" i="13"/>
  <c r="K403" i="13" s="1"/>
  <c r="I395" i="13"/>
  <c r="K395" i="13" s="1"/>
  <c r="I428" i="13"/>
  <c r="K428" i="13" s="1"/>
  <c r="I447" i="13"/>
  <c r="K447" i="13" s="1"/>
  <c r="I312" i="13"/>
  <c r="K312" i="13" s="1"/>
  <c r="I315" i="13"/>
  <c r="K315" i="13" s="1"/>
  <c r="I333" i="13"/>
  <c r="K333" i="13" s="1"/>
  <c r="I325" i="13"/>
  <c r="K325" i="13" s="1"/>
  <c r="I349" i="13"/>
  <c r="K349" i="13" s="1"/>
  <c r="I340" i="13"/>
  <c r="K340" i="13" s="1"/>
  <c r="I372" i="13"/>
  <c r="K372" i="13" s="1"/>
  <c r="I362" i="13"/>
  <c r="K362" i="13" s="1"/>
  <c r="I394" i="13"/>
  <c r="K394" i="13" s="1"/>
  <c r="I410" i="13"/>
  <c r="K410" i="13" s="1"/>
  <c r="I444" i="13"/>
  <c r="K444" i="13" s="1"/>
  <c r="I454" i="13"/>
  <c r="K454" i="13" s="1"/>
  <c r="I464" i="13"/>
  <c r="K464" i="13" s="1"/>
  <c r="I314" i="13"/>
  <c r="K314" i="13" s="1"/>
  <c r="I332" i="13"/>
  <c r="K332" i="13" s="1"/>
  <c r="I371" i="13"/>
  <c r="K371" i="13" s="1"/>
  <c r="I361" i="13"/>
  <c r="K361" i="13" s="1"/>
  <c r="I401" i="13"/>
  <c r="K401" i="13" s="1"/>
  <c r="I425" i="13"/>
  <c r="K425" i="13" s="1"/>
  <c r="I417" i="13"/>
  <c r="K417" i="13" s="1"/>
  <c r="I461" i="13"/>
  <c r="K461" i="13" s="1"/>
  <c r="I453" i="13"/>
  <c r="K453" i="13" s="1"/>
  <c r="I463" i="13"/>
  <c r="K463" i="13" s="1"/>
  <c r="K502" i="13"/>
  <c r="K321" i="13"/>
  <c r="I313" i="13"/>
  <c r="K331" i="13"/>
  <c r="I355" i="13"/>
  <c r="K347" i="13"/>
  <c r="I370" i="13"/>
  <c r="K360" i="13"/>
  <c r="I383" i="13"/>
  <c r="K400" i="13"/>
  <c r="I392" i="13"/>
  <c r="K416" i="13"/>
  <c r="I442" i="13"/>
  <c r="K434" i="13"/>
  <c r="I460" i="13"/>
  <c r="K452" i="13"/>
  <c r="I470" i="13"/>
  <c r="I346" i="13"/>
  <c r="K346" i="13" s="1"/>
  <c r="I368" i="13"/>
  <c r="K368" i="13" s="1"/>
  <c r="I359" i="13"/>
  <c r="K359" i="13" s="1"/>
  <c r="I382" i="13"/>
  <c r="K382" i="13" s="1"/>
  <c r="I399" i="13"/>
  <c r="K399" i="13" s="1"/>
  <c r="I391" i="13"/>
  <c r="K391" i="13" s="1"/>
  <c r="I423" i="13"/>
  <c r="K423" i="13" s="1"/>
  <c r="I415" i="13"/>
  <c r="K415" i="13" s="1"/>
  <c r="I407" i="13"/>
  <c r="K407" i="13" s="1"/>
  <c r="I441" i="13"/>
  <c r="K441" i="13" s="1"/>
  <c r="I433" i="13"/>
  <c r="K433" i="13" s="1"/>
  <c r="I459" i="13"/>
  <c r="K459" i="13" s="1"/>
  <c r="I451" i="13"/>
  <c r="K451" i="13" s="1"/>
  <c r="I469" i="13"/>
  <c r="K469" i="13" s="1"/>
  <c r="I319" i="13"/>
  <c r="K319" i="13" s="1"/>
  <c r="I329" i="13"/>
  <c r="K329" i="13" s="1"/>
  <c r="I344" i="13"/>
  <c r="K344" i="13" s="1"/>
  <c r="I377" i="13"/>
  <c r="K377" i="13" s="1"/>
  <c r="I367" i="13"/>
  <c r="K367" i="13" s="1"/>
  <c r="I358" i="13"/>
  <c r="K358" i="13" s="1"/>
  <c r="I381" i="13"/>
  <c r="K381" i="13" s="1"/>
  <c r="I398" i="13"/>
  <c r="K398" i="13" s="1"/>
  <c r="I390" i="13"/>
  <c r="K390" i="13" s="1"/>
  <c r="I422" i="13"/>
  <c r="K422" i="13" s="1"/>
  <c r="I414" i="13"/>
  <c r="K414" i="13" s="1"/>
  <c r="I440" i="13"/>
  <c r="K440" i="13" s="1"/>
  <c r="I432" i="13"/>
  <c r="K432" i="13" s="1"/>
  <c r="I458" i="13"/>
  <c r="K458" i="13" s="1"/>
  <c r="I450" i="13"/>
  <c r="K450" i="13" s="1"/>
  <c r="I468" i="13"/>
  <c r="K468" i="13" s="1"/>
  <c r="G295" i="13"/>
  <c r="I339" i="13"/>
  <c r="K339" i="13" s="1"/>
  <c r="I323" i="13"/>
  <c r="K323" i="13" s="1"/>
  <c r="H266" i="13"/>
  <c r="G21" i="13"/>
  <c r="K21" i="13" s="1"/>
  <c r="I386" i="13"/>
  <c r="K386" i="13" s="1"/>
  <c r="G504" i="13"/>
  <c r="G477" i="13"/>
  <c r="I353" i="13"/>
  <c r="K353" i="13" s="1"/>
  <c r="I406" i="13"/>
  <c r="K406" i="13" s="1"/>
  <c r="I424" i="13"/>
  <c r="K424" i="13" s="1"/>
  <c r="I402" i="13"/>
  <c r="K402" i="13" s="1"/>
  <c r="I379" i="13"/>
  <c r="K379" i="13" s="1"/>
  <c r="G290" i="13"/>
  <c r="I324" i="13"/>
  <c r="K324" i="13" s="1"/>
  <c r="I348" i="13"/>
  <c r="K348" i="13" s="1"/>
  <c r="I393" i="13"/>
  <c r="K393" i="13" s="1"/>
  <c r="I409" i="13"/>
  <c r="K409" i="13" s="1"/>
  <c r="I443" i="13"/>
  <c r="K443" i="13" s="1"/>
  <c r="I435" i="13"/>
  <c r="K435" i="13" s="1"/>
  <c r="I449" i="13"/>
  <c r="K449" i="13" s="1"/>
  <c r="I472" i="13"/>
  <c r="K472" i="13"/>
  <c r="I320" i="13"/>
  <c r="K320" i="13" s="1"/>
  <c r="I338" i="13"/>
  <c r="K338" i="13" s="1"/>
  <c r="I330" i="13"/>
  <c r="K330" i="13" s="1"/>
  <c r="I354" i="13"/>
  <c r="K354" i="13" s="1"/>
  <c r="I350" i="13"/>
  <c r="K350" i="13" s="1"/>
  <c r="I378" i="13"/>
  <c r="K378" i="13" s="1"/>
  <c r="I328" i="13"/>
  <c r="K328" i="13" s="1"/>
  <c r="I343" i="13"/>
  <c r="K343" i="13" s="1"/>
  <c r="I384" i="13"/>
  <c r="K384" i="13" s="1"/>
  <c r="I318" i="13"/>
  <c r="K318" i="13" s="1"/>
  <c r="I376" i="13"/>
  <c r="K376" i="13" s="1"/>
  <c r="I357" i="13"/>
  <c r="K357" i="13" s="1"/>
  <c r="I436" i="13"/>
  <c r="K436" i="13" s="1"/>
  <c r="I466" i="13"/>
  <c r="K466" i="13" s="1"/>
  <c r="I462" i="13"/>
  <c r="K462" i="13" s="1"/>
  <c r="I337" i="13"/>
  <c r="K337" i="13" s="1"/>
  <c r="I408" i="13"/>
  <c r="K408" i="13" s="1"/>
  <c r="I426" i="13"/>
  <c r="K426" i="13" s="1"/>
  <c r="I418" i="13"/>
  <c r="K418" i="13" s="1"/>
  <c r="K477" i="13"/>
  <c r="F8" i="2"/>
  <c r="G8" i="2"/>
  <c r="D66" i="5"/>
  <c r="D65" i="5"/>
  <c r="D69" i="5" s="1"/>
  <c r="D64" i="5"/>
  <c r="C14" i="9"/>
  <c r="A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5" i="6" s="1"/>
  <c r="A46" i="6" s="1"/>
  <c r="A47" i="6" s="1"/>
  <c r="A48" i="6" s="1"/>
  <c r="A49" i="6" s="1"/>
  <c r="A50" i="6" s="1"/>
  <c r="A51" i="6" s="1"/>
  <c r="A52" i="6" s="1"/>
  <c r="A53" i="6" s="1"/>
  <c r="A54" i="6" s="1"/>
  <c r="A55" i="6" s="1"/>
  <c r="A56" i="6" s="1"/>
  <c r="A57" i="6" s="1"/>
  <c r="A58" i="6" s="1"/>
  <c r="A59" i="6" s="1"/>
  <c r="A60" i="6" s="1"/>
  <c r="A61"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91" i="6" s="1"/>
  <c r="A92" i="6" s="1"/>
  <c r="A93" i="6" s="1"/>
  <c r="A94" i="6" s="1"/>
  <c r="A95" i="6" s="1"/>
  <c r="A96" i="6" s="1"/>
  <c r="A97" i="6" s="1"/>
  <c r="A98" i="6" s="1"/>
  <c r="A99" i="6" s="1"/>
  <c r="A100" i="6" s="1"/>
  <c r="A101" i="6" s="1"/>
  <c r="A102" i="6" s="1"/>
  <c r="A103" i="6" s="1"/>
  <c r="A104" i="6" s="1"/>
  <c r="A105" i="6" s="1"/>
  <c r="A106" i="6" s="1"/>
  <c r="A110" i="6" s="1"/>
  <c r="A111" i="6" s="1"/>
  <c r="A112" i="6" s="1"/>
  <c r="A113" i="6" s="1"/>
  <c r="A114" i="6" s="1"/>
  <c r="A115" i="6" s="1"/>
  <c r="A116" i="6" s="1"/>
  <c r="A117" i="6" s="1"/>
  <c r="A118" i="6" s="1"/>
  <c r="A119" i="6" s="1"/>
  <c r="A120" i="6" s="1"/>
  <c r="A121" i="6" s="1"/>
  <c r="A127" i="6" s="1"/>
  <c r="A128" i="6" s="1"/>
  <c r="A129" i="6" s="1"/>
  <c r="A130" i="6" s="1"/>
  <c r="A131" i="6" s="1"/>
  <c r="A132" i="6" s="1"/>
  <c r="A133" i="6" s="1"/>
  <c r="A134" i="6" s="1"/>
  <c r="A135" i="6" s="1"/>
  <c r="I14" i="6"/>
  <c r="I19" i="6"/>
  <c r="I24" i="6" s="1"/>
  <c r="E13" i="6"/>
  <c r="K18" i="6"/>
  <c r="A42" i="6"/>
  <c r="K46" i="6"/>
  <c r="A62" i="6"/>
  <c r="K67" i="6"/>
  <c r="K69" i="6"/>
  <c r="E70" i="6"/>
  <c r="G70" i="6"/>
  <c r="I70" i="6"/>
  <c r="A88" i="6"/>
  <c r="E13" i="7"/>
  <c r="A107" i="6"/>
  <c r="K112" i="6"/>
  <c r="K119" i="6"/>
  <c r="K122" i="6" s="1"/>
  <c r="K121" i="6"/>
  <c r="C6" i="4" s="1"/>
  <c r="D51" i="5"/>
  <c r="I123" i="6"/>
  <c r="B20" i="5"/>
  <c r="B27" i="5" s="1"/>
  <c r="E20" i="5"/>
  <c r="F20" i="5"/>
  <c r="B21" i="5"/>
  <c r="B28" i="5" s="1"/>
  <c r="E21" i="5"/>
  <c r="E40" i="5" s="1"/>
  <c r="B22" i="5"/>
  <c r="B29" i="5" s="1"/>
  <c r="E22" i="5"/>
  <c r="F22" i="5"/>
  <c r="B23" i="5"/>
  <c r="B30" i="5" s="1"/>
  <c r="E23" i="5"/>
  <c r="B24" i="5"/>
  <c r="B31" i="5"/>
  <c r="E24" i="5"/>
  <c r="D30" i="5"/>
  <c r="D31" i="5"/>
  <c r="E37" i="5"/>
  <c r="D39" i="5"/>
  <c r="H52" i="5"/>
  <c r="E54" i="5"/>
  <c r="E55" i="5"/>
  <c r="E57" i="5"/>
  <c r="H60" i="5"/>
  <c r="B63" i="5"/>
  <c r="E64" i="5"/>
  <c r="E65" i="5"/>
  <c r="B68" i="5"/>
  <c r="E73" i="5"/>
  <c r="E77" i="5"/>
  <c r="D79" i="5"/>
  <c r="D81" i="5"/>
  <c r="D84" i="5"/>
  <c r="D87" i="5" s="1"/>
  <c r="H101" i="5"/>
  <c r="H102" i="5"/>
  <c r="F107" i="5"/>
  <c r="F109" i="5"/>
  <c r="F110" i="5"/>
  <c r="D128" i="5"/>
  <c r="F126" i="5" s="1"/>
  <c r="F134" i="5"/>
  <c r="H143" i="5"/>
  <c r="B148" i="5"/>
  <c r="H148" i="5"/>
  <c r="A7" i="4"/>
  <c r="A8" i="4"/>
  <c r="A9" i="4" s="1"/>
  <c r="A10" i="4" s="1"/>
  <c r="A11" i="4" s="1"/>
  <c r="A12" i="4"/>
  <c r="A13" i="4" s="1"/>
  <c r="A14" i="4" s="1"/>
  <c r="A15" i="4" s="1"/>
  <c r="A16" i="4" s="1"/>
  <c r="A17" i="4" s="1"/>
  <c r="A18" i="4" s="1"/>
  <c r="A19" i="4" s="1"/>
  <c r="A20" i="4" s="1"/>
  <c r="A21" i="4" s="1"/>
  <c r="I120" i="2"/>
  <c r="G120" i="2"/>
  <c r="I119" i="2"/>
  <c r="G119" i="2"/>
  <c r="I118" i="2"/>
  <c r="G118" i="2"/>
  <c r="I117" i="2"/>
  <c r="G117" i="2"/>
  <c r="I116" i="2"/>
  <c r="G116" i="2"/>
  <c r="I115" i="2"/>
  <c r="G115" i="2"/>
  <c r="I114" i="2"/>
  <c r="G114" i="2"/>
  <c r="I113" i="2"/>
  <c r="G113" i="2"/>
  <c r="I112" i="2"/>
  <c r="G112" i="2"/>
  <c r="I111" i="2"/>
  <c r="G111" i="2"/>
  <c r="I110" i="2"/>
  <c r="G110" i="2"/>
  <c r="I109" i="2"/>
  <c r="G109" i="2"/>
  <c r="I108" i="2"/>
  <c r="G108" i="2"/>
  <c r="I107" i="2"/>
  <c r="G107" i="2"/>
  <c r="I106" i="2"/>
  <c r="G106" i="2"/>
  <c r="I105" i="2"/>
  <c r="G105" i="2"/>
  <c r="I104" i="2"/>
  <c r="G104" i="2"/>
  <c r="I103" i="2"/>
  <c r="G103" i="2"/>
  <c r="I102" i="2"/>
  <c r="G102" i="2"/>
  <c r="I101" i="2"/>
  <c r="G101" i="2"/>
  <c r="I91" i="2"/>
  <c r="G91" i="2"/>
  <c r="I90" i="2"/>
  <c r="G90" i="2"/>
  <c r="I89" i="2"/>
  <c r="G89" i="2"/>
  <c r="I88" i="2"/>
  <c r="G88" i="2"/>
  <c r="I87" i="2"/>
  <c r="G87" i="2"/>
  <c r="I86" i="2"/>
  <c r="G86" i="2"/>
  <c r="I85" i="2"/>
  <c r="G85" i="2"/>
  <c r="I84" i="2"/>
  <c r="G84" i="2"/>
  <c r="I83" i="2"/>
  <c r="G83" i="2"/>
  <c r="I82" i="2"/>
  <c r="G82" i="2"/>
  <c r="I81" i="2"/>
  <c r="G81" i="2"/>
  <c r="I80" i="2"/>
  <c r="G80" i="2"/>
  <c r="I79" i="2"/>
  <c r="G79" i="2"/>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I59" i="2"/>
  <c r="G59" i="2"/>
  <c r="I58" i="2"/>
  <c r="G58" i="2"/>
  <c r="I57" i="2"/>
  <c r="G57" i="2"/>
  <c r="I56" i="2"/>
  <c r="G56" i="2"/>
  <c r="I55" i="2"/>
  <c r="G55" i="2"/>
  <c r="I54" i="2"/>
  <c r="G54" i="2"/>
  <c r="I53" i="2"/>
  <c r="G53" i="2"/>
  <c r="I52" i="2"/>
  <c r="G52" i="2"/>
  <c r="I51" i="2"/>
  <c r="G51" i="2"/>
  <c r="I49" i="2"/>
  <c r="I50" i="2" s="1"/>
  <c r="G49" i="2"/>
  <c r="I48" i="2"/>
  <c r="G48" i="2"/>
  <c r="I43" i="2"/>
  <c r="G43" i="2"/>
  <c r="I42" i="2"/>
  <c r="G42" i="2"/>
  <c r="I38" i="2"/>
  <c r="G38" i="2"/>
  <c r="I37" i="2"/>
  <c r="G37" i="2"/>
  <c r="I36" i="2"/>
  <c r="G36" i="2"/>
  <c r="I35" i="2"/>
  <c r="G35" i="2"/>
  <c r="I34" i="2"/>
  <c r="G34" i="2"/>
  <c r="I33" i="2"/>
  <c r="G33" i="2"/>
  <c r="I32" i="2"/>
  <c r="G32" i="2"/>
  <c r="I30" i="2"/>
  <c r="G30" i="2"/>
  <c r="I29" i="2"/>
  <c r="G29" i="2"/>
  <c r="I28" i="2"/>
  <c r="G28" i="2"/>
  <c r="I27" i="2"/>
  <c r="G27" i="2"/>
  <c r="I26" i="2"/>
  <c r="G26" i="2"/>
  <c r="I25" i="2"/>
  <c r="G25" i="2"/>
  <c r="I24" i="2"/>
  <c r="G24" i="2"/>
  <c r="I23" i="2"/>
  <c r="G23" i="2"/>
  <c r="I22" i="2"/>
  <c r="G22" i="2"/>
  <c r="I21" i="2"/>
  <c r="G21" i="2"/>
  <c r="I20" i="2"/>
  <c r="G20" i="2"/>
  <c r="I19" i="2"/>
  <c r="G19" i="2"/>
  <c r="I17" i="2"/>
  <c r="G17" i="2"/>
  <c r="I14" i="2"/>
  <c r="G14" i="2"/>
  <c r="I13" i="2"/>
  <c r="G13" i="2"/>
  <c r="I12" i="2"/>
  <c r="G12" i="2"/>
  <c r="I11" i="2"/>
  <c r="G11" i="2"/>
  <c r="I10" i="2"/>
  <c r="G10" i="2"/>
  <c r="G50" i="2"/>
  <c r="K93" i="6"/>
  <c r="I47" i="6"/>
  <c r="I9" i="6"/>
  <c r="I13" i="6"/>
  <c r="I20" i="6" s="1"/>
  <c r="I25" i="6" s="1"/>
  <c r="A9" i="5"/>
  <c r="C10" i="5"/>
  <c r="A10" i="5"/>
  <c r="A13" i="5" s="1"/>
  <c r="I48" i="6"/>
  <c r="A14" i="5"/>
  <c r="A15" i="5" s="1"/>
  <c r="F8" i="30"/>
  <c r="G220" i="13"/>
  <c r="K220" i="13" s="1"/>
  <c r="G311" i="13" l="1"/>
  <c r="G495" i="13"/>
  <c r="K500" i="13"/>
  <c r="E266" i="13"/>
  <c r="H17" i="33"/>
  <c r="G10" i="32" s="1"/>
  <c r="A3" i="9"/>
  <c r="A3" i="18"/>
  <c r="A3" i="2"/>
  <c r="H512" i="13"/>
  <c r="H513" i="13" s="1"/>
  <c r="K501" i="13"/>
  <c r="A10" i="13"/>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G286" i="13"/>
  <c r="K311" i="13"/>
  <c r="K495" i="13"/>
  <c r="I473" i="13"/>
  <c r="K473" i="13" s="1"/>
  <c r="G474" i="13"/>
  <c r="J512" i="13"/>
  <c r="J513" i="13" s="1"/>
  <c r="K504" i="13"/>
  <c r="E8" i="6" s="1"/>
  <c r="K286" i="13"/>
  <c r="E474" i="13"/>
  <c r="E512" i="13" s="1"/>
  <c r="E513" i="13" s="1"/>
  <c r="F512" i="13"/>
  <c r="F513" i="13" s="1"/>
  <c r="K471" i="13"/>
  <c r="K266" i="13"/>
  <c r="I121" i="2"/>
  <c r="I7" i="2" s="1"/>
  <c r="H7" i="2" s="1"/>
  <c r="I289" i="13" s="1"/>
  <c r="K289" i="13" s="1"/>
  <c r="G121" i="2"/>
  <c r="I124" i="6"/>
  <c r="A16" i="5"/>
  <c r="K115" i="6"/>
  <c r="K8" i="13"/>
  <c r="G122" i="13"/>
  <c r="C93" i="5"/>
  <c r="K295" i="13"/>
  <c r="K306" i="13" s="1"/>
  <c r="G306" i="13"/>
  <c r="K317" i="13"/>
  <c r="G266" i="13"/>
  <c r="I47" i="2"/>
  <c r="I6" i="2" s="1"/>
  <c r="H6" i="2" s="1"/>
  <c r="I288" i="13" s="1"/>
  <c r="K288" i="13" s="1"/>
  <c r="K313" i="13"/>
  <c r="I335" i="13"/>
  <c r="K355" i="13"/>
  <c r="I351" i="13"/>
  <c r="K351" i="13" s="1"/>
  <c r="K370" i="13"/>
  <c r="I364" i="13"/>
  <c r="K364" i="13"/>
  <c r="K383" i="13"/>
  <c r="I404" i="13"/>
  <c r="K404" i="13" s="1"/>
  <c r="K392" i="13"/>
  <c r="I420" i="13"/>
  <c r="K420" i="13" s="1"/>
  <c r="I446" i="13"/>
  <c r="K446" i="13" s="1"/>
  <c r="K442" i="13"/>
  <c r="I429" i="13"/>
  <c r="K429" i="13" s="1"/>
  <c r="K460" i="13"/>
  <c r="K470" i="13"/>
  <c r="D7" i="29"/>
  <c r="I6" i="30"/>
  <c r="G40" i="2"/>
  <c r="C10" i="6" s="1"/>
  <c r="I40" i="2"/>
  <c r="I41" i="2" s="1"/>
  <c r="I5" i="2" s="1"/>
  <c r="K506" i="13"/>
  <c r="K511" i="13" s="1"/>
  <c r="G8" i="6" s="1"/>
  <c r="G511" i="13"/>
  <c r="I7" i="30"/>
  <c r="D8" i="32"/>
  <c r="G8" i="30"/>
  <c r="C11" i="6" s="1"/>
  <c r="D6" i="29"/>
  <c r="I28" i="30"/>
  <c r="H5" i="30"/>
  <c r="G12" i="32"/>
  <c r="H144" i="5"/>
  <c r="G28" i="30"/>
  <c r="I431" i="13"/>
  <c r="K431" i="13" s="1"/>
  <c r="K345" i="13"/>
  <c r="I474" i="13" l="1"/>
  <c r="G512" i="13"/>
  <c r="G513" i="13" s="1"/>
  <c r="C7" i="6" s="1"/>
  <c r="C16" i="6" s="1"/>
  <c r="C22" i="6" s="1"/>
  <c r="K335" i="13"/>
  <c r="K474" i="13" s="1"/>
  <c r="D117" i="5"/>
  <c r="H119" i="5" s="1"/>
  <c r="F50" i="5" s="1"/>
  <c r="E14" i="6"/>
  <c r="I8" i="2"/>
  <c r="H5" i="2"/>
  <c r="K10" i="6"/>
  <c r="G8" i="32"/>
  <c r="K122" i="13"/>
  <c r="D6" i="31"/>
  <c r="H8" i="30"/>
  <c r="C12" i="6" s="1"/>
  <c r="D19" i="29"/>
  <c r="E7" i="29" s="1"/>
  <c r="E6" i="29"/>
  <c r="K11" i="6"/>
  <c r="G14" i="6"/>
  <c r="D120" i="5"/>
  <c r="H122" i="5" s="1"/>
  <c r="F51" i="5" s="1"/>
  <c r="G9" i="6"/>
  <c r="I5" i="30"/>
  <c r="I8" i="30" s="1"/>
  <c r="D49" i="5"/>
  <c r="D61" i="5" s="1"/>
  <c r="D42" i="5" s="1"/>
  <c r="D45" i="5" s="1"/>
  <c r="A17" i="5"/>
  <c r="C125" i="6" l="1"/>
  <c r="G6" i="29" s="1"/>
  <c r="K7" i="6"/>
  <c r="D115" i="5"/>
  <c r="C15" i="6"/>
  <c r="C21" i="6" s="1"/>
  <c r="E19" i="6"/>
  <c r="E24" i="6" s="1"/>
  <c r="E47" i="6"/>
  <c r="E94" i="6"/>
  <c r="E123" i="6"/>
  <c r="H50" i="5"/>
  <c r="F55" i="5"/>
  <c r="H55" i="5" s="1"/>
  <c r="F65" i="5"/>
  <c r="H65" i="5" s="1"/>
  <c r="A18" i="5"/>
  <c r="A20" i="5" s="1"/>
  <c r="C18" i="5"/>
  <c r="K12" i="6"/>
  <c r="C17" i="6"/>
  <c r="C23" i="6" s="1"/>
  <c r="I287" i="13"/>
  <c r="H8" i="2"/>
  <c r="F66" i="5"/>
  <c r="H66" i="5" s="1"/>
  <c r="H51" i="5"/>
  <c r="C50" i="6"/>
  <c r="C97" i="6"/>
  <c r="G13" i="6"/>
  <c r="G124" i="6" s="1"/>
  <c r="G19" i="6"/>
  <c r="G47" i="6"/>
  <c r="G48" i="6" s="1"/>
  <c r="E17" i="7" s="1"/>
  <c r="G123" i="6"/>
  <c r="D19" i="31"/>
  <c r="E6" i="31"/>
  <c r="G7" i="29" l="1"/>
  <c r="G19" i="29" s="1"/>
  <c r="C49" i="6"/>
  <c r="K49" i="6" s="1"/>
  <c r="F7" i="7"/>
  <c r="F9" i="7" s="1"/>
  <c r="C96" i="6"/>
  <c r="C7" i="4" s="1"/>
  <c r="K125" i="6"/>
  <c r="E7" i="7"/>
  <c r="E9" i="7" s="1"/>
  <c r="J18" i="31"/>
  <c r="N18" i="31" s="1"/>
  <c r="N6" i="31" s="1"/>
  <c r="E7" i="31"/>
  <c r="E8" i="31"/>
  <c r="J18" i="29"/>
  <c r="N18" i="29" s="1"/>
  <c r="K21" i="6"/>
  <c r="C26" i="6"/>
  <c r="K97" i="6"/>
  <c r="I7" i="29"/>
  <c r="I6" i="29"/>
  <c r="F13" i="7"/>
  <c r="C51" i="6"/>
  <c r="C98" i="6"/>
  <c r="C126" i="6"/>
  <c r="A21" i="5"/>
  <c r="C27" i="5"/>
  <c r="G20" i="6"/>
  <c r="G25" i="6" s="1"/>
  <c r="E10" i="7" s="1"/>
  <c r="G24" i="6"/>
  <c r="F7" i="29"/>
  <c r="K7" i="29" s="1"/>
  <c r="F6" i="29"/>
  <c r="K22" i="6"/>
  <c r="C27" i="6"/>
  <c r="K27" i="6" s="1"/>
  <c r="F10" i="7" s="1"/>
  <c r="K287" i="13"/>
  <c r="I290" i="13"/>
  <c r="I512" i="13" s="1"/>
  <c r="I513" i="13" s="1"/>
  <c r="C9" i="6" s="1"/>
  <c r="K96" i="6"/>
  <c r="H6" i="29"/>
  <c r="K50" i="6"/>
  <c r="F17" i="7" s="1"/>
  <c r="H7" i="29"/>
  <c r="K98" i="6" l="1"/>
  <c r="G13" i="7" s="1"/>
  <c r="I8" i="31"/>
  <c r="I6" i="31"/>
  <c r="I7" i="31"/>
  <c r="N7" i="31"/>
  <c r="N8" i="31"/>
  <c r="F28" i="32" s="1"/>
  <c r="C8" i="4"/>
  <c r="H19" i="29"/>
  <c r="I19" i="29"/>
  <c r="D13" i="5"/>
  <c r="C73" i="6"/>
  <c r="K9" i="6"/>
  <c r="I73" i="6"/>
  <c r="C13" i="6"/>
  <c r="C20" i="6" s="1"/>
  <c r="G73" i="6"/>
  <c r="A22" i="5"/>
  <c r="C28" i="5"/>
  <c r="F19" i="29"/>
  <c r="K6" i="29"/>
  <c r="K19" i="29" s="1"/>
  <c r="G7" i="31"/>
  <c r="G6" i="31"/>
  <c r="G8" i="31"/>
  <c r="K126" i="6"/>
  <c r="G7" i="7" s="1"/>
  <c r="G9" i="7" s="1"/>
  <c r="N19" i="31"/>
  <c r="F14" i="7"/>
  <c r="F18" i="7" s="1"/>
  <c r="F19" i="7" s="1"/>
  <c r="F29" i="7" s="1"/>
  <c r="F36" i="7"/>
  <c r="E14" i="7"/>
  <c r="E36" i="7"/>
  <c r="H8" i="31"/>
  <c r="H7" i="31"/>
  <c r="H6" i="31"/>
  <c r="K51" i="6"/>
  <c r="G17" i="7" s="1"/>
  <c r="K26" i="6"/>
  <c r="C13" i="4"/>
  <c r="K290" i="13"/>
  <c r="K512" i="13" s="1"/>
  <c r="K513" i="13" s="1"/>
  <c r="F8" i="31"/>
  <c r="K8" i="31" s="1"/>
  <c r="F7" i="31"/>
  <c r="K7" i="31" s="1"/>
  <c r="F6" i="31"/>
  <c r="K23" i="6"/>
  <c r="C28" i="6"/>
  <c r="K28" i="6" s="1"/>
  <c r="G10" i="7" s="1"/>
  <c r="E11" i="7"/>
  <c r="E27" i="7" s="1"/>
  <c r="N7" i="29"/>
  <c r="F27" i="32" s="1"/>
  <c r="N6" i="29"/>
  <c r="N19" i="29" s="1"/>
  <c r="F11" i="7"/>
  <c r="F27" i="7" s="1"/>
  <c r="I19" i="31" l="1"/>
  <c r="H19" i="31"/>
  <c r="G11" i="7"/>
  <c r="G27" i="7" s="1"/>
  <c r="F15" i="7"/>
  <c r="F28" i="7" s="1"/>
  <c r="C12" i="8"/>
  <c r="C7" i="9"/>
  <c r="G14" i="7"/>
  <c r="G36" i="7"/>
  <c r="E18" i="7"/>
  <c r="E19" i="7" s="1"/>
  <c r="E29" i="7" s="1"/>
  <c r="E15" i="7"/>
  <c r="E28" i="7" s="1"/>
  <c r="F22" i="32"/>
  <c r="G19" i="31"/>
  <c r="K74" i="6"/>
  <c r="C21" i="4"/>
  <c r="C8" i="6"/>
  <c r="F26" i="32"/>
  <c r="F19" i="31"/>
  <c r="K6" i="31"/>
  <c r="K19" i="31" s="1"/>
  <c r="A23" i="5"/>
  <c r="C29" i="5"/>
  <c r="C48" i="6"/>
  <c r="K48" i="6" s="1"/>
  <c r="D17" i="7" s="1"/>
  <c r="C95" i="6"/>
  <c r="K95" i="6" s="1"/>
  <c r="D13" i="7" s="1"/>
  <c r="C124" i="6"/>
  <c r="K124" i="6" s="1"/>
  <c r="D7" i="7" l="1"/>
  <c r="D9" i="7" s="1"/>
  <c r="K20" i="6"/>
  <c r="D20" i="5"/>
  <c r="C25" i="6"/>
  <c r="K25" i="6" s="1"/>
  <c r="D10" i="7" s="1"/>
  <c r="C14" i="6"/>
  <c r="C19" i="6" s="1"/>
  <c r="K8" i="6"/>
  <c r="D114" i="5"/>
  <c r="H116" i="5" s="1"/>
  <c r="F49" i="5" s="1"/>
  <c r="C71" i="6"/>
  <c r="D14" i="5"/>
  <c r="E71" i="6"/>
  <c r="D15" i="5"/>
  <c r="G71" i="6"/>
  <c r="G18" i="7"/>
  <c r="G19" i="7" s="1"/>
  <c r="G29" i="7" s="1"/>
  <c r="G15" i="7"/>
  <c r="G28" i="7" s="1"/>
  <c r="A24" i="5"/>
  <c r="C30" i="5"/>
  <c r="D25" i="7"/>
  <c r="D32" i="7" s="1"/>
  <c r="E25" i="7"/>
  <c r="E32" i="7" s="1"/>
  <c r="E33" i="7" s="1"/>
  <c r="E35" i="7" s="1"/>
  <c r="C6" i="9" l="1"/>
  <c r="C8" i="9" s="1"/>
  <c r="C10" i="9" s="1"/>
  <c r="C11" i="8"/>
  <c r="C13" i="8" s="1"/>
  <c r="C15" i="8" s="1"/>
  <c r="C17" i="8" s="1"/>
  <c r="C19" i="8" s="1"/>
  <c r="C6" i="8" s="1"/>
  <c r="C8" i="8" s="1"/>
  <c r="E37" i="7"/>
  <c r="D14" i="7"/>
  <c r="D36" i="7"/>
  <c r="D27" i="5"/>
  <c r="A25" i="5"/>
  <c r="A27" i="5" s="1"/>
  <c r="C31" i="5"/>
  <c r="C25" i="5"/>
  <c r="H49" i="5"/>
  <c r="F54" i="5"/>
  <c r="H54" i="5" s="1"/>
  <c r="F64" i="5"/>
  <c r="H64" i="5" s="1"/>
  <c r="D11" i="7"/>
  <c r="D27" i="7" s="1"/>
  <c r="H93" i="5"/>
  <c r="D18" i="5"/>
  <c r="K72" i="6"/>
  <c r="C94" i="6"/>
  <c r="D133" i="5"/>
  <c r="D135" i="5" s="1"/>
  <c r="C47" i="6"/>
  <c r="K47" i="6" s="1"/>
  <c r="C17" i="7" s="1"/>
  <c r="D130" i="5"/>
  <c r="C123" i="6"/>
  <c r="K123" i="6" l="1"/>
  <c r="C7" i="7" s="1"/>
  <c r="C9" i="7" s="1"/>
  <c r="E133" i="5"/>
  <c r="E134" i="5"/>
  <c r="H134" i="5" s="1"/>
  <c r="E135" i="5"/>
  <c r="C12" i="4"/>
  <c r="C14" i="4" s="1"/>
  <c r="C16" i="4" s="1"/>
  <c r="C25" i="7"/>
  <c r="K94" i="6"/>
  <c r="C13" i="7" s="1"/>
  <c r="D108" i="5"/>
  <c r="F133" i="5"/>
  <c r="D21" i="5"/>
  <c r="K19" i="6"/>
  <c r="D22" i="5"/>
  <c r="D29" i="5" s="1"/>
  <c r="C24" i="6"/>
  <c r="K24" i="6" s="1"/>
  <c r="C10" i="7" s="1"/>
  <c r="H96" i="5"/>
  <c r="H97" i="5" s="1"/>
  <c r="H103" i="5" s="1"/>
  <c r="A28" i="5"/>
  <c r="A29" i="5" s="1"/>
  <c r="A30" i="5" s="1"/>
  <c r="A31" i="5" s="1"/>
  <c r="A32" i="5" s="1"/>
  <c r="D18" i="7"/>
  <c r="D19" i="7" s="1"/>
  <c r="D29" i="7" s="1"/>
  <c r="D15" i="7"/>
  <c r="D28" i="7" s="1"/>
  <c r="C15" i="9"/>
  <c r="C18" i="9" s="1"/>
  <c r="C11" i="9"/>
  <c r="H133" i="5" l="1"/>
  <c r="H135" i="5" s="1"/>
  <c r="D33" i="7"/>
  <c r="D35" i="7" s="1"/>
  <c r="D37" i="7" s="1"/>
  <c r="D28" i="5"/>
  <c r="D32" i="5" s="1"/>
  <c r="D46" i="5" s="1"/>
  <c r="D25" i="5"/>
  <c r="C14" i="7"/>
  <c r="C18" i="7" s="1"/>
  <c r="C19" i="7" s="1"/>
  <c r="C29" i="7" s="1"/>
  <c r="C36" i="7"/>
  <c r="D111" i="5"/>
  <c r="C17" i="4"/>
  <c r="C19" i="4" s="1"/>
  <c r="D11" i="32"/>
  <c r="D15" i="32" s="1"/>
  <c r="F25" i="7"/>
  <c r="C32" i="7"/>
  <c r="C11" i="7"/>
  <c r="C27" i="7" s="1"/>
  <c r="F14" i="5"/>
  <c r="H14" i="5" s="1"/>
  <c r="H104" i="5"/>
  <c r="F21" i="5"/>
  <c r="E108" i="5"/>
  <c r="F108" i="5" s="1"/>
  <c r="F111" i="5" s="1"/>
  <c r="A34" i="5"/>
  <c r="C32" i="5"/>
  <c r="C15" i="7" l="1"/>
  <c r="C28" i="7" s="1"/>
  <c r="C33" i="7" s="1"/>
  <c r="C35" i="7" s="1"/>
  <c r="C37" i="7" s="1"/>
  <c r="H111" i="5"/>
  <c r="F57" i="5" s="1"/>
  <c r="H57" i="5" s="1"/>
  <c r="J8" i="31"/>
  <c r="L8" i="31" s="1"/>
  <c r="M8" i="31" s="1"/>
  <c r="G25" i="7"/>
  <c r="G32" i="7" s="1"/>
  <c r="G33" i="7" s="1"/>
  <c r="G35" i="7" s="1"/>
  <c r="G37" i="7" s="1"/>
  <c r="J6" i="29"/>
  <c r="L6" i="29" s="1"/>
  <c r="J7" i="29"/>
  <c r="L7" i="29" s="1"/>
  <c r="M7" i="29" s="1"/>
  <c r="J7" i="31"/>
  <c r="L7" i="31" s="1"/>
  <c r="M7" i="31" s="1"/>
  <c r="F32" i="7"/>
  <c r="F33" i="7" s="1"/>
  <c r="F35" i="7" s="1"/>
  <c r="F37" i="7" s="1"/>
  <c r="J6" i="31"/>
  <c r="L6" i="31" s="1"/>
  <c r="F43" i="5"/>
  <c r="H43" i="5" s="1"/>
  <c r="F58" i="5"/>
  <c r="H58" i="5" s="1"/>
  <c r="A35" i="5"/>
  <c r="A36" i="5" s="1"/>
  <c r="A37" i="5" s="1"/>
  <c r="A38" i="5" s="1"/>
  <c r="A39" i="5" s="1"/>
  <c r="C39" i="5"/>
  <c r="G11" i="32"/>
  <c r="D8" i="5"/>
  <c r="F40" i="5"/>
  <c r="H40" i="5" s="1"/>
  <c r="H21" i="5"/>
  <c r="D82" i="5"/>
  <c r="H137" i="5"/>
  <c r="D89" i="5"/>
  <c r="G15" i="32" l="1"/>
  <c r="H8" i="5" s="1"/>
  <c r="F67" i="5"/>
  <c r="H67" i="5" s="1"/>
  <c r="F16" i="5"/>
  <c r="F23" i="5" s="1"/>
  <c r="H23" i="5" s="1"/>
  <c r="F56" i="5"/>
  <c r="H56" i="5" s="1"/>
  <c r="H126" i="5"/>
  <c r="I124" i="5" s="1"/>
  <c r="F17" i="5" s="1"/>
  <c r="D86" i="5"/>
  <c r="D88" i="5" s="1"/>
  <c r="D90" i="5" s="1"/>
  <c r="O7" i="31"/>
  <c r="C27" i="32"/>
  <c r="G27" i="32" s="1"/>
  <c r="D27" i="32"/>
  <c r="E27" i="32"/>
  <c r="O7" i="29"/>
  <c r="O8" i="31"/>
  <c r="C28" i="32"/>
  <c r="G28" i="32" s="1"/>
  <c r="D28" i="32"/>
  <c r="A40" i="5"/>
  <c r="A42" i="5" s="1"/>
  <c r="L19" i="31"/>
  <c r="M6" i="31"/>
  <c r="M6" i="29"/>
  <c r="L19" i="29"/>
  <c r="H28" i="5"/>
  <c r="F72" i="5" l="1"/>
  <c r="H72" i="5" s="1"/>
  <c r="F59" i="5"/>
  <c r="H59" i="5" s="1"/>
  <c r="H61" i="5" s="1"/>
  <c r="H16" i="5"/>
  <c r="H30" i="5" s="1"/>
  <c r="O6" i="29"/>
  <c r="O19" i="29" s="1"/>
  <c r="G24" i="32" s="1"/>
  <c r="M19" i="29"/>
  <c r="E22" i="32" s="1"/>
  <c r="E26" i="32"/>
  <c r="M19" i="31"/>
  <c r="O6" i="31"/>
  <c r="O19" i="31" s="1"/>
  <c r="C26" i="32"/>
  <c r="G26" i="32" s="1"/>
  <c r="D26" i="32"/>
  <c r="A43" i="5"/>
  <c r="A44" i="5" s="1"/>
  <c r="A45" i="5" s="1"/>
  <c r="C45" i="5"/>
  <c r="F24" i="5"/>
  <c r="H24" i="5" s="1"/>
  <c r="H25" i="5" s="1"/>
  <c r="H17" i="5"/>
  <c r="F73" i="5" l="1"/>
  <c r="H73" i="5" s="1"/>
  <c r="F68" i="5"/>
  <c r="H68" i="5" s="1"/>
  <c r="H69" i="5" s="1"/>
  <c r="H31" i="5"/>
  <c r="H32" i="5" s="1"/>
  <c r="F32" i="5" s="1"/>
  <c r="F35" i="5" s="1"/>
  <c r="H18" i="5"/>
  <c r="F18" i="5" s="1"/>
  <c r="A46" i="5"/>
  <c r="C46" i="5"/>
  <c r="C22" i="32"/>
  <c r="D22" i="32"/>
  <c r="F87" i="5" l="1"/>
  <c r="H87" i="5" s="1"/>
  <c r="F75" i="5"/>
  <c r="F44" i="5"/>
  <c r="H44" i="5" s="1"/>
  <c r="H45" i="5" s="1"/>
  <c r="H35" i="5"/>
  <c r="F36" i="5"/>
  <c r="A49" i="5"/>
  <c r="F37" i="5" l="1"/>
  <c r="H37" i="5" s="1"/>
  <c r="F38" i="5"/>
  <c r="H38" i="5" s="1"/>
  <c r="H36" i="5"/>
  <c r="A50" i="5"/>
  <c r="A51" i="5" s="1"/>
  <c r="A52" i="5" s="1"/>
  <c r="A54" i="5" s="1"/>
  <c r="A55" i="5" s="1"/>
  <c r="A56" i="5" s="1"/>
  <c r="A57" i="5" s="1"/>
  <c r="F77" i="5"/>
  <c r="H75" i="5"/>
  <c r="H39" i="5" l="1"/>
  <c r="H46" i="5" s="1"/>
  <c r="H89" i="5" s="1"/>
  <c r="H86" i="5" s="1"/>
  <c r="H88" i="5" s="1"/>
  <c r="A58" i="5"/>
  <c r="A59" i="5" s="1"/>
  <c r="A60" i="5" s="1"/>
  <c r="A61" i="5" s="1"/>
  <c r="C99" i="5"/>
  <c r="F78" i="5"/>
  <c r="H78" i="5" s="1"/>
  <c r="H77" i="5"/>
  <c r="H79" i="5" l="1"/>
  <c r="H90" i="5" s="1"/>
  <c r="D7" i="5" s="1"/>
  <c r="D10" i="5" s="1"/>
  <c r="B154" i="5"/>
  <c r="A63" i="5"/>
  <c r="C61" i="5"/>
  <c r="B157" i="5"/>
  <c r="H7" i="5" l="1"/>
  <c r="G6" i="32" s="1"/>
  <c r="G17" i="32" s="1"/>
  <c r="A64" i="5"/>
  <c r="A65" i="5" s="1"/>
  <c r="A66" i="5" s="1"/>
  <c r="A67" i="5" s="1"/>
  <c r="A68" i="5" s="1"/>
  <c r="A69" i="5" s="1"/>
  <c r="H10" i="5" l="1"/>
  <c r="C69" i="5"/>
  <c r="A72" i="5"/>
  <c r="A73" i="5" l="1"/>
  <c r="A75" i="5" s="1"/>
  <c r="A76" i="5" s="1"/>
  <c r="A77" i="5" s="1"/>
  <c r="A78" i="5" s="1"/>
  <c r="A79" i="5" s="1"/>
  <c r="C79" i="5"/>
  <c r="A81" i="5" l="1"/>
  <c r="A82" i="5" l="1"/>
  <c r="B84" i="5"/>
  <c r="A84" i="5" l="1"/>
  <c r="A85" i="5" l="1"/>
  <c r="A86" i="5" s="1"/>
  <c r="C87" i="5"/>
  <c r="C88" i="5" l="1"/>
  <c r="A87" i="5"/>
  <c r="A88" i="5" s="1"/>
  <c r="A89" i="5" l="1"/>
  <c r="C90" i="5"/>
  <c r="A90" i="5" l="1"/>
  <c r="C86" i="5"/>
  <c r="A93" i="5" l="1"/>
  <c r="C7" i="5"/>
  <c r="A94" i="5" l="1"/>
  <c r="A95" i="5" s="1"/>
  <c r="A96" i="5" s="1"/>
  <c r="C96" i="5"/>
  <c r="C97" i="5" l="1"/>
  <c r="A97" i="5"/>
  <c r="C103" i="5" l="1"/>
  <c r="A99" i="5"/>
  <c r="A100" i="5" l="1"/>
  <c r="A101" i="5" s="1"/>
  <c r="C101" i="5"/>
  <c r="C102" i="5" l="1"/>
  <c r="A102" i="5"/>
  <c r="A103" i="5" s="1"/>
  <c r="C104" i="5" l="1"/>
  <c r="A104" i="5"/>
  <c r="A107" i="5" s="1"/>
  <c r="A108" i="5" l="1"/>
  <c r="A109" i="5" s="1"/>
  <c r="A110" i="5" s="1"/>
  <c r="A111" i="5" s="1"/>
  <c r="C111" i="5"/>
  <c r="H125" i="5" l="1"/>
  <c r="A114" i="5"/>
  <c r="A115" i="5" l="1"/>
  <c r="A116" i="5" s="1"/>
  <c r="A117" i="5" s="1"/>
  <c r="C116" i="5" l="1"/>
  <c r="A118" i="5"/>
  <c r="A119" i="5" s="1"/>
  <c r="A120" i="5" s="1"/>
  <c r="A121" i="5" l="1"/>
  <c r="A122" i="5" s="1"/>
  <c r="A125" i="5" s="1"/>
  <c r="C119" i="5"/>
  <c r="A126" i="5" l="1"/>
  <c r="A127" i="5" s="1"/>
  <c r="A128" i="5" s="1"/>
  <c r="A130" i="5" s="1"/>
  <c r="F125" i="5"/>
  <c r="C122" i="5"/>
  <c r="A133" i="5" l="1"/>
  <c r="C128" i="5"/>
  <c r="A134" i="5" l="1"/>
  <c r="A135" i="5" s="1"/>
  <c r="C135" i="5"/>
  <c r="B83" i="5"/>
  <c r="B168" i="5"/>
  <c r="A136" i="5" l="1"/>
  <c r="A137" i="5" s="1"/>
  <c r="A141" i="5" s="1"/>
  <c r="C89" i="5"/>
  <c r="B169" i="5" l="1"/>
  <c r="A142" i="5"/>
  <c r="A143" i="5" s="1"/>
  <c r="A144" i="5" s="1"/>
  <c r="A145" i="5" s="1"/>
  <c r="A146" i="5" s="1"/>
  <c r="A147" i="5" s="1"/>
  <c r="A148" i="5" s="1"/>
</calcChain>
</file>

<file path=xl/sharedStrings.xml><?xml version="1.0" encoding="utf-8"?>
<sst xmlns="http://schemas.openxmlformats.org/spreadsheetml/2006/main" count="6158" uniqueCount="2745">
  <si>
    <t>Western Area Power Administration (WAPA)</t>
  </si>
  <si>
    <t>Upper Great Plains Region (WAPA-UGP)</t>
  </si>
  <si>
    <t>Transmission and Ancillary Services</t>
  </si>
  <si>
    <t>Rate Calculation</t>
  </si>
  <si>
    <t>WAPA-UGP 2021 Rate Estimate Calculation</t>
  </si>
  <si>
    <t>(Rate Order No. WAPA-188)</t>
  </si>
  <si>
    <t>WAPA-UGP</t>
  </si>
  <si>
    <t xml:space="preserve"> Transmission and Ancillary Services List of Workpapers and Schedules</t>
  </si>
  <si>
    <t>Worksheet Tab Label</t>
  </si>
  <si>
    <t>Worksheet Tab Description</t>
  </si>
  <si>
    <t>Summary-ATRR</t>
  </si>
  <si>
    <t>Worksheet "Summary-ATRR" -- Calculation of ATRRs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</si>
  <si>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</si>
  <si>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</si>
  <si>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</si>
  <si>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</si>
  <si>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</si>
  <si>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</si>
  <si>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</si>
  <si>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</si>
  <si>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</si>
  <si>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</si>
  <si>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</si>
  <si>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 xml:space="preserve">Worksheet 6 -- SPP Base Plan Upgrades (BPU) - Regional </t>
  </si>
  <si>
    <t>WS7-BPUFac</t>
  </si>
  <si>
    <t>Worksheet 7 -- SPP Base Plan Upgrades (BPU) - Facilities</t>
  </si>
  <si>
    <t>WS8-TranFac</t>
  </si>
  <si>
    <t>Worksheet 8 -- Transmission Facilities</t>
  </si>
  <si>
    <t>WS9-AI-Incl</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</si>
  <si>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</si>
  <si>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</si>
  <si>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</si>
  <si>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</si>
  <si>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</si>
  <si>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</si>
  <si>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</si>
  <si>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</si>
  <si>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Control and Dispatch Service (SSCD) Facilities</t>
  </si>
  <si>
    <t>WS14-Reg</t>
  </si>
  <si>
    <t>Worksheet 14 -- Regulation and Frequency Response ARR</t>
  </si>
  <si>
    <t>WS15-Res</t>
  </si>
  <si>
    <t>Worksheet 15 -- Reserves ARR</t>
  </si>
  <si>
    <t>(Back to Worksheet Links)</t>
  </si>
  <si>
    <t>Summary-ATRR - Calculation of ATRRs (Sched 9, Sched 11)</t>
  </si>
  <si>
    <t>12 Months Ending 09/30/2021 ESTIMATE</t>
  </si>
  <si>
    <t>TRANSMISSION</t>
  </si>
  <si>
    <t>Line</t>
  </si>
  <si>
    <t>REFERENCE</t>
  </si>
  <si>
    <t>COMPANY TOTAL</t>
  </si>
  <si>
    <t>ALLOCATOR</t>
  </si>
  <si>
    <t>ALLOCATION %</t>
  </si>
  <si>
    <t>ALLOCATED AMOUNT</t>
  </si>
  <si>
    <t>No.</t>
  </si>
  <si>
    <t>(1)</t>
  </si>
  <si>
    <t>(2)</t>
  </si>
  <si>
    <t>(3)</t>
  </si>
  <si>
    <t>(4)</t>
  </si>
  <si>
    <t>(5)</t>
  </si>
  <si>
    <t>Gross Zonal Revenue Requirement-Sch 9</t>
  </si>
  <si>
    <t>WS1-RateBase C5L1</t>
  </si>
  <si>
    <t>REVENUE CREDITS</t>
  </si>
  <si>
    <t xml:space="preserve">     Firm Point-to-Point Revenue Credit</t>
  </si>
  <si>
    <t>WS3-RevCredits C5L3+C5L6</t>
  </si>
  <si>
    <t>NA</t>
  </si>
  <si>
    <t xml:space="preserve">     Non-Firm Point-to-Point Revenue Credit</t>
  </si>
  <si>
    <t>WS3-RevCredits C5L9</t>
  </si>
  <si>
    <t xml:space="preserve">     Revenue from Existing Transmission Agreements</t>
  </si>
  <si>
    <t xml:space="preserve">     Scheduling, System Control, and Dispatch Service Credit</t>
  </si>
  <si>
    <t xml:space="preserve">     Account No. 454</t>
  </si>
  <si>
    <t>WS3-RevCredits C5L18</t>
  </si>
  <si>
    <t>TP</t>
  </si>
  <si>
    <t xml:space="preserve">     Z2 Nonfirm Point-to-Point Revenue Credit</t>
  </si>
  <si>
    <t xml:space="preserve">     Schedule 11 Point-to-Point Revenue Credit</t>
  </si>
  <si>
    <t>TOTAL REVENUE CREDITS</t>
  </si>
  <si>
    <t>Subtotal L3:L9</t>
  </si>
  <si>
    <t>TRUE-UP ADJUSTMENT (from TRUEUP Sheet)</t>
  </si>
  <si>
    <t>Summary-TrueUp L12</t>
  </si>
  <si>
    <t>Net Revenue Requirement</t>
  </si>
  <si>
    <t>Total L1-L10+L11</t>
  </si>
  <si>
    <t>TOTAL PROJECT ATRR</t>
  </si>
  <si>
    <t xml:space="preserve">ZONAL </t>
  </si>
  <si>
    <t>REGIONAL</t>
  </si>
  <si>
    <t>REVENUE CREDIT</t>
  </si>
  <si>
    <t>(6)</t>
  </si>
  <si>
    <t>SPP Upgrades - Gross Revenue Requirement-Sch 11*</t>
  </si>
  <si>
    <t xml:space="preserve">     Zonal less Revenue Credit</t>
  </si>
  <si>
    <t xml:space="preserve">     Regional less Revenue Credit</t>
  </si>
  <si>
    <t xml:space="preserve">           Breakout by Facility:</t>
  </si>
  <si>
    <t xml:space="preserve">     Lewis-Richland 115 kV Ckt 1, 72052</t>
  </si>
  <si>
    <t xml:space="preserve">     Roberts County 115 kV Substation, 71926</t>
  </si>
  <si>
    <t xml:space="preserve">     Roberts County 115/69 kV Transformer, 71927</t>
  </si>
  <si>
    <t>Worksheet 1 - Schedule 9 Revenue Requirement - Non-Levelized</t>
  </si>
  <si>
    <t>Utilizing Financial Statement Results of Operations (ROOs)</t>
  </si>
  <si>
    <t xml:space="preserve">GROSS REVENUE REQUIREMENT </t>
  </si>
  <si>
    <t>Estimate</t>
  </si>
  <si>
    <t>PRIOR PERIOD TRUE-UP (Under-collection)</t>
  </si>
  <si>
    <t>NET REVENUE REQUIREMENT</t>
  </si>
  <si>
    <t>RATE BASE:</t>
  </si>
  <si>
    <t>(Col 3 times Col 4)</t>
  </si>
  <si>
    <t>GROSS PLANT IN SERVICE</t>
  </si>
  <si>
    <t>(Note A)</t>
  </si>
  <si>
    <t xml:space="preserve">  Production</t>
  </si>
  <si>
    <t>WS4-CostData L4 C2+C3+C4</t>
  </si>
  <si>
    <t xml:space="preserve"> </t>
  </si>
  <si>
    <t xml:space="preserve">  Transmission</t>
  </si>
  <si>
    <t>WS4-CostData L3 C2+C3+C4</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</si>
  <si>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</si>
  <si>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</si>
  <si>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</si>
  <si>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</si>
  <si>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</si>
  <si>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</si>
  <si>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</si>
  <si>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</si>
  <si>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</si>
  <si>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</si>
  <si>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</si>
  <si>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</si>
  <si>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</si>
  <si>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</si>
  <si>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</si>
  <si>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</si>
  <si>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</si>
  <si>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</si>
  <si>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</si>
  <si>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</si>
  <si>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</si>
  <si>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</si>
  <si>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</si>
  <si>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</si>
  <si>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</si>
  <si>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</si>
  <si>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</si>
  <si>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</si>
  <si>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</si>
  <si>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</si>
  <si>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</si>
  <si>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</si>
  <si>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</si>
  <si>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</si>
  <si>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</si>
  <si>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</si>
  <si>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</si>
  <si>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</si>
  <si>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</si>
  <si>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</si>
  <si>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</si>
  <si>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</si>
  <si>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</si>
  <si>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</si>
  <si>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</si>
  <si>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</si>
  <si>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PTP/UGP</t>
  </si>
  <si>
    <t xml:space="preserve">          Western-RMR</t>
  </si>
  <si>
    <t>PTP/RMR</t>
  </si>
  <si>
    <t xml:space="preserve">          COE</t>
  </si>
  <si>
    <t>PTP/COE</t>
  </si>
  <si>
    <t xml:space="preserve">     Less Account 565</t>
  </si>
  <si>
    <t>(Note E)</t>
  </si>
  <si>
    <t xml:space="preserve">  A&amp;G</t>
  </si>
  <si>
    <t>ROOs Schedule 11 (Note F)</t>
  </si>
  <si>
    <t>WS4-CostData L79 C2</t>
  </si>
  <si>
    <t>WS4-CostData L79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</si>
  <si>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</si>
  <si>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</si>
  <si>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</si>
  <si>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</si>
  <si>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</si>
  <si>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</si>
  <si>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</si>
  <si>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</si>
  <si>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</si>
  <si>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</si>
  <si>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</si>
  <si>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</si>
  <si>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</si>
  <si>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</si>
  <si>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</si>
  <si>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</si>
  <si>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</si>
  <si>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</si>
  <si>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</si>
  <si>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</si>
  <si>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</si>
  <si>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</si>
  <si>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</si>
  <si>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</si>
  <si>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</si>
  <si>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</si>
  <si>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</si>
  <si>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</si>
  <si>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</si>
  <si>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</si>
  <si>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</si>
  <si>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</si>
  <si>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</si>
  <si>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</si>
  <si>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</si>
  <si>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</si>
  <si>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</si>
  <si>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</si>
  <si>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</si>
  <si>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</si>
  <si>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</si>
  <si>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</si>
  <si>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</si>
  <si>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</si>
  <si>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</si>
  <si>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</si>
  <si>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</si>
  <si>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</si>
  <si>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</si>
  <si>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</si>
  <si>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</si>
  <si>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</si>
  <si>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</si>
  <si>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</si>
  <si>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</si>
  <si>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Allocation</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</si>
  <si>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</si>
  <si>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</si>
  <si>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</si>
  <si>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</si>
  <si>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</si>
  <si>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</si>
  <si>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</si>
  <si>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</si>
  <si>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</si>
  <si>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</si>
  <si>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</si>
  <si>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</si>
  <si>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</si>
  <si>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</si>
  <si>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</si>
  <si>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</si>
  <si>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</si>
  <si>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</si>
  <si>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</si>
  <si>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</si>
  <si>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</si>
  <si>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</si>
  <si>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</si>
  <si>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</si>
  <si>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</si>
  <si>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</si>
  <si>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</si>
  <si>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</si>
  <si>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</si>
  <si>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</si>
  <si>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</si>
  <si>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</si>
  <si>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L23,25,26,29,30</t>
  </si>
  <si>
    <t>=R</t>
  </si>
  <si>
    <t xml:space="preserve">  Proprietary Capital</t>
  </si>
  <si>
    <t>Total (sum L31-32)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</si>
  <si>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</si>
  <si>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</si>
  <si>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</si>
  <si>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</si>
  <si>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</si>
  <si>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</si>
  <si>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</si>
  <si>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</si>
  <si>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</si>
  <si>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</si>
  <si>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</si>
  <si>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</si>
  <si>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</si>
  <si>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</si>
  <si>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</si>
  <si>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</si>
  <si>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</si>
  <si>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</si>
  <si>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</si>
  <si>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</si>
  <si>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</si>
  <si>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</si>
  <si>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</si>
  <si>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</si>
  <si>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</si>
  <si>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</si>
  <si>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</si>
  <si>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</si>
  <si>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</si>
  <si>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</si>
  <si>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</si>
  <si>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</si>
  <si>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</si>
  <si>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</si>
  <si>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</si>
  <si>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</si>
  <si>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</si>
  <si>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</si>
  <si>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</si>
  <si>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</si>
  <si>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</si>
  <si>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</si>
  <si>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</si>
  <si>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</si>
  <si>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</si>
  <si>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</si>
  <si>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</si>
  <si>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</si>
  <si>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</si>
  <si>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</si>
  <si>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</si>
  <si>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</si>
  <si>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</si>
  <si>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</si>
  <si>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 xml:space="preserve">  </t>
  </si>
  <si>
    <t>Worksheet 2 - Allocation Factor, Determination of Pick-Sloan Missouri Basin Program--Eastern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</si>
  <si>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</si>
  <si>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</si>
  <si>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</si>
  <si>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</si>
  <si>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</si>
  <si>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</si>
  <si>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</si>
  <si>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</si>
  <si>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 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</si>
  <si>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</si>
  <si>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</si>
  <si>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</si>
  <si>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</si>
  <si>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</si>
  <si>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</si>
  <si>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</si>
  <si>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</si>
  <si>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</si>
  <si>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</si>
  <si>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</si>
  <si>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</si>
  <si>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</si>
  <si>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</si>
  <si>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</si>
  <si>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</si>
  <si>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</si>
  <si>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</si>
  <si>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</si>
  <si>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</si>
  <si>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</si>
  <si>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</si>
  <si>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</si>
  <si>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</si>
  <si>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</si>
  <si>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</si>
  <si>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</si>
  <si>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</si>
  <si>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</si>
  <si>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</si>
  <si>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</si>
  <si>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</si>
  <si>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</si>
  <si>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</si>
  <si>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</si>
  <si>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</si>
  <si>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</si>
  <si>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</si>
  <si>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</si>
  <si>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</si>
  <si>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</si>
  <si>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</si>
  <si>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</si>
  <si>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</si>
  <si>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</si>
  <si>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Z2 Sch 11</t>
  </si>
  <si>
    <t>Z2</t>
  </si>
  <si>
    <t>Adjustments</t>
  </si>
  <si>
    <t>Subtotal</t>
  </si>
  <si>
    <t>Schedule 7</t>
  </si>
  <si>
    <t>FIRM PTP</t>
  </si>
  <si>
    <t>Schedule 8</t>
  </si>
  <si>
    <t>NONFIRM PTP</t>
  </si>
  <si>
    <t>Sch 7/8/11</t>
  </si>
  <si>
    <t>MISO SEAMS</t>
  </si>
  <si>
    <t>Schedule 11</t>
  </si>
  <si>
    <t>ZONAL PTP ADJUSTMENTS</t>
  </si>
  <si>
    <t>RENT FROM ELECTRIC PROPERTY</t>
  </si>
  <si>
    <t>Sch 11</t>
  </si>
  <si>
    <t>BPU-ZONAL</t>
  </si>
  <si>
    <t>BPU-REGIONAL</t>
  </si>
  <si>
    <t>NOTES:</t>
  </si>
  <si>
    <t xml:space="preserve">Includes twelve months of revenue credits from January-December or February-January depending on when WAPA began receiving revenue credits from SPP. </t>
  </si>
  <si>
    <t>Revenue credit sheet may be updated or adjusted as necessary to include all revenue credits received.</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</si>
  <si>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</si>
  <si>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</si>
  <si>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</si>
  <si>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</si>
  <si>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</si>
  <si>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45420 - Other Rental revenues</t>
  </si>
  <si>
    <t>Schedule 11 Base Plan Upgrade, Zonal and Regional revenues</t>
  </si>
  <si>
    <t>Worksheet 4 - Cost Support Data</t>
  </si>
  <si>
    <t xml:space="preserve">WESTERN-UGP </t>
  </si>
  <si>
    <t>WESTERN-RMR</t>
  </si>
  <si>
    <t>COE</t>
  </si>
  <si>
    <t>BOR</t>
  </si>
  <si>
    <t>TOTAL</t>
  </si>
  <si>
    <t>Line No.</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</si>
  <si>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</si>
  <si>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</si>
  <si>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</si>
  <si>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</si>
  <si>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</si>
  <si>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</si>
  <si>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</si>
  <si>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</si>
  <si>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</si>
  <si>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</si>
  <si>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</si>
  <si>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</si>
  <si>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</si>
  <si>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</si>
  <si>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</si>
  <si>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</si>
  <si>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BPU-Zonal Plant-in-Service</t>
  </si>
  <si>
    <t>Generation Plant to Total Plant</t>
  </si>
  <si>
    <t>L4/L2</t>
  </si>
  <si>
    <t>Transmission Plant to Total Plant</t>
  </si>
  <si>
    <t>L3/L2</t>
  </si>
  <si>
    <t>SSCD Plant to Total Plant</t>
  </si>
  <si>
    <t>L5/L2</t>
  </si>
  <si>
    <t>BPU-Regional Plant to Total Plant</t>
  </si>
  <si>
    <t>BPU-Zonal Plant to Total Plant</t>
  </si>
  <si>
    <t>PS Accumulated Depreciation</t>
  </si>
  <si>
    <t>9/</t>
  </si>
  <si>
    <t>10/</t>
  </si>
  <si>
    <t>11/</t>
  </si>
  <si>
    <t>PS-ED Trans. Accumulated Depreciation</t>
  </si>
  <si>
    <t>L13*L9</t>
  </si>
  <si>
    <t>PS-ED Gen. Accumulated Depreciation</t>
  </si>
  <si>
    <t>L13*L8</t>
  </si>
  <si>
    <t>L9-L10</t>
  </si>
  <si>
    <t>PS-ED SSCD Accumulated Depreciation</t>
  </si>
  <si>
    <t>L13*L10</t>
  </si>
  <si>
    <t>BPU-Regional Accumulated Depreciation</t>
  </si>
  <si>
    <t>BPU-Zonal Accumulated Depreciation</t>
  </si>
  <si>
    <t>PS-ED Net Transmission Plant</t>
  </si>
  <si>
    <t>L3-L14</t>
  </si>
  <si>
    <t>PS-ED Net Generation Plant</t>
  </si>
  <si>
    <t>L4-L15</t>
  </si>
  <si>
    <t>L4-L10</t>
  </si>
  <si>
    <t>PS-ED Net SSCD Plant</t>
  </si>
  <si>
    <t>L5-L16</t>
  </si>
  <si>
    <t>Regional Net Plant</t>
  </si>
  <si>
    <t>L6-L17</t>
  </si>
  <si>
    <t>Base Plan Upgrade Net Plant</t>
  </si>
  <si>
    <t>L7-L18</t>
  </si>
  <si>
    <t>2/  FY RMCSR - Pick-Sloan Missouri River Basin Results of Operations, Schedule 1</t>
  </si>
  <si>
    <t>3/  FY Corps of Engineers Financial Statements, Electric and Power Multi-Purpose Plant in Service</t>
  </si>
  <si>
    <t>8/  SSCD Plant-in-Service is based on a percentage of Watertown Operations Centers cost, based on FTE</t>
  </si>
  <si>
    <t>9/  FY UGPCSR - Pick-Sloan Missouri River Basin and UGPCSR - Ft. Peck Power System Results of Operations, Schedule 4</t>
  </si>
  <si>
    <t>10/  FY RMCSR - Pick-Sloan Missouri River Basin Results of Operations, Schedule 4</t>
  </si>
  <si>
    <t>11/  FY Corps of Engineers Financial Statements, Statement of Assets and Liabilities</t>
  </si>
  <si>
    <t>Depreciation Worksheet</t>
  </si>
  <si>
    <t>PS Depreciation Expense</t>
  </si>
  <si>
    <t>PS-ED Transmission Depreciation  5/</t>
  </si>
  <si>
    <t>L38*L9</t>
  </si>
  <si>
    <t>PS-ED Generation Depreciation  6/</t>
  </si>
  <si>
    <t>L38*L8</t>
  </si>
  <si>
    <t>PS-ED SSCD Depreciation  7/</t>
  </si>
  <si>
    <t>L38*L10</t>
  </si>
  <si>
    <t>BPU-Regional Depreciation</t>
  </si>
  <si>
    <t>L38*L11</t>
  </si>
  <si>
    <t>BPU-Zonal Depreciation</t>
  </si>
  <si>
    <t>L38*L12</t>
  </si>
  <si>
    <t>1/  FY UGPCSR - Pick-Sloan Missouri River Basin and UGPCSR - Ft. Peck Power System Results of Operations, Schedule 4</t>
  </si>
  <si>
    <t>2/  FY RMCSR - Pick-Sloan Missouri River Basin Results of Operations, Schedule 4</t>
  </si>
  <si>
    <t>3/  FY Corps of Engineers Statement of Revenues and Expenses</t>
  </si>
  <si>
    <t xml:space="preserve">5/  For Western-UGP, Western-RMR, COE, and BOR the portion of depreciation expense allocated to PS-ED transmission is based on the ratio of transmission plant-in-service to total  </t>
  </si>
  <si>
    <t>plant-in-service, calculated on L7 of the Net Plant Investment Worksheet</t>
  </si>
  <si>
    <t xml:space="preserve">6/  For Western-UGP, Western-RMR and BOR the portion of depreciation expense allocated to PS-ED generation is based on the ratio of generation plant-in-service to total plant-in-service, </t>
  </si>
  <si>
    <t>calculated on L6 of the Net Plant Investment Worksheet.  COE generation depreciation is COE total depreciation less transmission depreciation</t>
  </si>
  <si>
    <t>7/ For Western-UGP, the portion of depreciation expense allocated to PS-ED SSCD is based on the ratio of SSCD plant-in-service to total plant in service, calculated on L8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</si>
  <si>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</si>
  <si>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</si>
  <si>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</si>
  <si>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</si>
  <si>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</si>
  <si>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</si>
  <si>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</si>
  <si>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</si>
  <si>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</si>
  <si>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</si>
  <si>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</si>
  <si>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</si>
  <si>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FY Historical Financial Data in Support of the Power Repayment Study for the P-SMBP, Schedules 21X and 21RX</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</si>
  <si>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</si>
  <si>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</si>
  <si>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</si>
  <si>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</si>
  <si>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(C2L59*C2L62)+(C3L59*C3L62)+(C4L59*C4L62)+(C5L59*C5L62)</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</si>
  <si>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</si>
  <si>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</si>
  <si>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</si>
  <si>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</si>
  <si>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</si>
  <si>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A&amp;G Expenses Worksheet</t>
  </si>
  <si>
    <t>WESTERN-UGP 1/</t>
  </si>
  <si>
    <t>WESTERN-RMR 2/</t>
  </si>
  <si>
    <t>COE  3/</t>
  </si>
  <si>
    <t>BOR  3/</t>
  </si>
  <si>
    <t>Total</t>
  </si>
  <si>
    <t>PS Total Est. A&amp;G</t>
  </si>
  <si>
    <t>PS-ED Est. Transmission A&amp;G  4/</t>
  </si>
  <si>
    <t>PS-ED Generation A&amp;G  5/</t>
  </si>
  <si>
    <t>PS-ED SSCD A&amp;G  6/</t>
  </si>
  <si>
    <t>BPU-Regional A&amp;G</t>
  </si>
  <si>
    <t>BPU-Zonal A&amp;G</t>
  </si>
  <si>
    <t>1/  Western-UGP A&amp;G Est. Expenses are from the FY UGPCSR - Pick-Sloan Missouri River Basin and UGPCSR - Ft. Peck Power System Budget</t>
  </si>
  <si>
    <t>2/  Western RMR A&amp;G Expenses are from the FY RMCSR - Pick-Sloan Missouri River Basin Budget</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</si>
  <si>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</si>
  <si>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L7 of the Net Plant </t>
  </si>
  <si>
    <t>Investment Worksheet</t>
  </si>
  <si>
    <t xml:space="preserve">5/  The portion of A&amp;G expenses allocated to PS-ED generation is based on the ratio of generation plant-in-service to total plant-in-service, calculated on L6 of the Net Plant </t>
  </si>
  <si>
    <t>6/  The portion of A&amp;G expenses allocated to PS-ED SSCD is based on the ratio of SSCD plant-in-service to total plant-in-service, calculated on L8 of the Net Plant Investment Worksheet</t>
  </si>
  <si>
    <t>O&amp;M Expenses Worksheet</t>
  </si>
  <si>
    <t>COE 3/</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</si>
  <si>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</si>
  <si>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</si>
  <si>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</si>
  <si>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</si>
  <si>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</si>
  <si>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</si>
  <si>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</si>
  <si>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</si>
  <si>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</si>
  <si>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</si>
  <si>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</si>
  <si>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</si>
  <si>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</si>
  <si>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</si>
  <si>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</si>
  <si>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</si>
  <si>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FY UGPCSR - Pick-Sloan Missouri River Basin and UGPCSR -  Ft. Peck Power System Budget </t>
  </si>
  <si>
    <t xml:space="preserve">2/  All Western RMR O&amp;M Expenses are from the FY RMCSR - Pick-Sloan Missouri River Basin Results of Operations, Schedule 11; except Moveable Property and Warehouse </t>
  </si>
  <si>
    <t>Stores Interest, which are from Schedule 5</t>
  </si>
  <si>
    <t>3/  Total Corps O&amp;M Expenses are from the FY Corps of Engineers Financial Statements</t>
  </si>
  <si>
    <t>5/  The portion of O&amp;M expenses allocated to PS-ED transmission is based on the ratio of transmission plant-in-service to total plant-in-service, calculated on L7 of the</t>
  </si>
  <si>
    <t xml:space="preserve"> Net Plant Investment Worksheet</t>
  </si>
  <si>
    <t xml:space="preserve">6/  The portion of O&amp;M expenses allocated to PS-ED generation is based on the ratio of generation plant-in-service to total plant-in-service, calculated on L6 of the </t>
  </si>
  <si>
    <t>Worksheet 5 - Zonal SPP Upgrade Calculations</t>
  </si>
  <si>
    <t>Project Name and #</t>
  </si>
  <si>
    <t>Type</t>
  </si>
  <si>
    <t>Project Gross Plant (Zonal Allocation)</t>
  </si>
  <si>
    <t>Allocation Factor %</t>
  </si>
  <si>
    <t>Project Accumulated Depreciation</t>
  </si>
  <si>
    <t>Allocation for Transmission O&amp;M</t>
  </si>
  <si>
    <t>Allocation for General Plant Depreciation</t>
  </si>
  <si>
    <t>Allocation for A&amp;G</t>
  </si>
  <si>
    <t>Cost of Capital</t>
  </si>
  <si>
    <t>Project Net Plant</t>
  </si>
  <si>
    <t>Project ATRR</t>
  </si>
  <si>
    <t>Revenue Credit Allocation</t>
  </si>
  <si>
    <t>Net ATRR</t>
  </si>
  <si>
    <t>Lewis-Richland 115kV Ckt 1, 72052</t>
  </si>
  <si>
    <t>TL</t>
  </si>
  <si>
    <t>Roberts County 115kV Substation, 71926</t>
  </si>
  <si>
    <t>SUB</t>
  </si>
  <si>
    <t>Roberts County 115/69kV Transformer, 71927</t>
  </si>
  <si>
    <t>Revenue Credit Total</t>
  </si>
  <si>
    <t>Worksheet 6 - Base Plan Upgrades-Regional</t>
  </si>
  <si>
    <t>Project Gross Plant (Regional Allocation)</t>
  </si>
  <si>
    <t xml:space="preserve"> Allocation Factor %</t>
  </si>
  <si>
    <t>Lewis &amp; Clark-Richland 115kV Ckt 1, 72052</t>
  </si>
  <si>
    <t>Worksheet 7 - SPP Base Plan Upgrades-Facilities</t>
  </si>
  <si>
    <t>2021 SPP ESTIMATE SUMMARY</t>
  </si>
  <si>
    <t>FID</t>
  </si>
  <si>
    <t>DATA SOURCE:</t>
  </si>
  <si>
    <t>PRIOR YEAR FACILITY TOTALS ($)</t>
  </si>
  <si>
    <t>FY2020-21 ESTIMATE ADD/REPL/RETIRE ($)</t>
  </si>
  <si>
    <t>FY2021 EST SPP TOTALS ($)</t>
  </si>
  <si>
    <t>LC-RH</t>
  </si>
  <si>
    <t>LEWIS - RICHLAND 115 kV Ckt 1, 72052  (SPP set Regional/Zonal Allocation to 33%/67%)</t>
  </si>
  <si>
    <t>Engineering Estimates</t>
  </si>
  <si>
    <t>RCO</t>
  </si>
  <si>
    <t>ROBERTS COUNTY 115kV SUBSTATION, 71926  (SPP set Regional/Zonal Allocation to 33%/67%)</t>
  </si>
  <si>
    <t>ROBERTS COUNTY 115/69kV TRANSFORMER, 71927   (SPP set Regional/Zonal Allocation to 0%/100%)</t>
  </si>
  <si>
    <t xml:space="preserve">2020 SPP ESTIMATE DETAIL: </t>
  </si>
  <si>
    <t>ADDITIONAL:</t>
  </si>
  <si>
    <t>FID COST DETAIL ($)</t>
  </si>
  <si>
    <t>REG %</t>
  </si>
  <si>
    <t>REG TOTAL ($)</t>
  </si>
  <si>
    <t>ZONAL %</t>
  </si>
  <si>
    <t>ZONAL TOTAL ($)</t>
  </si>
  <si>
    <t>WOOD POLE</t>
  </si>
  <si>
    <t>CONDUCTOR</t>
  </si>
  <si>
    <t>LEWIS - RICHLAND 115kV Ckt 1, 72052 - SUBTOTAL (SPP directed Regional/Zonal Split of 33%/67%)</t>
  </si>
  <si>
    <t>115-kV BREAKERS</t>
  </si>
  <si>
    <t>IDC</t>
  </si>
  <si>
    <t>115-kV SWITCHES</t>
  </si>
  <si>
    <t>LAND &amp; LAND RIGHTS</t>
  </si>
  <si>
    <t>115-kV INSTRUMENT TRANSFORMERS</t>
  </si>
  <si>
    <t>115-kV RELAYS AND PANELS</t>
  </si>
  <si>
    <t>ANTENNA TOWER</t>
  </si>
  <si>
    <t>CONCRETE FOR 115-kV</t>
  </si>
  <si>
    <t>LAND FOR 115-kV</t>
  </si>
  <si>
    <t>PLANT NOT CLASSIFIED</t>
  </si>
  <si>
    <t>ROBERTS COUNTY 115kV SUBSTATION, 71926 - SUBTOTAL</t>
  </si>
  <si>
    <t>69-kV BREAKERS</t>
  </si>
  <si>
    <t>69-kV SWITCHES</t>
  </si>
  <si>
    <t>SEQUENTIAL EVENT RECORDING SYSTEM</t>
  </si>
  <si>
    <t>69-kV INSTRUMENT TRANSFORMERS</t>
  </si>
  <si>
    <t>69-kV RELAYS AND PANELS</t>
  </si>
  <si>
    <t>SERVICE BUILDINGS</t>
  </si>
  <si>
    <t>115/69-kV TRANSFORMER</t>
  </si>
  <si>
    <t>ROOFING</t>
  </si>
  <si>
    <t>CONCRETE FOR 69-kV</t>
  </si>
  <si>
    <t>OIL STORAGE TANK</t>
  </si>
  <si>
    <t>LAND FOR 69-kV</t>
  </si>
  <si>
    <t>HEATING</t>
  </si>
  <si>
    <t>ROBERTS COUNTY 115/69kV TRANSFORMER, 71927 - SUBTOTAL</t>
  </si>
  <si>
    <t>TOTAL SPP UPGRADES</t>
  </si>
  <si>
    <t>Worksheet 8 - Transmission Facilities</t>
  </si>
  <si>
    <t>EST ADD/REPL/RETIRE ($)</t>
  </si>
  <si>
    <t>ESTIMATED FACILITY TOTAL ($)</t>
  </si>
  <si>
    <t>ATTACHMENT AI ADJUSTMENTS ($)</t>
  </si>
  <si>
    <t>GENERATION ADJUSTMENTS ($)</t>
  </si>
  <si>
    <t>BASE UPGRADE ADUSTMENTS ($)</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</si>
  <si>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</si>
  <si>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</si>
  <si>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</si>
  <si>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</si>
  <si>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</si>
  <si>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</si>
  <si>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</si>
  <si>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</si>
  <si>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</si>
  <si>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</si>
  <si>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</si>
  <si>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</si>
  <si>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</si>
  <si>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</si>
  <si>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</si>
  <si>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</si>
  <si>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</si>
  <si>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</si>
  <si>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</si>
  <si>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</si>
  <si>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</si>
  <si>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</si>
  <si>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</si>
  <si>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</si>
  <si>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</si>
  <si>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</si>
  <si>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CF EH B</t>
  </si>
  <si>
    <t>CANYON FERRY-EAST HELENA "B"</t>
  </si>
  <si>
    <t>CA JT</t>
  </si>
  <si>
    <t>CARRINGTON-JAMESTOWN</t>
  </si>
  <si>
    <t>WC BU</t>
  </si>
  <si>
    <t>CHARLIE CREEK - WATFORD CITY</t>
  </si>
  <si>
    <t>CCRBEF</t>
  </si>
  <si>
    <t>CHARLIE CREEK-BELFIELD</t>
  </si>
  <si>
    <t>CR DC</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</si>
  <si>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</si>
  <si>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</si>
  <si>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</si>
  <si>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</si>
  <si>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</si>
  <si>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</si>
  <si>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</si>
  <si>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</si>
  <si>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</si>
  <si>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</si>
  <si>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</si>
  <si>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</si>
  <si>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</si>
  <si>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</si>
  <si>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</si>
  <si>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</si>
  <si>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</si>
  <si>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</si>
  <si>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</si>
  <si>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</si>
  <si>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</si>
  <si>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</si>
  <si>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</si>
  <si>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</si>
  <si>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</si>
  <si>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</si>
  <si>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</si>
  <si>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</si>
  <si>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</si>
  <si>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</si>
  <si>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</si>
  <si>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</si>
  <si>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</si>
  <si>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</si>
  <si>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</si>
  <si>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</si>
  <si>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</si>
  <si>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</si>
  <si>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</si>
  <si>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</si>
  <si>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</si>
  <si>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</si>
  <si>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</si>
  <si>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</si>
  <si>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</si>
  <si>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</si>
  <si>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</si>
  <si>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</si>
  <si>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</si>
  <si>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</si>
  <si>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</si>
  <si>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</si>
  <si>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</si>
  <si>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</si>
  <si>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</si>
  <si>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</si>
  <si>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</si>
  <si>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</si>
  <si>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</si>
  <si>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</si>
  <si>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</si>
  <si>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</si>
  <si>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</si>
  <si>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</si>
  <si>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</si>
  <si>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</si>
  <si>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</si>
  <si>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</si>
  <si>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</si>
  <si>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</si>
  <si>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</si>
  <si>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</si>
  <si>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</si>
  <si>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</si>
  <si>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</si>
  <si>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</si>
  <si>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</si>
  <si>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</si>
  <si>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</si>
  <si>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</si>
  <si>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</si>
  <si>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</si>
  <si>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</si>
  <si>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</si>
  <si>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</si>
  <si>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</si>
  <si>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</si>
  <si>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</si>
  <si>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</si>
  <si>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</si>
  <si>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</si>
  <si>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</si>
  <si>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</si>
  <si>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</si>
  <si>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</si>
  <si>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</si>
  <si>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</si>
  <si>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</si>
  <si>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</si>
  <si>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</si>
  <si>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</si>
  <si>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</si>
  <si>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</si>
  <si>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</si>
  <si>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</si>
  <si>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</si>
  <si>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</si>
  <si>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</si>
  <si>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</si>
  <si>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</si>
  <si>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</si>
  <si>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LE DL</t>
  </si>
  <si>
    <t>LEEDS-DEVILS LAKE</t>
  </si>
  <si>
    <t xml:space="preserve">LE RL </t>
  </si>
  <si>
    <t>LEEDS-ROLLA</t>
  </si>
  <si>
    <t>LEWIS &amp; CLARK-RICHLAND 2/</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</si>
  <si>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</si>
  <si>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</si>
  <si>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</si>
  <si>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</si>
  <si>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</si>
  <si>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</si>
  <si>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</si>
  <si>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</si>
  <si>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</si>
  <si>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</si>
  <si>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</si>
  <si>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</si>
  <si>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</si>
  <si>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</si>
  <si>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</si>
  <si>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</si>
  <si>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</si>
  <si>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</si>
  <si>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</si>
  <si>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</si>
  <si>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</si>
  <si>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</si>
  <si>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</si>
  <si>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</si>
  <si>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</si>
  <si>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</si>
  <si>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</si>
  <si>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</si>
  <si>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</si>
  <si>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</si>
  <si>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</si>
  <si>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</si>
  <si>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</si>
  <si>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</si>
  <si>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</si>
  <si>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</si>
  <si>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</si>
  <si>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</si>
  <si>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</si>
  <si>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</si>
  <si>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</si>
  <si>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</si>
  <si>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</si>
  <si>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</si>
  <si>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</si>
  <si>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</si>
  <si>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</si>
  <si>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</si>
  <si>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</si>
  <si>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</si>
  <si>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</si>
  <si>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</si>
  <si>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</si>
  <si>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</si>
  <si>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</si>
  <si>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</si>
  <si>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</si>
  <si>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</si>
  <si>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</si>
  <si>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</si>
  <si>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</si>
  <si>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</si>
  <si>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</si>
  <si>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</si>
  <si>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</si>
  <si>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</si>
  <si>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</si>
  <si>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</si>
  <si>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</si>
  <si>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</si>
  <si>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</si>
  <si>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</si>
  <si>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</si>
  <si>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</si>
  <si>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</si>
  <si>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</si>
  <si>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</si>
  <si>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</si>
  <si>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</si>
  <si>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</si>
  <si>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</si>
  <si>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</si>
  <si>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</si>
  <si>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</si>
  <si>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</si>
  <si>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</si>
  <si>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</si>
  <si>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</si>
  <si>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</si>
  <si>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</si>
  <si>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</si>
  <si>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</si>
  <si>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</si>
  <si>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</si>
  <si>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</si>
  <si>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</si>
  <si>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</si>
  <si>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</si>
  <si>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</si>
  <si>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</si>
  <si>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</si>
  <si>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</si>
  <si>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</si>
  <si>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</si>
  <si>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</si>
  <si>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</si>
  <si>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</si>
  <si>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</si>
  <si>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</si>
  <si>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</si>
  <si>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</si>
  <si>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t>
  </si>
  <si>
    <t>CAMPBELL COUNTY SWITCHING STATION /1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</si>
  <si>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</si>
  <si>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</si>
  <si>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</si>
  <si>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</si>
  <si>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</si>
  <si>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</si>
  <si>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</si>
  <si>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</si>
  <si>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</si>
  <si>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</si>
  <si>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</si>
  <si>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</si>
  <si>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</si>
  <si>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</si>
  <si>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</si>
  <si>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</si>
  <si>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</si>
  <si>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</si>
  <si>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</si>
  <si>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</si>
  <si>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</si>
  <si>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</si>
  <si>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</si>
  <si>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</si>
  <si>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</si>
  <si>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</si>
  <si>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</si>
  <si>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</si>
  <si>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</si>
  <si>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</si>
  <si>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</si>
  <si>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</si>
  <si>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</si>
  <si>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</si>
  <si>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</si>
  <si>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</si>
  <si>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</si>
  <si>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</si>
  <si>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</si>
  <si>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</si>
  <si>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</si>
  <si>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</si>
  <si>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</si>
  <si>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</si>
  <si>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</si>
  <si>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</si>
  <si>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</si>
  <si>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</si>
  <si>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</si>
  <si>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</si>
  <si>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</si>
  <si>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</si>
  <si>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</si>
  <si>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</si>
  <si>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</si>
  <si>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</si>
  <si>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</si>
  <si>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</si>
  <si>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</si>
  <si>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</si>
  <si>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</si>
  <si>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</si>
  <si>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</si>
  <si>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</si>
  <si>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</si>
  <si>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</si>
  <si>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</si>
  <si>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</si>
  <si>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</si>
  <si>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</si>
  <si>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</si>
  <si>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</si>
  <si>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</si>
  <si>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</si>
  <si>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</si>
  <si>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</si>
  <si>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</si>
  <si>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</si>
  <si>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</si>
  <si>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</si>
  <si>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</si>
  <si>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</si>
  <si>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</si>
  <si>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</si>
  <si>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</si>
  <si>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</si>
  <si>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</si>
  <si>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</si>
  <si>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</si>
  <si>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</si>
  <si>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</si>
  <si>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 /1</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</si>
  <si>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</si>
  <si>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</si>
  <si>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</si>
  <si>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</si>
  <si>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</si>
  <si>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</si>
  <si>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</si>
  <si>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</si>
  <si>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</si>
  <si>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</si>
  <si>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</si>
  <si>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</si>
  <si>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</si>
  <si>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</si>
  <si>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</si>
  <si>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</si>
  <si>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</si>
  <si>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</si>
  <si>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</si>
  <si>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</si>
  <si>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</si>
  <si>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</si>
  <si>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</si>
  <si>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</si>
  <si>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</si>
  <si>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</si>
  <si>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</si>
  <si>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</si>
  <si>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</si>
  <si>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</si>
  <si>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</si>
  <si>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</si>
  <si>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</si>
  <si>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</si>
  <si>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</si>
  <si>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</si>
  <si>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</si>
  <si>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</si>
  <si>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</si>
  <si>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</si>
  <si>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</si>
  <si>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</si>
  <si>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</si>
  <si>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</si>
  <si>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</si>
  <si>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</si>
  <si>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</si>
  <si>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</si>
  <si>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</si>
  <si>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</si>
  <si>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</si>
  <si>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</si>
  <si>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</si>
  <si>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</si>
  <si>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</si>
  <si>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</si>
  <si>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</si>
  <si>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</si>
  <si>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</si>
  <si>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</si>
  <si>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</si>
  <si>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</si>
  <si>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</si>
  <si>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</si>
  <si>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</si>
  <si>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</si>
  <si>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</si>
  <si>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SUBSTATION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</si>
  <si>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</si>
  <si>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</si>
  <si>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</si>
  <si>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</si>
  <si>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</si>
  <si>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</si>
  <si>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</si>
  <si>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</si>
  <si>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</si>
  <si>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</si>
  <si>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</si>
  <si>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</si>
  <si>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</si>
  <si>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</si>
  <si>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</si>
  <si>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</si>
  <si>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</si>
  <si>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</si>
  <si>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</si>
  <si>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</si>
  <si>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</si>
  <si>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</si>
  <si>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</si>
  <si>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</si>
  <si>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</si>
  <si>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</si>
  <si>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t>
  </si>
  <si>
    <t>SUMMIT SUBSTATION</t>
  </si>
  <si>
    <t>TR</t>
  </si>
  <si>
    <t>TERRY TAP</t>
  </si>
  <si>
    <t>TT</t>
  </si>
  <si>
    <t>TIBER TAP</t>
  </si>
  <si>
    <t>TN</t>
  </si>
  <si>
    <t>TOWNER SUBSTATION</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</si>
  <si>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</si>
  <si>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</si>
  <si>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</si>
  <si>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</si>
  <si>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</si>
  <si>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</si>
  <si>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</si>
  <si>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</si>
  <si>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</si>
  <si>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</si>
  <si>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</si>
  <si>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</si>
  <si>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</si>
  <si>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</si>
  <si>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</si>
  <si>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</si>
  <si>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</si>
  <si>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</si>
  <si>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</si>
  <si>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</si>
  <si>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</si>
  <si>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</si>
  <si>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</si>
  <si>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</si>
  <si>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</si>
  <si>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</si>
  <si>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</si>
  <si>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</si>
  <si>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</si>
  <si>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</si>
  <si>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</si>
  <si>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</si>
  <si>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</si>
  <si>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</si>
  <si>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</si>
  <si>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</si>
  <si>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</si>
  <si>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</si>
  <si>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</si>
  <si>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</si>
  <si>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</si>
  <si>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</si>
  <si>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</si>
  <si>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</si>
  <si>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</si>
  <si>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</si>
  <si>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</si>
  <si>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</si>
  <si>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</si>
  <si>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</si>
  <si>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</si>
  <si>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</si>
  <si>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</si>
  <si>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</si>
  <si>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</si>
  <si>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</si>
  <si>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</si>
  <si>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</si>
  <si>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</si>
  <si>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</si>
  <si>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</si>
  <si>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</si>
  <si>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</si>
  <si>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</si>
  <si>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</si>
  <si>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</si>
  <si>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</si>
  <si>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</si>
  <si>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</si>
  <si>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</si>
  <si>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</si>
  <si>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</si>
  <si>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</si>
  <si>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</si>
  <si>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</si>
  <si>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</si>
  <si>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</si>
  <si>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</si>
  <si>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</si>
  <si>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</si>
  <si>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</si>
  <si>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</si>
  <si>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</si>
  <si>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</si>
  <si>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</si>
  <si>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</si>
  <si>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</si>
  <si>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</si>
  <si>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</si>
  <si>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</si>
  <si>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</si>
  <si>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</si>
  <si>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</si>
  <si>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</si>
  <si>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</si>
  <si>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</si>
  <si>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</si>
  <si>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</si>
  <si>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</si>
  <si>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</si>
  <si>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</si>
  <si>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</si>
  <si>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</si>
  <si>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</si>
  <si>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</si>
  <si>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</si>
  <si>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</si>
  <si>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</si>
  <si>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</si>
  <si>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</si>
  <si>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</si>
  <si>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</si>
  <si>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</si>
  <si>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</si>
  <si>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</si>
  <si>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</si>
  <si>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</si>
  <si>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</si>
  <si>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</si>
  <si>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</si>
  <si>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</si>
  <si>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</si>
  <si>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</si>
  <si>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</si>
  <si>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</si>
  <si>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</si>
  <si>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</si>
  <si>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</si>
  <si>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</si>
  <si>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</si>
  <si>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</si>
  <si>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</si>
  <si>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</si>
  <si>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</si>
  <si>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</si>
  <si>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</si>
  <si>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</si>
  <si>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</si>
  <si>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</si>
  <si>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</si>
  <si>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</si>
  <si>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</si>
  <si>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</si>
  <si>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</si>
  <si>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</si>
  <si>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</si>
  <si>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</si>
  <si>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</si>
  <si>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</si>
  <si>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</si>
  <si>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</si>
  <si>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</si>
  <si>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</si>
  <si>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</si>
  <si>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</si>
  <si>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</si>
  <si>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</si>
  <si>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</si>
  <si>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</si>
  <si>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</si>
  <si>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</si>
  <si>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</si>
  <si>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</si>
  <si>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</si>
  <si>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</si>
  <si>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</si>
  <si>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</si>
  <si>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</si>
  <si>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</si>
  <si>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</si>
  <si>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</si>
  <si>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</si>
  <si>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 xml:space="preserve">BILLINGS AREA OFFICE </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</si>
  <si>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</si>
  <si>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</si>
  <si>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</si>
  <si>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</si>
  <si>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</si>
  <si>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</si>
  <si>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</si>
  <si>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</si>
  <si>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</si>
  <si>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</si>
  <si>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</si>
  <si>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</si>
  <si>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</si>
  <si>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</si>
  <si>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</si>
  <si>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</si>
  <si>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</si>
  <si>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</si>
  <si>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</si>
  <si>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</si>
  <si>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</si>
  <si>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</si>
  <si>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</si>
  <si>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</si>
  <si>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</si>
  <si>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</si>
  <si>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</si>
  <si>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</si>
  <si>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</si>
  <si>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</si>
  <si>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</si>
  <si>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</si>
  <si>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</si>
  <si>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</si>
  <si>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</si>
  <si>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</si>
  <si>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</si>
  <si>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</si>
  <si>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</si>
  <si>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</si>
  <si>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</si>
  <si>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</si>
  <si>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</si>
  <si>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</si>
  <si>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</si>
  <si>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CULBERSTON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</si>
  <si>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</si>
  <si>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</si>
  <si>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</si>
  <si>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</si>
  <si>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</si>
  <si>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</si>
  <si>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</si>
  <si>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</si>
  <si>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</si>
  <si>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</si>
  <si>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</si>
  <si>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</si>
  <si>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</si>
  <si>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</si>
  <si>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</si>
  <si>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</si>
  <si>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</si>
  <si>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</si>
  <si>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</si>
  <si>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</si>
  <si>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</si>
  <si>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</si>
  <si>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</si>
  <si>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</si>
  <si>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</si>
  <si>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</si>
  <si>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</si>
  <si>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</si>
  <si>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</si>
  <si>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</si>
  <si>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</si>
  <si>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</si>
  <si>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</si>
  <si>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</si>
  <si>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</si>
  <si>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</si>
  <si>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</si>
  <si>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</si>
  <si>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</si>
  <si>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</si>
  <si>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</si>
  <si>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</si>
  <si>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</si>
  <si>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</si>
  <si>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</si>
  <si>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</si>
  <si>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</si>
  <si>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</si>
  <si>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</si>
  <si>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</si>
  <si>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</si>
  <si>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</si>
  <si>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</si>
  <si>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</si>
  <si>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</si>
  <si>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</si>
  <si>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</si>
  <si>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</si>
  <si>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</si>
  <si>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</si>
  <si>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</si>
  <si>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</si>
  <si>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</si>
  <si>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</si>
  <si>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</si>
  <si>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</si>
  <si>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</si>
  <si>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</si>
  <si>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</si>
  <si>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</si>
  <si>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</si>
  <si>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</si>
  <si>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</si>
  <si>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</si>
  <si>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</si>
  <si>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</si>
  <si>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</si>
  <si>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</si>
  <si>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</si>
  <si>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</si>
  <si>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</si>
  <si>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</si>
  <si>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</si>
  <si>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</si>
  <si>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</si>
  <si>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</si>
  <si>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</si>
  <si>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</si>
  <si>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</si>
  <si>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</si>
  <si>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</si>
  <si>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</si>
  <si>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</si>
  <si>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</si>
  <si>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</si>
  <si>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</si>
  <si>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</si>
  <si>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</si>
  <si>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</si>
  <si>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</si>
  <si>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</si>
  <si>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</si>
  <si>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</si>
  <si>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</si>
  <si>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</si>
  <si>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</si>
  <si>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</si>
  <si>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</si>
  <si>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</si>
  <si>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</si>
  <si>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</si>
  <si>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</si>
  <si>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</si>
  <si>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</si>
  <si>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</si>
  <si>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</si>
  <si>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</si>
  <si>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</si>
  <si>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</si>
  <si>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</si>
  <si>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</si>
  <si>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</si>
  <si>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</si>
  <si>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</si>
  <si>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</si>
  <si>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</si>
  <si>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</si>
  <si>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</si>
  <si>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</si>
  <si>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</si>
  <si>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</si>
  <si>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</si>
  <si>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</si>
  <si>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</si>
  <si>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</si>
  <si>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</si>
  <si>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</si>
  <si>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</si>
  <si>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</si>
  <si>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</si>
  <si>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</si>
  <si>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</si>
  <si>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</si>
  <si>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</si>
  <si>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</si>
  <si>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</si>
  <si>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</si>
  <si>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</si>
  <si>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</si>
  <si>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</si>
  <si>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</si>
  <si>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</si>
  <si>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</si>
  <si>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</si>
  <si>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</si>
  <si>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</si>
  <si>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</si>
  <si>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</si>
  <si>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</si>
  <si>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</si>
  <si>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</si>
  <si>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</si>
  <si>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</si>
  <si>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</si>
  <si>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</si>
  <si>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</si>
  <si>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</si>
  <si>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</si>
  <si>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</si>
  <si>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</si>
  <si>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</si>
  <si>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</si>
  <si>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</si>
  <si>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</si>
  <si>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</si>
  <si>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</si>
  <si>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</si>
  <si>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</si>
  <si>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</si>
  <si>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</si>
  <si>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</si>
  <si>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</si>
  <si>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</si>
  <si>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</si>
  <si>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</si>
  <si>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</si>
  <si>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</si>
  <si>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</si>
  <si>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</si>
  <si>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</si>
  <si>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</si>
  <si>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</si>
  <si>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</si>
  <si>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</si>
  <si>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</si>
  <si>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</si>
  <si>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</si>
  <si>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</si>
  <si>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</si>
  <si>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</si>
  <si>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</si>
  <si>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</si>
  <si>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</si>
  <si>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</si>
  <si>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</si>
  <si>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</si>
  <si>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</si>
  <si>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</si>
  <si>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</si>
  <si>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</si>
  <si>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</si>
  <si>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</si>
  <si>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</si>
  <si>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</si>
  <si>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</si>
  <si>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</si>
  <si>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</si>
  <si>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</si>
  <si>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</si>
  <si>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</si>
  <si>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</si>
  <si>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</si>
  <si>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</si>
  <si>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</si>
  <si>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</si>
  <si>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</si>
  <si>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</si>
  <si>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</si>
  <si>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</si>
  <si>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</si>
  <si>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</si>
  <si>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</si>
  <si>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</si>
  <si>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</si>
  <si>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</si>
  <si>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</si>
  <si>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</si>
  <si>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</si>
  <si>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</si>
  <si>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</si>
  <si>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</si>
  <si>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</si>
  <si>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</si>
  <si>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</si>
  <si>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</si>
  <si>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</si>
  <si>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</si>
  <si>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</si>
  <si>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</si>
  <si>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</si>
  <si>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</si>
  <si>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</si>
  <si>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</si>
  <si>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</si>
  <si>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</si>
  <si>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</si>
  <si>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</si>
  <si>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</si>
  <si>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</si>
  <si>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</si>
  <si>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</si>
  <si>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</si>
  <si>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</si>
  <si>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</si>
  <si>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</si>
  <si>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</si>
  <si>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</si>
  <si>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</si>
  <si>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</si>
  <si>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</si>
  <si>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</si>
  <si>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</si>
  <si>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</si>
  <si>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</si>
  <si>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</si>
  <si>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</si>
  <si>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</si>
  <si>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</si>
  <si>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</si>
  <si>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</si>
  <si>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</si>
  <si>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</si>
  <si>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</si>
  <si>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</si>
  <si>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</si>
  <si>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</si>
  <si>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</si>
  <si>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</si>
  <si>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</si>
  <si>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</si>
  <si>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</si>
  <si>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</si>
  <si>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</si>
  <si>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</si>
  <si>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</si>
  <si>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</si>
  <si>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</si>
  <si>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</si>
  <si>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</si>
  <si>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</si>
  <si>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</si>
  <si>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</si>
  <si>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</si>
  <si>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</si>
  <si>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</si>
  <si>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</si>
  <si>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</si>
  <si>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YT PY</t>
  </si>
  <si>
    <t>YELLOWTAIL SWITCHYARD-YELLOWTAIL (PPL)</t>
  </si>
  <si>
    <t>PY</t>
  </si>
  <si>
    <t>YELLOWTAIL (PPL)</t>
  </si>
  <si>
    <t>YELLOWTAIL SWITCHYARD</t>
  </si>
  <si>
    <t>YT</t>
  </si>
  <si>
    <t>YELLOWTAIL SWITCHYARD (YT)</t>
  </si>
  <si>
    <t>RMR Total</t>
  </si>
  <si>
    <t>ROCKY MOUNTAIN REGION FACILITIES</t>
  </si>
  <si>
    <t xml:space="preserve">FORT PECK </t>
  </si>
  <si>
    <t>GAVINS POINT</t>
  </si>
  <si>
    <t>COE Total</t>
  </si>
  <si>
    <t>CORPS OF ENGINEERS FACILITIES</t>
  </si>
  <si>
    <t>Grand Total</t>
  </si>
  <si>
    <t>TOTAL FACILITIES</t>
  </si>
  <si>
    <t>SUBTOTAL WESTERN-UGP ONLY</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</si>
  <si>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</si>
  <si>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</si>
  <si>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</si>
  <si>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</si>
  <si>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</si>
  <si>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</si>
  <si>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</si>
  <si>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</si>
  <si>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</si>
  <si>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</si>
  <si>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</si>
  <si>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</si>
  <si>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</si>
  <si>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</si>
  <si>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</si>
  <si>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</si>
  <si>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</si>
  <si>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</si>
  <si>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</si>
  <si>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</si>
  <si>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</si>
  <si>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</si>
  <si>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</si>
  <si>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</si>
  <si>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</si>
  <si>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</si>
  <si>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</si>
  <si>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</si>
  <si>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</si>
  <si>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</si>
  <si>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</si>
  <si>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</si>
  <si>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</si>
  <si>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</si>
  <si>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</si>
  <si>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</si>
  <si>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</si>
  <si>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</si>
  <si>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</si>
  <si>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</si>
  <si>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</si>
  <si>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</si>
  <si>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</si>
  <si>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</si>
  <si>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</si>
  <si>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</si>
  <si>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</si>
  <si>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</si>
  <si>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</si>
  <si>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</si>
  <si>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</si>
  <si>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</si>
  <si>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</si>
  <si>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</si>
  <si>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</si>
  <si>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</si>
  <si>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</si>
  <si>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</si>
  <si>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</si>
  <si>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</si>
  <si>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</si>
  <si>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</si>
  <si>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</si>
  <si>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</si>
  <si>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</si>
  <si>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</si>
  <si>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</si>
  <si>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</si>
  <si>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</si>
  <si>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</si>
  <si>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</si>
  <si>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</si>
  <si>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</si>
  <si>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</si>
  <si>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1162, 1262, 1266, 1362, 1462, 1466, 1562, 1662, 1666, 1762, 1766, 2062, 2162 and assoc. switches</t>
  </si>
  <si>
    <t>capacitors PY20A and PY21A</t>
  </si>
  <si>
    <t>station service KW1A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</si>
  <si>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</si>
  <si>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</si>
  <si>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</si>
  <si>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CBC</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</si>
  <si>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</si>
  <si>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</si>
  <si>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</si>
  <si>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</si>
  <si>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</si>
  <si>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</si>
  <si>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</si>
  <si>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</si>
  <si>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</si>
  <si>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</si>
  <si>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</si>
  <si>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</si>
  <si>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</si>
  <si>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</si>
  <si>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</si>
  <si>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</si>
  <si>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</si>
  <si>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</si>
  <si>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</si>
  <si>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</si>
  <si>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</si>
  <si>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</si>
  <si>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</si>
  <si>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</si>
  <si>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</si>
  <si>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</si>
  <si>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</si>
  <si>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</si>
  <si>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</si>
  <si>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</si>
  <si>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</si>
  <si>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</si>
  <si>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</si>
  <si>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</si>
  <si>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</si>
  <si>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</si>
  <si>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</si>
  <si>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</si>
  <si>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</si>
  <si>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</si>
  <si>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</si>
  <si>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</si>
  <si>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</si>
  <si>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</si>
  <si>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</si>
  <si>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</si>
  <si>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</si>
  <si>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</si>
  <si>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</si>
  <si>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</si>
  <si>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</si>
  <si>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</si>
  <si>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</si>
  <si>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</si>
  <si>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</si>
  <si>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</si>
  <si>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</si>
  <si>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</si>
  <si>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</si>
  <si>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</si>
  <si>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</si>
  <si>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</si>
  <si>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</si>
  <si>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</si>
  <si>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</si>
  <si>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</si>
  <si>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</si>
  <si>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</si>
  <si>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</si>
  <si>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</si>
  <si>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</si>
  <si>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</si>
  <si>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</si>
  <si>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</si>
  <si>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</si>
  <si>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</si>
  <si>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</si>
  <si>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</si>
  <si>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</si>
  <si>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</si>
  <si>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</si>
  <si>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</si>
  <si>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</si>
  <si>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</si>
  <si>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</si>
  <si>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</si>
  <si>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</si>
  <si>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</si>
  <si>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</si>
  <si>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</si>
  <si>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</si>
  <si>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</si>
  <si>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</si>
  <si>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</si>
  <si>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</si>
  <si>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</si>
  <si>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</si>
  <si>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</si>
  <si>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</si>
  <si>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</si>
  <si>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</si>
  <si>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</si>
  <si>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</si>
  <si>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</si>
  <si>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</si>
  <si>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</si>
  <si>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</si>
  <si>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</si>
  <si>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</si>
  <si>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</si>
  <si>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</si>
  <si>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</si>
  <si>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</si>
  <si>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</si>
  <si>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</si>
  <si>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</si>
  <si>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</si>
  <si>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</si>
  <si>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</si>
  <si>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</si>
  <si>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</si>
  <si>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</si>
  <si>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</si>
  <si>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</si>
  <si>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</si>
  <si>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</si>
  <si>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</si>
  <si>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</si>
  <si>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</si>
  <si>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</si>
  <si>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</si>
  <si>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</si>
  <si>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</si>
  <si>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</si>
  <si>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</si>
  <si>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</si>
  <si>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</si>
  <si>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</si>
  <si>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</si>
  <si>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</si>
  <si>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</si>
  <si>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</si>
  <si>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</si>
  <si>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</si>
  <si>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</si>
  <si>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</si>
  <si>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</si>
  <si>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</si>
  <si>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</si>
  <si>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</si>
  <si>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</si>
  <si>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</si>
  <si>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</si>
  <si>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</si>
  <si>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</si>
  <si>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</si>
  <si>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</si>
  <si>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</si>
  <si>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</si>
  <si>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</si>
  <si>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</si>
  <si>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</si>
  <si>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</si>
  <si>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</si>
  <si>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</si>
  <si>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</si>
  <si>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</si>
  <si>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</si>
  <si>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</si>
  <si>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</si>
  <si>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</si>
  <si>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</si>
  <si>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</si>
  <si>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</si>
  <si>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</si>
  <si>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</si>
  <si>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</si>
  <si>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</si>
  <si>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</si>
  <si>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</si>
  <si>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</si>
  <si>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</si>
  <si>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</si>
  <si>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</si>
  <si>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</si>
  <si>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</si>
  <si>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</si>
  <si>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station service KW1A and switch 521</t>
  </si>
  <si>
    <t>Groton</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</si>
  <si>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</si>
  <si>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</si>
  <si>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</si>
  <si>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</si>
  <si>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</si>
  <si>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</si>
  <si>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</si>
  <si>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</si>
  <si>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</si>
  <si>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</si>
  <si>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</si>
  <si>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</si>
  <si>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</si>
  <si>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</si>
  <si>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</si>
  <si>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</si>
  <si>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</si>
  <si>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</si>
  <si>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</si>
  <si>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</si>
  <si>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</si>
  <si>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</si>
  <si>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</si>
  <si>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</si>
  <si>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</si>
  <si>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</si>
  <si>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</si>
  <si>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</si>
  <si>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</si>
  <si>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</si>
  <si>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</si>
  <si>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</si>
  <si>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</si>
  <si>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</si>
  <si>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</si>
  <si>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</si>
  <si>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</si>
  <si>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</si>
  <si>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</si>
  <si>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</si>
  <si>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</si>
  <si>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</si>
  <si>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</si>
  <si>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</si>
  <si>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</si>
  <si>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</si>
  <si>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</si>
  <si>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</si>
  <si>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</si>
  <si>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</si>
  <si>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</si>
  <si>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</si>
  <si>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</si>
  <si>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</si>
  <si>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</si>
  <si>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</si>
  <si>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</si>
  <si>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</si>
  <si>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</si>
  <si>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</si>
  <si>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</si>
  <si>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</si>
  <si>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2362, 2466, 2562, 2764 and assoc. switches</t>
  </si>
  <si>
    <t>station service KW18A and switch 1823, 1821, 1811, 1711</t>
  </si>
  <si>
    <t>Maurine</t>
  </si>
  <si>
    <t>230-kV breakers 182, 282, 582 and assoc. switches</t>
  </si>
  <si>
    <r>
      <t xml:space="preserve">115-kV breakers 1362, 1462, 1562, 1662, </t>
    </r>
    <r>
      <rPr>
        <sz val="11"/>
        <color theme="1"/>
        <rFont val="Calibri"/>
        <family val="2"/>
      </rPr>
      <t>1964, 2064 and assoc switches</t>
    </r>
  </si>
  <si>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</si>
  <si>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</si>
  <si>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</si>
  <si>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</si>
  <si>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</si>
  <si>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</si>
  <si>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</si>
  <si>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</si>
  <si>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</si>
  <si>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</si>
  <si>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</si>
  <si>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</si>
  <si>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</si>
  <si>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</si>
  <si>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capacitor and assoc breaker and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</si>
  <si>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</si>
  <si>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</si>
  <si>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</si>
  <si>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</si>
  <si>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</si>
  <si>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</si>
  <si>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</si>
  <si>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</si>
  <si>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</si>
  <si>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</si>
  <si>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</si>
  <si>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</si>
  <si>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</si>
  <si>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</si>
  <si>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</si>
  <si>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</si>
  <si>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</si>
  <si>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</si>
  <si>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</si>
  <si>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</si>
  <si>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</si>
  <si>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</si>
  <si>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</si>
  <si>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</si>
  <si>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</si>
  <si>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</si>
  <si>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</si>
  <si>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</si>
  <si>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</si>
  <si>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</si>
  <si>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116x, 1262, 136x</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</si>
  <si>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</si>
  <si>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</si>
  <si>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</si>
  <si>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</si>
  <si>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</si>
  <si>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</si>
  <si>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</si>
  <si>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</si>
  <si>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</si>
  <si>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</si>
  <si>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</si>
  <si>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</si>
  <si>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</si>
  <si>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</si>
  <si>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</si>
  <si>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</si>
  <si>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</si>
  <si>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</si>
  <si>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</si>
  <si>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</si>
  <si>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</si>
  <si>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</si>
  <si>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</si>
  <si>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</si>
  <si>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</si>
  <si>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</si>
  <si>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</si>
  <si>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</si>
  <si>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</si>
  <si>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</si>
  <si>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</si>
  <si>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</si>
  <si>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</si>
  <si>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</si>
  <si>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</si>
  <si>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</si>
  <si>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</si>
  <si>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</si>
  <si>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</si>
  <si>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</si>
  <si>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</si>
  <si>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</si>
  <si>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</si>
  <si>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</si>
  <si>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</si>
  <si>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</si>
  <si>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</si>
  <si>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</si>
  <si>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</si>
  <si>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</si>
  <si>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</si>
  <si>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</si>
  <si>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</si>
  <si>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</si>
  <si>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</si>
  <si>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</si>
  <si>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</si>
  <si>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</si>
  <si>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</si>
  <si>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</si>
  <si>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</si>
  <si>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</si>
  <si>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</si>
  <si>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</si>
  <si>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</si>
  <si>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</si>
  <si>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</si>
  <si>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</si>
  <si>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</si>
  <si>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</si>
  <si>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</si>
  <si>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</si>
  <si>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</si>
  <si>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</si>
  <si>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</si>
  <si>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SUH</t>
  </si>
  <si>
    <t>Sulphur</t>
  </si>
  <si>
    <t>115 kV breakers 162, 362, 462, interrupter 263 and assoc switches and station service</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</si>
  <si>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</si>
  <si>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</si>
  <si>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</si>
  <si>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</si>
  <si>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</si>
  <si>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</si>
  <si>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</si>
  <si>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</si>
  <si>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</si>
  <si>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</si>
  <si>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interrupter 161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</si>
  <si>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</si>
  <si>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</si>
  <si>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</si>
  <si>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</si>
  <si>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</si>
  <si>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</si>
  <si>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</si>
  <si>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</si>
  <si>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</si>
  <si>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</si>
  <si>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</si>
  <si>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</si>
  <si>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</si>
  <si>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</si>
  <si>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</si>
  <si>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</si>
  <si>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</si>
  <si>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</si>
  <si>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</si>
  <si>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</si>
  <si>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</si>
  <si>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</si>
  <si>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</si>
  <si>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</si>
  <si>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</si>
  <si>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</si>
  <si>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</si>
  <si>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</si>
  <si>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</si>
  <si>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</si>
  <si>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</si>
  <si>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</si>
  <si>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</si>
  <si>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</si>
  <si>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</si>
  <si>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</si>
  <si>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</si>
  <si>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</si>
  <si>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</si>
  <si>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</si>
  <si>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</si>
  <si>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</si>
  <si>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</si>
  <si>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</si>
  <si>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</si>
  <si>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</si>
  <si>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</si>
  <si>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</si>
  <si>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</si>
  <si>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</si>
  <si>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</si>
  <si>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</si>
  <si>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</si>
  <si>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</si>
  <si>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</si>
  <si>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</si>
  <si>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</si>
  <si>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</si>
  <si>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</si>
  <si>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230-kV Bay Addition</t>
  </si>
  <si>
    <t xml:space="preserve">MDU </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</si>
  <si>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</si>
  <si>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</si>
  <si>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</si>
  <si>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</si>
  <si>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</si>
  <si>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</si>
  <si>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</si>
  <si>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</si>
  <si>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</si>
  <si>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</si>
  <si>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</si>
  <si>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</si>
  <si>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</si>
  <si>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</si>
  <si>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</si>
  <si>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</si>
  <si>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</si>
  <si>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</si>
  <si>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</si>
  <si>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</si>
  <si>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</si>
  <si>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</si>
  <si>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</si>
  <si>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</si>
  <si>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</si>
  <si>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</si>
  <si>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</si>
  <si>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</si>
  <si>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</si>
  <si>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</si>
  <si>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</si>
  <si>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</si>
  <si>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</si>
  <si>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</si>
  <si>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LAKE HELENA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</si>
  <si>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</si>
  <si>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</si>
  <si>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</si>
  <si>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</si>
  <si>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</si>
  <si>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</si>
  <si>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</si>
  <si>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</si>
  <si>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</si>
  <si>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</si>
  <si>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</si>
  <si>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</si>
  <si>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</si>
  <si>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</si>
  <si>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</si>
  <si>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</si>
  <si>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</si>
  <si>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</si>
  <si>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</si>
  <si>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</si>
  <si>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</si>
  <si>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</si>
  <si>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</si>
  <si>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</si>
  <si>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</si>
  <si>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</si>
  <si>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</si>
  <si>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</si>
  <si>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</si>
  <si>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</si>
  <si>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</si>
  <si>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</si>
  <si>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</si>
  <si>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</si>
  <si>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</si>
  <si>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</si>
  <si>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</si>
  <si>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</si>
  <si>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</si>
  <si>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</si>
  <si>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</si>
  <si>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</si>
  <si>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</si>
  <si>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</si>
  <si>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</si>
  <si>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</si>
  <si>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</si>
  <si>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</si>
  <si>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</si>
  <si>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</si>
  <si>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</si>
  <si>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</si>
  <si>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</si>
  <si>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</si>
  <si>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</si>
  <si>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</si>
  <si>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</si>
  <si>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</si>
  <si>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</si>
  <si>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</si>
  <si>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</si>
  <si>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</si>
  <si>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</si>
  <si>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</si>
  <si>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</si>
  <si>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</si>
  <si>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</si>
  <si>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</si>
  <si>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</si>
  <si>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</si>
  <si>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</si>
  <si>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</si>
  <si>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</si>
  <si>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</si>
  <si>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</si>
  <si>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</si>
  <si>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</si>
  <si>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</si>
  <si>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</si>
  <si>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</si>
  <si>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</si>
  <si>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</si>
  <si>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</si>
  <si>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</si>
  <si>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</si>
  <si>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</si>
  <si>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</si>
  <si>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</si>
  <si>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</si>
  <si>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</si>
  <si>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</si>
  <si>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</si>
  <si>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</si>
  <si>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</si>
  <si>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</si>
  <si>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</si>
  <si>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</si>
  <si>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</si>
  <si>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</si>
  <si>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</si>
  <si>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</si>
  <si>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</si>
  <si>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</si>
  <si>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</si>
  <si>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</si>
  <si>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</si>
  <si>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</si>
  <si>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</si>
  <si>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</si>
  <si>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</si>
  <si>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</si>
  <si>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</si>
  <si>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</si>
  <si>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</si>
  <si>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</si>
  <si>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</si>
  <si>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</si>
  <si>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</si>
  <si>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</si>
  <si>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</si>
  <si>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</si>
  <si>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</si>
  <si>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</si>
  <si>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</si>
  <si>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</si>
  <si>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</si>
  <si>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</si>
  <si>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</si>
  <si>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</si>
  <si>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</si>
  <si>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</si>
  <si>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</si>
  <si>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</si>
  <si>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</si>
  <si>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</si>
  <si>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</si>
  <si>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</si>
  <si>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</si>
  <si>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</si>
  <si>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</si>
  <si>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</si>
  <si>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</si>
  <si>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</si>
  <si>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</si>
  <si>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</si>
  <si>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</si>
  <si>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</si>
  <si>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</si>
  <si>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</si>
  <si>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</si>
  <si>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</si>
  <si>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</si>
  <si>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</si>
  <si>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</si>
  <si>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</si>
  <si>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</si>
  <si>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</si>
  <si>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</si>
  <si>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</si>
  <si>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</si>
  <si>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</si>
  <si>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</si>
  <si>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</si>
  <si>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</si>
  <si>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</si>
  <si>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</si>
  <si>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</si>
  <si>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</si>
  <si>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</si>
  <si>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</si>
  <si>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</si>
  <si>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</si>
  <si>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</si>
  <si>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</si>
  <si>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</si>
  <si>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</si>
  <si>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</si>
  <si>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</si>
  <si>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</si>
  <si>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</si>
  <si>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</si>
  <si>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</si>
  <si>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</si>
  <si>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</si>
  <si>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</si>
  <si>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</si>
  <si>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</si>
  <si>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</si>
  <si>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</si>
  <si>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</si>
  <si>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</si>
  <si>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</si>
  <si>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</si>
  <si>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2862,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</si>
  <si>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</si>
  <si>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</si>
  <si>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</si>
  <si>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</si>
  <si>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</si>
  <si>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</si>
  <si>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</si>
  <si>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</si>
  <si>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</si>
  <si>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</si>
  <si>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</si>
  <si>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</si>
  <si>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</si>
  <si>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</si>
  <si>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</si>
  <si>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</si>
  <si>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</si>
  <si>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</si>
  <si>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</si>
  <si>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</si>
  <si>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</si>
  <si>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</si>
  <si>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</si>
  <si>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</si>
  <si>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</si>
  <si>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KY19A</t>
  </si>
  <si>
    <t>115 kV breaker 1962 and assoc switches</t>
  </si>
  <si>
    <t>34.5-kV switch 1943</t>
  </si>
  <si>
    <t>LaCreek</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</si>
  <si>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</si>
  <si>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</si>
  <si>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</si>
  <si>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</si>
  <si>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</si>
  <si>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</si>
  <si>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</si>
  <si>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</si>
  <si>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</si>
  <si>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</si>
  <si>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</si>
  <si>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</si>
  <si>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</si>
  <si>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</si>
  <si>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</si>
  <si>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</si>
  <si>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</si>
  <si>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</si>
  <si>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</si>
  <si>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</si>
  <si>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</si>
  <si>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</si>
  <si>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</si>
  <si>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</si>
  <si>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</si>
  <si>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</si>
  <si>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</si>
  <si>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</si>
  <si>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</si>
  <si>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</si>
  <si>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</si>
  <si>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</si>
  <si>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</si>
  <si>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</si>
  <si>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</si>
  <si>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</si>
  <si>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</si>
  <si>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</si>
  <si>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</si>
  <si>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</si>
  <si>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</si>
  <si>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</si>
  <si>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</si>
  <si>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</si>
  <si>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</si>
  <si>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</si>
  <si>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</si>
  <si>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</si>
  <si>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</si>
  <si>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</si>
  <si>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</si>
  <si>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</si>
  <si>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</si>
  <si>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</si>
  <si>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Wanblee</t>
  </si>
  <si>
    <t>Interrupter 462 and assoc. switches</t>
  </si>
  <si>
    <t>230-kV Switch 889</t>
  </si>
  <si>
    <t>230/41.8-kV transformer KU1A and breaker 282</t>
  </si>
  <si>
    <t>41.8-kV breaker 342 and assoc. switches</t>
  </si>
  <si>
    <t>Otter Tail - emergency tie</t>
  </si>
  <si>
    <t>41.8 kV breaker 242 and assoc switches</t>
  </si>
  <si>
    <t>MPC and CPEC Blue Flint</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</si>
  <si>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</si>
  <si>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</si>
  <si>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</si>
  <si>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</si>
  <si>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</si>
  <si>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</si>
  <si>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</si>
  <si>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</si>
  <si>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</si>
  <si>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</si>
  <si>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</si>
  <si>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</si>
  <si>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</si>
  <si>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</si>
  <si>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</si>
  <si>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</si>
  <si>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</si>
  <si>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</si>
  <si>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</si>
  <si>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</si>
  <si>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</si>
  <si>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</si>
  <si>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</si>
  <si>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</si>
  <si>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</si>
  <si>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</si>
  <si>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</si>
  <si>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</si>
  <si>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</si>
  <si>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</si>
  <si>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</si>
  <si>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</si>
  <si>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</si>
  <si>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</si>
  <si>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</si>
  <si>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</si>
  <si>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</si>
  <si>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 xml:space="preserve">New 115-kV substation added due to 2017 ITP.  NTC ID 200452.  </t>
  </si>
  <si>
    <t>Roberts County 115/69 kV transformer and 69-kV yard added due to 2017 ITP.  NTC ID 200452.</t>
  </si>
  <si>
    <t>Lewis - Richland 115 kV Ckt 1, 72052</t>
  </si>
  <si>
    <t>Reconductor 0.1 miles of 115-kV Transmission Line to increase rating due to 2018 ITP.  NTC ID 210497.  This project will be regionally shared.</t>
  </si>
  <si>
    <t>Addition of 115-kV breakers 5456 and 5652 due to East River adding Roberts Co - Britton Line to SPP</t>
  </si>
  <si>
    <t>Wind GIA drove conversion of the 230-kV from a ring bus to a break and half.  Customer Funded.  230-kV breakers 182, 282, 286, 271, 482, 486, 582, 682, 686, 782, 882, 886 and assoc switches.</t>
  </si>
  <si>
    <t>Customer Funded for Wind Project on Newell-Maurine Line, 3 breaker 115-kV ring bus</t>
  </si>
  <si>
    <t>Breaker 982 in Ring Bus</t>
  </si>
  <si>
    <t>New breaker and half yard to replace the old main and transfer yard.  Planned prior to SPP integration.</t>
  </si>
  <si>
    <t>115 Line Bay for MDU (customer funded) and Cap Bank Addition (20% customer funded)</t>
  </si>
  <si>
    <t>Maintenance replacement of substation equipment.  Ownership transfer from LaCreek to WAPA.  Facilities already qualified for SPP inclusion.</t>
  </si>
  <si>
    <t>Grading Improvements</t>
  </si>
  <si>
    <t>Station Service Switchgear and Transformer replacement</t>
  </si>
  <si>
    <t>Replace SCADA PLCs and Instrument Transformers</t>
  </si>
  <si>
    <t>Replace SCADA PLCs</t>
  </si>
  <si>
    <t>Worksheet 12 - Scheduling, System Control, and Dispatch Service</t>
  </si>
  <si>
    <t>SSCD</t>
  </si>
  <si>
    <t>WS4-CostData (O&amp;M Expenses Worksheet)</t>
  </si>
  <si>
    <t>Not Applicable</t>
  </si>
  <si>
    <t>No General Plant identified at this time, all plant is identified as either generation or transmission related</t>
  </si>
  <si>
    <t>WS4-CostData (C6 L61)</t>
  </si>
  <si>
    <t>WS4-CostData (C2 L21)</t>
  </si>
  <si>
    <t>L7*L8</t>
  </si>
  <si>
    <t>L1+L2+L3+L9</t>
  </si>
  <si>
    <t>Estimated SSCD Revenue from non-Transmission facilities</t>
  </si>
  <si>
    <t>L11*L16</t>
  </si>
  <si>
    <t>Prior Year True-Up</t>
  </si>
  <si>
    <t>Prior year true-up</t>
  </si>
  <si>
    <t>Revenue Requirement for SSCD for Transmission facilities</t>
  </si>
  <si>
    <t>L11-L12+L13</t>
  </si>
  <si>
    <t>Worksheet 13 - SSCD Facilities</t>
  </si>
  <si>
    <t>2019 ROOS BALANCE</t>
  </si>
  <si>
    <t>WATERTOWN OPERATIONS CENTER</t>
  </si>
  <si>
    <t xml:space="preserve">WATERTOWN OPERATIONS CENTER (BFPS) </t>
  </si>
  <si>
    <t xml:space="preserve">2021 SPP ESTIMATE DETAIL: </t>
  </si>
  <si>
    <t>SSCD %</t>
  </si>
  <si>
    <t>SSCD TOTAL ($)</t>
  </si>
  <si>
    <t>TRANS %</t>
  </si>
  <si>
    <t>TRANS TOTAL ($)</t>
  </si>
  <si>
    <t xml:space="preserve">WAO </t>
  </si>
  <si>
    <t>LAND &amp; RIGHTS</t>
  </si>
  <si>
    <t>LAND AT KCR</t>
  </si>
  <si>
    <t>MICROWAVE TOWER</t>
  </si>
  <si>
    <t>ANTENNA</t>
  </si>
  <si>
    <t>MICROWAVE SYSTEM</t>
  </si>
  <si>
    <t>SCADA COMMUNICATION EQUIPMENT</t>
  </si>
  <si>
    <t>BUILDINGS</t>
  </si>
  <si>
    <t>OTHER STRUCTURES AND IMPROVEMENTS</t>
  </si>
  <si>
    <t>AUXILIARY POWER SYSTEM</t>
  </si>
  <si>
    <t>STATION EQUIPMENT</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</si>
  <si>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</si>
  <si>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</si>
  <si>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</si>
  <si>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</si>
  <si>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</si>
  <si>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</si>
  <si>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</si>
  <si>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</si>
  <si>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</si>
  <si>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</si>
  <si>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</si>
  <si>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</si>
  <si>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</si>
  <si>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</si>
  <si>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</si>
  <si>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</si>
  <si>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</si>
  <si>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</si>
  <si>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</si>
  <si>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</si>
  <si>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</si>
  <si>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</si>
  <si>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</si>
  <si>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</si>
  <si>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</si>
  <si>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</si>
  <si>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</si>
  <si>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FIXED RADIO COMM EQUIPMENT</t>
  </si>
  <si>
    <t>TELEPHONE SYSTEM - 40 CHANNEL RECORDER &amp; CRASH KIT</t>
  </si>
  <si>
    <t>INTEREST DURING CONSTRUCTION</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</si>
  <si>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</si>
  <si>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</si>
  <si>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</si>
  <si>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</si>
  <si>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</si>
  <si>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</si>
  <si>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</si>
  <si>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</si>
  <si>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</si>
  <si>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</si>
  <si>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</si>
  <si>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</si>
  <si>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</si>
  <si>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</si>
  <si>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</si>
  <si>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</si>
  <si>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</si>
  <si>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</si>
  <si>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</si>
  <si>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</si>
  <si>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</si>
  <si>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</si>
  <si>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</si>
  <si>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</si>
  <si>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</si>
  <si>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</si>
  <si>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</si>
  <si>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</si>
  <si>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</si>
  <si>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Western Regulation Revenue Requirement</t>
  </si>
  <si>
    <t>L19 C2</t>
  </si>
  <si>
    <t>Under Collection - 2019 Regulation Revenue Rqmt</t>
  </si>
  <si>
    <t>Total Regulation Revenue Rqmt with True-up</t>
  </si>
  <si>
    <t>Regulation and Frequency Response (Western's Costs)</t>
  </si>
  <si>
    <t>Fixed Charge Rate</t>
  </si>
  <si>
    <t>WS2-AllocFactor C5 L30</t>
  </si>
  <si>
    <t>Corps Generation Net Plant Costs ($)</t>
  </si>
  <si>
    <t>WS2-AllocFactor C5 L31</t>
  </si>
  <si>
    <t>Annual Corps Generation Cost  ($)</t>
  </si>
  <si>
    <t>L1*L2</t>
  </si>
  <si>
    <t>Plant Capacity (kW)</t>
  </si>
  <si>
    <t>Cost/kW ($/kW)</t>
  </si>
  <si>
    <t>L3/L4</t>
  </si>
  <si>
    <t>Capacity Used for Regulation (kW)</t>
  </si>
  <si>
    <t>Regulation Revenue Requirement ($) - Capacity</t>
  </si>
  <si>
    <t>L8*L9</t>
  </si>
  <si>
    <t>Regulation Revenue Requirement ($) - Purchases</t>
  </si>
  <si>
    <t xml:space="preserve">     Total Regulation Revenue Requirement ($)</t>
  </si>
  <si>
    <t xml:space="preserve">(1) </t>
  </si>
  <si>
    <t xml:space="preserve">WAPA Annual Report plant capacity </t>
  </si>
  <si>
    <t xml:space="preserve">(2) </t>
  </si>
  <si>
    <t xml:space="preserve">(3) </t>
  </si>
  <si>
    <t>Cost of purchases required to regulate for Intermittent Resources</t>
  </si>
  <si>
    <t>Worksheet 15 - Rate for Reserves</t>
  </si>
  <si>
    <t>RESERVES</t>
  </si>
  <si>
    <t>Cost/kW ($/kW-Yr)</t>
  </si>
  <si>
    <t>Monthly Charge ($/kW-mo)</t>
  </si>
  <si>
    <t>L5/12 months</t>
  </si>
  <si>
    <t>Western's Maximum Load in WAUW Control Area (kW)</t>
  </si>
  <si>
    <t>Maximum Generation in WAUW Control Area (kW)</t>
  </si>
  <si>
    <t>Capacity used for Reserves (kW) -- 3% Load + 3% Gen</t>
  </si>
  <si>
    <t>L7*3% + L8*3% (4)</t>
  </si>
  <si>
    <t>Annual Reserves Revenue Requirement</t>
  </si>
  <si>
    <t>L9*L5</t>
  </si>
  <si>
    <t>Under Collection - 2019 WAUW Reserves Revenue Rqmt</t>
  </si>
  <si>
    <t>Annual Reserve Sharing Group Cost</t>
  </si>
  <si>
    <t>Total Regulation Reserves Rqmt with True-up</t>
  </si>
  <si>
    <t>L10+L11+L12</t>
  </si>
  <si>
    <t>Control Area metering data</t>
  </si>
  <si>
    <t>WAUW maximum generation data</t>
  </si>
  <si>
    <t>Northwest Power Pool Reserve Sharing System</t>
  </si>
  <si>
    <t>Annual cost associated with Western-UGP's current reserve sharing group membership</t>
  </si>
  <si>
    <t>L13*L11</t>
  </si>
  <si>
    <t>L13*L12</t>
  </si>
  <si>
    <t>L6/L2</t>
  </si>
  <si>
    <t>L7/L2</t>
  </si>
  <si>
    <t>4/  Total BOR O&amp;M Expenses are from the Combined Financial Statements</t>
  </si>
  <si>
    <t>WS4-CostData L105 C2</t>
  </si>
  <si>
    <t>WS4-CostData L105 C3</t>
  </si>
  <si>
    <t>WS4-CostData L105 C4</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</si>
  <si>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</si>
  <si>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</si>
  <si>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L1 + L2</t>
  </si>
  <si>
    <t>2/   Interest from Combined Financial Statements, Detail By Agency/Col M L53</t>
  </si>
  <si>
    <t>12/  Combined Financial Statements, Detail by Agency</t>
  </si>
  <si>
    <t>1/  Transmission Plant-in-Service Worksheet, C2L508</t>
  </si>
  <si>
    <t>4/  Transmission Plant-in-Service Worksheet, C5L508</t>
  </si>
  <si>
    <t>5/  Transmission Plant-in-Service Worksheet, C5L498</t>
  </si>
  <si>
    <t>6/  Transmission Plant-in-Service Worksheet, C5L505</t>
  </si>
  <si>
    <t>7/  Transmission Plant-in-Service Worksheet, C4L507</t>
  </si>
  <si>
    <t>MOBS10</t>
  </si>
  <si>
    <t>MOBILE SUB 115/41.8KV</t>
  </si>
  <si>
    <t>ZONAL PTP</t>
  </si>
  <si>
    <t>115-kV Bay Addition for CPEC. Customer funded.</t>
  </si>
  <si>
    <t>5/ WS3-Rev Credits C5L21+C5L24</t>
  </si>
  <si>
    <t>WS3-RevCredits C5L15</t>
  </si>
  <si>
    <t>WS3-RevCredits C5L12</t>
  </si>
  <si>
    <t>Effective January 1, 2021</t>
  </si>
  <si>
    <t>4/  Combined Financial Statements, Detail by Agency</t>
  </si>
  <si>
    <t>(Revision 1)</t>
  </si>
  <si>
    <t>Date</t>
  </si>
  <si>
    <t>Worksheet</t>
  </si>
  <si>
    <t>Reference Cell(s)</t>
  </si>
  <si>
    <t>Change From</t>
  </si>
  <si>
    <t>Change To</t>
  </si>
  <si>
    <t>Description</t>
  </si>
  <si>
    <t>HFD Schedule 21X and 21RX source data updated</t>
  </si>
  <si>
    <t>C67</t>
  </si>
  <si>
    <t>E67</t>
  </si>
  <si>
    <t>G67</t>
  </si>
  <si>
    <t>I67</t>
  </si>
  <si>
    <t>D16</t>
  </si>
  <si>
    <t>C18</t>
  </si>
  <si>
    <t>Changes to the True-up sheet affecting values</t>
  </si>
  <si>
    <t>C7</t>
  </si>
  <si>
    <t>C16</t>
  </si>
  <si>
    <t xml:space="preserve">I6 </t>
  </si>
  <si>
    <t xml:space="preserve">I7 </t>
  </si>
  <si>
    <t>I8</t>
  </si>
  <si>
    <t>Updated equation</t>
  </si>
  <si>
    <t>C12</t>
  </si>
  <si>
    <t>Updated value</t>
  </si>
  <si>
    <t>B516</t>
  </si>
  <si>
    <t>Added footnote reference for clarification</t>
  </si>
  <si>
    <t>3/ Formerly part of the Ft. Peck-Dawson County 1 line</t>
  </si>
  <si>
    <t>4/ Formerly part of the Watford City-Beulah line</t>
  </si>
  <si>
    <t>KILLDEER-CHARLIE CREEK 4/</t>
  </si>
  <si>
    <t>CIRCLE-DAWSON COUNTY 3/</t>
  </si>
  <si>
    <t>B517</t>
  </si>
  <si>
    <t>WANBLEE TAP 5/</t>
  </si>
  <si>
    <t>5/  Included in 2018 True-Up WS11-FacChanges but inadvertantly not included in this Tab due to being constructed with contributed funds and having zero plant costs</t>
  </si>
  <si>
    <t>B518</t>
  </si>
  <si>
    <t>B519</t>
  </si>
  <si>
    <t>B520</t>
  </si>
  <si>
    <t>Updated description for clarification</t>
  </si>
  <si>
    <t>Total non-SPP facilities dispatched by Western-UGP for SSCD/Total facilities dispatched by Western UGP for SSCD</t>
  </si>
  <si>
    <t>B21</t>
  </si>
  <si>
    <t>D21</t>
  </si>
  <si>
    <t>Update cell reference</t>
  </si>
  <si>
    <t>SUBTOTAL for SSCD Ratios /6</t>
  </si>
  <si>
    <t>6/  C4 is total Western-UGP Facilities + total COE Facilities; C7 is total Western-UGP Facilities + total COE Facilities + total RMR Facilities dispatched by Western UGP for SSCD. Ref WS12-SSCD.</t>
  </si>
  <si>
    <t>D514</t>
  </si>
  <si>
    <t>H514</t>
  </si>
  <si>
    <t>Moved values to new cell for clarification</t>
  </si>
  <si>
    <t>K514</t>
  </si>
  <si>
    <t>H517</t>
  </si>
  <si>
    <t>K517</t>
  </si>
  <si>
    <t>B515</t>
  </si>
  <si>
    <t>Footnote was moved down one cell</t>
  </si>
  <si>
    <t>WS8-TranFac (L514 C4/C7)</t>
  </si>
  <si>
    <t>WAUW capacity used for regulation (WAUW-Regulation-Requirements.pdf)</t>
  </si>
  <si>
    <t>WS4-Reg</t>
  </si>
  <si>
    <t>Updated footnote (2) to reference source data</t>
  </si>
  <si>
    <t>Cover Sheets</t>
  </si>
  <si>
    <t>A9</t>
  </si>
  <si>
    <t>Added "(Revision 1)" to Workbook Title</t>
  </si>
  <si>
    <r>
      <rPr>
        <b/>
        <sz val="11"/>
        <color theme="1"/>
        <rFont val="Calibri"/>
        <family val="2"/>
        <scheme val="minor"/>
      </rPr>
      <t>Summary of incremental changes (Rev1):</t>
    </r>
    <r>
      <rPr>
        <sz val="11"/>
        <color theme="1"/>
        <rFont val="Calibri"/>
        <family val="2"/>
        <scheme val="minor"/>
      </rPr>
      <t xml:space="preserve"> thru 11/1/2020 --  New filename: WAPA-UGP-Trans-Anc-Service-Rates-ESTIMATE-Templates-2021-0101-Rev1.xlsx; </t>
    </r>
    <r>
      <rPr>
        <b/>
        <sz val="11"/>
        <color theme="1"/>
        <rFont val="Calibri"/>
        <family val="2"/>
        <scheme val="minor"/>
      </rPr>
      <t>Rates changed due to updates:</t>
    </r>
    <r>
      <rPr>
        <sz val="11"/>
        <color theme="1"/>
        <rFont val="Calibri"/>
        <family val="2"/>
        <scheme val="minor"/>
      </rPr>
      <t xml:space="preserve"> (1) ATRRs and Ancillaries generally decreased due to updates to HFD Schedule 21X and 21RX source data unless other impacts; (2) Schedule 11 ATTR Total increased due to WS5-BPUz equation corrections noted below, and (3) Operating Reserves increased due to WS15-Res correction noted below that increased the WAUW Max Generation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</si>
</sst>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 numFmtId="180" formatCode="0.0%"/>
  </numFmts>
  <fonts count="80">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sz val="11"/>
      <name val="Calibri"/>
      <family val="2"/>
      <scheme val="minor"/>
    </font>
    <font>
      <sz val="11"/>
      <color rgb="FFFF0000"/>
      <name val="Calibri"/>
      <family val="2"/>
      <scheme val="minor"/>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0"/>
      <color rgb="FF000000"/>
      <name val="Calibri"/>
      <family val="2"/>
    </font>
    <font>
      <sz val="12"/>
      <name val="Calibri"/>
      <family val="2"/>
    </font>
    <font>
      <sz val="11"/>
      <color rgb="FF000000"/>
      <name val="Calibri"/>
      <family val="2"/>
    </font>
    <font>
      <sz val="11"/>
      <name val="Calibri"/>
      <family val="2"/>
    </font>
    <font>
      <sz val="11"/>
      <color theme="1"/>
      <name val="Calibri"/>
      <family val="2"/>
    </font>
    <font>
      <sz val="10"/>
      <name val="Calibri"/>
      <family val="2"/>
    </font>
    <font>
      <b/>
      <sz val="10"/>
      <name val="Calibri"/>
      <family val="2"/>
    </font>
    <font>
      <sz val="8"/>
      <name val="Calibri"/>
      <family val="2"/>
      <scheme val="minor"/>
    </font>
    <font>
      <sz val="36"/>
      <color rgb="FFFF0000"/>
      <name val="Calibri"/>
      <family val="2"/>
      <scheme val="minor"/>
    </font>
  </fonts>
  <fills count="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C000"/>
        <bgColor indexed="64"/>
      </patternFill>
    </fill>
    <fill>
      <patternFill patternType="solid">
        <fgColor theme="6" tint="0.79998168889431442"/>
        <bgColor indexed="64"/>
      </patternFill>
    </fill>
    <fill>
      <patternFill patternType="solid">
        <fgColor rgb="FFD9D9D9"/>
        <bgColor rgb="FFD9D9D9"/>
      </patternFill>
    </fill>
    <fill>
      <patternFill patternType="solid">
        <fgColor theme="0" tint="-4.9989318521683403E-2"/>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6" fillId="0" borderId="0" applyNumberFormat="0" applyFill="0" applyBorder="0" applyAlignment="0" applyProtection="0"/>
  </cellStyleXfs>
  <cellXfs count="823">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4" fontId="4" fillId="0" borderId="0" xfId="1" applyNumberFormat="1"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47" fillId="0" borderId="15" xfId="0" applyFont="1" applyFill="1" applyBorder="1" applyAlignment="1">
      <alignment horizontal="center"/>
    </xf>
    <xf numFmtId="0" fontId="3" fillId="0" borderId="15" xfId="38578" applyFont="1" applyFill="1" applyBorder="1" applyAlignment="1"/>
    <xf numFmtId="0" fontId="3" fillId="0" borderId="0" xfId="38578" applyFont="1" applyFill="1" applyAlignment="1"/>
    <xf numFmtId="0" fontId="52"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52" fillId="0" borderId="0" xfId="38578" applyNumberFormat="1" applyFont="1" applyFill="1"/>
    <xf numFmtId="0" fontId="52" fillId="0" borderId="0" xfId="38578" applyFont="1" applyFill="1" applyBorder="1" applyAlignment="1"/>
    <xf numFmtId="0" fontId="52" fillId="0" borderId="0" xfId="38578" applyNumberFormat="1" applyFont="1" applyFill="1" applyAlignment="1"/>
    <xf numFmtId="3" fontId="52" fillId="0" borderId="0" xfId="38578" applyNumberFormat="1" applyFont="1" applyFill="1" applyAlignment="1">
      <alignment horizontal="center"/>
    </xf>
    <xf numFmtId="3" fontId="52" fillId="0" borderId="0" xfId="38578" applyNumberFormat="1" applyFont="1" applyFill="1" applyAlignment="1"/>
    <xf numFmtId="0" fontId="3" fillId="0" borderId="0" xfId="38578" applyNumberFormat="1" applyFont="1" applyFill="1"/>
    <xf numFmtId="0" fontId="52" fillId="0" borderId="0" xfId="38578" applyFont="1" applyFill="1" applyAlignment="1">
      <alignment wrapText="1"/>
    </xf>
    <xf numFmtId="0" fontId="3" fillId="20" borderId="18" xfId="38578" applyNumberFormat="1" applyFont="1" applyFill="1" applyBorder="1"/>
    <xf numFmtId="3" fontId="3" fillId="20" borderId="7" xfId="38578" applyNumberFormat="1" applyFont="1" applyFill="1" applyBorder="1" applyAlignment="1"/>
    <xf numFmtId="0" fontId="3" fillId="20" borderId="7" xfId="38578" applyNumberFormat="1" applyFont="1" applyFill="1" applyBorder="1"/>
    <xf numFmtId="0" fontId="3" fillId="20" borderId="7" xfId="38578" applyNumberFormat="1" applyFont="1" applyFill="1" applyBorder="1" applyAlignment="1">
      <alignment horizontal="right"/>
    </xf>
    <xf numFmtId="0" fontId="3" fillId="20" borderId="7" xfId="38578" applyNumberFormat="1" applyFont="1" applyFill="1" applyBorder="1" applyAlignment="1">
      <alignment horizontal="center"/>
    </xf>
    <xf numFmtId="0" fontId="3" fillId="20" borderId="7" xfId="38578" applyFont="1" applyFill="1" applyBorder="1"/>
    <xf numFmtId="0" fontId="3" fillId="20" borderId="17" xfId="38578" applyFont="1" applyFill="1" applyBorder="1" applyAlignment="1"/>
    <xf numFmtId="0" fontId="3" fillId="20" borderId="16"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3" fontId="52" fillId="0" borderId="0" xfId="38578" applyNumberFormat="1" applyFont="1" applyFill="1" applyAlignment="1">
      <alignment horizontal="left"/>
    </xf>
    <xf numFmtId="10" fontId="3" fillId="21" borderId="0" xfId="38578" applyNumberFormat="1" applyFont="1" applyFill="1" applyBorder="1"/>
    <xf numFmtId="0" fontId="3" fillId="20" borderId="15"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Font="1" applyFill="1" applyBorder="1" applyAlignment="1">
      <alignment horizontal="center"/>
    </xf>
    <xf numFmtId="3" fontId="3" fillId="20" borderId="18" xfId="38578" applyNumberFormat="1" applyFont="1" applyFill="1" applyBorder="1" applyAlignment="1" applyProtection="1"/>
    <xf numFmtId="1" fontId="3" fillId="20" borderId="7" xfId="38578" applyNumberFormat="1" applyFont="1" applyFill="1" applyBorder="1" applyAlignment="1" applyProtection="1">
      <alignment horizontal="right"/>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166" fontId="3" fillId="20" borderId="7" xfId="38578" applyNumberFormat="1" applyFont="1" applyFill="1" applyBorder="1" applyAlignment="1"/>
    <xf numFmtId="0" fontId="3" fillId="20" borderId="17" xfId="38578" applyNumberFormat="1" applyFont="1" applyFill="1" applyBorder="1" applyAlignment="1">
      <alignment horizontal="center"/>
    </xf>
    <xf numFmtId="3" fontId="3" fillId="20" borderId="16" xfId="38578" applyNumberFormat="1" applyFont="1" applyFill="1" applyBorder="1" applyAlignment="1" applyProtection="1"/>
    <xf numFmtId="1" fontId="3" fillId="21" borderId="7"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7"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2" fontId="3" fillId="20" borderId="0" xfId="38578" applyNumberFormat="1" applyFont="1" applyFill="1" applyBorder="1" applyAlignment="1">
      <alignment horizontal="right"/>
    </xf>
    <xf numFmtId="0" fontId="3" fillId="20" borderId="16" xfId="38578" applyFont="1" applyFill="1" applyBorder="1" applyAlignment="1">
      <alignment horizontal="right"/>
    </xf>
    <xf numFmtId="3" fontId="3" fillId="21" borderId="7" xfId="38578" applyNumberFormat="1" applyFont="1" applyFill="1" applyBorder="1" applyAlignment="1">
      <alignment horizontal="right"/>
    </xf>
    <xf numFmtId="0" fontId="54"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0" borderId="0" xfId="38578" applyFont="1" applyFill="1" applyBorder="1" applyAlignment="1" applyProtection="1">
      <alignment horizontal="right"/>
    </xf>
    <xf numFmtId="0" fontId="54" fillId="20" borderId="0"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4"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4" fontId="3" fillId="20" borderId="7" xfId="38578" applyNumberFormat="1" applyFont="1" applyFill="1" applyBorder="1" applyAlignment="1">
      <alignment horizontal="right"/>
    </xf>
    <xf numFmtId="3" fontId="3" fillId="20" borderId="16" xfId="38578" quotePrefix="1" applyNumberFormat="1" applyFont="1" applyFill="1" applyBorder="1" applyAlignment="1"/>
    <xf numFmtId="0" fontId="3" fillId="20" borderId="7" xfId="38578" applyFont="1" applyFill="1" applyBorder="1" applyAlignment="1">
      <alignment horizontal="right"/>
    </xf>
    <xf numFmtId="171" fontId="3" fillId="20" borderId="0" xfId="38578" applyNumberFormat="1" applyFont="1" applyFill="1" applyBorder="1" applyAlignment="1"/>
    <xf numFmtId="3" fontId="3" fillId="20" borderId="16" xfId="38578" applyNumberFormat="1" applyFont="1" applyFill="1" applyBorder="1" applyAlignment="1">
      <alignment horizontal="center"/>
    </xf>
    <xf numFmtId="3" fontId="3" fillId="21" borderId="7" xfId="38578" applyNumberFormat="1" applyFont="1" applyFill="1" applyBorder="1" applyAlignment="1"/>
    <xf numFmtId="173" fontId="3" fillId="20" borderId="0" xfId="38578" applyNumberFormat="1" applyFont="1" applyFill="1" applyBorder="1" applyAlignment="1"/>
    <xf numFmtId="173" fontId="3" fillId="20" borderId="0" xfId="38578" applyNumberFormat="1" applyFont="1" applyFill="1" applyBorder="1" applyAlignment="1">
      <alignment horizontal="right"/>
    </xf>
    <xf numFmtId="3" fontId="3" fillId="21" borderId="0" xfId="38578" applyNumberFormat="1" applyFont="1" applyFill="1" applyBorder="1" applyAlignment="1"/>
    <xf numFmtId="173" fontId="3" fillId="20" borderId="0" xfId="38578" applyNumberFormat="1" applyFont="1" applyFill="1" applyBorder="1" applyAlignment="1">
      <alignment horizontal="center"/>
    </xf>
    <xf numFmtId="173" fontId="3" fillId="20" borderId="16" xfId="38578" applyNumberFormat="1" applyFont="1" applyFill="1" applyBorder="1" applyAlignment="1"/>
    <xf numFmtId="170" fontId="3" fillId="20" borderId="0" xfId="38578" applyNumberFormat="1" applyFont="1" applyFill="1" applyBorder="1" applyAlignment="1">
      <alignment horizontal="center"/>
    </xf>
    <xf numFmtId="0" fontId="3" fillId="20" borderId="16"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52"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0" fontId="3" fillId="0" borderId="0" xfId="38578" applyFont="1" applyFill="1" applyBorder="1" applyAlignment="1"/>
    <xf numFmtId="3" fontId="3" fillId="22" borderId="7"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4" xfId="38578" applyNumberFormat="1" applyFont="1" applyFill="1" applyBorder="1" applyAlignment="1"/>
    <xf numFmtId="0" fontId="3" fillId="20" borderId="13" xfId="38578" applyNumberFormat="1" applyFont="1" applyFill="1" applyBorder="1" applyAlignment="1">
      <alignment horizontal="right"/>
    </xf>
    <xf numFmtId="0" fontId="3" fillId="20" borderId="13" xfId="38578" applyNumberFormat="1" applyFont="1" applyFill="1" applyBorder="1"/>
    <xf numFmtId="0" fontId="3" fillId="20" borderId="13" xfId="38578" applyNumberFormat="1" applyFont="1" applyFill="1" applyBorder="1" applyAlignment="1">
      <alignment horizontal="center"/>
    </xf>
    <xf numFmtId="0" fontId="3" fillId="20" borderId="13" xfId="38578" applyFont="1" applyFill="1" applyBorder="1" applyAlignment="1"/>
    <xf numFmtId="0" fontId="4" fillId="20" borderId="13" xfId="38578" applyFont="1" applyFill="1" applyBorder="1" applyAlignment="1"/>
    <xf numFmtId="0" fontId="3" fillId="20" borderId="12" xfId="38578" applyNumberFormat="1" applyFont="1" applyFill="1" applyBorder="1" applyAlignment="1">
      <alignment horizontal="center"/>
    </xf>
    <xf numFmtId="0" fontId="3" fillId="20" borderId="25" xfId="38578" applyNumberFormat="1" applyFont="1" applyFill="1" applyBorder="1"/>
    <xf numFmtId="3" fontId="3" fillId="20" borderId="26" xfId="38578" applyNumberFormat="1" applyFont="1" applyFill="1" applyBorder="1" applyAlignment="1">
      <alignment horizontal="right"/>
    </xf>
    <xf numFmtId="3"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3" fontId="3" fillId="20" borderId="27" xfId="38578" applyNumberFormat="1" applyFont="1" applyFill="1" applyBorder="1" applyAlignment="1"/>
    <xf numFmtId="0" fontId="3" fillId="20" borderId="29" xfId="38578" applyNumberFormat="1" applyFont="1" applyFill="1" applyBorder="1"/>
    <xf numFmtId="3" fontId="3" fillId="20" borderId="30"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1" xfId="38578" applyNumberFormat="1" applyFont="1" applyFill="1" applyBorder="1" applyAlignment="1"/>
    <xf numFmtId="0" fontId="3" fillId="20" borderId="19" xfId="38578" applyFont="1" applyFill="1" applyBorder="1" applyAlignment="1"/>
    <xf numFmtId="3" fontId="3" fillId="20" borderId="31" xfId="38578" applyNumberFormat="1" applyFont="1" applyFill="1" applyBorder="1" applyAlignment="1">
      <alignment horizontal="right"/>
    </xf>
    <xf numFmtId="10" fontId="3" fillId="20" borderId="19" xfId="38578" applyNumberFormat="1" applyFont="1" applyFill="1" applyBorder="1" applyAlignment="1">
      <alignment horizontal="left"/>
    </xf>
    <xf numFmtId="170" fontId="3" fillId="20" borderId="0"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3" fontId="3" fillId="20" borderId="19" xfId="38578" applyNumberFormat="1" applyFont="1" applyFill="1" applyBorder="1" applyAlignment="1"/>
    <xf numFmtId="0" fontId="3" fillId="20" borderId="19" xfId="38578" applyFont="1" applyFill="1" applyBorder="1" applyAlignment="1">
      <alignment horizontal="right"/>
    </xf>
    <xf numFmtId="3" fontId="3" fillId="21" borderId="19" xfId="38578" applyNumberFormat="1" applyFont="1" applyFill="1" applyBorder="1" applyAlignment="1"/>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3" fontId="3" fillId="20" borderId="9" xfId="38578" applyNumberFormat="1" applyFont="1" applyFill="1" applyBorder="1" applyAlignment="1"/>
    <xf numFmtId="0" fontId="3" fillId="20" borderId="29" xfId="38578" applyFont="1" applyFill="1" applyBorder="1" applyAlignment="1"/>
    <xf numFmtId="0" fontId="52" fillId="0" borderId="0" xfId="38578" applyNumberFormat="1" applyFont="1" applyFill="1" applyAlignment="1">
      <alignment wrapText="1"/>
    </xf>
    <xf numFmtId="0" fontId="3" fillId="0" borderId="0" xfId="38578" applyFont="1" applyFill="1" applyAlignment="1">
      <alignment wrapText="1"/>
    </xf>
    <xf numFmtId="3" fontId="3" fillId="20" borderId="29" xfId="38578" applyNumberFormat="1" applyFont="1" applyFill="1" applyBorder="1" applyAlignment="1"/>
    <xf numFmtId="175" fontId="3" fillId="20" borderId="19" xfId="38578" applyNumberFormat="1" applyFont="1" applyFill="1" applyBorder="1" applyAlignment="1">
      <alignment horizontal="right"/>
    </xf>
    <xf numFmtId="3" fontId="3" fillId="22" borderId="19" xfId="38578" applyNumberFormat="1" applyFont="1" applyFill="1" applyBorder="1" applyAlignment="1"/>
    <xf numFmtId="3" fontId="3" fillId="22" borderId="32" xfId="38578" applyNumberFormat="1" applyFont="1" applyFill="1" applyBorder="1" applyAlignment="1"/>
    <xf numFmtId="3" fontId="3" fillId="20" borderId="14" xfId="38578" applyNumberFormat="1" applyFont="1" applyFill="1" applyBorder="1"/>
    <xf numFmtId="3" fontId="3" fillId="20" borderId="33" xfId="38578" applyNumberFormat="1" applyFont="1" applyFill="1" applyBorder="1" applyAlignment="1">
      <alignment horizontal="right"/>
    </xf>
    <xf numFmtId="3" fontId="3" fillId="20" borderId="13" xfId="38578" applyNumberFormat="1" applyFont="1" applyFill="1" applyBorder="1" applyAlignment="1"/>
    <xf numFmtId="3" fontId="3" fillId="20" borderId="33" xfId="38578" applyNumberFormat="1" applyFont="1" applyFill="1" applyBorder="1" applyAlignment="1">
      <alignment horizontal="center"/>
    </xf>
    <xf numFmtId="3" fontId="3" fillId="20" borderId="33" xfId="38578" applyNumberFormat="1" applyFont="1" applyFill="1" applyBorder="1" applyAlignment="1"/>
    <xf numFmtId="3" fontId="3" fillId="20" borderId="18" xfId="38578" applyNumberFormat="1" applyFont="1" applyFill="1" applyBorder="1" applyAlignment="1"/>
    <xf numFmtId="3" fontId="3" fillId="20" borderId="34" xfId="38578" applyNumberFormat="1" applyFont="1" applyFill="1" applyBorder="1" applyAlignment="1"/>
    <xf numFmtId="170" fontId="3" fillId="20" borderId="27" xfId="38578" applyNumberFormat="1" applyFont="1" applyFill="1" applyBorder="1" applyAlignment="1">
      <alignment horizontal="right"/>
    </xf>
    <xf numFmtId="3" fontId="3" fillId="20" borderId="21" xfId="38578" applyNumberFormat="1" applyFont="1" applyFill="1" applyBorder="1" applyAlignment="1">
      <alignment horizontal="center"/>
    </xf>
    <xf numFmtId="3" fontId="3" fillId="20" borderId="21" xfId="38578" applyNumberFormat="1" applyFont="1" applyFill="1" applyBorder="1" applyAlignment="1"/>
    <xf numFmtId="0" fontId="3" fillId="20" borderId="35" xfId="38578" applyNumberFormat="1" applyFont="1" applyFill="1" applyBorder="1"/>
    <xf numFmtId="3" fontId="3" fillId="20" borderId="36" xfId="38578" applyNumberFormat="1" applyFont="1" applyFill="1" applyBorder="1" applyAlignment="1">
      <alignment horizontal="right"/>
    </xf>
    <xf numFmtId="0" fontId="3" fillId="20" borderId="6" xfId="38578" applyNumberFormat="1" applyFont="1" applyFill="1" applyBorder="1"/>
    <xf numFmtId="0" fontId="3" fillId="20" borderId="19" xfId="38578" applyNumberFormat="1" applyFont="1" applyFill="1" applyBorder="1" applyAlignment="1">
      <alignment horizontal="right"/>
    </xf>
    <xf numFmtId="0" fontId="3" fillId="20" borderId="9" xfId="38578" applyNumberFormat="1" applyFont="1" applyFill="1" applyBorder="1" applyAlignment="1">
      <alignment horizontal="center"/>
    </xf>
    <xf numFmtId="3" fontId="3" fillId="20" borderId="8" xfId="38578" applyNumberFormat="1" applyFont="1" applyFill="1" applyBorder="1" applyAlignment="1"/>
    <xf numFmtId="3" fontId="3" fillId="20" borderId="6" xfId="38578" applyNumberFormat="1" applyFont="1" applyFill="1" applyBorder="1" applyAlignment="1"/>
    <xf numFmtId="3" fontId="3" fillId="20" borderId="9" xfId="38578" applyNumberFormat="1" applyFont="1" applyFill="1" applyBorder="1" applyAlignment="1">
      <alignment horizontal="center"/>
    </xf>
    <xf numFmtId="3" fontId="3" fillId="21" borderId="9" xfId="38578" applyNumberFormat="1" applyFont="1" applyFill="1" applyBorder="1" applyAlignment="1"/>
    <xf numFmtId="0" fontId="3" fillId="20" borderId="9" xfId="38578" applyFont="1" applyFill="1" applyBorder="1" applyAlignment="1"/>
    <xf numFmtId="0" fontId="3" fillId="20" borderId="16"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3" fontId="3" fillId="22" borderId="9" xfId="38578" applyNumberFormat="1" applyFont="1" applyFill="1" applyBorder="1" applyAlignment="1"/>
    <xf numFmtId="170" fontId="3" fillId="20" borderId="16" xfId="38578" applyNumberFormat="1" applyFont="1" applyFill="1" applyBorder="1" applyAlignment="1">
      <alignment horizontal="center" wrapText="1"/>
    </xf>
    <xf numFmtId="170" fontId="3" fillId="20" borderId="29" xfId="38578" applyNumberFormat="1" applyFont="1" applyFill="1" applyBorder="1" applyAlignment="1">
      <alignment horizontal="center"/>
    </xf>
    <xf numFmtId="0" fontId="3" fillId="20" borderId="0" xfId="38578" applyNumberFormat="1" applyFont="1" applyFill="1" applyBorder="1" applyAlignment="1">
      <alignment wrapText="1"/>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3" fontId="4" fillId="20" borderId="11" xfId="38578" applyNumberFormat="1" applyFont="1" applyFill="1" applyBorder="1" applyAlignment="1"/>
    <xf numFmtId="0" fontId="3" fillId="20" borderId="33" xfId="38578" applyFont="1" applyFill="1" applyBorder="1" applyAlignment="1">
      <alignment horizontal="right"/>
    </xf>
    <xf numFmtId="0" fontId="3" fillId="20" borderId="37" xfId="38578" applyFont="1" applyFill="1" applyBorder="1" applyAlignment="1">
      <alignment horizontal="center"/>
    </xf>
    <xf numFmtId="0" fontId="3" fillId="20" borderId="37" xfId="38578" applyFont="1" applyFill="1" applyBorder="1" applyAlignment="1"/>
    <xf numFmtId="42" fontId="3" fillId="20" borderId="27" xfId="38578" applyNumberFormat="1" applyFont="1" applyFill="1" applyBorder="1" applyAlignment="1">
      <alignment horizontal="right"/>
    </xf>
    <xf numFmtId="164" fontId="3" fillId="20" borderId="0" xfId="1" applyNumberFormat="1" applyFont="1" applyFill="1" applyBorder="1"/>
    <xf numFmtId="0" fontId="3" fillId="20" borderId="9" xfId="38578" applyNumberFormat="1" applyFont="1" applyFill="1" applyBorder="1"/>
    <xf numFmtId="0" fontId="3" fillId="20" borderId="9" xfId="38578" applyFont="1" applyFill="1" applyBorder="1"/>
    <xf numFmtId="0" fontId="3" fillId="20" borderId="38" xfId="38578" applyNumberFormat="1" applyFont="1" applyFill="1" applyBorder="1"/>
    <xf numFmtId="42" fontId="3" fillId="20" borderId="39" xfId="38578" applyNumberFormat="1" applyFont="1" applyFill="1" applyBorder="1"/>
    <xf numFmtId="0" fontId="3" fillId="20" borderId="37" xfId="38578" applyNumberFormat="1" applyFont="1" applyFill="1" applyBorder="1" applyAlignment="1">
      <alignment horizontal="center"/>
    </xf>
    <xf numFmtId="3" fontId="3" fillId="20" borderId="13" xfId="38578" applyNumberFormat="1" applyFont="1" applyFill="1" applyBorder="1"/>
    <xf numFmtId="0" fontId="3" fillId="20" borderId="37"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3" fontId="3" fillId="20" borderId="15" xfId="38578" applyNumberFormat="1" applyFont="1" applyFill="1" applyBorder="1" applyAlignment="1"/>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3" fillId="20" borderId="12" xfId="38578" applyFont="1" applyFill="1" applyBorder="1" applyAlignment="1">
      <alignment horizontal="lef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167" fontId="3" fillId="20" borderId="45"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44" fontId="3" fillId="20" borderId="0" xfId="18360" applyFont="1" applyFill="1" applyBorder="1" applyAlignment="1">
      <alignment horizontal="center"/>
    </xf>
    <xf numFmtId="0" fontId="3" fillId="20" borderId="0" xfId="39552" applyFont="1" applyFill="1" applyBorder="1"/>
    <xf numFmtId="0" fontId="52" fillId="20" borderId="42" xfId="0" quotePrefix="1" applyFont="1" applyFill="1" applyBorder="1"/>
    <xf numFmtId="3" fontId="3" fillId="20" borderId="0" xfId="18360" applyNumberFormat="1" applyFont="1" applyFill="1" applyBorder="1"/>
    <xf numFmtId="0" fontId="3" fillId="20" borderId="36"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6" fontId="3" fillId="20" borderId="0" xfId="38789" applyNumberFormat="1" applyFont="1" applyFill="1" applyBorder="1"/>
    <xf numFmtId="0" fontId="52" fillId="20" borderId="43" xfId="0" quotePrefix="1" applyFont="1" applyFill="1" applyBorder="1"/>
    <xf numFmtId="6" fontId="3" fillId="20" borderId="6" xfId="38789" applyNumberFormat="1" applyFont="1" applyFill="1" applyBorder="1"/>
    <xf numFmtId="0" fontId="52" fillId="20" borderId="42" xfId="0" applyFont="1" applyFill="1" applyBorder="1"/>
    <xf numFmtId="38" fontId="3" fillId="20" borderId="0" xfId="38789" applyNumberFormat="1"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167" fontId="3" fillId="20" borderId="3" xfId="18360" applyNumberFormat="1" applyFont="1" applyFill="1" applyBorder="1"/>
    <xf numFmtId="38" fontId="3" fillId="20" borderId="0" xfId="38792" applyNumberFormat="1" applyFont="1" applyFill="1" applyBorder="1"/>
    <xf numFmtId="5"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1"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7" xfId="0" applyFont="1" applyFill="1" applyBorder="1"/>
    <xf numFmtId="5" fontId="47" fillId="20" borderId="19" xfId="0" applyNumberFormat="1" applyFont="1" applyFill="1" applyBorder="1"/>
    <xf numFmtId="170" fontId="47" fillId="20" borderId="41" xfId="0" applyNumberFormat="1" applyFont="1" applyFill="1" applyBorder="1"/>
    <xf numFmtId="170" fontId="47" fillId="20" borderId="40"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7" xfId="0" applyNumberFormat="1" applyFont="1" applyFill="1" applyBorder="1"/>
    <xf numFmtId="0" fontId="3" fillId="20" borderId="13" xfId="38578" applyFont="1" applyFill="1" applyBorder="1" applyAlignment="1">
      <alignment horizontal="left"/>
    </xf>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3" fontId="3" fillId="20" borderId="0" xfId="42319" applyNumberFormat="1" applyFont="1" applyFill="1" applyBorder="1"/>
    <xf numFmtId="174"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52" fillId="20" borderId="46" xfId="0" applyFont="1" applyFill="1" applyBorder="1"/>
    <xf numFmtId="0" fontId="46" fillId="20" borderId="16" xfId="0" applyFont="1" applyFill="1" applyBorder="1"/>
    <xf numFmtId="0" fontId="46" fillId="20" borderId="18" xfId="0" applyFont="1" applyFill="1" applyBorder="1"/>
    <xf numFmtId="5" fontId="3" fillId="20" borderId="10" xfId="38792" applyNumberFormat="1" applyFont="1" applyFill="1" applyBorder="1"/>
    <xf numFmtId="0" fontId="2" fillId="0" borderId="0" xfId="0" applyFont="1" applyAlignment="1">
      <alignment horizontal="center"/>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3" fontId="3" fillId="20" borderId="0" xfId="42319" applyNumberFormat="1" applyFont="1" applyFill="1" applyBorder="1" applyAlignment="1">
      <alignment horizontal="right"/>
    </xf>
    <xf numFmtId="164" fontId="4" fillId="0" borderId="0" xfId="1" applyNumberFormat="1" applyFont="1" applyFill="1" applyBorder="1" applyAlignment="1">
      <alignment horizontal="center" wrapText="1"/>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0" fontId="52" fillId="0" borderId="0" xfId="0" applyFont="1" applyFill="1" applyBorder="1"/>
    <xf numFmtId="3" fontId="3" fillId="0" borderId="0" xfId="0" applyNumberFormat="1" applyFont="1" applyFill="1" applyBorder="1" applyAlignment="1">
      <alignment vertical="center"/>
    </xf>
    <xf numFmtId="38" fontId="3" fillId="20" borderId="42"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4" fillId="20" borderId="15" xfId="0" applyFont="1" applyFill="1" applyBorder="1" applyAlignment="1">
      <alignment horizontal="center"/>
    </xf>
    <xf numFmtId="0" fontId="3" fillId="20" borderId="12" xfId="0" applyFont="1" applyFill="1" applyBorder="1"/>
    <xf numFmtId="0" fontId="3" fillId="20" borderId="13" xfId="0" applyFont="1" applyFill="1" applyBorder="1"/>
    <xf numFmtId="164" fontId="3" fillId="20" borderId="13" xfId="1" applyNumberFormat="1" applyFont="1" applyFill="1" applyBorder="1"/>
    <xf numFmtId="43" fontId="3" fillId="20" borderId="13" xfId="0" applyNumberFormat="1"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164" fontId="53" fillId="20" borderId="15" xfId="1" applyNumberFormat="1" applyFont="1" applyFill="1" applyBorder="1" applyAlignment="1">
      <alignment horizontal="center" wrapText="1"/>
    </xf>
    <xf numFmtId="38" fontId="4" fillId="20" borderId="42" xfId="0" applyNumberFormat="1" applyFont="1" applyFill="1" applyBorder="1" applyAlignment="1">
      <alignment horizontal="center"/>
    </xf>
    <xf numFmtId="0" fontId="4" fillId="20" borderId="15" xfId="0" applyFont="1" applyFill="1" applyBorder="1" applyAlignment="1">
      <alignment horizontal="left"/>
    </xf>
    <xf numFmtId="0" fontId="4" fillId="20" borderId="0" xfId="0" applyFont="1" applyFill="1" applyBorder="1" applyAlignment="1">
      <alignment horizontal="left"/>
    </xf>
    <xf numFmtId="164" fontId="53" fillId="20" borderId="0" xfId="1" applyNumberFormat="1" applyFont="1" applyFill="1" applyBorder="1" applyAlignment="1">
      <alignment horizontal="center" wrapText="1"/>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15" xfId="1" applyNumberFormat="1" applyFont="1" applyFill="1" applyBorder="1"/>
    <xf numFmtId="164" fontId="52" fillId="20" borderId="42" xfId="1" applyNumberFormat="1" applyFont="1" applyFill="1" applyBorder="1"/>
    <xf numFmtId="38" fontId="52" fillId="20" borderId="0" xfId="0" applyNumberFormat="1" applyFont="1" applyFill="1" applyBorder="1"/>
    <xf numFmtId="164" fontId="52" fillId="20" borderId="16" xfId="0" applyNumberFormat="1" applyFont="1" applyFill="1" applyBorder="1"/>
    <xf numFmtId="164" fontId="52" fillId="20" borderId="47" xfId="1" applyNumberFormat="1" applyFont="1" applyFill="1" applyBorder="1"/>
    <xf numFmtId="0" fontId="52" fillId="20" borderId="2" xfId="0" applyFont="1" applyFill="1" applyBorder="1"/>
    <xf numFmtId="164" fontId="3" fillId="20" borderId="2" xfId="1" applyNumberFormat="1"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3" xfId="0" applyNumberFormat="1" applyFont="1" applyFill="1" applyBorder="1"/>
    <xf numFmtId="164" fontId="52" fillId="20" borderId="50" xfId="1" applyNumberFormat="1" applyFont="1" applyFill="1" applyBorder="1"/>
    <xf numFmtId="0" fontId="52" fillId="20" borderId="5" xfId="0" applyFont="1" applyFill="1" applyBorder="1"/>
    <xf numFmtId="164" fontId="3" fillId="20" borderId="5" xfId="1" applyNumberFormat="1"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9" xfId="0" applyNumberFormat="1" applyFont="1" applyFill="1" applyBorder="1"/>
    <xf numFmtId="49" fontId="57" fillId="20" borderId="12" xfId="19632" applyNumberFormat="1" applyFont="1" applyFill="1" applyBorder="1" applyAlignment="1">
      <alignment horizontal="left"/>
    </xf>
    <xf numFmtId="38" fontId="52" fillId="20" borderId="13" xfId="0" applyNumberFormat="1" applyFont="1" applyFill="1" applyBorder="1"/>
    <xf numFmtId="164" fontId="52" fillId="20" borderId="14" xfId="0" applyNumberFormat="1" applyFont="1" applyFill="1" applyBorder="1"/>
    <xf numFmtId="49" fontId="57" fillId="20" borderId="15" xfId="19632" applyNumberFormat="1" applyFont="1" applyFill="1" applyBorder="1" applyAlignment="1">
      <alignment horizontal="left"/>
    </xf>
    <xf numFmtId="49" fontId="57" fillId="20" borderId="47" xfId="19632" applyNumberFormat="1" applyFont="1" applyFill="1" applyBorder="1" applyAlignment="1">
      <alignment horizontal="left"/>
    </xf>
    <xf numFmtId="0" fontId="52" fillId="0" borderId="0" xfId="0" applyFont="1" applyFill="1"/>
    <xf numFmtId="49" fontId="57" fillId="20" borderId="24" xfId="19632" applyNumberFormat="1" applyFont="1" applyFill="1" applyBorder="1" applyAlignment="1">
      <alignment horizontal="left"/>
    </xf>
    <xf numFmtId="0" fontId="52" fillId="20" borderId="17" xfId="0" applyFont="1" applyFill="1" applyBorder="1"/>
    <xf numFmtId="49" fontId="57" fillId="23" borderId="17" xfId="19632" applyNumberFormat="1" applyFont="1" applyFill="1" applyBorder="1" applyAlignment="1">
      <alignment horizontal="left"/>
    </xf>
    <xf numFmtId="0" fontId="52" fillId="20" borderId="48" xfId="0" applyFont="1" applyFill="1" applyBorder="1"/>
    <xf numFmtId="164" fontId="52" fillId="20" borderId="48" xfId="1" applyNumberFormat="1" applyFont="1" applyFill="1" applyBorder="1"/>
    <xf numFmtId="38" fontId="52" fillId="20" borderId="48" xfId="0" applyNumberFormat="1" applyFont="1" applyFill="1" applyBorder="1"/>
    <xf numFmtId="164" fontId="52" fillId="20" borderId="25"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164" fontId="52" fillId="20" borderId="13" xfId="1" applyNumberFormat="1" applyFont="1" applyFill="1" applyBorder="1"/>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52" xfId="38578" applyFont="1" applyFill="1" applyBorder="1" applyAlignment="1">
      <alignment horizontal="left"/>
    </xf>
    <xf numFmtId="0" fontId="4" fillId="20" borderId="53" xfId="0" applyFont="1" applyFill="1" applyBorder="1" applyAlignment="1">
      <alignment horizontal="center" wrapText="1"/>
    </xf>
    <xf numFmtId="0" fontId="3" fillId="20" borderId="53" xfId="0" applyFont="1" applyFill="1" applyBorder="1" applyAlignment="1">
      <alignment horizontal="center"/>
    </xf>
    <xf numFmtId="0" fontId="3" fillId="20" borderId="54" xfId="0" applyFont="1" applyFill="1" applyBorder="1" applyAlignment="1">
      <alignment horizontal="center"/>
    </xf>
    <xf numFmtId="0" fontId="45" fillId="0" borderId="15"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9" xfId="0" applyFont="1" applyFill="1" applyBorder="1" applyAlignment="1">
      <alignment vertical="top" wrapText="1"/>
    </xf>
    <xf numFmtId="0" fontId="58" fillId="0" borderId="9" xfId="0" applyFont="1" applyFill="1" applyBorder="1" applyAlignment="1">
      <alignment vertical="top"/>
    </xf>
    <xf numFmtId="167" fontId="58" fillId="0" borderId="9" xfId="2" applyNumberFormat="1" applyFont="1" applyFill="1" applyBorder="1" applyAlignment="1">
      <alignment vertical="top"/>
    </xf>
    <xf numFmtId="0" fontId="58" fillId="0" borderId="16" xfId="0" applyFont="1" applyFill="1" applyBorder="1" applyAlignment="1">
      <alignment wrapText="1"/>
    </xf>
    <xf numFmtId="0" fontId="45" fillId="0" borderId="0" xfId="0" applyFont="1" applyFill="1" applyBorder="1" applyAlignment="1">
      <alignment horizontal="left" vertical="top" wrapText="1"/>
    </xf>
    <xf numFmtId="0" fontId="45" fillId="0" borderId="0" xfId="0" applyFont="1" applyFill="1" applyBorder="1" applyAlignment="1">
      <alignment vertical="top" wrapText="1"/>
    </xf>
    <xf numFmtId="0" fontId="45" fillId="0" borderId="0" xfId="0" applyFont="1" applyFill="1" applyBorder="1" applyAlignment="1">
      <alignment horizontal="center" vertical="top"/>
    </xf>
    <xf numFmtId="167" fontId="60" fillId="0" borderId="0" xfId="2" applyNumberFormat="1" applyFont="1" applyFill="1" applyBorder="1"/>
    <xf numFmtId="0" fontId="45" fillId="0" borderId="9" xfId="0" applyFont="1" applyFill="1" applyBorder="1" applyAlignment="1">
      <alignment vertical="top" wrapText="1"/>
    </xf>
    <xf numFmtId="0" fontId="45" fillId="0" borderId="9" xfId="0" applyFont="1" applyFill="1" applyBorder="1" applyAlignment="1">
      <alignment vertical="top"/>
    </xf>
    <xf numFmtId="167" fontId="45" fillId="0" borderId="9" xfId="2" applyNumberFormat="1" applyFont="1" applyFill="1" applyBorder="1" applyAlignment="1">
      <alignment vertical="top"/>
    </xf>
    <xf numFmtId="0" fontId="45" fillId="0" borderId="16" xfId="0" applyFont="1" applyFill="1" applyBorder="1" applyAlignment="1">
      <alignment wrapText="1"/>
    </xf>
    <xf numFmtId="167" fontId="45" fillId="0" borderId="0" xfId="2" applyNumberFormat="1" applyFont="1" applyFill="1" applyBorder="1"/>
    <xf numFmtId="0" fontId="45" fillId="0" borderId="16"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167" fontId="61" fillId="0" borderId="0" xfId="2" applyNumberFormat="1" applyFont="1" applyFill="1" applyBorder="1"/>
    <xf numFmtId="178" fontId="45" fillId="0" borderId="16" xfId="0" applyNumberFormat="1" applyFont="1" applyFill="1" applyBorder="1" applyAlignment="1">
      <alignment wrapText="1"/>
    </xf>
    <xf numFmtId="0" fontId="45" fillId="0" borderId="19" xfId="0" applyFont="1" applyFill="1" applyBorder="1" applyAlignment="1">
      <alignment vertical="top"/>
    </xf>
    <xf numFmtId="0" fontId="45" fillId="0" borderId="19" xfId="0" applyFont="1" applyFill="1" applyBorder="1" applyAlignment="1">
      <alignment horizontal="left" vertical="top"/>
    </xf>
    <xf numFmtId="0" fontId="45" fillId="0" borderId="19" xfId="0" applyFont="1" applyFill="1" applyBorder="1" applyAlignment="1">
      <alignment horizontal="center" vertical="top"/>
    </xf>
    <xf numFmtId="167" fontId="60" fillId="0" borderId="9" xfId="2" applyNumberFormat="1" applyFont="1" applyFill="1" applyBorder="1" applyAlignment="1">
      <alignment vertical="top"/>
    </xf>
    <xf numFmtId="167" fontId="61" fillId="0" borderId="9" xfId="2" applyNumberFormat="1" applyFont="1" applyFill="1" applyBorder="1" applyAlignment="1">
      <alignment vertical="top"/>
    </xf>
    <xf numFmtId="0" fontId="47" fillId="0" borderId="0" xfId="0" applyFont="1" applyFill="1" applyBorder="1" applyAlignment="1">
      <alignment vertical="top"/>
    </xf>
    <xf numFmtId="167" fontId="60" fillId="0" borderId="19" xfId="2" applyNumberFormat="1" applyFont="1" applyFill="1" applyBorder="1" applyAlignment="1">
      <alignment vertical="top"/>
    </xf>
    <xf numFmtId="0" fontId="45" fillId="0" borderId="42" xfId="0" applyFont="1" applyFill="1" applyBorder="1" applyAlignment="1">
      <alignment wrapText="1"/>
    </xf>
    <xf numFmtId="167" fontId="45" fillId="0" borderId="19" xfId="2" applyNumberFormat="1" applyFont="1" applyFill="1" applyBorder="1" applyAlignment="1">
      <alignment vertical="top"/>
    </xf>
    <xf numFmtId="178" fontId="45" fillId="0" borderId="42" xfId="0" applyNumberFormat="1" applyFont="1" applyFill="1" applyBorder="1" applyAlignment="1">
      <alignment wrapText="1"/>
    </xf>
    <xf numFmtId="0" fontId="45" fillId="0" borderId="0" xfId="0" applyFont="1" applyFill="1" applyBorder="1"/>
    <xf numFmtId="0" fontId="58" fillId="0" borderId="0" xfId="0" applyFont="1" applyFill="1" applyBorder="1" applyAlignment="1">
      <alignment wrapText="1"/>
    </xf>
    <xf numFmtId="0" fontId="45" fillId="0" borderId="0" xfId="0" applyFont="1" applyFill="1" applyBorder="1" applyAlignment="1">
      <alignment wrapText="1"/>
    </xf>
    <xf numFmtId="0" fontId="45" fillId="0" borderId="9" xfId="0" applyFont="1" applyFill="1" applyBorder="1" applyAlignment="1">
      <alignment horizontal="left" vertical="top"/>
    </xf>
    <xf numFmtId="0" fontId="45" fillId="0" borderId="9" xfId="0" applyFont="1" applyFill="1" applyBorder="1" applyAlignment="1">
      <alignment horizontal="center" vertical="top"/>
    </xf>
    <xf numFmtId="167" fontId="45" fillId="0" borderId="16" xfId="2" applyNumberFormat="1" applyFont="1" applyFill="1" applyBorder="1" applyAlignment="1">
      <alignment wrapText="1"/>
    </xf>
    <xf numFmtId="0" fontId="45" fillId="0" borderId="0" xfId="0" applyFont="1" applyFill="1" applyBorder="1" applyAlignment="1">
      <alignment horizontal="left" vertical="top"/>
    </xf>
    <xf numFmtId="0" fontId="49" fillId="0" borderId="0" xfId="0" applyFont="1" applyFill="1" applyBorder="1" applyAlignment="1">
      <alignment horizontal="center" readingOrder="1"/>
    </xf>
    <xf numFmtId="0" fontId="47" fillId="24" borderId="15" xfId="0" applyFont="1" applyFill="1" applyBorder="1" applyAlignment="1">
      <alignment horizontal="left" vertical="top"/>
    </xf>
    <xf numFmtId="0" fontId="49" fillId="0" borderId="0" xfId="0" applyFont="1" applyFill="1" applyBorder="1" applyAlignment="1">
      <alignment horizontal="left" vertical="top"/>
    </xf>
    <xf numFmtId="0" fontId="49" fillId="0" borderId="0" xfId="0" applyFont="1" applyFill="1" applyBorder="1"/>
    <xf numFmtId="0" fontId="49" fillId="0" borderId="51" xfId="0" applyFont="1" applyFill="1" applyBorder="1"/>
    <xf numFmtId="0" fontId="47" fillId="0" borderId="15" xfId="0" applyFont="1" applyFill="1" applyBorder="1" applyAlignment="1">
      <alignment horizontal="left" vertical="top"/>
    </xf>
    <xf numFmtId="0" fontId="47" fillId="0" borderId="0" xfId="0" applyFont="1" applyFill="1" applyBorder="1" applyAlignment="1">
      <alignment horizontal="left" vertical="top"/>
    </xf>
    <xf numFmtId="0" fontId="47" fillId="25" borderId="0" xfId="0" applyFont="1" applyFill="1" applyBorder="1"/>
    <xf numFmtId="0" fontId="47" fillId="0" borderId="51" xfId="0" applyFont="1" applyFill="1" applyBorder="1"/>
    <xf numFmtId="0" fontId="47" fillId="0" borderId="0" xfId="0" applyFont="1" applyFill="1" applyBorder="1"/>
    <xf numFmtId="164" fontId="3" fillId="0" borderId="0" xfId="1" applyNumberFormat="1" applyFont="1" applyFill="1" applyBorder="1" applyAlignment="1">
      <alignment horizontal="left"/>
    </xf>
    <xf numFmtId="164" fontId="3" fillId="20" borderId="0" xfId="0" applyNumberFormat="1" applyFont="1" applyFill="1" applyBorder="1"/>
    <xf numFmtId="0" fontId="58" fillId="0" borderId="0" xfId="0" applyFont="1" applyFill="1" applyBorder="1"/>
    <xf numFmtId="0" fontId="45" fillId="0" borderId="0" xfId="0" applyFont="1" applyFill="1" applyBorder="1" applyAlignment="1">
      <alignment vertical="top"/>
    </xf>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0" fontId="47" fillId="20" borderId="0" xfId="0" applyFont="1" applyFill="1" applyBorder="1" applyAlignment="1">
      <alignment horizontal="center"/>
    </xf>
    <xf numFmtId="0" fontId="47" fillId="20" borderId="0" xfId="0" applyFont="1" applyFill="1" applyBorder="1" applyAlignment="1">
      <alignment wrapText="1"/>
    </xf>
    <xf numFmtId="3" fontId="47" fillId="20" borderId="0" xfId="0" applyNumberFormat="1" applyFont="1" applyFill="1" applyBorder="1" applyAlignment="1">
      <alignment horizontal="right"/>
    </xf>
    <xf numFmtId="0" fontId="46" fillId="20" borderId="0" xfId="0" applyFont="1" applyFill="1" applyBorder="1"/>
    <xf numFmtId="0" fontId="47" fillId="20" borderId="10" xfId="0" applyFont="1" applyFill="1" applyBorder="1" applyAlignment="1">
      <alignment horizontal="center"/>
    </xf>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38" fontId="47" fillId="20" borderId="0" xfId="0" applyNumberFormat="1" applyFont="1" applyFill="1" applyBorder="1"/>
    <xf numFmtId="170" fontId="47" fillId="20" borderId="0" xfId="3" applyNumberFormat="1" applyFont="1" applyFill="1" applyBorder="1"/>
    <xf numFmtId="167" fontId="47" fillId="20" borderId="0" xfId="2" applyNumberFormat="1" applyFont="1" applyFill="1" applyBorder="1"/>
    <xf numFmtId="167" fontId="47" fillId="20" borderId="0" xfId="0" applyNumberFormat="1" applyFont="1" applyFill="1" applyBorder="1"/>
    <xf numFmtId="164" fontId="47" fillId="20" borderId="0" xfId="1"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4" fillId="20" borderId="13" xfId="38578" applyFont="1" applyFill="1" applyBorder="1" applyAlignment="1">
      <alignment horizontal="center"/>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7" xfId="38578" applyFont="1" applyFill="1" applyBorder="1"/>
    <xf numFmtId="0" fontId="3" fillId="20" borderId="11" xfId="38578" applyFont="1" applyFill="1" applyBorder="1" applyAlignment="1">
      <alignment horizontal="center"/>
    </xf>
    <xf numFmtId="3" fontId="3" fillId="20" borderId="37" xfId="38578" applyNumberFormat="1" applyFont="1" applyFill="1" applyBorder="1" applyAlignment="1">
      <alignment horizontal="center"/>
    </xf>
    <xf numFmtId="0" fontId="3" fillId="20" borderId="14" xfId="38578" applyNumberFormat="1" applyFont="1" applyFill="1" applyBorder="1"/>
    <xf numFmtId="0" fontId="3" fillId="20" borderId="55" xfId="38578" applyNumberFormat="1" applyFont="1" applyFill="1" applyBorder="1"/>
    <xf numFmtId="37" fontId="3" fillId="20" borderId="36" xfId="38578" applyNumberFormat="1" applyFont="1" applyFill="1" applyBorder="1" applyAlignment="1">
      <alignment horizontal="right"/>
    </xf>
    <xf numFmtId="0" fontId="65" fillId="0" borderId="0" xfId="0" applyFont="1"/>
    <xf numFmtId="164" fontId="3" fillId="20" borderId="16" xfId="0" applyNumberFormat="1" applyFont="1" applyFill="1" applyBorder="1"/>
    <xf numFmtId="0" fontId="3" fillId="20" borderId="10" xfId="0" applyFont="1" applyFill="1" applyBorder="1"/>
    <xf numFmtId="164" fontId="3" fillId="20" borderId="10" xfId="1" applyNumberFormat="1" applyFont="1" applyFill="1" applyBorder="1"/>
    <xf numFmtId="164" fontId="52" fillId="20" borderId="0" xfId="1" applyNumberFormat="1" applyFont="1" applyFill="1" applyBorder="1" applyAlignment="1">
      <alignment horizontal="center" wrapText="1"/>
    </xf>
    <xf numFmtId="164" fontId="3" fillId="20" borderId="22" xfId="1" applyNumberFormat="1" applyFont="1" applyFill="1" applyBorder="1"/>
    <xf numFmtId="0" fontId="47" fillId="20" borderId="5" xfId="0" applyFont="1" applyFill="1" applyBorder="1" applyAlignment="1">
      <alignment horizontal="center"/>
    </xf>
    <xf numFmtId="0" fontId="48" fillId="20" borderId="5" xfId="0" applyFont="1" applyFill="1" applyBorder="1" applyAlignment="1">
      <alignment horizontal="left"/>
    </xf>
    <xf numFmtId="5" fontId="48" fillId="20" borderId="5" xfId="0" applyNumberFormat="1" applyFont="1" applyFill="1" applyBorder="1"/>
    <xf numFmtId="38" fontId="48" fillId="20" borderId="5" xfId="0" applyNumberFormat="1" applyFont="1" applyFill="1" applyBorder="1"/>
    <xf numFmtId="0" fontId="48" fillId="20" borderId="5" xfId="0" applyFont="1" applyFill="1" applyBorder="1"/>
    <xf numFmtId="0" fontId="49" fillId="20" borderId="5" xfId="0" applyFont="1" applyFill="1" applyBorder="1" applyAlignment="1">
      <alignment horizontal="center"/>
    </xf>
    <xf numFmtId="164" fontId="48" fillId="20" borderId="5" xfId="0" applyNumberFormat="1"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164" fontId="3" fillId="21" borderId="11" xfId="1" applyNumberFormat="1" applyFont="1" applyFill="1" applyBorder="1" applyAlignment="1">
      <alignment horizontal="right"/>
    </xf>
    <xf numFmtId="9" fontId="3" fillId="20" borderId="13" xfId="3" applyFont="1" applyFill="1" applyBorder="1" applyAlignment="1">
      <alignment horizontal="right"/>
    </xf>
    <xf numFmtId="0" fontId="3" fillId="20" borderId="6" xfId="38578" applyNumberFormat="1" applyFont="1" applyFill="1" applyBorder="1" applyAlignment="1">
      <alignment horizontal="center"/>
    </xf>
    <xf numFmtId="17" fontId="3" fillId="20" borderId="19" xfId="38578" applyNumberFormat="1" applyFont="1" applyFill="1" applyBorder="1"/>
    <xf numFmtId="164" fontId="3" fillId="21" borderId="32" xfId="1" applyNumberFormat="1" applyFont="1" applyFill="1" applyBorder="1" applyAlignment="1">
      <alignment horizontal="right"/>
    </xf>
    <xf numFmtId="0" fontId="3" fillId="20" borderId="10" xfId="38578" applyNumberFormat="1" applyFont="1" applyFill="1" applyBorder="1"/>
    <xf numFmtId="0" fontId="3" fillId="20" borderId="22" xfId="38578" applyNumberFormat="1" applyFont="1" applyFill="1" applyBorder="1"/>
    <xf numFmtId="0" fontId="3" fillId="20" borderId="21" xfId="38578" applyNumberFormat="1" applyFont="1" applyFill="1" applyBorder="1"/>
    <xf numFmtId="164" fontId="3" fillId="20" borderId="7" xfId="1" applyNumberFormat="1" applyFont="1" applyFill="1" applyBorder="1" applyAlignment="1">
      <alignment horizontal="right"/>
    </xf>
    <xf numFmtId="0" fontId="3" fillId="20" borderId="21" xfId="38578" applyNumberFormat="1" applyFont="1" applyFill="1" applyBorder="1" applyAlignment="1">
      <alignment horizontal="center"/>
    </xf>
    <xf numFmtId="0" fontId="3" fillId="20" borderId="19" xfId="38578" applyNumberFormat="1" applyFont="1" applyFill="1" applyBorder="1"/>
    <xf numFmtId="167" fontId="3" fillId="20" borderId="44" xfId="2" applyNumberFormat="1" applyFont="1" applyFill="1" applyBorder="1"/>
    <xf numFmtId="167" fontId="3" fillId="20" borderId="49" xfId="2" applyNumberFormat="1" applyFont="1" applyFill="1" applyBorder="1"/>
    <xf numFmtId="167" fontId="3" fillId="20" borderId="6" xfId="2" applyNumberFormat="1" applyFont="1" applyFill="1" applyBorder="1"/>
    <xf numFmtId="0" fontId="3" fillId="20" borderId="15" xfId="38578" applyFont="1" applyFill="1" applyBorder="1" applyAlignment="1">
      <alignment horizontal="left"/>
    </xf>
    <xf numFmtId="0" fontId="3" fillId="20" borderId="53" xfId="38578" applyFont="1" applyFill="1" applyBorder="1" applyAlignment="1">
      <alignment horizontal="left"/>
    </xf>
    <xf numFmtId="0" fontId="3" fillId="20" borderId="15" xfId="38578" applyFont="1" applyFill="1" applyBorder="1"/>
    <xf numFmtId="37" fontId="3" fillId="20" borderId="33" xfId="38578" applyNumberFormat="1" applyFont="1" applyFill="1" applyBorder="1"/>
    <xf numFmtId="37" fontId="3" fillId="20" borderId="56" xfId="38578" applyNumberFormat="1" applyFont="1" applyFill="1" applyBorder="1"/>
    <xf numFmtId="37" fontId="3" fillId="20" borderId="27"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0" fontId="3" fillId="20" borderId="12" xfId="38578" applyFont="1" applyFill="1" applyBorder="1"/>
    <xf numFmtId="9" fontId="52" fillId="20" borderId="0" xfId="3" applyNumberFormat="1" applyFont="1" applyFill="1" applyBorder="1"/>
    <xf numFmtId="9" fontId="52" fillId="20" borderId="5" xfId="3" applyNumberFormat="1" applyFont="1" applyFill="1" applyBorder="1"/>
    <xf numFmtId="0" fontId="66" fillId="0" borderId="0" xfId="42327" applyNumberFormat="1" applyFill="1"/>
    <xf numFmtId="0" fontId="66" fillId="0" borderId="0" xfId="42327" applyBorder="1"/>
    <xf numFmtId="0" fontId="66" fillId="0" borderId="0" xfId="42327"/>
    <xf numFmtId="0" fontId="66" fillId="0" borderId="0" xfId="42327" applyFill="1" applyBorder="1" applyAlignment="1">
      <alignment horizontal="center"/>
    </xf>
    <xf numFmtId="0" fontId="66" fillId="0" borderId="0" xfId="42327" applyFill="1" applyBorder="1"/>
    <xf numFmtId="0" fontId="0" fillId="20" borderId="15" xfId="0" applyFont="1" applyFill="1" applyBorder="1" applyAlignment="1">
      <alignment horizontal="center"/>
    </xf>
    <xf numFmtId="164" fontId="52" fillId="20" borderId="0" xfId="0" applyNumberFormat="1" applyFont="1" applyFill="1" applyBorder="1"/>
    <xf numFmtId="0" fontId="52" fillId="0" borderId="17" xfId="0" applyFont="1" applyBorder="1"/>
    <xf numFmtId="164" fontId="52" fillId="20" borderId="25" xfId="1" applyNumberFormat="1" applyFont="1" applyFill="1" applyBorder="1"/>
    <xf numFmtId="37" fontId="3" fillId="20" borderId="56" xfId="38578" applyNumberFormat="1" applyFont="1" applyFill="1" applyBorder="1" applyAlignment="1">
      <alignment horizontal="right"/>
    </xf>
    <xf numFmtId="0" fontId="69" fillId="20" borderId="9" xfId="38578" applyFont="1" applyFill="1" applyBorder="1"/>
    <xf numFmtId="37" fontId="3" fillId="21" borderId="0" xfId="38578" applyNumberFormat="1" applyFont="1" applyFill="1" applyBorder="1" applyAlignment="1">
      <alignment horizontal="right"/>
    </xf>
    <xf numFmtId="0" fontId="4" fillId="20" borderId="55" xfId="0" applyFont="1" applyFill="1" applyBorder="1" applyAlignment="1">
      <alignment horizontal="left"/>
    </xf>
    <xf numFmtId="164" fontId="53" fillId="20" borderId="55" xfId="1" applyNumberFormat="1" applyFont="1" applyFill="1" applyBorder="1" applyAlignment="1">
      <alignment horizontal="center" wrapText="1"/>
    </xf>
    <xf numFmtId="164" fontId="53" fillId="20" borderId="55" xfId="1" applyNumberFormat="1" applyFont="1" applyFill="1" applyBorder="1" applyAlignment="1">
      <alignment horizontal="center"/>
    </xf>
    <xf numFmtId="38" fontId="53" fillId="20" borderId="55" xfId="0" applyNumberFormat="1" applyFont="1" applyFill="1" applyBorder="1" applyAlignment="1">
      <alignment horizontal="center"/>
    </xf>
    <xf numFmtId="0" fontId="53" fillId="20" borderId="55" xfId="0" applyFont="1" applyFill="1" applyBorder="1" applyAlignment="1">
      <alignment horizontal="center"/>
    </xf>
    <xf numFmtId="164" fontId="53" fillId="20" borderId="35" xfId="0" applyNumberFormat="1" applyFont="1" applyFill="1" applyBorder="1" applyAlignment="1">
      <alignment horizontal="center" wrapText="1"/>
    </xf>
    <xf numFmtId="0" fontId="3" fillId="20" borderId="15" xfId="0" applyFont="1" applyFill="1" applyBorder="1" applyAlignment="1">
      <alignment horizontal="center"/>
    </xf>
    <xf numFmtId="38" fontId="48" fillId="20" borderId="0" xfId="0" applyNumberFormat="1" applyFont="1" applyFill="1" applyBorder="1"/>
    <xf numFmtId="0" fontId="46" fillId="20" borderId="10" xfId="0" applyFont="1" applyFill="1" applyBorder="1"/>
    <xf numFmtId="164" fontId="46" fillId="20" borderId="0" xfId="1" applyNumberFormat="1" applyFont="1" applyFill="1" applyBorder="1"/>
    <xf numFmtId="37" fontId="48" fillId="20" borderId="0" xfId="0" applyNumberFormat="1" applyFont="1" applyFill="1" applyBorder="1"/>
    <xf numFmtId="164" fontId="48" fillId="20" borderId="0" xfId="0" applyNumberFormat="1" applyFont="1" applyFill="1" applyBorder="1"/>
    <xf numFmtId="0" fontId="45" fillId="20" borderId="10" xfId="0"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10" fontId="46" fillId="20" borderId="0" xfId="3" applyNumberFormat="1" applyFont="1" applyFill="1" applyBorder="1"/>
    <xf numFmtId="37" fontId="46" fillId="20" borderId="0" xfId="0" applyNumberFormat="1" applyFont="1" applyFill="1" applyBorder="1"/>
    <xf numFmtId="38" fontId="3" fillId="20" borderId="7" xfId="38578" applyNumberFormat="1" applyFont="1" applyFill="1" applyBorder="1"/>
    <xf numFmtId="10" fontId="3" fillId="20" borderId="7" xfId="3" applyNumberFormat="1" applyFont="1" applyFill="1" applyBorder="1" applyAlignment="1">
      <alignment horizontal="right"/>
    </xf>
    <xf numFmtId="0" fontId="3" fillId="20" borderId="58" xfId="38578" applyFont="1" applyFill="1" applyBorder="1"/>
    <xf numFmtId="0" fontId="3" fillId="20" borderId="10" xfId="38578" applyFont="1" applyFill="1" applyBorder="1"/>
    <xf numFmtId="0" fontId="0" fillId="26" borderId="0" xfId="0" applyFill="1"/>
    <xf numFmtId="5" fontId="46" fillId="20" borderId="0" xfId="0" applyNumberFormat="1" applyFont="1" applyFill="1" applyBorder="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9" fillId="20" borderId="16" xfId="0" applyFont="1" applyFill="1" applyBorder="1"/>
    <xf numFmtId="0" fontId="69" fillId="20" borderId="16" xfId="0" quotePrefix="1" applyFont="1" applyFill="1" applyBorder="1"/>
    <xf numFmtId="49" fontId="3" fillId="20" borderId="15" xfId="38790" applyNumberFormat="1" applyFont="1" applyFill="1" applyBorder="1" applyAlignment="1">
      <alignment horizontal="center"/>
    </xf>
    <xf numFmtId="164" fontId="53" fillId="20" borderId="2" xfId="1" applyNumberFormat="1" applyFont="1" applyFill="1" applyBorder="1"/>
    <xf numFmtId="164" fontId="53" fillId="20" borderId="5" xfId="1" applyNumberFormat="1" applyFont="1" applyFill="1" applyBorder="1"/>
    <xf numFmtId="0" fontId="53" fillId="20" borderId="48" xfId="0" applyFont="1" applyFill="1" applyBorder="1"/>
    <xf numFmtId="0" fontId="3" fillId="20" borderId="61" xfId="38578" applyFont="1" applyFill="1" applyBorder="1" applyAlignment="1">
      <alignment horizontal="left"/>
    </xf>
    <xf numFmtId="0" fontId="3" fillId="20" borderId="51" xfId="38578" applyFont="1" applyFill="1" applyBorder="1" applyAlignment="1">
      <alignment horizontal="left"/>
    </xf>
    <xf numFmtId="0" fontId="3" fillId="20" borderId="51" xfId="38578" applyFont="1" applyFill="1" applyBorder="1" applyAlignment="1"/>
    <xf numFmtId="38" fontId="3" fillId="20" borderId="51" xfId="0" applyNumberFormat="1" applyFont="1" applyFill="1" applyBorder="1"/>
    <xf numFmtId="38" fontId="4" fillId="20" borderId="51" xfId="0" applyNumberFormat="1" applyFont="1" applyFill="1" applyBorder="1" applyAlignment="1">
      <alignment horizontal="center"/>
    </xf>
    <xf numFmtId="164" fontId="53" fillId="20" borderId="51" xfId="1" applyNumberFormat="1" applyFont="1" applyFill="1" applyBorder="1"/>
    <xf numFmtId="164" fontId="52" fillId="20" borderId="51" xfId="1" applyNumberFormat="1" applyFont="1" applyFill="1" applyBorder="1"/>
    <xf numFmtId="0" fontId="53" fillId="20" borderId="62" xfId="0" applyFont="1" applyFill="1" applyBorder="1"/>
    <xf numFmtId="0" fontId="70" fillId="20" borderId="16" xfId="0"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68" fillId="20" borderId="15" xfId="0" applyFont="1" applyFill="1" applyBorder="1" applyAlignment="1">
      <alignment horizontal="left"/>
    </xf>
    <xf numFmtId="0" fontId="68" fillId="20" borderId="16" xfId="0" applyFont="1" applyFill="1" applyBorder="1" applyAlignment="1">
      <alignment horizontal="left"/>
    </xf>
    <xf numFmtId="0" fontId="66" fillId="20" borderId="16" xfId="42327" applyFill="1" applyBorder="1"/>
    <xf numFmtId="0" fontId="0" fillId="20" borderId="17" xfId="0" applyFill="1" applyBorder="1"/>
    <xf numFmtId="0" fontId="0" fillId="20" borderId="18" xfId="0" applyFill="1" applyBorder="1"/>
    <xf numFmtId="9" fontId="48" fillId="20" borderId="5" xfId="3" applyFont="1" applyFill="1" applyBorder="1"/>
    <xf numFmtId="0" fontId="4" fillId="20" borderId="24" xfId="0" applyFont="1" applyFill="1" applyBorder="1" applyAlignment="1">
      <alignment horizontal="center" wrapText="1"/>
    </xf>
    <xf numFmtId="38" fontId="4" fillId="20" borderId="63" xfId="0" applyNumberFormat="1" applyFont="1" applyFill="1" applyBorder="1" applyAlignment="1">
      <alignment horizontal="center" vertical="top"/>
    </xf>
    <xf numFmtId="0" fontId="4" fillId="20" borderId="10" xfId="0" applyFont="1" applyFill="1" applyBorder="1" applyAlignment="1">
      <alignment horizontal="left" vertical="top"/>
    </xf>
    <xf numFmtId="0" fontId="4" fillId="20" borderId="10" xfId="0" applyFont="1" applyFill="1" applyBorder="1" applyAlignment="1">
      <alignment horizontal="left"/>
    </xf>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164" fontId="4" fillId="20" borderId="22" xfId="1"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applyAlignment="1">
      <alignment horizontal="left" vertical="top" wrapText="1"/>
    </xf>
    <xf numFmtId="0" fontId="45" fillId="20" borderId="13" xfId="0" applyFont="1" applyFill="1" applyBorder="1"/>
    <xf numFmtId="0" fontId="45" fillId="20" borderId="13" xfId="0" applyFont="1" applyFill="1" applyBorder="1" applyAlignment="1">
      <alignment horizontal="center" vertical="top"/>
    </xf>
    <xf numFmtId="167" fontId="45" fillId="20" borderId="13" xfId="2" applyNumberFormat="1" applyFont="1" applyFill="1" applyBorder="1"/>
    <xf numFmtId="0" fontId="45" fillId="20" borderId="14" xfId="0" applyFont="1" applyFill="1" applyBorder="1"/>
    <xf numFmtId="0" fontId="45" fillId="20" borderId="0" xfId="0" applyFont="1" applyFill="1" applyBorder="1" applyAlignment="1">
      <alignment horizontal="left" vertical="top"/>
    </xf>
    <xf numFmtId="0" fontId="45" fillId="20" borderId="0" xfId="0" applyFont="1" applyFill="1" applyBorder="1" applyAlignment="1">
      <alignment horizontal="left" vertical="top" wrapText="1"/>
    </xf>
    <xf numFmtId="0" fontId="45" fillId="20" borderId="0" xfId="0" applyFont="1" applyFill="1" applyBorder="1" applyAlignment="1">
      <alignment horizontal="center" vertical="top"/>
    </xf>
    <xf numFmtId="167" fontId="45" fillId="20" borderId="0" xfId="2" applyNumberFormat="1" applyFont="1" applyFill="1" applyBorder="1"/>
    <xf numFmtId="0" fontId="45" fillId="20" borderId="16" xfId="0" applyFont="1" applyFill="1" applyBorder="1"/>
    <xf numFmtId="0" fontId="45" fillId="0" borderId="0" xfId="0" applyFont="1" applyFill="1" applyBorder="1" applyAlignment="1">
      <alignment horizontal="center" vertical="top" readingOrder="1"/>
    </xf>
    <xf numFmtId="167" fontId="60" fillId="20" borderId="0" xfId="0" applyNumberFormat="1" applyFont="1" applyFill="1" applyBorder="1"/>
    <xf numFmtId="0" fontId="58" fillId="20" borderId="0" xfId="0" applyFont="1" applyFill="1" applyBorder="1" applyAlignment="1">
      <alignment horizontal="left" vertical="top"/>
    </xf>
    <xf numFmtId="0" fontId="45"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45" fillId="20" borderId="7" xfId="0" applyFont="1" applyFill="1" applyBorder="1" applyAlignment="1">
      <alignment horizontal="left" vertical="top"/>
    </xf>
    <xf numFmtId="0" fontId="4" fillId="20" borderId="13" xfId="0" applyFont="1" applyFill="1" applyBorder="1" applyAlignment="1">
      <alignment horizontal="left"/>
    </xf>
    <xf numFmtId="0" fontId="71" fillId="20" borderId="15" xfId="0" applyFont="1" applyFill="1" applyBorder="1" applyAlignment="1">
      <alignment horizontal="left" vertical="top"/>
    </xf>
    <xf numFmtId="0" fontId="58" fillId="0" borderId="15" xfId="0" applyFont="1" applyFill="1" applyBorder="1" applyAlignment="1">
      <alignment horizontal="left" vertical="top"/>
    </xf>
    <xf numFmtId="0" fontId="45" fillId="20" borderId="15" xfId="0" applyFont="1" applyFill="1" applyBorder="1" applyAlignment="1">
      <alignment horizontal="left" vertical="top"/>
    </xf>
    <xf numFmtId="0" fontId="45" fillId="20" borderId="15" xfId="0" applyFont="1" applyFill="1" applyBorder="1"/>
    <xf numFmtId="0" fontId="45" fillId="20" borderId="17" xfId="0" applyFont="1" applyFill="1" applyBorder="1" applyAlignment="1">
      <alignment horizontal="left" vertical="top"/>
    </xf>
    <xf numFmtId="0" fontId="45" fillId="20" borderId="48" xfId="0" applyFont="1" applyFill="1" applyBorder="1" applyAlignment="1">
      <alignment horizontal="left" vertical="top" wrapText="1"/>
    </xf>
    <xf numFmtId="0" fontId="45" fillId="20" borderId="48" xfId="0" applyFont="1" applyFill="1" applyBorder="1"/>
    <xf numFmtId="0" fontId="45" fillId="20" borderId="48" xfId="0" applyFont="1" applyFill="1" applyBorder="1" applyAlignment="1">
      <alignment horizontal="center" vertical="top"/>
    </xf>
    <xf numFmtId="167" fontId="45" fillId="20" borderId="48" xfId="2" applyNumberFormat="1" applyFont="1" applyFill="1" applyBorder="1"/>
    <xf numFmtId="0" fontId="45" fillId="20" borderId="57" xfId="0" applyFont="1" applyFill="1" applyBorder="1" applyAlignment="1">
      <alignment horizontal="left" vertical="top"/>
    </xf>
    <xf numFmtId="0" fontId="45" fillId="20" borderId="48" xfId="0" applyFont="1" applyFill="1" applyBorder="1" applyAlignment="1">
      <alignment horizontal="left" vertical="top"/>
    </xf>
    <xf numFmtId="0" fontId="58" fillId="20" borderId="15" xfId="0" applyFont="1" applyFill="1" applyBorder="1" applyAlignment="1">
      <alignment horizontal="center" vertical="center" wrapText="1" readingOrder="1"/>
    </xf>
    <xf numFmtId="0" fontId="58" fillId="20" borderId="0" xfId="0" applyFont="1" applyFill="1" applyBorder="1" applyAlignment="1">
      <alignment horizontal="center" vertical="center" wrapText="1" readingOrder="1"/>
    </xf>
    <xf numFmtId="0" fontId="58" fillId="20" borderId="6"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58" fillId="20" borderId="16" xfId="0" applyFont="1" applyFill="1" applyBorder="1" applyAlignment="1">
      <alignment horizontal="center" vertical="center" wrapText="1" readingOrder="1"/>
    </xf>
    <xf numFmtId="0" fontId="45" fillId="20" borderId="25" xfId="0" applyFont="1" applyFill="1" applyBorder="1"/>
    <xf numFmtId="0" fontId="47" fillId="20" borderId="13" xfId="0" applyFont="1" applyFill="1" applyBorder="1" applyAlignment="1">
      <alignment horizontal="left" vertical="top"/>
    </xf>
    <xf numFmtId="0" fontId="47" fillId="20" borderId="13" xfId="0" applyFont="1" applyFill="1" applyBorder="1"/>
    <xf numFmtId="0" fontId="47" fillId="20" borderId="14" xfId="0" applyFont="1" applyFill="1" applyBorder="1"/>
    <xf numFmtId="0" fontId="47" fillId="20" borderId="15" xfId="0" applyFont="1" applyFill="1" applyBorder="1" applyAlignment="1">
      <alignment horizontal="left" vertical="top"/>
    </xf>
    <xf numFmtId="0" fontId="47" fillId="20" borderId="0" xfId="0" applyFont="1" applyFill="1" applyBorder="1" applyAlignment="1">
      <alignment horizontal="left" vertical="top"/>
    </xf>
    <xf numFmtId="0" fontId="47" fillId="20" borderId="17" xfId="0" applyFont="1" applyFill="1" applyBorder="1" applyAlignment="1">
      <alignment horizontal="left" vertical="top"/>
    </xf>
    <xf numFmtId="0" fontId="72" fillId="20" borderId="7" xfId="0" applyFont="1" applyFill="1" applyBorder="1" applyAlignment="1">
      <alignment horizontal="left" vertical="top"/>
    </xf>
    <xf numFmtId="0" fontId="49" fillId="20" borderId="24" xfId="0" applyFont="1" applyFill="1" applyBorder="1" applyAlignment="1">
      <alignment horizontal="center" readingOrder="1"/>
    </xf>
    <xf numFmtId="0" fontId="49" fillId="20" borderId="0" xfId="0" applyFont="1" applyFill="1" applyBorder="1" applyAlignment="1">
      <alignment horizontal="center" readingOrder="1"/>
    </xf>
    <xf numFmtId="0" fontId="49" fillId="20" borderId="0" xfId="0" applyFont="1" applyFill="1" applyBorder="1" applyAlignment="1">
      <alignment horizontal="center" wrapText="1" readingOrder="1"/>
    </xf>
    <xf numFmtId="0" fontId="49" fillId="20" borderId="51" xfId="0" applyFont="1" applyFill="1" applyBorder="1" applyAlignment="1">
      <alignment horizontal="center" readingOrder="1"/>
    </xf>
    <xf numFmtId="49" fontId="3" fillId="20" borderId="17" xfId="38790" applyNumberFormat="1" applyFont="1" applyFill="1" applyBorder="1" applyAlignment="1">
      <alignment horizontal="center"/>
    </xf>
    <xf numFmtId="164" fontId="52" fillId="27" borderId="15" xfId="1" applyNumberFormat="1" applyFont="1" applyFill="1" applyBorder="1"/>
    <xf numFmtId="180" fontId="52" fillId="20" borderId="0" xfId="3" applyNumberFormat="1" applyFont="1" applyFill="1" applyBorder="1"/>
    <xf numFmtId="164" fontId="47" fillId="20" borderId="0" xfId="1" applyNumberFormat="1" applyFont="1" applyFill="1" applyBorder="1" applyAlignment="1">
      <alignment horizontal="right"/>
    </xf>
    <xf numFmtId="0" fontId="0" fillId="20" borderId="7" xfId="0" applyFill="1" applyBorder="1"/>
    <xf numFmtId="0" fontId="0" fillId="20" borderId="64" xfId="0" applyFill="1" applyBorder="1" applyAlignment="1">
      <alignment wrapText="1"/>
    </xf>
    <xf numFmtId="0" fontId="64" fillId="20" borderId="64" xfId="0" applyFont="1" applyFill="1" applyBorder="1" applyAlignment="1">
      <alignment vertical="center" wrapText="1"/>
    </xf>
    <xf numFmtId="0" fontId="0" fillId="0" borderId="64" xfId="0" applyBorder="1"/>
    <xf numFmtId="0" fontId="73" fillId="0" borderId="64" xfId="0" applyFont="1" applyBorder="1"/>
    <xf numFmtId="0" fontId="74" fillId="0" borderId="64" xfId="0" applyFont="1" applyBorder="1" applyAlignment="1">
      <alignment wrapText="1"/>
    </xf>
    <xf numFmtId="0" fontId="73" fillId="0" borderId="64" xfId="0" applyFont="1" applyBorder="1" applyAlignment="1">
      <alignment wrapText="1"/>
    </xf>
    <xf numFmtId="0" fontId="73" fillId="28" borderId="0" xfId="0" applyFont="1" applyFill="1" applyAlignment="1">
      <alignment wrapText="1"/>
    </xf>
    <xf numFmtId="0" fontId="73" fillId="0" borderId="0" xfId="0" applyFont="1" applyAlignment="1">
      <alignment wrapText="1"/>
    </xf>
    <xf numFmtId="0" fontId="75" fillId="0" borderId="15" xfId="0" applyFont="1" applyBorder="1" applyAlignment="1">
      <alignment horizontal="left" vertical="top"/>
    </xf>
    <xf numFmtId="0" fontId="75" fillId="0" borderId="0" xfId="0" applyFont="1" applyAlignment="1">
      <alignment horizontal="center" vertical="top" readingOrder="1"/>
    </xf>
    <xf numFmtId="0" fontId="75" fillId="0" borderId="0" xfId="0" applyFont="1" applyAlignment="1">
      <alignment horizontal="left" vertical="top" wrapText="1"/>
    </xf>
    <xf numFmtId="0" fontId="75" fillId="0" borderId="0" xfId="0" applyFont="1" applyAlignment="1">
      <alignment vertical="top" wrapText="1"/>
    </xf>
    <xf numFmtId="0" fontId="75" fillId="0" borderId="0" xfId="0" applyFont="1" applyAlignment="1">
      <alignment horizontal="center" vertical="top"/>
    </xf>
    <xf numFmtId="167" fontId="75" fillId="0" borderId="0" xfId="2" applyNumberFormat="1" applyFont="1"/>
    <xf numFmtId="0" fontId="75" fillId="0" borderId="9" xfId="0" applyFont="1" applyBorder="1" applyAlignment="1">
      <alignment vertical="top"/>
    </xf>
    <xf numFmtId="0" fontId="75" fillId="0" borderId="16" xfId="0" applyFont="1" applyBorder="1" applyAlignment="1">
      <alignment wrapText="1"/>
    </xf>
    <xf numFmtId="0" fontId="75" fillId="0" borderId="0" xfId="0" applyFont="1"/>
    <xf numFmtId="0" fontId="76" fillId="0" borderId="0" xfId="0" applyFont="1" applyFill="1" applyBorder="1" applyAlignment="1">
      <alignment horizontal="left" vertical="top"/>
    </xf>
    <xf numFmtId="0" fontId="76" fillId="0" borderId="0" xfId="0" applyFont="1" applyFill="1" applyBorder="1"/>
    <xf numFmtId="0" fontId="76" fillId="0" borderId="51" xfId="0" applyFont="1" applyFill="1" applyBorder="1"/>
    <xf numFmtId="0" fontId="76" fillId="24" borderId="15" xfId="0" applyFont="1" applyFill="1" applyBorder="1" applyAlignment="1">
      <alignment horizontal="left" vertical="top"/>
    </xf>
    <xf numFmtId="0" fontId="76" fillId="0" borderId="15" xfId="0" applyFont="1" applyBorder="1" applyAlignment="1">
      <alignment horizontal="left" vertical="top"/>
    </xf>
    <xf numFmtId="0" fontId="76" fillId="0" borderId="0" xfId="0" applyFont="1" applyAlignment="1">
      <alignment horizontal="left" vertical="top"/>
    </xf>
    <xf numFmtId="0" fontId="76" fillId="0" borderId="0" xfId="0" applyFont="1"/>
    <xf numFmtId="0" fontId="76" fillId="0" borderId="51" xfId="0" applyFont="1" applyBorder="1"/>
    <xf numFmtId="0" fontId="77" fillId="0" borderId="0" xfId="0" applyFont="1" applyAlignment="1">
      <alignment horizontal="left" vertical="top"/>
    </xf>
    <xf numFmtId="0" fontId="2" fillId="20" borderId="15" xfId="0" applyFont="1" applyFill="1" applyBorder="1" applyAlignment="1">
      <alignment horizontal="center"/>
    </xf>
    <xf numFmtId="0" fontId="2" fillId="20" borderId="16" xfId="0" applyFont="1" applyFill="1" applyBorder="1" applyAlignment="1">
      <alignment horizontal="center"/>
    </xf>
    <xf numFmtId="0" fontId="3" fillId="20" borderId="0" xfId="38578" applyFont="1" applyFill="1" applyBorder="1"/>
    <xf numFmtId="0" fontId="3" fillId="20" borderId="0" xfId="38578" applyFont="1" applyFill="1" applyBorder="1" applyAlignment="1">
      <alignment wrapText="1"/>
    </xf>
    <xf numFmtId="0" fontId="3" fillId="20" borderId="0"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0" xfId="0" applyFont="1" applyFill="1" applyBorder="1" applyAlignment="1">
      <alignment horizontal="left"/>
    </xf>
    <xf numFmtId="0" fontId="52" fillId="20" borderId="16"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0" borderId="10" xfId="0" applyNumberFormat="1" applyFont="1" applyFill="1" applyBorder="1" applyAlignment="1">
      <alignment horizontal="right"/>
    </xf>
    <xf numFmtId="3" fontId="4" fillId="29" borderId="55" xfId="0" applyNumberFormat="1" applyFont="1" applyFill="1" applyBorder="1" applyAlignment="1">
      <alignment horizontal="left"/>
    </xf>
    <xf numFmtId="3" fontId="3" fillId="29" borderId="55" xfId="0" applyNumberFormat="1" applyFont="1" applyFill="1" applyBorder="1"/>
    <xf numFmtId="0" fontId="52" fillId="29" borderId="55" xfId="0" applyFont="1" applyFill="1" applyBorder="1"/>
    <xf numFmtId="164" fontId="3" fillId="20" borderId="10" xfId="0" applyNumberFormat="1" applyFont="1" applyFill="1" applyBorder="1"/>
    <xf numFmtId="9" fontId="52" fillId="20" borderId="2" xfId="3" applyNumberFormat="1" applyFont="1" applyFill="1" applyBorder="1"/>
    <xf numFmtId="0" fontId="78" fillId="0" borderId="0" xfId="0" applyFont="1" applyFill="1" applyBorder="1" applyAlignment="1">
      <alignment horizontal="left"/>
    </xf>
    <xf numFmtId="9" fontId="52" fillId="20" borderId="13" xfId="3" applyNumberFormat="1" applyFont="1" applyFill="1" applyBorder="1"/>
    <xf numFmtId="164" fontId="3" fillId="20" borderId="3" xfId="5447" applyNumberFormat="1" applyFont="1" applyFill="1" applyBorder="1"/>
    <xf numFmtId="3" fontId="3" fillId="20" borderId="0" xfId="18360" applyNumberFormat="1" applyFont="1" applyFill="1" applyBorder="1" applyAlignment="1">
      <alignment horizontal="right"/>
    </xf>
    <xf numFmtId="167" fontId="3" fillId="20" borderId="0" xfId="2" applyNumberFormat="1" applyFont="1" applyFill="1" applyBorder="1"/>
    <xf numFmtId="38" fontId="3" fillId="20" borderId="0" xfId="19386" applyNumberFormat="1" applyFont="1" applyFill="1" applyBorder="1"/>
    <xf numFmtId="38" fontId="3" fillId="20" borderId="45" xfId="38792" applyNumberFormat="1" applyFont="1" applyFill="1" applyBorder="1"/>
    <xf numFmtId="167" fontId="3" fillId="21" borderId="0" xfId="2" applyNumberFormat="1" applyFont="1" applyFill="1" applyBorder="1"/>
    <xf numFmtId="167" fontId="3" fillId="22" borderId="0" xfId="2" applyNumberFormat="1" applyFont="1" applyFill="1" applyBorder="1" applyAlignment="1"/>
    <xf numFmtId="167" fontId="3" fillId="20" borderId="33" xfId="2" applyNumberFormat="1" applyFont="1" applyFill="1" applyBorder="1" applyAlignment="1"/>
    <xf numFmtId="167" fontId="3" fillId="20" borderId="19" xfId="2" applyNumberFormat="1" applyFont="1" applyFill="1" applyBorder="1"/>
    <xf numFmtId="167" fontId="3" fillId="20" borderId="19" xfId="2" applyNumberFormat="1" applyFont="1" applyFill="1" applyBorder="1" applyAlignment="1">
      <alignment horizontal="right"/>
    </xf>
    <xf numFmtId="167" fontId="3" fillId="20" borderId="36" xfId="2" applyNumberFormat="1" applyFont="1" applyFill="1" applyBorder="1" applyAlignment="1">
      <alignment horizontal="right"/>
    </xf>
    <xf numFmtId="167" fontId="4" fillId="20" borderId="60" xfId="2" applyNumberFormat="1" applyFont="1" applyFill="1" applyBorder="1" applyAlignment="1">
      <alignment horizontal="right"/>
    </xf>
    <xf numFmtId="167" fontId="3" fillId="20" borderId="56" xfId="2" applyNumberFormat="1" applyFont="1" applyFill="1" applyBorder="1" applyAlignment="1">
      <alignment horizontal="right"/>
    </xf>
    <xf numFmtId="167" fontId="4" fillId="20" borderId="59" xfId="2" applyNumberFormat="1" applyFont="1" applyFill="1" applyBorder="1"/>
    <xf numFmtId="167" fontId="4" fillId="20" borderId="59" xfId="2" applyNumberFormat="1" applyFont="1" applyFill="1" applyBorder="1" applyAlignment="1">
      <alignment horizontal="center"/>
    </xf>
    <xf numFmtId="167" fontId="4" fillId="20" borderId="58" xfId="2" applyNumberFormat="1" applyFont="1" applyFill="1" applyBorder="1" applyAlignment="1">
      <alignment horizontal="right"/>
    </xf>
    <xf numFmtId="167" fontId="4" fillId="20" borderId="9" xfId="2" applyNumberFormat="1" applyFont="1" applyFill="1" applyBorder="1"/>
    <xf numFmtId="167" fontId="4" fillId="20" borderId="6" xfId="2" applyNumberFormat="1" applyFont="1" applyFill="1" applyBorder="1" applyAlignment="1">
      <alignment horizontal="center"/>
    </xf>
    <xf numFmtId="167" fontId="4" fillId="20" borderId="0" xfId="2" applyNumberFormat="1" applyFont="1" applyFill="1" applyBorder="1" applyAlignment="1">
      <alignment horizontal="right"/>
    </xf>
    <xf numFmtId="167" fontId="4" fillId="20" borderId="32" xfId="2" applyNumberFormat="1" applyFont="1" applyFill="1" applyBorder="1"/>
    <xf numFmtId="167" fontId="4" fillId="20" borderId="20" xfId="2" applyNumberFormat="1" applyFont="1" applyFill="1" applyBorder="1" applyAlignment="1">
      <alignment horizontal="center"/>
    </xf>
    <xf numFmtId="167" fontId="4" fillId="20" borderId="10" xfId="2" applyNumberFormat="1" applyFont="1" applyFill="1" applyBorder="1" applyAlignment="1">
      <alignment horizontal="right"/>
    </xf>
    <xf numFmtId="167" fontId="3" fillId="20" borderId="6" xfId="2" applyNumberFormat="1" applyFont="1" applyFill="1" applyBorder="1" applyAlignment="1">
      <alignment horizontal="center"/>
    </xf>
    <xf numFmtId="167" fontId="3" fillId="20" borderId="0" xfId="2" applyNumberFormat="1" applyFont="1" applyFill="1" applyBorder="1" applyAlignment="1">
      <alignment horizontal="right"/>
    </xf>
    <xf numFmtId="167" fontId="3" fillId="20" borderId="9" xfId="2" applyNumberFormat="1" applyFont="1" applyFill="1" applyBorder="1"/>
    <xf numFmtId="167" fontId="3" fillId="20" borderId="9" xfId="2" applyNumberFormat="1" applyFont="1" applyFill="1" applyBorder="1" applyAlignment="1">
      <alignment horizontal="right"/>
    </xf>
    <xf numFmtId="167" fontId="3" fillId="20" borderId="9" xfId="2" applyNumberFormat="1" applyFont="1" applyFill="1" applyBorder="1" applyAlignment="1">
      <alignment horizontal="center"/>
    </xf>
    <xf numFmtId="0" fontId="3" fillId="20" borderId="0" xfId="38578" applyFont="1" applyFill="1" applyBorder="1" applyAlignment="1"/>
    <xf numFmtId="0" fontId="62" fillId="0" borderId="64" xfId="0" applyFont="1" applyBorder="1"/>
    <xf numFmtId="0" fontId="2" fillId="0" borderId="10" xfId="0" applyFont="1" applyBorder="1"/>
    <xf numFmtId="0" fontId="2" fillId="0" borderId="10" xfId="0" applyFont="1" applyBorder="1" applyAlignment="1">
      <alignment horizontal="center"/>
    </xf>
    <xf numFmtId="167" fontId="2" fillId="0" borderId="10" xfId="2" applyNumberFormat="1" applyFont="1" applyBorder="1"/>
    <xf numFmtId="14" fontId="0" fillId="0" borderId="0" xfId="0" applyNumberFormat="1"/>
    <xf numFmtId="0" fontId="0" fillId="0" borderId="0" xfId="0" applyAlignment="1">
      <alignment horizontal="center"/>
    </xf>
    <xf numFmtId="167" fontId="0" fillId="0" borderId="0" xfId="2" applyNumberFormat="1" applyFont="1"/>
    <xf numFmtId="164" fontId="0" fillId="0" borderId="0" xfId="1" applyNumberFormat="1" applyFont="1"/>
    <xf numFmtId="0" fontId="78" fillId="0" borderId="0" xfId="0" applyFont="1" applyAlignment="1">
      <alignment horizontal="left"/>
    </xf>
    <xf numFmtId="0" fontId="3" fillId="0" borderId="0" xfId="0" applyFont="1" applyAlignment="1">
      <alignment horizontal="left"/>
    </xf>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79" fillId="20" borderId="15" xfId="0" applyFont="1" applyFill="1" applyBorder="1" applyAlignment="1">
      <alignment horizontal="center"/>
    </xf>
    <xf numFmtId="0" fontId="79" fillId="20" borderId="16" xfId="0" applyFont="1" applyFill="1" applyBorder="1" applyAlignment="1">
      <alignment horizontal="center"/>
    </xf>
    <xf numFmtId="0" fontId="67" fillId="20" borderId="15" xfId="0" applyFont="1" applyFill="1" applyBorder="1" applyAlignment="1">
      <alignment horizontal="center"/>
    </xf>
    <xf numFmtId="0" fontId="67" fillId="20" borderId="16" xfId="0" applyFont="1" applyFill="1" applyBorder="1" applyAlignment="1">
      <alignment horizontal="center"/>
    </xf>
    <xf numFmtId="0" fontId="3" fillId="20" borderId="0" xfId="38578" applyFont="1" applyFill="1" applyBorder="1" applyAlignment="1">
      <alignment wrapText="1"/>
    </xf>
    <xf numFmtId="0" fontId="3" fillId="20" borderId="16" xfId="38578" applyFont="1" applyFill="1" applyBorder="1" applyAlignment="1">
      <alignment wrapText="1"/>
    </xf>
    <xf numFmtId="0" fontId="3" fillId="20" borderId="0" xfId="38578" applyFont="1" applyFill="1" applyBorder="1" applyAlignment="1">
      <alignment horizontal="left"/>
    </xf>
    <xf numFmtId="0" fontId="3" fillId="20" borderId="16"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7" xfId="0" applyFont="1" applyFill="1" applyBorder="1" applyAlignment="1">
      <alignment horizontal="left"/>
    </xf>
    <xf numFmtId="0" fontId="52" fillId="20" borderId="18" xfId="0"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48" xfId="0" applyFont="1" applyFill="1" applyBorder="1" applyAlignment="1">
      <alignment horizontal="center"/>
    </xf>
    <xf numFmtId="0" fontId="45" fillId="20" borderId="7" xfId="0" applyFont="1" applyFill="1" applyBorder="1" applyAlignment="1">
      <alignment horizontal="left" vertical="top" wrapText="1"/>
    </xf>
    <xf numFmtId="0" fontId="45" fillId="20" borderId="18" xfId="0" applyFont="1" applyFill="1" applyBorder="1" applyAlignment="1">
      <alignment horizontal="left" vertical="top" wrapText="1"/>
    </xf>
    <xf numFmtId="0" fontId="0" fillId="0" borderId="0" xfId="0" applyFont="1" applyBorder="1"/>
    <xf numFmtId="0" fontId="0" fillId="0" borderId="0" xfId="0" applyFont="1" applyBorder="1" applyAlignment="1">
      <alignment horizontal="center"/>
    </xf>
    <xf numFmtId="167" fontId="1" fillId="0" borderId="0" xfId="2" applyNumberFormat="1" applyFont="1" applyBorder="1"/>
    <xf numFmtId="0" fontId="0" fillId="0" borderId="0" xfId="0" applyFont="1"/>
    <xf numFmtId="14" fontId="0" fillId="0" borderId="0" xfId="0" applyNumberFormat="1" applyFont="1" applyBorder="1"/>
    <xf numFmtId="0" fontId="0" fillId="0" borderId="0"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7" xfId="0" applyFont="1" applyBorder="1" applyAlignment="1">
      <alignment vertical="top" wrapText="1"/>
    </xf>
    <xf numFmtId="0" fontId="0" fillId="0" borderId="18" xfId="0" applyFont="1" applyBorder="1" applyAlignment="1">
      <alignmen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1391308</xdr:colOff>
      <xdr:row>1</xdr:row>
      <xdr:rowOff>283729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40965" cy="856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24243" displayName="Table1424243" ref="A5:N793"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3"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A75-C391-49D0-9FA6-03E140E27374}">
  <sheetPr>
    <pageSetUpPr fitToPage="1"/>
  </sheetPr>
  <dimension ref="A1:I34"/>
  <sheetViews>
    <sheetView workbookViewId="0">
      <selection activeCell="A2" sqref="A2"/>
    </sheetView>
  </sheetViews>
  <sheetFormatPr defaultRowHeight="14.5"/>
  <cols>
    <col min="1" max="1" width="10.7265625" bestFit="1" customWidth="1"/>
    <col min="2" max="2" width="13.54296875" bestFit="1" customWidth="1"/>
    <col min="3" max="3" width="16.6328125" customWidth="1"/>
    <col min="4" max="5" width="18" bestFit="1" customWidth="1"/>
    <col min="6" max="6" width="44.7265625" bestFit="1" customWidth="1"/>
  </cols>
  <sheetData>
    <row r="1" spans="1:9">
      <c r="A1" s="775" t="s">
        <v>2688</v>
      </c>
      <c r="B1" s="775" t="s">
        <v>2689</v>
      </c>
      <c r="C1" s="776" t="s">
        <v>2690</v>
      </c>
      <c r="D1" s="777" t="s">
        <v>2691</v>
      </c>
      <c r="E1" s="777" t="s">
        <v>2692</v>
      </c>
      <c r="F1" s="775" t="s">
        <v>2693</v>
      </c>
    </row>
    <row r="2" spans="1:9" s="812" customFormat="1">
      <c r="A2" s="813">
        <v>44136</v>
      </c>
      <c r="B2" s="809"/>
      <c r="C2" s="810"/>
      <c r="D2" s="811"/>
      <c r="E2" s="811"/>
      <c r="F2" s="809"/>
    </row>
    <row r="3" spans="1:9" s="812" customFormat="1" ht="15" thickBot="1">
      <c r="A3" s="809"/>
      <c r="B3" s="809"/>
      <c r="C3" s="810"/>
      <c r="D3" s="811"/>
      <c r="E3" s="811"/>
      <c r="F3" s="809"/>
    </row>
    <row r="4" spans="1:9" s="812" customFormat="1" ht="14.5" customHeight="1">
      <c r="A4" s="815" t="s">
        <v>2744</v>
      </c>
      <c r="B4" s="816"/>
      <c r="C4" s="816"/>
      <c r="D4" s="816"/>
      <c r="E4" s="816"/>
      <c r="F4" s="816"/>
      <c r="G4" s="816"/>
      <c r="H4" s="816"/>
      <c r="I4" s="817"/>
    </row>
    <row r="5" spans="1:9" s="812" customFormat="1">
      <c r="A5" s="818"/>
      <c r="B5" s="814"/>
      <c r="C5" s="814"/>
      <c r="D5" s="814"/>
      <c r="E5" s="814"/>
      <c r="F5" s="814"/>
      <c r="G5" s="814"/>
      <c r="H5" s="814"/>
      <c r="I5" s="819"/>
    </row>
    <row r="6" spans="1:9" s="812" customFormat="1" ht="15" thickBot="1">
      <c r="A6" s="820"/>
      <c r="B6" s="821"/>
      <c r="C6" s="821"/>
      <c r="D6" s="821"/>
      <c r="E6" s="821"/>
      <c r="F6" s="821"/>
      <c r="G6" s="821"/>
      <c r="H6" s="821"/>
      <c r="I6" s="822"/>
    </row>
    <row r="7" spans="1:9" s="812" customFormat="1">
      <c r="A7" s="809"/>
      <c r="B7" s="809"/>
      <c r="C7" s="810"/>
      <c r="D7" s="811"/>
      <c r="E7" s="811"/>
      <c r="F7" s="809"/>
    </row>
    <row r="8" spans="1:9" s="812" customFormat="1">
      <c r="A8" s="813">
        <v>44136</v>
      </c>
      <c r="B8" s="809" t="s">
        <v>2741</v>
      </c>
      <c r="C8" s="810" t="s">
        <v>2742</v>
      </c>
      <c r="D8" s="811"/>
      <c r="E8" s="811"/>
      <c r="F8" s="809" t="s">
        <v>2743</v>
      </c>
    </row>
    <row r="9" spans="1:9" s="812" customFormat="1">
      <c r="A9" s="813">
        <v>44136</v>
      </c>
      <c r="B9" s="809" t="s">
        <v>2739</v>
      </c>
      <c r="C9" s="810" t="s">
        <v>2724</v>
      </c>
      <c r="D9" s="811"/>
      <c r="E9" s="811"/>
      <c r="F9" s="809" t="s">
        <v>2740</v>
      </c>
    </row>
    <row r="10" spans="1:9">
      <c r="A10" s="778">
        <v>44133</v>
      </c>
      <c r="B10" t="s">
        <v>26</v>
      </c>
      <c r="C10" s="779" t="s">
        <v>2729</v>
      </c>
      <c r="F10" t="s">
        <v>2722</v>
      </c>
    </row>
    <row r="11" spans="1:9">
      <c r="A11" s="778">
        <v>44133</v>
      </c>
      <c r="B11" t="s">
        <v>26</v>
      </c>
      <c r="C11" s="779" t="s">
        <v>2730</v>
      </c>
      <c r="D11" s="780">
        <v>0</v>
      </c>
      <c r="E11" s="780">
        <v>109191494</v>
      </c>
      <c r="F11" t="s">
        <v>2731</v>
      </c>
    </row>
    <row r="12" spans="1:9">
      <c r="A12" s="778">
        <v>44133</v>
      </c>
      <c r="B12" t="s">
        <v>26</v>
      </c>
      <c r="C12" s="779" t="s">
        <v>2732</v>
      </c>
      <c r="D12" s="780">
        <v>0</v>
      </c>
      <c r="E12" s="780">
        <v>1542656099</v>
      </c>
      <c r="F12" t="s">
        <v>2731</v>
      </c>
    </row>
    <row r="13" spans="1:9">
      <c r="A13" s="778">
        <v>44133</v>
      </c>
      <c r="B13" t="s">
        <v>26</v>
      </c>
      <c r="C13" s="779" t="s">
        <v>2733</v>
      </c>
      <c r="D13" s="780">
        <v>109191494</v>
      </c>
      <c r="E13" s="780">
        <v>0</v>
      </c>
      <c r="F13" t="s">
        <v>2731</v>
      </c>
    </row>
    <row r="14" spans="1:9">
      <c r="A14" s="778">
        <v>44133</v>
      </c>
      <c r="B14" t="s">
        <v>26</v>
      </c>
      <c r="C14" s="779" t="s">
        <v>2734</v>
      </c>
      <c r="D14" s="780">
        <v>1542656099</v>
      </c>
      <c r="F14" t="s">
        <v>2731</v>
      </c>
    </row>
    <row r="15" spans="1:9">
      <c r="A15" s="778">
        <v>44133</v>
      </c>
      <c r="B15" t="s">
        <v>26</v>
      </c>
      <c r="C15" s="779" t="s">
        <v>2735</v>
      </c>
      <c r="F15" t="s">
        <v>2736</v>
      </c>
    </row>
    <row r="16" spans="1:9">
      <c r="A16" s="778">
        <v>44133</v>
      </c>
      <c r="B16" t="s">
        <v>26</v>
      </c>
      <c r="C16" s="779" t="s">
        <v>2710</v>
      </c>
      <c r="F16" t="s">
        <v>2736</v>
      </c>
    </row>
    <row r="17" spans="1:6">
      <c r="A17" s="778">
        <v>44133</v>
      </c>
      <c r="B17" t="s">
        <v>26</v>
      </c>
      <c r="C17" s="779" t="s">
        <v>2716</v>
      </c>
      <c r="F17" t="s">
        <v>2711</v>
      </c>
    </row>
    <row r="18" spans="1:6">
      <c r="A18" s="778">
        <v>44133</v>
      </c>
      <c r="B18" t="s">
        <v>26</v>
      </c>
      <c r="C18" s="779" t="s">
        <v>2719</v>
      </c>
      <c r="F18" t="s">
        <v>2711</v>
      </c>
    </row>
    <row r="19" spans="1:6">
      <c r="A19" s="778">
        <v>44133</v>
      </c>
      <c r="B19" t="s">
        <v>26</v>
      </c>
      <c r="C19" s="779" t="s">
        <v>2720</v>
      </c>
      <c r="F19" t="s">
        <v>2711</v>
      </c>
    </row>
    <row r="20" spans="1:6">
      <c r="A20" s="778">
        <v>44133</v>
      </c>
      <c r="B20" t="s">
        <v>26</v>
      </c>
      <c r="C20" s="779" t="s">
        <v>2721</v>
      </c>
      <c r="F20" t="s">
        <v>2711</v>
      </c>
    </row>
    <row r="21" spans="1:6">
      <c r="A21" s="778">
        <v>44133</v>
      </c>
      <c r="B21" t="s">
        <v>34</v>
      </c>
      <c r="C21" s="779" t="s">
        <v>2724</v>
      </c>
      <c r="F21" t="s">
        <v>2722</v>
      </c>
    </row>
    <row r="22" spans="1:6">
      <c r="A22" s="778">
        <v>44133</v>
      </c>
      <c r="B22" t="s">
        <v>34</v>
      </c>
      <c r="C22" s="779" t="s">
        <v>2725</v>
      </c>
      <c r="F22" t="s">
        <v>2726</v>
      </c>
    </row>
    <row r="23" spans="1:6">
      <c r="A23" s="778">
        <v>44125</v>
      </c>
      <c r="B23" t="s">
        <v>40</v>
      </c>
      <c r="C23" s="779" t="s">
        <v>2708</v>
      </c>
      <c r="D23" s="781">
        <v>85000</v>
      </c>
      <c r="E23" s="781">
        <v>92000</v>
      </c>
      <c r="F23" t="s">
        <v>2709</v>
      </c>
    </row>
    <row r="24" spans="1:6">
      <c r="A24" s="778">
        <v>44098</v>
      </c>
      <c r="B24" t="s">
        <v>18</v>
      </c>
      <c r="C24" s="779" t="s">
        <v>2695</v>
      </c>
      <c r="D24" s="780">
        <v>875855578</v>
      </c>
      <c r="E24" s="780">
        <v>868928781</v>
      </c>
      <c r="F24" t="s">
        <v>2694</v>
      </c>
    </row>
    <row r="25" spans="1:6">
      <c r="A25" s="778">
        <v>44098</v>
      </c>
      <c r="B25" t="s">
        <v>18</v>
      </c>
      <c r="C25" s="779" t="s">
        <v>2696</v>
      </c>
      <c r="D25" s="780">
        <v>436601675</v>
      </c>
      <c r="E25" s="780">
        <v>362568804</v>
      </c>
      <c r="F25" t="s">
        <v>2694</v>
      </c>
    </row>
    <row r="26" spans="1:6">
      <c r="A26" s="778">
        <v>44098</v>
      </c>
      <c r="B26" t="s">
        <v>18</v>
      </c>
      <c r="C26" s="779" t="s">
        <v>2697</v>
      </c>
      <c r="D26" s="780">
        <v>556434650</v>
      </c>
      <c r="E26" s="780">
        <v>716044977</v>
      </c>
      <c r="F26" t="s">
        <v>2694</v>
      </c>
    </row>
    <row r="27" spans="1:6">
      <c r="A27" s="778">
        <v>44098</v>
      </c>
      <c r="B27" t="s">
        <v>18</v>
      </c>
      <c r="C27" s="779" t="s">
        <v>2698</v>
      </c>
      <c r="D27" s="780">
        <v>276471705</v>
      </c>
      <c r="E27" s="780">
        <v>213871288</v>
      </c>
      <c r="F27" t="s">
        <v>2694</v>
      </c>
    </row>
    <row r="28" spans="1:6">
      <c r="A28" s="778">
        <v>44098</v>
      </c>
      <c r="B28" t="s">
        <v>10</v>
      </c>
      <c r="C28" s="779" t="s">
        <v>2699</v>
      </c>
      <c r="D28" s="780">
        <v>7469836</v>
      </c>
      <c r="E28" s="780">
        <v>7289377</v>
      </c>
      <c r="F28" t="s">
        <v>2701</v>
      </c>
    </row>
    <row r="29" spans="1:6">
      <c r="A29" s="778">
        <v>44098</v>
      </c>
      <c r="B29" t="s">
        <v>34</v>
      </c>
      <c r="C29" s="779" t="s">
        <v>2700</v>
      </c>
      <c r="D29" s="780">
        <v>116503</v>
      </c>
      <c r="E29" s="780">
        <v>115912</v>
      </c>
      <c r="F29" t="s">
        <v>2701</v>
      </c>
    </row>
    <row r="30" spans="1:6">
      <c r="A30" s="778">
        <v>44098</v>
      </c>
      <c r="B30" t="s">
        <v>38</v>
      </c>
      <c r="C30" s="779" t="s">
        <v>2702</v>
      </c>
      <c r="D30" s="780">
        <v>116769</v>
      </c>
      <c r="E30" s="780">
        <v>110939</v>
      </c>
      <c r="F30" t="s">
        <v>2701</v>
      </c>
    </row>
    <row r="31" spans="1:6">
      <c r="A31" s="778">
        <v>44098</v>
      </c>
      <c r="B31" t="s">
        <v>40</v>
      </c>
      <c r="C31" s="779" t="s">
        <v>2703</v>
      </c>
      <c r="D31" s="780">
        <v>132344</v>
      </c>
      <c r="E31" s="780">
        <v>135769</v>
      </c>
      <c r="F31" t="s">
        <v>2701</v>
      </c>
    </row>
    <row r="32" spans="1:6">
      <c r="A32" s="778">
        <v>44098</v>
      </c>
      <c r="B32" t="s">
        <v>20</v>
      </c>
      <c r="C32" s="779" t="s">
        <v>2704</v>
      </c>
      <c r="D32" s="780">
        <v>154</v>
      </c>
      <c r="E32" s="780">
        <v>1014</v>
      </c>
      <c r="F32" t="s">
        <v>2707</v>
      </c>
    </row>
    <row r="33" spans="1:6">
      <c r="A33" s="778">
        <v>44098</v>
      </c>
      <c r="B33" t="s">
        <v>20</v>
      </c>
      <c r="C33" s="779" t="s">
        <v>2705</v>
      </c>
      <c r="D33" s="780">
        <v>3895</v>
      </c>
      <c r="E33" s="780">
        <v>25564</v>
      </c>
      <c r="F33" t="s">
        <v>2707</v>
      </c>
    </row>
    <row r="34" spans="1:6">
      <c r="A34" s="778">
        <v>44098</v>
      </c>
      <c r="B34" t="s">
        <v>20</v>
      </c>
      <c r="C34" s="779" t="s">
        <v>2706</v>
      </c>
      <c r="D34" s="780">
        <v>9041</v>
      </c>
      <c r="E34" s="780">
        <v>59344</v>
      </c>
      <c r="F34" t="s">
        <v>2707</v>
      </c>
    </row>
  </sheetData>
  <sortState xmlns:xlrd2="http://schemas.microsoft.com/office/spreadsheetml/2017/richdata2" ref="A10:F34">
    <sortCondition descending="1" ref="A10:A34"/>
  </sortState>
  <mergeCells count="1">
    <mergeCell ref="A4:I6"/>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tabSelected="1" view="pageBreakPreview" topLeftCell="A3" zoomScale="90" zoomScaleNormal="100" zoomScaleSheetLayoutView="90" workbookViewId="0">
      <selection activeCell="A9" sqref="A9:B9"/>
    </sheetView>
  </sheetViews>
  <sheetFormatPr defaultRowHeight="14.5"/>
  <cols>
    <col min="1" max="1" width="35.7265625" bestFit="1" customWidth="1"/>
    <col min="2" max="2" width="87.7265625" customWidth="1"/>
  </cols>
  <sheetData>
    <row r="1" spans="1:3" ht="45.75" customHeight="1">
      <c r="A1" s="629"/>
      <c r="B1" s="630"/>
    </row>
    <row r="2" spans="1:3" ht="40.5" customHeight="1">
      <c r="A2" s="631"/>
      <c r="B2" s="632"/>
    </row>
    <row r="3" spans="1:3" ht="46">
      <c r="A3" s="786" t="s">
        <v>0</v>
      </c>
      <c r="B3" s="787"/>
    </row>
    <row r="4" spans="1:3" ht="36">
      <c r="A4" s="790" t="s">
        <v>1</v>
      </c>
      <c r="B4" s="791"/>
    </row>
    <row r="5" spans="1:3" ht="46">
      <c r="A5" s="786" t="s">
        <v>2</v>
      </c>
      <c r="B5" s="787"/>
    </row>
    <row r="6" spans="1:3" ht="46">
      <c r="A6" s="786" t="s">
        <v>3</v>
      </c>
      <c r="B6" s="787"/>
    </row>
    <row r="7" spans="1:3" ht="22.15" customHeight="1">
      <c r="A7" s="633"/>
      <c r="B7" s="634"/>
    </row>
    <row r="8" spans="1:3" ht="46">
      <c r="A8" s="788" t="s">
        <v>2685</v>
      </c>
      <c r="B8" s="789"/>
    </row>
    <row r="9" spans="1:3" ht="46">
      <c r="A9" s="788" t="s">
        <v>2687</v>
      </c>
      <c r="B9" s="789"/>
    </row>
    <row r="10" spans="1:3" ht="46">
      <c r="A10" s="786" t="s">
        <v>4</v>
      </c>
      <c r="B10" s="787"/>
    </row>
    <row r="11" spans="1:3" ht="86.5" customHeight="1">
      <c r="A11" s="784" t="s">
        <v>5</v>
      </c>
      <c r="B11" s="785"/>
    </row>
    <row r="12" spans="1:3">
      <c r="A12" s="784" t="s">
        <v>6</v>
      </c>
      <c r="B12" s="785"/>
    </row>
    <row r="13" spans="1:3">
      <c r="A13" s="784" t="s">
        <v>7</v>
      </c>
      <c r="B13" s="785"/>
      <c r="C13" s="360"/>
    </row>
    <row r="14" spans="1:3">
      <c r="A14" s="726"/>
      <c r="B14" s="727"/>
      <c r="C14" s="360"/>
    </row>
    <row r="15" spans="1:3">
      <c r="A15" s="635" t="s">
        <v>8</v>
      </c>
      <c r="B15" s="636" t="s">
        <v>9</v>
      </c>
      <c r="C15" s="360"/>
    </row>
    <row r="16" spans="1:3">
      <c r="A16" s="631" t="s">
        <v>10</v>
      </c>
      <c r="B16" s="637" t="s">
        <v>11</v>
      </c>
    </row>
    <row r="17" spans="1:2">
      <c r="A17" s="631" t="s">
        <v>12</v>
      </c>
      <c r="B17" s="637" t="s">
        <v>13</v>
      </c>
    </row>
    <row r="18" spans="1:2">
      <c r="A18" s="631" t="s">
        <v>14</v>
      </c>
      <c r="B18" s="637" t="s">
        <v>15</v>
      </c>
    </row>
    <row r="19" spans="1:2">
      <c r="A19" s="631" t="s">
        <v>16</v>
      </c>
      <c r="B19" s="637" t="s">
        <v>17</v>
      </c>
    </row>
    <row r="20" spans="1:2">
      <c r="A20" s="631" t="s">
        <v>18</v>
      </c>
      <c r="B20" s="637" t="s">
        <v>19</v>
      </c>
    </row>
    <row r="21" spans="1:2">
      <c r="A21" s="631" t="s">
        <v>20</v>
      </c>
      <c r="B21" s="637" t="s">
        <v>21</v>
      </c>
    </row>
    <row r="22" spans="1:2">
      <c r="A22" s="631" t="s">
        <v>22</v>
      </c>
      <c r="B22" s="637" t="s">
        <v>23</v>
      </c>
    </row>
    <row r="23" spans="1:2">
      <c r="A23" s="631" t="s">
        <v>24</v>
      </c>
      <c r="B23" s="637" t="s">
        <v>25</v>
      </c>
    </row>
    <row r="24" spans="1:2">
      <c r="A24" s="631" t="s">
        <v>26</v>
      </c>
      <c r="B24" s="637" t="s">
        <v>27</v>
      </c>
    </row>
    <row r="25" spans="1:2">
      <c r="A25" s="631" t="s">
        <v>28</v>
      </c>
      <c r="B25" s="637" t="s">
        <v>29</v>
      </c>
    </row>
    <row r="26" spans="1:2">
      <c r="A26" s="631" t="s">
        <v>30</v>
      </c>
      <c r="B26" s="637" t="s">
        <v>31</v>
      </c>
    </row>
    <row r="27" spans="1:2">
      <c r="A27" s="631" t="s">
        <v>32</v>
      </c>
      <c r="B27" s="637" t="s">
        <v>33</v>
      </c>
    </row>
    <row r="28" spans="1:2">
      <c r="A28" s="631" t="s">
        <v>34</v>
      </c>
      <c r="B28" s="637" t="s">
        <v>35</v>
      </c>
    </row>
    <row r="29" spans="1:2">
      <c r="A29" s="631" t="s">
        <v>36</v>
      </c>
      <c r="B29" s="637" t="s">
        <v>37</v>
      </c>
    </row>
    <row r="30" spans="1:2">
      <c r="A30" s="631" t="s">
        <v>38</v>
      </c>
      <c r="B30" s="637" t="s">
        <v>39</v>
      </c>
    </row>
    <row r="31" spans="1:2">
      <c r="A31" s="631" t="s">
        <v>40</v>
      </c>
      <c r="B31" s="637" t="s">
        <v>41</v>
      </c>
    </row>
    <row r="32" spans="1:2" ht="15" thickBot="1">
      <c r="A32" s="638"/>
      <c r="B32" s="639"/>
    </row>
  </sheetData>
  <mergeCells count="10">
    <mergeCell ref="A13:B13"/>
    <mergeCell ref="A3:B3"/>
    <mergeCell ref="A5:B5"/>
    <mergeCell ref="A6:B6"/>
    <mergeCell ref="A8:B8"/>
    <mergeCell ref="A10:B10"/>
    <mergeCell ref="A11:B11"/>
    <mergeCell ref="A4:B4"/>
    <mergeCell ref="A12:B12"/>
    <mergeCell ref="A9:B9"/>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view="pageBreakPreview" zoomScaleNormal="100" zoomScaleSheetLayoutView="100" workbookViewId="0"/>
  </sheetViews>
  <sheetFormatPr defaultRowHeight="14.5"/>
  <cols>
    <col min="2" max="2" width="52.54296875" bestFit="1" customWidth="1"/>
    <col min="3" max="3" width="23.26953125" customWidth="1"/>
    <col min="4" max="4" width="15.26953125" bestFit="1" customWidth="1"/>
    <col min="5" max="5" width="12.1796875" bestFit="1" customWidth="1"/>
    <col min="6" max="6" width="12.7265625" bestFit="1" customWidth="1"/>
    <col min="7" max="7" width="18.26953125" bestFit="1" customWidth="1"/>
    <col min="8" max="9" width="8.54296875" customWidth="1"/>
    <col min="10" max="10" width="22.81640625" customWidth="1"/>
  </cols>
  <sheetData>
    <row r="1" spans="1:14">
      <c r="A1" s="571" t="str">
        <f>'Cover Sheets'!A10:B10</f>
        <v>WAPA-UGP 2021 Rate Estimate Calculation</v>
      </c>
      <c r="B1" s="520"/>
      <c r="C1" s="520"/>
      <c r="D1" s="521"/>
      <c r="E1" s="134"/>
      <c r="F1" s="132"/>
      <c r="G1" s="522"/>
      <c r="H1" s="132"/>
      <c r="I1" s="523"/>
      <c r="J1" s="576" t="s">
        <v>42</v>
      </c>
    </row>
    <row r="2" spans="1:14">
      <c r="A2" s="562" t="s">
        <v>43</v>
      </c>
      <c r="B2" s="95"/>
      <c r="C2" s="95"/>
      <c r="D2" s="228"/>
      <c r="E2" s="59"/>
      <c r="F2" s="77"/>
      <c r="G2" s="227"/>
      <c r="H2" s="77"/>
      <c r="I2" s="192"/>
    </row>
    <row r="3" spans="1:14">
      <c r="A3" s="562" t="s">
        <v>44</v>
      </c>
      <c r="B3" s="95"/>
      <c r="C3" s="95"/>
      <c r="D3" s="228"/>
      <c r="E3" s="59"/>
      <c r="F3" s="77"/>
      <c r="G3" s="227" t="s">
        <v>45</v>
      </c>
      <c r="H3" s="77"/>
      <c r="I3" s="192"/>
    </row>
    <row r="4" spans="1:14">
      <c r="A4" s="63" t="s">
        <v>46</v>
      </c>
      <c r="B4" s="57"/>
      <c r="C4" s="227" t="s">
        <v>47</v>
      </c>
      <c r="D4" s="227" t="s">
        <v>48</v>
      </c>
      <c r="E4" s="227" t="s">
        <v>49</v>
      </c>
      <c r="F4" s="227" t="s">
        <v>50</v>
      </c>
      <c r="G4" s="227" t="s">
        <v>51</v>
      </c>
      <c r="H4" s="57"/>
      <c r="I4" s="55"/>
    </row>
    <row r="5" spans="1:14" ht="15" thickBot="1">
      <c r="A5" s="68" t="s">
        <v>52</v>
      </c>
      <c r="B5" s="94" t="s">
        <v>53</v>
      </c>
      <c r="C5" s="94" t="s">
        <v>54</v>
      </c>
      <c r="D5" s="94" t="s">
        <v>55</v>
      </c>
      <c r="E5" s="52"/>
      <c r="F5" s="225" t="s">
        <v>56</v>
      </c>
      <c r="G5" s="225" t="s">
        <v>57</v>
      </c>
      <c r="H5" s="50"/>
      <c r="I5" s="48"/>
    </row>
    <row r="6" spans="1:14">
      <c r="A6" s="137">
        <v>1</v>
      </c>
      <c r="B6" s="224" t="s">
        <v>58</v>
      </c>
      <c r="C6" s="525" t="s">
        <v>59</v>
      </c>
      <c r="D6" s="526"/>
      <c r="E6" s="527"/>
      <c r="F6" s="132"/>
      <c r="G6" s="753">
        <f>'WS1-RateBase'!H7</f>
        <v>159272878.67580038</v>
      </c>
      <c r="H6" s="133"/>
      <c r="I6" s="528"/>
    </row>
    <row r="7" spans="1:14">
      <c r="A7" s="66">
        <v>2</v>
      </c>
      <c r="B7" s="728" t="s">
        <v>60</v>
      </c>
      <c r="C7" s="218"/>
      <c r="D7" s="88"/>
      <c r="E7" s="189"/>
      <c r="F7" s="77"/>
      <c r="G7" s="754"/>
      <c r="H7" s="57"/>
      <c r="I7" s="55"/>
    </row>
    <row r="8" spans="1:14">
      <c r="A8" s="66">
        <v>3</v>
      </c>
      <c r="B8" s="728" t="s">
        <v>61</v>
      </c>
      <c r="C8" s="164" t="s">
        <v>62</v>
      </c>
      <c r="D8" s="751">
        <f>'WS3-RevCredits'!H8+'WS3-RevCredits'!H11</f>
        <v>-4275634</v>
      </c>
      <c r="E8" s="189" t="s">
        <v>63</v>
      </c>
      <c r="F8" s="524">
        <v>1</v>
      </c>
      <c r="G8" s="755">
        <f t="shared" ref="G8:G13" si="0">D8*F8</f>
        <v>-4275634</v>
      </c>
      <c r="H8" s="57"/>
      <c r="I8" s="55"/>
      <c r="J8" s="608"/>
      <c r="K8" s="608"/>
      <c r="L8" s="608"/>
      <c r="M8" s="608"/>
      <c r="N8" s="608"/>
    </row>
    <row r="9" spans="1:14">
      <c r="A9" s="66">
        <v>4</v>
      </c>
      <c r="B9" s="728" t="s">
        <v>64</v>
      </c>
      <c r="C9" s="164" t="s">
        <v>65</v>
      </c>
      <c r="D9" s="751">
        <f>'WS3-RevCredits'!H14</f>
        <v>-2576834</v>
      </c>
      <c r="E9" s="189" t="s">
        <v>63</v>
      </c>
      <c r="F9" s="524">
        <v>1</v>
      </c>
      <c r="G9" s="755">
        <f t="shared" si="0"/>
        <v>-2576834</v>
      </c>
      <c r="H9" s="57"/>
      <c r="I9" s="55"/>
    </row>
    <row r="10" spans="1:14">
      <c r="A10" s="66">
        <v>5</v>
      </c>
      <c r="B10" s="728" t="s">
        <v>66</v>
      </c>
      <c r="C10" s="164" t="s">
        <v>2684</v>
      </c>
      <c r="D10" s="751">
        <f>'WS3-RevCredits'!H17</f>
        <v>-1195616</v>
      </c>
      <c r="E10" s="189" t="s">
        <v>63</v>
      </c>
      <c r="F10" s="524">
        <v>1</v>
      </c>
      <c r="G10" s="755">
        <f t="shared" si="0"/>
        <v>-1195616</v>
      </c>
      <c r="H10" s="57"/>
      <c r="I10" s="55"/>
    </row>
    <row r="11" spans="1:14">
      <c r="A11" s="66">
        <v>6</v>
      </c>
      <c r="B11" s="728" t="s">
        <v>67</v>
      </c>
      <c r="C11" s="164" t="s">
        <v>34</v>
      </c>
      <c r="D11" s="751">
        <f>-('WS12-SSCD'!C16)</f>
        <v>-11370492.575466415</v>
      </c>
      <c r="E11" s="189" t="s">
        <v>63</v>
      </c>
      <c r="F11" s="524">
        <v>1</v>
      </c>
      <c r="G11" s="755">
        <f t="shared" si="0"/>
        <v>-11370492.575466415</v>
      </c>
      <c r="H11" s="57"/>
      <c r="I11" s="55"/>
    </row>
    <row r="12" spans="1:14">
      <c r="A12" s="66">
        <v>7</v>
      </c>
      <c r="B12" s="731" t="s">
        <v>68</v>
      </c>
      <c r="C12" s="164" t="s">
        <v>69</v>
      </c>
      <c r="D12" s="752">
        <f>'WS3-RevCredits'!H23</f>
        <v>-78071</v>
      </c>
      <c r="E12" s="189" t="s">
        <v>70</v>
      </c>
      <c r="F12" s="524">
        <v>1</v>
      </c>
      <c r="G12" s="755">
        <f t="shared" si="0"/>
        <v>-78071</v>
      </c>
      <c r="H12" s="57"/>
      <c r="I12" s="55"/>
    </row>
    <row r="13" spans="1:14">
      <c r="A13" s="66">
        <v>8</v>
      </c>
      <c r="B13" s="731" t="s">
        <v>71</v>
      </c>
      <c r="C13" s="164"/>
      <c r="D13" s="752">
        <v>0</v>
      </c>
      <c r="E13" s="189" t="s">
        <v>63</v>
      </c>
      <c r="F13" s="524">
        <v>1</v>
      </c>
      <c r="G13" s="755">
        <f t="shared" si="0"/>
        <v>0</v>
      </c>
      <c r="H13" s="57"/>
      <c r="I13" s="55"/>
    </row>
    <row r="14" spans="1:14">
      <c r="A14" s="66">
        <v>9</v>
      </c>
      <c r="B14" s="773" t="s">
        <v>72</v>
      </c>
      <c r="C14" s="164" t="s">
        <v>2683</v>
      </c>
      <c r="D14" s="752">
        <f>'WS3-RevCredits'!H20</f>
        <v>-10636</v>
      </c>
      <c r="E14" s="189" t="s">
        <v>63</v>
      </c>
      <c r="F14" s="524">
        <v>1</v>
      </c>
      <c r="G14" s="755">
        <f>D14*F14</f>
        <v>-10636</v>
      </c>
      <c r="H14" s="57"/>
      <c r="I14" s="55"/>
    </row>
    <row r="15" spans="1:14">
      <c r="A15" s="66">
        <v>10</v>
      </c>
      <c r="B15" s="728" t="s">
        <v>73</v>
      </c>
      <c r="C15" s="217" t="s">
        <v>74</v>
      </c>
      <c r="D15" s="557">
        <f>SUM(D8:D14)</f>
        <v>-19507283.575466417</v>
      </c>
      <c r="E15" s="186"/>
      <c r="F15" s="77"/>
      <c r="G15" s="756">
        <f>SUM(G8:G14)</f>
        <v>-19507283.575466417</v>
      </c>
      <c r="H15" s="529"/>
      <c r="I15" s="182"/>
    </row>
    <row r="16" spans="1:14">
      <c r="A16" s="66">
        <v>11</v>
      </c>
      <c r="B16" s="728" t="s">
        <v>75</v>
      </c>
      <c r="C16" s="584" t="s">
        <v>76</v>
      </c>
      <c r="D16" s="748">
        <v>7289377</v>
      </c>
      <c r="E16" s="186"/>
      <c r="F16" s="77"/>
      <c r="G16" s="755">
        <f>D16</f>
        <v>7289377</v>
      </c>
      <c r="H16" s="57"/>
      <c r="I16" s="55"/>
    </row>
    <row r="17" spans="1:10">
      <c r="A17" s="66">
        <v>12</v>
      </c>
      <c r="B17" s="728" t="s">
        <v>77</v>
      </c>
      <c r="C17" s="217" t="s">
        <v>78</v>
      </c>
      <c r="D17" s="57"/>
      <c r="E17" s="186"/>
      <c r="F17" s="77"/>
      <c r="G17" s="755">
        <f>G6+G15+G16</f>
        <v>147054972.10033396</v>
      </c>
      <c r="H17" s="57"/>
      <c r="I17" s="55"/>
      <c r="J17" s="568"/>
    </row>
    <row r="18" spans="1:10">
      <c r="A18" s="66">
        <v>13</v>
      </c>
      <c r="B18" s="728"/>
      <c r="C18" s="217"/>
      <c r="D18" s="57"/>
      <c r="E18" s="186"/>
      <c r="F18" s="77"/>
      <c r="G18" s="153"/>
      <c r="H18" s="57"/>
      <c r="I18" s="55"/>
    </row>
    <row r="19" spans="1:10">
      <c r="A19" s="66">
        <v>14</v>
      </c>
      <c r="B19" s="728"/>
      <c r="C19" s="217"/>
      <c r="D19" s="57"/>
      <c r="E19" s="186"/>
      <c r="F19" s="77"/>
      <c r="G19" s="153"/>
      <c r="H19" s="57"/>
      <c r="I19" s="55"/>
    </row>
    <row r="20" spans="1:10">
      <c r="A20" s="63" t="s">
        <v>46</v>
      </c>
      <c r="B20" s="57"/>
      <c r="C20" s="227" t="s">
        <v>79</v>
      </c>
      <c r="D20" s="601" t="s">
        <v>80</v>
      </c>
      <c r="E20" s="601" t="s">
        <v>81</v>
      </c>
      <c r="F20" s="227" t="s">
        <v>82</v>
      </c>
      <c r="G20" s="227" t="s">
        <v>51</v>
      </c>
      <c r="H20" s="57"/>
      <c r="I20" s="55"/>
    </row>
    <row r="21" spans="1:10" ht="15" thickBot="1">
      <c r="A21" s="68" t="s">
        <v>52</v>
      </c>
      <c r="B21" s="94" t="s">
        <v>53</v>
      </c>
      <c r="C21" s="94" t="s">
        <v>54</v>
      </c>
      <c r="D21" s="94" t="s">
        <v>55</v>
      </c>
      <c r="E21" s="225" t="s">
        <v>56</v>
      </c>
      <c r="F21" s="225" t="s">
        <v>57</v>
      </c>
      <c r="G21" s="225" t="s">
        <v>83</v>
      </c>
      <c r="H21" s="50"/>
      <c r="I21" s="48"/>
    </row>
    <row r="22" spans="1:10">
      <c r="A22" s="66">
        <v>14</v>
      </c>
      <c r="B22" s="606" t="s">
        <v>84</v>
      </c>
      <c r="C22" s="759">
        <f>'WS5-BPUz'!M19+'WS6-BPUr'!M19</f>
        <v>932917.79937681684</v>
      </c>
      <c r="D22" s="759">
        <f>'WS5-BPUz'!M19</f>
        <v>809575.75880008074</v>
      </c>
      <c r="E22" s="760">
        <f>'WS6-BPUr'!M19</f>
        <v>123342.04057673614</v>
      </c>
      <c r="F22" s="761">
        <f>'WS5-BPUz'!N19+'WS6-BPUr'!N19</f>
        <v>-18332.999999999996</v>
      </c>
      <c r="G22" s="757">
        <f>C22+F22</f>
        <v>914584.79937681684</v>
      </c>
      <c r="H22" s="57"/>
      <c r="I22" s="55"/>
    </row>
    <row r="23" spans="1:10">
      <c r="A23" s="66">
        <v>15</v>
      </c>
      <c r="B23" s="728" t="s">
        <v>85</v>
      </c>
      <c r="C23" s="762"/>
      <c r="D23" s="762"/>
      <c r="E23" s="763"/>
      <c r="F23" s="764"/>
      <c r="G23" s="755">
        <f>'WS5-BPUz'!O19</f>
        <v>793666.58395531285</v>
      </c>
      <c r="H23" s="57"/>
      <c r="I23" s="55"/>
    </row>
    <row r="24" spans="1:10">
      <c r="A24" s="66">
        <v>16</v>
      </c>
      <c r="B24" s="607" t="s">
        <v>86</v>
      </c>
      <c r="C24" s="765"/>
      <c r="D24" s="765"/>
      <c r="E24" s="766"/>
      <c r="F24" s="767"/>
      <c r="G24" s="758">
        <f>'WS6-BPUr'!O19</f>
        <v>120918.21542150404</v>
      </c>
      <c r="H24" s="57"/>
      <c r="I24" s="55"/>
    </row>
    <row r="25" spans="1:10">
      <c r="A25" s="66">
        <v>17</v>
      </c>
      <c r="B25" s="728" t="s">
        <v>87</v>
      </c>
      <c r="C25" s="762"/>
      <c r="D25" s="762"/>
      <c r="E25" s="768"/>
      <c r="F25" s="769"/>
      <c r="G25" s="755"/>
      <c r="H25" s="57"/>
      <c r="I25" s="55"/>
    </row>
    <row r="26" spans="1:10">
      <c r="A26" s="66">
        <v>18</v>
      </c>
      <c r="B26" s="728" t="s">
        <v>88</v>
      </c>
      <c r="C26" s="770">
        <f>'WS5-BPUz'!M6+'WS6-BPUr'!M6</f>
        <v>14260.629506041039</v>
      </c>
      <c r="D26" s="770">
        <f>'WS5-BPUz'!M6</f>
        <v>9554.6217690474969</v>
      </c>
      <c r="E26" s="768">
        <f>'WS6-BPUr'!M6</f>
        <v>4706.0077369935425</v>
      </c>
      <c r="F26" s="769">
        <f>'WS5-BPUz'!N6+'WS6-BPUr'!N6</f>
        <v>-280.23918174665619</v>
      </c>
      <c r="G26" s="755">
        <f>C26+F26</f>
        <v>13980.390324294383</v>
      </c>
      <c r="H26" s="57"/>
      <c r="I26" s="55"/>
    </row>
    <row r="27" spans="1:10">
      <c r="A27" s="66">
        <v>19</v>
      </c>
      <c r="B27" s="728" t="s">
        <v>89</v>
      </c>
      <c r="C27" s="771">
        <f>'WS5-BPUz'!M7+'WS6-BPUr'!M7</f>
        <v>359503.12981740176</v>
      </c>
      <c r="D27" s="748">
        <f>'WS5-BPUz'!M7</f>
        <v>240867.09697765918</v>
      </c>
      <c r="E27" s="772">
        <f>'WS6-BPUr'!M7</f>
        <v>118636.03283974259</v>
      </c>
      <c r="F27" s="769">
        <f>'WS5-BPUz'!N7+'WS6-BPUr'!N7</f>
        <v>-7064.685531077891</v>
      </c>
      <c r="G27" s="755">
        <f>C27+F27</f>
        <v>352438.44428632385</v>
      </c>
      <c r="H27" s="57"/>
      <c r="I27" s="55"/>
    </row>
    <row r="28" spans="1:10">
      <c r="A28" s="66">
        <v>20</v>
      </c>
      <c r="B28" s="728" t="s">
        <v>90</v>
      </c>
      <c r="C28" s="771">
        <f>'WS5-BPUz'!M8</f>
        <v>559154.04005337413</v>
      </c>
      <c r="D28" s="748">
        <f>'WS5-BPUz'!M8</f>
        <v>559154.04005337413</v>
      </c>
      <c r="E28" s="772">
        <v>0</v>
      </c>
      <c r="F28" s="769">
        <f>'WS5-BPUz'!N8</f>
        <v>-10988.07528717545</v>
      </c>
      <c r="G28" s="755">
        <f>C28+F28</f>
        <v>548165.96476619865</v>
      </c>
      <c r="H28" s="57"/>
      <c r="I28" s="55"/>
    </row>
    <row r="29" spans="1:10" ht="15" thickBot="1">
      <c r="A29" s="74">
        <v>21</v>
      </c>
      <c r="B29" s="53" t="s">
        <v>2682</v>
      </c>
      <c r="C29" s="553"/>
      <c r="D29" s="604"/>
      <c r="E29" s="555"/>
      <c r="F29" s="605"/>
      <c r="G29" s="140"/>
      <c r="H29" s="50"/>
      <c r="I29" s="48"/>
    </row>
    <row r="31" spans="1:10">
      <c r="B31" s="531"/>
    </row>
    <row r="32" spans="1:10">
      <c r="B32" s="531"/>
    </row>
    <row r="33" spans="2:2">
      <c r="B33" s="531"/>
    </row>
  </sheetData>
  <hyperlinks>
    <hyperlink ref="J1" location="'Cover Sheets'!A16" display="(Back to Worksheet Links)" xr:uid="{00000000-0004-0000-0100-000000000000}"/>
  </hyperlinks>
  <pageMargins left="0.7" right="0.7" top="0.75" bottom="0.75" header="0.3" footer="0.3"/>
  <pageSetup scale="77"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73"/>
  <sheetViews>
    <sheetView view="pageBreakPreview" zoomScale="90" zoomScaleNormal="75" zoomScaleSheetLayoutView="90" workbookViewId="0"/>
  </sheetViews>
  <sheetFormatPr defaultColWidth="9.26953125" defaultRowHeight="13"/>
  <cols>
    <col min="1" max="1" width="7.7265625" style="37" customWidth="1"/>
    <col min="2" max="2" width="54.26953125" style="37" customWidth="1"/>
    <col min="3" max="3" width="24.7265625" style="37" customWidth="1"/>
    <col min="4" max="4" width="20" style="37" customWidth="1"/>
    <col min="5" max="5" width="13.26953125" style="40" customWidth="1"/>
    <col min="6" max="6" width="14.26953125" style="39" customWidth="1"/>
    <col min="7" max="7" width="13.453125" style="37" customWidth="1"/>
    <col min="8" max="8" width="17.26953125" style="37" customWidth="1"/>
    <col min="9" max="9" width="15.54296875" style="37" customWidth="1"/>
    <col min="10" max="10" width="23.26953125" style="38" customWidth="1"/>
    <col min="11" max="11" width="21.26953125" style="38" customWidth="1"/>
    <col min="12" max="12" width="20.7265625" style="38" customWidth="1"/>
    <col min="13" max="13" width="19.7265625" style="38" customWidth="1"/>
    <col min="14" max="14" width="22.453125" style="38" customWidth="1"/>
    <col min="15" max="15" width="15.54296875" style="38" customWidth="1"/>
    <col min="16" max="16384" width="9.26953125" style="37"/>
  </cols>
  <sheetData>
    <row r="1" spans="1:12" ht="14.5">
      <c r="A1" s="232" t="str">
        <f>'Cover Sheets'!A10:B10</f>
        <v>WAPA-UGP 2021 Rate Estimate Calculation</v>
      </c>
      <c r="B1" s="135"/>
      <c r="C1" s="135"/>
      <c r="D1" s="135"/>
      <c r="E1" s="210"/>
      <c r="F1" s="231"/>
      <c r="G1" s="231"/>
      <c r="H1" s="231"/>
      <c r="I1" s="230"/>
      <c r="J1" s="574" t="s">
        <v>42</v>
      </c>
    </row>
    <row r="2" spans="1:12">
      <c r="A2" s="36" t="s">
        <v>91</v>
      </c>
      <c r="B2" s="95"/>
      <c r="C2" s="95"/>
      <c r="D2" s="228"/>
      <c r="E2" s="59"/>
      <c r="F2" s="77"/>
      <c r="G2" s="57"/>
      <c r="H2" s="77"/>
      <c r="I2" s="192"/>
      <c r="J2" s="41"/>
      <c r="L2" s="41"/>
    </row>
    <row r="3" spans="1:12">
      <c r="A3" s="229" t="s">
        <v>92</v>
      </c>
      <c r="B3" s="95"/>
      <c r="C3" s="95"/>
      <c r="D3" s="228"/>
      <c r="E3" s="59"/>
      <c r="F3" s="77"/>
      <c r="G3" s="57"/>
      <c r="H3" s="77"/>
      <c r="I3" s="192"/>
      <c r="J3" s="41"/>
      <c r="L3" s="41"/>
    </row>
    <row r="4" spans="1:12">
      <c r="A4" s="569" t="str">
        <f>'Summary-ATRR'!A3</f>
        <v>12 Months Ending 09/30/2021 ESTIMATE</v>
      </c>
      <c r="B4" s="570"/>
      <c r="C4" s="95"/>
      <c r="D4" s="228"/>
      <c r="E4" s="59"/>
      <c r="F4" s="77"/>
      <c r="G4" s="57"/>
      <c r="H4" s="227" t="s">
        <v>45</v>
      </c>
      <c r="I4" s="192"/>
      <c r="J4" s="41"/>
      <c r="L4" s="41"/>
    </row>
    <row r="5" spans="1:12">
      <c r="A5" s="63" t="s">
        <v>46</v>
      </c>
      <c r="B5" s="57"/>
      <c r="C5" s="227" t="s">
        <v>47</v>
      </c>
      <c r="D5" s="227" t="s">
        <v>48</v>
      </c>
      <c r="E5" s="227" t="s">
        <v>49</v>
      </c>
      <c r="F5" s="77"/>
      <c r="G5" s="57"/>
      <c r="H5" s="227" t="s">
        <v>51</v>
      </c>
      <c r="I5" s="55"/>
      <c r="J5" s="41"/>
      <c r="L5" s="41"/>
    </row>
    <row r="6" spans="1:12" ht="13.5" thickBot="1">
      <c r="A6" s="68" t="s">
        <v>52</v>
      </c>
      <c r="B6" s="94" t="s">
        <v>53</v>
      </c>
      <c r="C6" s="94" t="s">
        <v>54</v>
      </c>
      <c r="D6" s="94" t="s">
        <v>55</v>
      </c>
      <c r="E6" s="52"/>
      <c r="F6" s="226" t="s">
        <v>56</v>
      </c>
      <c r="G6" s="50"/>
      <c r="H6" s="225" t="s">
        <v>57</v>
      </c>
      <c r="I6" s="48"/>
      <c r="J6" s="41"/>
      <c r="L6" s="41"/>
    </row>
    <row r="7" spans="1:12" ht="13.5" thickBot="1">
      <c r="A7" s="137">
        <v>1</v>
      </c>
      <c r="B7" s="224" t="s">
        <v>93</v>
      </c>
      <c r="C7" s="223" t="str">
        <f>"(L"&amp;A90&amp;")"</f>
        <v>(L69)</v>
      </c>
      <c r="D7" s="222">
        <f>+H90</f>
        <v>159272878.67580038</v>
      </c>
      <c r="E7" s="221"/>
      <c r="F7" s="132"/>
      <c r="G7" s="133"/>
      <c r="H7" s="220">
        <f>+H90</f>
        <v>159272878.67580038</v>
      </c>
      <c r="I7" s="219"/>
      <c r="J7" s="41"/>
      <c r="L7" s="41"/>
    </row>
    <row r="8" spans="1:12" ht="13.5" thickTop="1">
      <c r="A8" s="66">
        <f>A7+1</f>
        <v>2</v>
      </c>
      <c r="B8" s="728" t="s">
        <v>60</v>
      </c>
      <c r="C8" s="217" t="s">
        <v>94</v>
      </c>
      <c r="D8" s="530">
        <f>'Summary-ATRR'!D15</f>
        <v>-19507283.575466417</v>
      </c>
      <c r="E8" s="186"/>
      <c r="F8" s="77"/>
      <c r="G8" s="57"/>
      <c r="H8" s="530">
        <f>'Summary-ATRR'!G15</f>
        <v>-19507283.575466417</v>
      </c>
      <c r="I8" s="182"/>
      <c r="J8" s="41"/>
      <c r="L8" s="41"/>
    </row>
    <row r="9" spans="1:12">
      <c r="A9" s="66">
        <f>A8+1</f>
        <v>3</v>
      </c>
      <c r="B9" s="728" t="s">
        <v>95</v>
      </c>
      <c r="C9" s="217"/>
      <c r="D9" s="361">
        <f>'Summary-ATRR'!D16</f>
        <v>7289377</v>
      </c>
      <c r="E9" s="186"/>
      <c r="F9" s="77"/>
      <c r="G9" s="57"/>
      <c r="H9" s="361">
        <f>D9</f>
        <v>7289377</v>
      </c>
      <c r="I9" s="55"/>
      <c r="J9" s="41"/>
      <c r="L9" s="41"/>
    </row>
    <row r="10" spans="1:12" ht="13.5" thickBot="1">
      <c r="A10" s="66">
        <f>A9+1</f>
        <v>4</v>
      </c>
      <c r="B10" s="78" t="s">
        <v>96</v>
      </c>
      <c r="C10" s="181" t="str">
        <f>"(L"&amp;A7&amp;" + L"&amp;A8&amp;" + L"&amp;A9&amp;")"</f>
        <v>(L1 + L2 + L3)</v>
      </c>
      <c r="D10" s="215">
        <f>+D7+D8+D9</f>
        <v>147054972.10033396</v>
      </c>
      <c r="E10" s="180"/>
      <c r="F10" s="71"/>
      <c r="G10" s="49"/>
      <c r="H10" s="215">
        <f>+H7+H8+H9</f>
        <v>147054972.10033396</v>
      </c>
      <c r="I10" s="177"/>
      <c r="J10" s="41"/>
      <c r="L10" s="41"/>
    </row>
    <row r="11" spans="1:12">
      <c r="A11" s="137"/>
      <c r="B11" s="136" t="s">
        <v>97</v>
      </c>
      <c r="C11" s="214"/>
      <c r="D11" s="214"/>
      <c r="E11" s="213"/>
      <c r="F11" s="212"/>
      <c r="G11" s="211"/>
      <c r="H11" s="210" t="s">
        <v>98</v>
      </c>
      <c r="I11" s="209"/>
      <c r="J11" s="41"/>
      <c r="L11" s="41"/>
    </row>
    <row r="12" spans="1:12">
      <c r="A12" s="66"/>
      <c r="B12" s="731" t="s">
        <v>99</v>
      </c>
      <c r="C12" s="164" t="s">
        <v>100</v>
      </c>
      <c r="D12" s="164"/>
      <c r="E12" s="189"/>
      <c r="F12" s="153"/>
      <c r="G12" s="188"/>
      <c r="H12" s="56"/>
      <c r="I12" s="67"/>
      <c r="J12" s="41"/>
      <c r="L12" s="41"/>
    </row>
    <row r="13" spans="1:12">
      <c r="A13" s="66">
        <f>A10+1</f>
        <v>5</v>
      </c>
      <c r="B13" s="731" t="s">
        <v>101</v>
      </c>
      <c r="C13" s="191" t="s">
        <v>102</v>
      </c>
      <c r="D13" s="208">
        <f>'WS4-CostData'!C9+'WS4-CostData'!E9+'WS4-CostData'!G9</f>
        <v>1182679406.8204849</v>
      </c>
      <c r="E13" s="189" t="s">
        <v>63</v>
      </c>
      <c r="F13" s="169" t="s">
        <v>103</v>
      </c>
      <c r="G13" s="188"/>
      <c r="H13" s="56" t="s">
        <v>103</v>
      </c>
      <c r="I13" s="67"/>
    </row>
    <row r="14" spans="1:12">
      <c r="A14" s="66">
        <f>A13+1</f>
        <v>6</v>
      </c>
      <c r="B14" s="731" t="s">
        <v>104</v>
      </c>
      <c r="C14" s="191" t="s">
        <v>105</v>
      </c>
      <c r="D14" s="208">
        <f>'WS4-CostData'!C8+'WS4-CostData'!E8+'WS4-CostData'!G8</f>
        <v>1546543054.7445149</v>
      </c>
      <c r="E14" s="189" t="s">
        <v>70</v>
      </c>
      <c r="F14" s="169">
        <f>H103</f>
        <v>1</v>
      </c>
      <c r="G14" s="188"/>
      <c r="H14" s="58">
        <f>+F14*D14</f>
        <v>1546543054.7445149</v>
      </c>
      <c r="I14" s="67"/>
    </row>
    <row r="15" spans="1:12">
      <c r="A15" s="66">
        <f>A14+1</f>
        <v>7</v>
      </c>
      <c r="B15" s="731" t="s">
        <v>106</v>
      </c>
      <c r="C15" s="191" t="s">
        <v>107</v>
      </c>
      <c r="D15" s="208">
        <f>'WS4-CostData'!C7-'WS4-CostData'!C8-'WS4-CostData'!C9</f>
        <v>60084412.000000641</v>
      </c>
      <c r="E15" s="189" t="s">
        <v>63</v>
      </c>
      <c r="F15" s="169" t="s">
        <v>103</v>
      </c>
      <c r="G15" s="188"/>
      <c r="H15" s="58" t="s">
        <v>103</v>
      </c>
      <c r="I15" s="207"/>
    </row>
    <row r="16" spans="1:12" ht="26">
      <c r="A16" s="66">
        <f>A15+1</f>
        <v>8</v>
      </c>
      <c r="B16" s="729" t="s">
        <v>108</v>
      </c>
      <c r="C16" s="198" t="s">
        <v>109</v>
      </c>
      <c r="D16" s="206">
        <v>0</v>
      </c>
      <c r="E16" s="196" t="s">
        <v>110</v>
      </c>
      <c r="F16" s="195">
        <f>H111</f>
        <v>1</v>
      </c>
      <c r="G16" s="194"/>
      <c r="H16" s="193">
        <f>+F16*D16</f>
        <v>0</v>
      </c>
      <c r="I16" s="67"/>
    </row>
    <row r="17" spans="1:12">
      <c r="A17" s="66">
        <f>A16+1</f>
        <v>9</v>
      </c>
      <c r="B17" s="731" t="s">
        <v>111</v>
      </c>
      <c r="C17" s="164"/>
      <c r="D17" s="205">
        <v>0</v>
      </c>
      <c r="E17" s="189" t="s">
        <v>112</v>
      </c>
      <c r="F17" s="169">
        <f>I124</f>
        <v>0</v>
      </c>
      <c r="G17" s="188"/>
      <c r="H17" s="58">
        <f>+F17*D17</f>
        <v>0</v>
      </c>
      <c r="I17" s="67"/>
    </row>
    <row r="18" spans="1:12">
      <c r="A18" s="66">
        <f>A17+1</f>
        <v>10</v>
      </c>
      <c r="B18" s="731" t="s">
        <v>113</v>
      </c>
      <c r="C18" s="164" t="str">
        <f>"(sum L"&amp;A13&amp;" : "&amp;A17&amp;")"</f>
        <v>(sum L5 : 9)</v>
      </c>
      <c r="D18" s="148">
        <f>SUM(D13:D17)</f>
        <v>2789306873.5650001</v>
      </c>
      <c r="E18" s="189" t="s">
        <v>114</v>
      </c>
      <c r="F18" s="199">
        <f>IF(H18&gt;0,H18/D18,0)</f>
        <v>0.55445425148502414</v>
      </c>
      <c r="G18" s="188"/>
      <c r="H18" s="145">
        <f>SUM(H13:H17)</f>
        <v>1546543054.7445149</v>
      </c>
      <c r="I18" s="203"/>
    </row>
    <row r="19" spans="1:12">
      <c r="A19" s="66"/>
      <c r="B19" s="731" t="s">
        <v>115</v>
      </c>
      <c r="C19" s="155"/>
      <c r="D19" s="164"/>
      <c r="E19" s="200"/>
      <c r="F19" s="153"/>
      <c r="G19" s="56"/>
      <c r="H19" s="153"/>
      <c r="I19" s="159"/>
    </row>
    <row r="20" spans="1:12">
      <c r="A20" s="66">
        <f>A18+1</f>
        <v>11</v>
      </c>
      <c r="B20" s="95" t="str">
        <f>+B13</f>
        <v xml:space="preserve">  Production</v>
      </c>
      <c r="C20" s="191" t="s">
        <v>116</v>
      </c>
      <c r="D20" s="164">
        <f>'WS4-CostData'!C20+'WS4-CostData'!E20+'WS4-CostData'!G20</f>
        <v>593694164.01696587</v>
      </c>
      <c r="E20" s="189" t="str">
        <f>+E13</f>
        <v>NA</v>
      </c>
      <c r="F20" s="169" t="str">
        <f>+F13</f>
        <v xml:space="preserve"> </v>
      </c>
      <c r="G20" s="188"/>
      <c r="H20" s="58" t="s">
        <v>103</v>
      </c>
      <c r="I20" s="159"/>
    </row>
    <row r="21" spans="1:12">
      <c r="A21" s="66">
        <f>A20+1</f>
        <v>12</v>
      </c>
      <c r="B21" s="95" t="str">
        <f>+B14</f>
        <v xml:space="preserve">  Transmission</v>
      </c>
      <c r="C21" s="191" t="s">
        <v>117</v>
      </c>
      <c r="D21" s="164">
        <f>'WS4-CostData'!C19+'WS4-CostData'!E19+'WS4-CostData'!G19</f>
        <v>787315611.62610233</v>
      </c>
      <c r="E21" s="189" t="str">
        <f>+E14</f>
        <v>TP</v>
      </c>
      <c r="F21" s="169">
        <f>H103</f>
        <v>1</v>
      </c>
      <c r="G21" s="188"/>
      <c r="H21" s="58">
        <f>+F21*D21</f>
        <v>787315611.62610233</v>
      </c>
      <c r="I21" s="159"/>
    </row>
    <row r="22" spans="1:12">
      <c r="A22" s="66">
        <f>A21+1</f>
        <v>13</v>
      </c>
      <c r="B22" s="95" t="str">
        <f>+B15</f>
        <v xml:space="preserve">  Distribution</v>
      </c>
      <c r="C22" s="191" t="s">
        <v>118</v>
      </c>
      <c r="D22" s="164">
        <f>'WS4-CostData'!C18-'WS4-CostData'!C19-'WS4-CostData'!C20</f>
        <v>30623127.140683156</v>
      </c>
      <c r="E22" s="189" t="str">
        <f>+E15</f>
        <v>NA</v>
      </c>
      <c r="F22" s="169" t="str">
        <f>+F15</f>
        <v xml:space="preserve"> </v>
      </c>
      <c r="G22" s="188"/>
      <c r="H22" s="58" t="s">
        <v>103</v>
      </c>
      <c r="I22" s="159"/>
    </row>
    <row r="23" spans="1:12" ht="26">
      <c r="A23" s="66">
        <f>A22+1</f>
        <v>14</v>
      </c>
      <c r="B23" s="204" t="str">
        <f>+B16</f>
        <v xml:space="preserve">  General &amp; Intangible</v>
      </c>
      <c r="C23" s="198" t="s">
        <v>119</v>
      </c>
      <c r="D23" s="197">
        <v>0</v>
      </c>
      <c r="E23" s="196" t="str">
        <f>+E16</f>
        <v>W/S</v>
      </c>
      <c r="F23" s="195">
        <f>+F16</f>
        <v>1</v>
      </c>
      <c r="G23" s="194"/>
      <c r="H23" s="193">
        <f>+F23*D23</f>
        <v>0</v>
      </c>
      <c r="I23" s="159"/>
    </row>
    <row r="24" spans="1:12">
      <c r="A24" s="66">
        <f>A23+1</f>
        <v>15</v>
      </c>
      <c r="B24" s="95" t="str">
        <f>+B17</f>
        <v xml:space="preserve">  Common</v>
      </c>
      <c r="C24" s="164"/>
      <c r="D24" s="201">
        <v>0</v>
      </c>
      <c r="E24" s="189" t="str">
        <f>+E17</f>
        <v>CE</v>
      </c>
      <c r="F24" s="169">
        <f>+F17</f>
        <v>0</v>
      </c>
      <c r="G24" s="188"/>
      <c r="H24" s="58">
        <f>+F24*D24</f>
        <v>0</v>
      </c>
      <c r="I24" s="67"/>
    </row>
    <row r="25" spans="1:12">
      <c r="A25" s="66">
        <f>A24+1</f>
        <v>16</v>
      </c>
      <c r="B25" s="731" t="s">
        <v>120</v>
      </c>
      <c r="C25" s="155" t="str">
        <f>"(sum L"&amp;A20&amp;" : "&amp;A24&amp;")"</f>
        <v>(sum L11 : 15)</v>
      </c>
      <c r="D25" s="148">
        <f>SUM(D20:D24)</f>
        <v>1411632902.7837515</v>
      </c>
      <c r="E25" s="200"/>
      <c r="F25" s="153"/>
      <c r="G25" s="188"/>
      <c r="H25" s="145">
        <f>SUM(H20:H24)</f>
        <v>787315611.62610233</v>
      </c>
      <c r="I25" s="203"/>
    </row>
    <row r="26" spans="1:12">
      <c r="A26" s="66"/>
      <c r="B26" s="731" t="s">
        <v>121</v>
      </c>
      <c r="C26" s="164"/>
      <c r="D26" s="164"/>
      <c r="E26" s="189"/>
      <c r="F26" s="153"/>
      <c r="G26" s="56"/>
      <c r="H26" s="153"/>
      <c r="I26" s="159"/>
    </row>
    <row r="27" spans="1:12">
      <c r="A27" s="66">
        <f>A25+1</f>
        <v>17</v>
      </c>
      <c r="B27" s="95" t="str">
        <f>+B20</f>
        <v xml:space="preserve">  Production</v>
      </c>
      <c r="C27" s="164" t="str">
        <f>"(L"&amp;A13&amp; " - L"&amp;A20&amp;")"</f>
        <v>(L5 - L11)</v>
      </c>
      <c r="D27" s="164">
        <f>D13-D20</f>
        <v>588985242.80351901</v>
      </c>
      <c r="E27" s="189"/>
      <c r="F27" s="199"/>
      <c r="G27" s="188"/>
      <c r="H27" s="58" t="s">
        <v>103</v>
      </c>
      <c r="I27" s="159"/>
    </row>
    <row r="28" spans="1:12">
      <c r="A28" s="66">
        <f>A27+1</f>
        <v>18</v>
      </c>
      <c r="B28" s="95" t="str">
        <f>+B21</f>
        <v xml:space="preserve">  Transmission</v>
      </c>
      <c r="C28" s="164" t="str">
        <f>"(L"&amp;A14&amp;" - L"&amp;A21&amp;")"</f>
        <v>(L6 - L12)</v>
      </c>
      <c r="D28" s="164">
        <f>D14-D21</f>
        <v>759227443.11841261</v>
      </c>
      <c r="E28" s="189"/>
      <c r="F28" s="169"/>
      <c r="G28" s="188"/>
      <c r="H28" s="58">
        <f>H14-H21</f>
        <v>759227443.11841261</v>
      </c>
      <c r="I28" s="159"/>
    </row>
    <row r="29" spans="1:12">
      <c r="A29" s="66">
        <f>A28+1</f>
        <v>19</v>
      </c>
      <c r="B29" s="95" t="str">
        <f>+B22</f>
        <v xml:space="preserve">  Distribution</v>
      </c>
      <c r="C29" s="164" t="str">
        <f>"(L"&amp;A15&amp;" - L"&amp;A22&amp;")"</f>
        <v>(L7 - L13)</v>
      </c>
      <c r="D29" s="164">
        <f>D15-D22</f>
        <v>29461284.859317485</v>
      </c>
      <c r="E29" s="189"/>
      <c r="F29" s="199"/>
      <c r="G29" s="188"/>
      <c r="H29" s="58" t="s">
        <v>103</v>
      </c>
      <c r="I29" s="159"/>
    </row>
    <row r="30" spans="1:12">
      <c r="A30" s="66">
        <f>A29+1</f>
        <v>20</v>
      </c>
      <c r="B30" s="95" t="str">
        <f>+B23</f>
        <v xml:space="preserve">  General &amp; Intangible</v>
      </c>
      <c r="C30" s="164" t="str">
        <f>"(L"&amp;A16&amp;" - L"&amp;A23&amp;")"</f>
        <v>(L8 - L14)</v>
      </c>
      <c r="D30" s="164">
        <f>D16-D23</f>
        <v>0</v>
      </c>
      <c r="E30" s="189"/>
      <c r="F30" s="199"/>
      <c r="G30" s="188"/>
      <c r="H30" s="58">
        <f>H16-H23</f>
        <v>0</v>
      </c>
      <c r="I30" s="67"/>
    </row>
    <row r="31" spans="1:12">
      <c r="A31" s="66">
        <f>A30+1</f>
        <v>21</v>
      </c>
      <c r="B31" s="95" t="str">
        <f>+B24</f>
        <v xml:space="preserve">  Common</v>
      </c>
      <c r="C31" s="164" t="str">
        <f>"(L"&amp;A17&amp;" - L"&amp;A24&amp;")"</f>
        <v>(L9 - L15)</v>
      </c>
      <c r="D31" s="164">
        <f>D17-D24</f>
        <v>0</v>
      </c>
      <c r="E31" s="189"/>
      <c r="F31" s="199"/>
      <c r="G31" s="188"/>
      <c r="H31" s="58">
        <f>H17-H24</f>
        <v>0</v>
      </c>
      <c r="I31" s="67"/>
      <c r="J31" s="41"/>
      <c r="L31" s="41"/>
    </row>
    <row r="32" spans="1:12">
      <c r="A32" s="66">
        <f>A31+1</f>
        <v>22</v>
      </c>
      <c r="B32" s="731" t="s">
        <v>122</v>
      </c>
      <c r="C32" s="164" t="str">
        <f>"(sum L"&amp;A27&amp;" : "&amp;A31&amp;")"</f>
        <v>(sum L17 : 21)</v>
      </c>
      <c r="D32" s="148">
        <f>SUM(D27:D31)</f>
        <v>1377673970.7812493</v>
      </c>
      <c r="E32" s="189" t="s">
        <v>123</v>
      </c>
      <c r="F32" s="199">
        <f>IF(H32&gt;0,H32/D32,0)</f>
        <v>0.55109369794354979</v>
      </c>
      <c r="G32" s="188"/>
      <c r="H32" s="145">
        <f>SUM(H27:H31)</f>
        <v>759227443.11841261</v>
      </c>
      <c r="I32" s="203"/>
      <c r="J32" s="41"/>
      <c r="L32" s="41"/>
    </row>
    <row r="33" spans="1:21">
      <c r="A33" s="66"/>
      <c r="B33" s="731" t="s">
        <v>124</v>
      </c>
      <c r="C33" s="155" t="s">
        <v>125</v>
      </c>
      <c r="D33" s="164"/>
      <c r="E33" s="200"/>
      <c r="F33" s="153"/>
      <c r="G33" s="56"/>
      <c r="H33" s="153"/>
      <c r="I33" s="67"/>
      <c r="J33" s="41"/>
      <c r="L33" s="41"/>
    </row>
    <row r="34" spans="1:21">
      <c r="A34" s="66">
        <f>A32+1</f>
        <v>23</v>
      </c>
      <c r="B34" s="731" t="s">
        <v>126</v>
      </c>
      <c r="C34" s="164" t="s">
        <v>127</v>
      </c>
      <c r="D34" s="201">
        <v>0</v>
      </c>
      <c r="E34" s="189"/>
      <c r="F34" s="169">
        <v>0</v>
      </c>
      <c r="G34" s="188"/>
      <c r="H34" s="58">
        <v>0</v>
      </c>
      <c r="I34" s="67"/>
      <c r="J34" s="41"/>
      <c r="L34" s="41"/>
    </row>
    <row r="35" spans="1:21">
      <c r="A35" s="66">
        <f t="shared" ref="A35:A40" si="0">A34+1</f>
        <v>24</v>
      </c>
      <c r="B35" s="731" t="s">
        <v>128</v>
      </c>
      <c r="C35" s="164" t="s">
        <v>127</v>
      </c>
      <c r="D35" s="201">
        <v>0</v>
      </c>
      <c r="E35" s="189" t="s">
        <v>129</v>
      </c>
      <c r="F35" s="169">
        <f>+F32</f>
        <v>0.55109369794354979</v>
      </c>
      <c r="G35" s="188"/>
      <c r="H35" s="58">
        <f>D35*F35</f>
        <v>0</v>
      </c>
      <c r="I35" s="159"/>
      <c r="J35" s="41"/>
      <c r="L35" s="41"/>
    </row>
    <row r="36" spans="1:21">
      <c r="A36" s="66">
        <f t="shared" si="0"/>
        <v>25</v>
      </c>
      <c r="B36" s="731" t="s">
        <v>130</v>
      </c>
      <c r="C36" s="164" t="s">
        <v>127</v>
      </c>
      <c r="D36" s="201">
        <v>0</v>
      </c>
      <c r="E36" s="189" t="s">
        <v>129</v>
      </c>
      <c r="F36" s="169">
        <f>+F35</f>
        <v>0.55109369794354979</v>
      </c>
      <c r="G36" s="188"/>
      <c r="H36" s="58">
        <f>D36*F36</f>
        <v>0</v>
      </c>
      <c r="I36" s="202"/>
      <c r="J36" s="41"/>
      <c r="L36" s="41"/>
    </row>
    <row r="37" spans="1:21">
      <c r="A37" s="66">
        <f t="shared" si="0"/>
        <v>26</v>
      </c>
      <c r="B37" s="731" t="s">
        <v>131</v>
      </c>
      <c r="C37" s="164"/>
      <c r="D37" s="201">
        <v>0</v>
      </c>
      <c r="E37" s="189" t="str">
        <f>+E36</f>
        <v>NP</v>
      </c>
      <c r="F37" s="169">
        <f>+F36</f>
        <v>0.55109369794354979</v>
      </c>
      <c r="G37" s="188"/>
      <c r="H37" s="58">
        <f>D37*F37</f>
        <v>0</v>
      </c>
      <c r="I37" s="159"/>
      <c r="J37" s="41"/>
      <c r="L37" s="41"/>
    </row>
    <row r="38" spans="1:21">
      <c r="A38" s="66">
        <f t="shared" si="0"/>
        <v>27</v>
      </c>
      <c r="B38" s="731" t="s">
        <v>132</v>
      </c>
      <c r="C38" s="164" t="s">
        <v>127</v>
      </c>
      <c r="D38" s="201">
        <v>0</v>
      </c>
      <c r="E38" s="189" t="s">
        <v>129</v>
      </c>
      <c r="F38" s="169">
        <f>+F36</f>
        <v>0.55109369794354979</v>
      </c>
      <c r="G38" s="188"/>
      <c r="H38" s="58">
        <f>D38*F38</f>
        <v>0</v>
      </c>
      <c r="I38" s="55"/>
      <c r="J38" s="41"/>
      <c r="L38" s="41"/>
    </row>
    <row r="39" spans="1:21">
      <c r="A39" s="66">
        <f t="shared" si="0"/>
        <v>28</v>
      </c>
      <c r="B39" s="731" t="s">
        <v>133</v>
      </c>
      <c r="C39" s="164" t="str">
        <f>"(sum L"&amp;A34&amp;" : "&amp;A38&amp;")"</f>
        <v>(sum L23 : 27)</v>
      </c>
      <c r="D39" s="148">
        <f>SUM(D34:D38)</f>
        <v>0</v>
      </c>
      <c r="E39" s="189"/>
      <c r="F39" s="153"/>
      <c r="G39" s="188"/>
      <c r="H39" s="145">
        <f>SUM(H34:H38)</f>
        <v>0</v>
      </c>
      <c r="I39" s="168"/>
      <c r="J39" s="41"/>
      <c r="L39" s="41"/>
    </row>
    <row r="40" spans="1:21">
      <c r="A40" s="66">
        <f t="shared" si="0"/>
        <v>29</v>
      </c>
      <c r="B40" s="731" t="s">
        <v>134</v>
      </c>
      <c r="C40" s="155" t="s">
        <v>135</v>
      </c>
      <c r="D40" s="201">
        <v>0</v>
      </c>
      <c r="E40" s="200" t="str">
        <f>+E21</f>
        <v>TP</v>
      </c>
      <c r="F40" s="169">
        <f>+F21</f>
        <v>1</v>
      </c>
      <c r="G40" s="56"/>
      <c r="H40" s="153">
        <f>+F40*D40</f>
        <v>0</v>
      </c>
      <c r="I40" s="55"/>
      <c r="J40" s="41"/>
      <c r="L40" s="41"/>
    </row>
    <row r="41" spans="1:21">
      <c r="A41" s="66"/>
      <c r="B41" s="731" t="s">
        <v>136</v>
      </c>
      <c r="C41" s="191" t="s">
        <v>137</v>
      </c>
      <c r="D41" s="164"/>
      <c r="E41" s="189"/>
      <c r="F41" s="153"/>
      <c r="G41" s="188"/>
      <c r="H41" s="58"/>
      <c r="I41" s="84"/>
      <c r="J41" s="41"/>
    </row>
    <row r="42" spans="1:21">
      <c r="A42" s="66">
        <f>A40+1</f>
        <v>30</v>
      </c>
      <c r="B42" s="731" t="s">
        <v>138</v>
      </c>
      <c r="C42" s="164" t="s">
        <v>139</v>
      </c>
      <c r="D42" s="164">
        <f>D61/8</f>
        <v>24140113</v>
      </c>
      <c r="E42" s="189"/>
      <c r="F42" s="199"/>
      <c r="G42" s="188"/>
      <c r="H42" s="58">
        <v>0</v>
      </c>
      <c r="I42" s="192"/>
      <c r="J42" s="41"/>
      <c r="L42" s="41"/>
    </row>
    <row r="43" spans="1:21" ht="26">
      <c r="A43" s="66">
        <f>A42+1</f>
        <v>31</v>
      </c>
      <c r="B43" s="729" t="s">
        <v>140</v>
      </c>
      <c r="C43" s="198" t="s">
        <v>141</v>
      </c>
      <c r="D43" s="197">
        <v>0</v>
      </c>
      <c r="E43" s="196" t="s">
        <v>142</v>
      </c>
      <c r="F43" s="195">
        <f>H104</f>
        <v>0</v>
      </c>
      <c r="G43" s="194"/>
      <c r="H43" s="193">
        <f>+F43*D43</f>
        <v>0</v>
      </c>
      <c r="I43" s="192"/>
      <c r="J43" s="41"/>
      <c r="L43" s="41"/>
    </row>
    <row r="44" spans="1:21">
      <c r="A44" s="66">
        <f>A43+1</f>
        <v>32</v>
      </c>
      <c r="B44" s="731" t="s">
        <v>143</v>
      </c>
      <c r="C44" s="191" t="s">
        <v>144</v>
      </c>
      <c r="D44" s="190">
        <v>0</v>
      </c>
      <c r="E44" s="189" t="s">
        <v>145</v>
      </c>
      <c r="F44" s="169">
        <f>+F18</f>
        <v>0.55445425148502414</v>
      </c>
      <c r="G44" s="188"/>
      <c r="H44" s="58">
        <f>+F44*D44</f>
        <v>0</v>
      </c>
      <c r="I44" s="732"/>
      <c r="J44" s="41"/>
      <c r="L44" s="41"/>
    </row>
    <row r="45" spans="1:21">
      <c r="A45" s="66">
        <f>A44+1</f>
        <v>33</v>
      </c>
      <c r="B45" s="731" t="s">
        <v>146</v>
      </c>
      <c r="C45" s="164" t="str">
        <f>"(sum L"&amp;A42&amp;" : "&amp;A44&amp;")"</f>
        <v>(sum L30 : 32)</v>
      </c>
      <c r="D45" s="187">
        <f>D42+D43+D44</f>
        <v>24140113</v>
      </c>
      <c r="E45" s="186"/>
      <c r="F45" s="185"/>
      <c r="G45" s="184"/>
      <c r="H45" s="183">
        <f>H42+H43+H44</f>
        <v>0</v>
      </c>
      <c r="I45" s="182"/>
      <c r="J45" s="41"/>
      <c r="L45" s="41"/>
    </row>
    <row r="46" spans="1:21" ht="13.5" thickBot="1">
      <c r="A46" s="74">
        <f>A45+1</f>
        <v>34</v>
      </c>
      <c r="B46" s="78" t="s">
        <v>147</v>
      </c>
      <c r="C46" s="181" t="str">
        <f>"(sum L"&amp;A32&amp;", "&amp;A39&amp;", "&amp;A40&amp;", "&amp;A45&amp;")"</f>
        <v>(sum L22, 28, 29, 33)</v>
      </c>
      <c r="D46" s="181">
        <f>+D45+D40+D39+D32</f>
        <v>1401814083.7812493</v>
      </c>
      <c r="E46" s="180"/>
      <c r="F46" s="179"/>
      <c r="G46" s="178"/>
      <c r="H46" s="71">
        <f>+H45+H40+H39+H32</f>
        <v>759227443.11841261</v>
      </c>
      <c r="I46" s="177"/>
      <c r="J46" s="41"/>
      <c r="L46" s="43"/>
    </row>
    <row r="47" spans="1:21">
      <c r="A47" s="137"/>
      <c r="B47" s="135" t="s">
        <v>148</v>
      </c>
      <c r="C47" s="176"/>
      <c r="D47" s="176"/>
      <c r="E47" s="175"/>
      <c r="F47" s="173"/>
      <c r="G47" s="174"/>
      <c r="H47" s="173"/>
      <c r="I47" s="172"/>
      <c r="M47" s="42"/>
      <c r="N47" s="42"/>
      <c r="O47" s="42"/>
      <c r="P47" s="128"/>
      <c r="Q47" s="128"/>
      <c r="R47" s="128"/>
      <c r="S47" s="128"/>
      <c r="T47" s="128"/>
      <c r="U47" s="128"/>
    </row>
    <row r="48" spans="1:21">
      <c r="A48" s="66"/>
      <c r="B48" s="731" t="s">
        <v>149</v>
      </c>
      <c r="C48" s="149" t="s">
        <v>150</v>
      </c>
      <c r="D48" s="149"/>
      <c r="E48" s="147"/>
      <c r="F48" s="156"/>
      <c r="G48" s="731"/>
      <c r="H48" s="156"/>
      <c r="I48" s="67"/>
    </row>
    <row r="49" spans="1:9" s="167" customFormat="1">
      <c r="A49" s="66">
        <f>A46+1</f>
        <v>35</v>
      </c>
      <c r="B49" s="731" t="s">
        <v>151</v>
      </c>
      <c r="C49" s="149" t="s">
        <v>2665</v>
      </c>
      <c r="D49" s="155">
        <f>'WS4-CostData'!C122</f>
        <v>69037078.599999994</v>
      </c>
      <c r="E49" s="147" t="s">
        <v>152</v>
      </c>
      <c r="F49" s="169">
        <f>H116</f>
        <v>0.94956800121936014</v>
      </c>
      <c r="G49" s="56"/>
      <c r="H49" s="153">
        <f>+F49*D49</f>
        <v>65555400.736225858</v>
      </c>
      <c r="I49" s="67"/>
    </row>
    <row r="50" spans="1:9">
      <c r="A50" s="66">
        <f>A49+1</f>
        <v>36</v>
      </c>
      <c r="B50" s="731" t="s">
        <v>153</v>
      </c>
      <c r="C50" s="149" t="s">
        <v>2666</v>
      </c>
      <c r="D50" s="155">
        <f>'WS4-CostData'!E122</f>
        <v>46417099</v>
      </c>
      <c r="E50" s="147" t="s">
        <v>154</v>
      </c>
      <c r="F50" s="169">
        <f>H119</f>
        <v>1.3179926641316092E-2</v>
      </c>
      <c r="G50" s="56"/>
      <c r="H50" s="153">
        <f>+F50*D50</f>
        <v>611773.95972270658</v>
      </c>
      <c r="I50" s="67"/>
    </row>
    <row r="51" spans="1:9">
      <c r="A51" s="66">
        <f>A50+1</f>
        <v>37</v>
      </c>
      <c r="B51" s="731" t="s">
        <v>155</v>
      </c>
      <c r="C51" s="149" t="s">
        <v>2667</v>
      </c>
      <c r="D51" s="155">
        <f>'WS4-CostData'!G122</f>
        <v>48758210</v>
      </c>
      <c r="E51" s="147" t="s">
        <v>156</v>
      </c>
      <c r="F51" s="169">
        <f>H122</f>
        <v>8.2568928993367874E-2</v>
      </c>
      <c r="G51" s="56"/>
      <c r="H51" s="153">
        <f>+F51*D51</f>
        <v>4025913.1793337194</v>
      </c>
      <c r="I51" s="67"/>
    </row>
    <row r="52" spans="1:9">
      <c r="A52" s="66">
        <f>A51+1</f>
        <v>38</v>
      </c>
      <c r="B52" s="731" t="s">
        <v>157</v>
      </c>
      <c r="C52" s="149" t="s">
        <v>158</v>
      </c>
      <c r="D52" s="155"/>
      <c r="E52" s="147" t="s">
        <v>63</v>
      </c>
      <c r="F52" s="169">
        <v>1</v>
      </c>
      <c r="G52" s="56"/>
      <c r="H52" s="153">
        <f>+F52*D52</f>
        <v>0</v>
      </c>
      <c r="I52" s="67"/>
    </row>
    <row r="53" spans="1:9">
      <c r="A53" s="66"/>
      <c r="B53" s="731" t="s">
        <v>159</v>
      </c>
      <c r="C53" s="149" t="s">
        <v>160</v>
      </c>
      <c r="D53" s="155"/>
      <c r="E53" s="154"/>
      <c r="F53" s="156"/>
      <c r="G53" s="731"/>
      <c r="H53" s="156"/>
      <c r="I53" s="67"/>
    </row>
    <row r="54" spans="1:9">
      <c r="A54" s="66">
        <f>A52+1</f>
        <v>39</v>
      </c>
      <c r="B54" s="731" t="s">
        <v>151</v>
      </c>
      <c r="C54" s="149" t="s">
        <v>161</v>
      </c>
      <c r="D54" s="155">
        <f>'WS4-CostData'!C93</f>
        <v>16768396.4</v>
      </c>
      <c r="E54" s="147" t="str">
        <f>E49</f>
        <v>PTP/UGP</v>
      </c>
      <c r="F54" s="169">
        <f>F49</f>
        <v>0.94956800121936014</v>
      </c>
      <c r="G54" s="56"/>
      <c r="H54" s="153">
        <f t="shared" ref="H54:H60" si="1">+F54*D54</f>
        <v>15922732.653201915</v>
      </c>
      <c r="I54" s="159"/>
    </row>
    <row r="55" spans="1:9">
      <c r="A55" s="66">
        <f t="shared" ref="A55:A61" si="2">A54+1</f>
        <v>40</v>
      </c>
      <c r="B55" s="731" t="s">
        <v>153</v>
      </c>
      <c r="C55" s="149" t="s">
        <v>162</v>
      </c>
      <c r="D55" s="155">
        <f>'WS4-CostData'!E93</f>
        <v>12140120</v>
      </c>
      <c r="E55" s="147" t="str">
        <f>E50</f>
        <v>PTP/RMR</v>
      </c>
      <c r="F55" s="169">
        <f>F50</f>
        <v>1.3179926641316092E-2</v>
      </c>
      <c r="G55" s="56"/>
      <c r="H55" s="153">
        <f t="shared" si="1"/>
        <v>160005.89101677432</v>
      </c>
      <c r="I55" s="159"/>
    </row>
    <row r="56" spans="1:9">
      <c r="A56" s="66">
        <f t="shared" si="2"/>
        <v>41</v>
      </c>
      <c r="B56" s="731" t="s">
        <v>163</v>
      </c>
      <c r="C56" s="155"/>
      <c r="D56" s="170">
        <v>0</v>
      </c>
      <c r="E56" s="147" t="s">
        <v>110</v>
      </c>
      <c r="F56" s="169">
        <f>H111</f>
        <v>1</v>
      </c>
      <c r="G56" s="56"/>
      <c r="H56" s="153">
        <f t="shared" si="1"/>
        <v>0</v>
      </c>
      <c r="I56" s="159"/>
    </row>
    <row r="57" spans="1:9">
      <c r="A57" s="66">
        <f t="shared" si="2"/>
        <v>42</v>
      </c>
      <c r="B57" s="731" t="s">
        <v>164</v>
      </c>
      <c r="C57" s="155" t="s">
        <v>165</v>
      </c>
      <c r="D57" s="170">
        <v>0</v>
      </c>
      <c r="E57" s="147" t="str">
        <f>+E56</f>
        <v>W/S</v>
      </c>
      <c r="F57" s="169">
        <f>H111</f>
        <v>1</v>
      </c>
      <c r="G57" s="56"/>
      <c r="H57" s="153">
        <f t="shared" si="1"/>
        <v>0</v>
      </c>
      <c r="I57" s="159"/>
    </row>
    <row r="58" spans="1:9">
      <c r="A58" s="66">
        <f t="shared" si="2"/>
        <v>43</v>
      </c>
      <c r="B58" s="731" t="s">
        <v>166</v>
      </c>
      <c r="C58" s="155" t="s">
        <v>165</v>
      </c>
      <c r="D58" s="170">
        <v>0</v>
      </c>
      <c r="E58" s="147" t="s">
        <v>142</v>
      </c>
      <c r="F58" s="169">
        <f>H104</f>
        <v>0</v>
      </c>
      <c r="G58" s="56"/>
      <c r="H58" s="153">
        <f t="shared" si="1"/>
        <v>0</v>
      </c>
      <c r="I58" s="159"/>
    </row>
    <row r="59" spans="1:9">
      <c r="A59" s="66">
        <f t="shared" si="2"/>
        <v>44</v>
      </c>
      <c r="B59" s="731" t="s">
        <v>111</v>
      </c>
      <c r="C59" s="155"/>
      <c r="D59" s="170">
        <v>0</v>
      </c>
      <c r="E59" s="147" t="s">
        <v>112</v>
      </c>
      <c r="F59" s="169">
        <f>I124</f>
        <v>0</v>
      </c>
      <c r="G59" s="56"/>
      <c r="H59" s="153">
        <f t="shared" si="1"/>
        <v>0</v>
      </c>
      <c r="I59" s="67"/>
    </row>
    <row r="60" spans="1:9">
      <c r="A60" s="66">
        <f t="shared" si="2"/>
        <v>45</v>
      </c>
      <c r="B60" s="731" t="s">
        <v>167</v>
      </c>
      <c r="C60" s="155"/>
      <c r="D60" s="171">
        <v>0</v>
      </c>
      <c r="E60" s="147" t="s">
        <v>63</v>
      </c>
      <c r="F60" s="169">
        <v>1</v>
      </c>
      <c r="G60" s="56"/>
      <c r="H60" s="153">
        <f t="shared" si="1"/>
        <v>0</v>
      </c>
      <c r="I60" s="67"/>
    </row>
    <row r="61" spans="1:9" ht="26">
      <c r="A61" s="66">
        <f t="shared" si="2"/>
        <v>46</v>
      </c>
      <c r="B61" s="731" t="s">
        <v>168</v>
      </c>
      <c r="C61" s="163" t="str">
        <f>"(sum L"&amp;A49&amp;", "&amp;A50&amp;", "&amp;A51&amp;", "&amp;A54&amp;", "&amp;A55&amp;", "&amp;A58&amp;", "&amp;A59&amp;" less "&amp;A52&amp;", "&amp;A56&amp;", "&amp;A57&amp;")"</f>
        <v>(sum L35, 36, 37, 39, 40, 43, 44 less 38, 41, 42)</v>
      </c>
      <c r="D61" s="148">
        <f>+D49+D50+D51-D52+D54+D55-D56-D57+D58+D59+D60</f>
        <v>193120904</v>
      </c>
      <c r="E61" s="147"/>
      <c r="F61" s="153"/>
      <c r="G61" s="56"/>
      <c r="H61" s="145">
        <f>+H49+H50+H51-H52+H54+H55-H56-H57+H58+H59+H60</f>
        <v>86275826.419500977</v>
      </c>
      <c r="I61" s="168"/>
    </row>
    <row r="62" spans="1:9">
      <c r="A62" s="66"/>
      <c r="B62" s="731" t="s">
        <v>169</v>
      </c>
      <c r="C62" s="155"/>
      <c r="D62" s="164"/>
      <c r="E62" s="80"/>
      <c r="F62" s="153"/>
      <c r="G62" s="56"/>
      <c r="H62" s="153"/>
      <c r="I62" s="159"/>
    </row>
    <row r="63" spans="1:9">
      <c r="A63" s="66">
        <f>A61+1</f>
        <v>47</v>
      </c>
      <c r="B63" s="95" t="str">
        <f>+B48</f>
        <v xml:space="preserve">  Transmission </v>
      </c>
      <c r="C63" s="149" t="s">
        <v>170</v>
      </c>
      <c r="D63" s="155"/>
      <c r="E63" s="147"/>
      <c r="F63" s="169"/>
      <c r="G63" s="56"/>
      <c r="H63" s="153"/>
      <c r="I63" s="159"/>
    </row>
    <row r="64" spans="1:9">
      <c r="A64" s="66">
        <f t="shared" ref="A64:A69" si="3">A63+1</f>
        <v>48</v>
      </c>
      <c r="B64" s="731" t="s">
        <v>151</v>
      </c>
      <c r="C64" s="149" t="s">
        <v>171</v>
      </c>
      <c r="D64" s="157">
        <f>'WS4-CostData'!C46</f>
        <v>35606174</v>
      </c>
      <c r="E64" s="147" t="str">
        <f>E49</f>
        <v>PTP/UGP</v>
      </c>
      <c r="F64" s="169">
        <f>F49</f>
        <v>0.94956800121936014</v>
      </c>
      <c r="G64" s="56"/>
      <c r="H64" s="153">
        <f>+F64*D64</f>
        <v>33810483.476248749</v>
      </c>
      <c r="I64" s="159"/>
    </row>
    <row r="65" spans="1:15">
      <c r="A65" s="66">
        <f t="shared" si="3"/>
        <v>49</v>
      </c>
      <c r="B65" s="731" t="s">
        <v>153</v>
      </c>
      <c r="C65" s="149" t="s">
        <v>172</v>
      </c>
      <c r="D65" s="157">
        <f>'WS4-CostData'!E46</f>
        <v>18370894.489999998</v>
      </c>
      <c r="E65" s="147" t="str">
        <f>E50</f>
        <v>PTP/RMR</v>
      </c>
      <c r="F65" s="169">
        <f>F50</f>
        <v>1.3179926641316092E-2</v>
      </c>
      <c r="G65" s="56"/>
      <c r="H65" s="153">
        <f>+F65*D65</f>
        <v>242127.04171355799</v>
      </c>
      <c r="I65" s="159"/>
    </row>
    <row r="66" spans="1:15">
      <c r="A66" s="66">
        <f t="shared" si="3"/>
        <v>50</v>
      </c>
      <c r="B66" s="731" t="s">
        <v>155</v>
      </c>
      <c r="C66" s="149" t="s">
        <v>173</v>
      </c>
      <c r="D66" s="157">
        <f>'WS4-CostData'!G46</f>
        <v>16257165</v>
      </c>
      <c r="E66" s="147" t="s">
        <v>156</v>
      </c>
      <c r="F66" s="169">
        <f>F51</f>
        <v>8.2568928993367874E-2</v>
      </c>
      <c r="G66" s="56"/>
      <c r="H66" s="153">
        <f>+F66*D66</f>
        <v>1342336.7025184655</v>
      </c>
      <c r="I66" s="159"/>
    </row>
    <row r="67" spans="1:15">
      <c r="A67" s="66">
        <f t="shared" si="3"/>
        <v>51</v>
      </c>
      <c r="B67" s="731" t="s">
        <v>174</v>
      </c>
      <c r="C67" s="149"/>
      <c r="D67" s="170">
        <v>0</v>
      </c>
      <c r="E67" s="147" t="s">
        <v>110</v>
      </c>
      <c r="F67" s="169">
        <f>H111</f>
        <v>1</v>
      </c>
      <c r="G67" s="56"/>
      <c r="H67" s="153">
        <f>+F67*D67</f>
        <v>0</v>
      </c>
      <c r="I67" s="159"/>
    </row>
    <row r="68" spans="1:15">
      <c r="A68" s="66">
        <f t="shared" si="3"/>
        <v>52</v>
      </c>
      <c r="B68" s="95" t="str">
        <f>+B59</f>
        <v xml:space="preserve">  Common</v>
      </c>
      <c r="C68" s="155"/>
      <c r="D68" s="170">
        <v>0</v>
      </c>
      <c r="E68" s="147" t="s">
        <v>112</v>
      </c>
      <c r="F68" s="169">
        <f>+F59</f>
        <v>0</v>
      </c>
      <c r="G68" s="56"/>
      <c r="H68" s="153">
        <f>+F68*D68</f>
        <v>0</v>
      </c>
      <c r="I68" s="159"/>
      <c r="J68" s="43"/>
      <c r="L68" s="43"/>
    </row>
    <row r="69" spans="1:15">
      <c r="A69" s="66">
        <f t="shared" si="3"/>
        <v>53</v>
      </c>
      <c r="B69" s="731" t="s">
        <v>175</v>
      </c>
      <c r="C69" s="155" t="str">
        <f>"(sum L"&amp;A63&amp;" : "&amp;A68&amp;")"</f>
        <v>(sum L47 : 52)</v>
      </c>
      <c r="D69" s="148">
        <f>SUM(D63:D68)</f>
        <v>70234233.489999995</v>
      </c>
      <c r="E69" s="147"/>
      <c r="F69" s="153"/>
      <c r="G69" s="56"/>
      <c r="H69" s="145">
        <f>SUM(H63:H68)</f>
        <v>35394947.22048077</v>
      </c>
      <c r="I69" s="168"/>
      <c r="J69" s="43"/>
      <c r="L69" s="43"/>
    </row>
    <row r="70" spans="1:15">
      <c r="A70" s="66"/>
      <c r="B70" s="731" t="s">
        <v>176</v>
      </c>
      <c r="C70" s="149" t="s">
        <v>177</v>
      </c>
      <c r="D70" s="164"/>
      <c r="E70" s="80"/>
      <c r="F70" s="153"/>
      <c r="G70" s="56"/>
      <c r="H70" s="153"/>
      <c r="I70" s="67"/>
      <c r="J70" s="43"/>
      <c r="L70" s="43"/>
    </row>
    <row r="71" spans="1:15" s="167" customFormat="1">
      <c r="A71" s="66"/>
      <c r="B71" s="731" t="s">
        <v>178</v>
      </c>
      <c r="C71" s="149"/>
      <c r="D71" s="149"/>
      <c r="E71" s="147"/>
      <c r="F71" s="156"/>
      <c r="G71" s="56"/>
      <c r="H71" s="156"/>
      <c r="I71" s="732"/>
      <c r="J71" s="43"/>
      <c r="K71" s="38"/>
      <c r="L71" s="43"/>
      <c r="M71" s="47"/>
      <c r="N71" s="47"/>
      <c r="O71" s="47"/>
    </row>
    <row r="72" spans="1:15">
      <c r="A72" s="66">
        <f>A69+1</f>
        <v>54</v>
      </c>
      <c r="B72" s="731" t="s">
        <v>179</v>
      </c>
      <c r="C72" s="155"/>
      <c r="D72" s="157">
        <v>0</v>
      </c>
      <c r="E72" s="147" t="s">
        <v>110</v>
      </c>
      <c r="F72" s="146">
        <f>+F67</f>
        <v>1</v>
      </c>
      <c r="G72" s="56"/>
      <c r="H72" s="153">
        <f>+F72*D72</f>
        <v>0</v>
      </c>
      <c r="I72" s="732"/>
      <c r="J72" s="43"/>
      <c r="L72" s="43"/>
    </row>
    <row r="73" spans="1:15">
      <c r="A73" s="66">
        <f>A72+1</f>
        <v>55</v>
      </c>
      <c r="B73" s="731" t="s">
        <v>180</v>
      </c>
      <c r="C73" s="155"/>
      <c r="D73" s="157">
        <v>0</v>
      </c>
      <c r="E73" s="147" t="str">
        <f>+E72</f>
        <v>W/S</v>
      </c>
      <c r="F73" s="146">
        <f>+F72</f>
        <v>1</v>
      </c>
      <c r="G73" s="56"/>
      <c r="H73" s="153">
        <f>+F73*D73</f>
        <v>0</v>
      </c>
      <c r="I73" s="732"/>
      <c r="J73" s="166"/>
      <c r="K73" s="47"/>
      <c r="L73" s="166"/>
    </row>
    <row r="74" spans="1:15">
      <c r="A74" s="66"/>
      <c r="B74" s="731" t="s">
        <v>181</v>
      </c>
      <c r="C74" s="155"/>
      <c r="D74" s="149"/>
      <c r="E74" s="147"/>
      <c r="F74" s="156"/>
      <c r="G74" s="56"/>
      <c r="H74" s="156"/>
      <c r="I74" s="732"/>
      <c r="J74" s="43"/>
      <c r="L74" s="43"/>
    </row>
    <row r="75" spans="1:15">
      <c r="A75" s="66">
        <f>A73+1</f>
        <v>56</v>
      </c>
      <c r="B75" s="731" t="s">
        <v>182</v>
      </c>
      <c r="C75" s="155"/>
      <c r="D75" s="157">
        <v>0</v>
      </c>
      <c r="E75" s="147" t="s">
        <v>145</v>
      </c>
      <c r="F75" s="146">
        <f>+F18</f>
        <v>0.55445425148502414</v>
      </c>
      <c r="G75" s="56"/>
      <c r="H75" s="153">
        <f>+F75*D75</f>
        <v>0</v>
      </c>
      <c r="I75" s="732"/>
      <c r="J75" s="43"/>
      <c r="L75" s="43"/>
    </row>
    <row r="76" spans="1:15">
      <c r="A76" s="66">
        <f>A75+1</f>
        <v>57</v>
      </c>
      <c r="B76" s="731" t="s">
        <v>183</v>
      </c>
      <c r="C76" s="155"/>
      <c r="D76" s="157">
        <v>0</v>
      </c>
      <c r="E76" s="147"/>
      <c r="F76" s="146">
        <v>0</v>
      </c>
      <c r="G76" s="56"/>
      <c r="H76" s="153">
        <v>0</v>
      </c>
      <c r="I76" s="732"/>
      <c r="J76" s="43"/>
      <c r="L76" s="43"/>
    </row>
    <row r="77" spans="1:15">
      <c r="A77" s="66">
        <f>A76+1</f>
        <v>58</v>
      </c>
      <c r="B77" s="731" t="s">
        <v>184</v>
      </c>
      <c r="C77" s="155"/>
      <c r="D77" s="157">
        <v>0</v>
      </c>
      <c r="E77" s="147" t="str">
        <f>+E75</f>
        <v>GP</v>
      </c>
      <c r="F77" s="146">
        <f>+F75</f>
        <v>0.55445425148502414</v>
      </c>
      <c r="G77" s="56"/>
      <c r="H77" s="153">
        <f>+F77*D77</f>
        <v>0</v>
      </c>
      <c r="I77" s="732"/>
      <c r="J77" s="43"/>
      <c r="L77" s="43"/>
    </row>
    <row r="78" spans="1:15">
      <c r="A78" s="66">
        <f>A77+1</f>
        <v>59</v>
      </c>
      <c r="B78" s="731" t="s">
        <v>185</v>
      </c>
      <c r="C78" s="155"/>
      <c r="D78" s="157">
        <v>0</v>
      </c>
      <c r="E78" s="147" t="s">
        <v>145</v>
      </c>
      <c r="F78" s="146">
        <f>+F77</f>
        <v>0.55445425148502414</v>
      </c>
      <c r="G78" s="56"/>
      <c r="H78" s="153">
        <f>+F78*D78</f>
        <v>0</v>
      </c>
      <c r="I78" s="732"/>
      <c r="J78" s="43"/>
      <c r="L78" s="43"/>
    </row>
    <row r="79" spans="1:15">
      <c r="A79" s="66">
        <f>A78+1</f>
        <v>60</v>
      </c>
      <c r="B79" s="731" t="s">
        <v>186</v>
      </c>
      <c r="C79" s="155" t="str">
        <f>"(sum L"&amp;A72&amp;" : "&amp;A78&amp;")"</f>
        <v>(sum L54 : 59)</v>
      </c>
      <c r="D79" s="148">
        <f>SUM(D72:D78)</f>
        <v>0</v>
      </c>
      <c r="E79" s="147"/>
      <c r="F79" s="146"/>
      <c r="G79" s="56"/>
      <c r="H79" s="145">
        <f>SUM(H72:H78)</f>
        <v>0</v>
      </c>
      <c r="I79" s="165"/>
      <c r="J79" s="43"/>
      <c r="L79" s="43"/>
    </row>
    <row r="80" spans="1:15">
      <c r="A80" s="66"/>
      <c r="B80" s="731" t="s">
        <v>187</v>
      </c>
      <c r="C80" s="151" t="s">
        <v>188</v>
      </c>
      <c r="D80" s="164"/>
      <c r="E80" s="80" t="s">
        <v>63</v>
      </c>
      <c r="F80" s="146"/>
      <c r="G80" s="56"/>
      <c r="H80" s="153"/>
      <c r="I80" s="732"/>
      <c r="J80" s="43"/>
      <c r="L80" s="43"/>
    </row>
    <row r="81" spans="1:12">
      <c r="A81" s="66">
        <f>A79+1</f>
        <v>61</v>
      </c>
      <c r="B81" s="152" t="s">
        <v>189</v>
      </c>
      <c r="C81" s="163"/>
      <c r="D81" s="162">
        <f>IF(D160&gt;0,1-(((1-D161)*(1-D160))/(1-D161*D160*D162)),0)</f>
        <v>0</v>
      </c>
      <c r="E81" s="147"/>
      <c r="F81" s="146"/>
      <c r="G81" s="56"/>
      <c r="H81" s="156"/>
      <c r="I81" s="67"/>
      <c r="J81" s="43"/>
      <c r="L81" s="43"/>
    </row>
    <row r="82" spans="1:12" ht="14">
      <c r="A82" s="66">
        <f>A81+1</f>
        <v>62</v>
      </c>
      <c r="B82" s="731" t="s">
        <v>190</v>
      </c>
      <c r="C82" s="163"/>
      <c r="D82" s="162">
        <f>IF(H135&gt;0,(D81/(1-D81))*(1-H133/H135),0)</f>
        <v>0</v>
      </c>
      <c r="E82" s="147"/>
      <c r="F82" s="161"/>
      <c r="G82" s="56"/>
      <c r="H82" s="156"/>
      <c r="I82" s="732"/>
      <c r="J82" s="43"/>
      <c r="L82" s="43"/>
    </row>
    <row r="83" spans="1:12" ht="26">
      <c r="A83" s="66"/>
      <c r="B83" s="160" t="str">
        <f>"     where WCLTD= (line "&amp;A133&amp;") and R= (line "&amp;A135&amp;") and FIT, SIT &amp; p are as given in footnote I."</f>
        <v xml:space="preserve">     where WCLTD= (line 100) and R= (line 102) and FIT, SIT &amp; p are as given in footnote I.</v>
      </c>
      <c r="C83" s="155"/>
      <c r="D83" s="155"/>
      <c r="E83" s="147"/>
      <c r="F83" s="146"/>
      <c r="G83" s="56"/>
      <c r="H83" s="156"/>
      <c r="I83" s="159"/>
      <c r="J83" s="43"/>
      <c r="L83" s="43"/>
    </row>
    <row r="84" spans="1:12">
      <c r="A84" s="66">
        <f>A82+1</f>
        <v>63</v>
      </c>
      <c r="B84" s="152" t="str">
        <f>"      1 / (1 - T)  = (from line "&amp;A81&amp;")"</f>
        <v xml:space="preserve">      1 / (1 - T)  = (from line 61)</v>
      </c>
      <c r="C84" s="155"/>
      <c r="D84" s="158">
        <f>IF(D81&gt;0,1/(1-D81),0)</f>
        <v>0</v>
      </c>
      <c r="E84" s="147"/>
      <c r="F84" s="146"/>
      <c r="G84" s="56"/>
      <c r="H84" s="156"/>
      <c r="I84" s="55"/>
      <c r="J84" s="43"/>
      <c r="L84" s="43"/>
    </row>
    <row r="85" spans="1:12">
      <c r="A85" s="66">
        <f t="shared" ref="A85:A90" si="4">A84+1</f>
        <v>64</v>
      </c>
      <c r="B85" s="731" t="s">
        <v>191</v>
      </c>
      <c r="C85" s="155" t="s">
        <v>127</v>
      </c>
      <c r="D85" s="157">
        <v>0</v>
      </c>
      <c r="E85" s="147"/>
      <c r="F85" s="146"/>
      <c r="G85" s="56"/>
      <c r="H85" s="156">
        <v>0</v>
      </c>
      <c r="I85" s="55"/>
      <c r="J85" s="41"/>
      <c r="L85" s="43"/>
    </row>
    <row r="86" spans="1:12">
      <c r="A86" s="66">
        <f t="shared" si="4"/>
        <v>65</v>
      </c>
      <c r="B86" s="152" t="s">
        <v>192</v>
      </c>
      <c r="C86" s="151" t="str">
        <f>"(L"&amp;A82&amp;" * L"&amp;A89&amp;")"</f>
        <v>(L62 * L68)</v>
      </c>
      <c r="D86" s="155">
        <f>D82*D89</f>
        <v>0</v>
      </c>
      <c r="E86" s="147" t="s">
        <v>63</v>
      </c>
      <c r="F86" s="146"/>
      <c r="G86" s="56"/>
      <c r="H86" s="153">
        <f>D82*H89</f>
        <v>0</v>
      </c>
      <c r="I86" s="55"/>
      <c r="J86" s="41"/>
      <c r="L86" s="41"/>
    </row>
    <row r="87" spans="1:12">
      <c r="A87" s="66">
        <f t="shared" si="4"/>
        <v>66</v>
      </c>
      <c r="B87" s="731" t="s">
        <v>193</v>
      </c>
      <c r="C87" s="151" t="str">
        <f>"(L"&amp;A84&amp;" * L"&amp;A85&amp;")"</f>
        <v>(L63 * L64)</v>
      </c>
      <c r="D87" s="155">
        <f>D84*D85</f>
        <v>0</v>
      </c>
      <c r="E87" s="154" t="s">
        <v>129</v>
      </c>
      <c r="F87" s="146">
        <f>F32</f>
        <v>0.55109369794354979</v>
      </c>
      <c r="G87" s="56"/>
      <c r="H87" s="153">
        <f>F87*D87</f>
        <v>0</v>
      </c>
      <c r="I87" s="55"/>
      <c r="J87" s="41"/>
      <c r="L87" s="41"/>
    </row>
    <row r="88" spans="1:12">
      <c r="A88" s="66">
        <f t="shared" si="4"/>
        <v>67</v>
      </c>
      <c r="B88" s="152" t="s">
        <v>194</v>
      </c>
      <c r="C88" s="151" t="str">
        <f>"(L"&amp;A86&amp;" + L"&amp;A87&amp;")"</f>
        <v>(L65 + L66)</v>
      </c>
      <c r="D88" s="150">
        <f>+D86+D87</f>
        <v>0</v>
      </c>
      <c r="E88" s="80" t="s">
        <v>103</v>
      </c>
      <c r="F88" s="146" t="s">
        <v>103</v>
      </c>
      <c r="G88" s="56"/>
      <c r="H88" s="145">
        <f>+H86+H87</f>
        <v>0</v>
      </c>
      <c r="I88" s="144"/>
      <c r="J88" s="41"/>
      <c r="L88" s="41"/>
    </row>
    <row r="89" spans="1:12">
      <c r="A89" s="66">
        <f t="shared" si="4"/>
        <v>68</v>
      </c>
      <c r="B89" s="731" t="s">
        <v>195</v>
      </c>
      <c r="C89" s="149" t="str">
        <f>"(L"&amp;A46&amp;" * L"&amp;A135&amp;")"</f>
        <v>(L34 * L102)</v>
      </c>
      <c r="D89" s="148">
        <f>+$H135*D46</f>
        <v>69427364.483203128</v>
      </c>
      <c r="E89" s="147" t="s">
        <v>63</v>
      </c>
      <c r="F89" s="146"/>
      <c r="G89" s="56"/>
      <c r="H89" s="145">
        <f>+$H135*H46</f>
        <v>37602105.035818644</v>
      </c>
      <c r="I89" s="144"/>
      <c r="J89" s="41"/>
      <c r="L89" s="43"/>
    </row>
    <row r="90" spans="1:12" ht="13.5" thickBot="1">
      <c r="A90" s="74">
        <f t="shared" si="4"/>
        <v>69</v>
      </c>
      <c r="B90" s="78" t="s">
        <v>196</v>
      </c>
      <c r="C90" s="143" t="str">
        <f>"(sum L"&amp;A61&amp;", "&amp;A69&amp;" ,"&amp;A79&amp;", "&amp;A88&amp;", "&amp;A89&amp;")"</f>
        <v>(sum L46, 53 ,60, 67, 68)</v>
      </c>
      <c r="D90" s="142">
        <f>+D89+D88+D79+D69+D61</f>
        <v>332782501.97320312</v>
      </c>
      <c r="E90" s="141"/>
      <c r="F90" s="140"/>
      <c r="G90" s="49"/>
      <c r="H90" s="139">
        <f>+H89+H88+H79+H69+H61</f>
        <v>159272878.67580038</v>
      </c>
      <c r="I90" s="138"/>
      <c r="J90" s="43"/>
      <c r="L90" s="43"/>
    </row>
    <row r="91" spans="1:12">
      <c r="A91" s="137"/>
      <c r="B91" s="135"/>
      <c r="C91" s="136" t="s">
        <v>197</v>
      </c>
      <c r="D91" s="135"/>
      <c r="E91" s="134"/>
      <c r="F91" s="132"/>
      <c r="G91" s="133"/>
      <c r="H91" s="132"/>
      <c r="I91" s="131"/>
      <c r="J91" s="45"/>
      <c r="L91" s="45"/>
    </row>
    <row r="92" spans="1:12">
      <c r="A92" s="66"/>
      <c r="B92" s="731" t="s">
        <v>198</v>
      </c>
      <c r="C92" s="57"/>
      <c r="D92" s="57"/>
      <c r="E92" s="59"/>
      <c r="F92" s="77"/>
      <c r="G92" s="57"/>
      <c r="H92" s="77"/>
      <c r="I92" s="67"/>
      <c r="J92" s="43"/>
      <c r="L92" s="45" t="s">
        <v>103</v>
      </c>
    </row>
    <row r="93" spans="1:12">
      <c r="A93" s="66">
        <f>A90+1</f>
        <v>70</v>
      </c>
      <c r="B93" s="728" t="s">
        <v>199</v>
      </c>
      <c r="C93" s="57" t="str">
        <f>"(L"&amp;A14&amp;", C3)"</f>
        <v>(L6, C3)</v>
      </c>
      <c r="D93" s="56"/>
      <c r="E93" s="80"/>
      <c r="F93" s="58"/>
      <c r="G93" s="56"/>
      <c r="H93" s="58">
        <f>+D14</f>
        <v>1546543054.7445149</v>
      </c>
      <c r="I93" s="67"/>
      <c r="J93" s="43"/>
      <c r="L93" s="43"/>
    </row>
    <row r="94" spans="1:12">
      <c r="A94" s="66">
        <f>A93+1</f>
        <v>71</v>
      </c>
      <c r="B94" s="728" t="s">
        <v>200</v>
      </c>
      <c r="C94" s="731" t="s">
        <v>201</v>
      </c>
      <c r="D94" s="731"/>
      <c r="E94" s="88"/>
      <c r="F94" s="87"/>
      <c r="G94" s="731"/>
      <c r="H94" s="130">
        <v>0</v>
      </c>
      <c r="I94" s="67"/>
      <c r="J94" s="43"/>
      <c r="L94" s="43"/>
    </row>
    <row r="95" spans="1:12" ht="13.5" thickBot="1">
      <c r="A95" s="66">
        <f>A94+1</f>
        <v>72</v>
      </c>
      <c r="B95" s="53" t="s">
        <v>202</v>
      </c>
      <c r="C95" s="50" t="s">
        <v>203</v>
      </c>
      <c r="D95" s="49"/>
      <c r="E95" s="80"/>
      <c r="F95" s="58"/>
      <c r="G95" s="56"/>
      <c r="H95" s="129">
        <v>0</v>
      </c>
      <c r="I95" s="732"/>
      <c r="J95" s="43"/>
      <c r="L95" s="43"/>
    </row>
    <row r="96" spans="1:12">
      <c r="A96" s="66">
        <f>A95+1</f>
        <v>73</v>
      </c>
      <c r="B96" s="728" t="s">
        <v>204</v>
      </c>
      <c r="C96" s="57" t="str">
        <f>"(L"&amp;A93&amp;" less L"&amp;A94&amp;" and L"&amp;A95&amp;")"</f>
        <v>(L70 less L71 and L72)</v>
      </c>
      <c r="D96" s="56"/>
      <c r="E96" s="80"/>
      <c r="F96" s="58"/>
      <c r="G96" s="56"/>
      <c r="H96" s="58">
        <f>H93-H94-H95</f>
        <v>1546543054.7445149</v>
      </c>
      <c r="I96" s="732"/>
      <c r="J96" s="43"/>
      <c r="L96" s="43"/>
    </row>
    <row r="97" spans="1:12">
      <c r="A97" s="66">
        <f>A96+1</f>
        <v>74</v>
      </c>
      <c r="B97" s="728" t="s">
        <v>205</v>
      </c>
      <c r="C97" s="57" t="str">
        <f>"(L"&amp;A96&amp;" / L"&amp;A93&amp;")"</f>
        <v>(L73 / L70)</v>
      </c>
      <c r="D97" s="125"/>
      <c r="E97" s="127"/>
      <c r="F97" s="126"/>
      <c r="G97" s="56" t="s">
        <v>206</v>
      </c>
      <c r="H97" s="120">
        <f>IF(H93&gt;0,H96/H93,0)</f>
        <v>1</v>
      </c>
      <c r="I97" s="732"/>
      <c r="J97" s="43"/>
      <c r="L97" s="43"/>
    </row>
    <row r="98" spans="1:12">
      <c r="A98" s="66"/>
      <c r="B98" s="731" t="s">
        <v>207</v>
      </c>
      <c r="C98" s="731"/>
      <c r="D98" s="731"/>
      <c r="E98" s="88"/>
      <c r="F98" s="87"/>
      <c r="G98" s="731"/>
      <c r="H98" s="731"/>
      <c r="I98" s="67"/>
      <c r="J98" s="43"/>
      <c r="L98" s="43"/>
    </row>
    <row r="99" spans="1:12">
      <c r="A99" s="66">
        <f>A97+1</f>
        <v>75</v>
      </c>
      <c r="B99" s="128" t="s">
        <v>208</v>
      </c>
      <c r="C99" s="57" t="str">
        <f>"(sum L"&amp;A49&amp;" to L"&amp;A51&amp;", C3)"</f>
        <v>(sum L35 to L37, C3)</v>
      </c>
      <c r="D99" s="57"/>
      <c r="E99" s="59"/>
      <c r="F99" s="77"/>
      <c r="G99" s="57"/>
      <c r="H99" s="56"/>
      <c r="I99" s="67"/>
      <c r="J99" s="43"/>
      <c r="L99" s="43"/>
    </row>
    <row r="100" spans="1:12" ht="13.5" thickBot="1">
      <c r="A100" s="66">
        <f>A99+1</f>
        <v>76</v>
      </c>
      <c r="B100" s="53" t="s">
        <v>209</v>
      </c>
      <c r="C100" s="50" t="s">
        <v>210</v>
      </c>
      <c r="D100" s="49"/>
      <c r="E100" s="72"/>
      <c r="F100" s="58"/>
      <c r="G100" s="56"/>
      <c r="H100" s="85">
        <v>0</v>
      </c>
      <c r="I100" s="67"/>
      <c r="J100" s="43"/>
      <c r="L100" s="43"/>
    </row>
    <row r="101" spans="1:12">
      <c r="A101" s="66">
        <f>A100+1</f>
        <v>77</v>
      </c>
      <c r="B101" s="728" t="s">
        <v>211</v>
      </c>
      <c r="C101" s="124" t="str">
        <f>"(L"&amp;A99&amp;" - L"&amp;A100&amp;")"</f>
        <v>(L75 - L76)</v>
      </c>
      <c r="D101" s="125"/>
      <c r="E101" s="127"/>
      <c r="F101" s="126"/>
      <c r="G101" s="125"/>
      <c r="H101" s="58">
        <f>+H99-H100</f>
        <v>0</v>
      </c>
      <c r="I101" s="67"/>
      <c r="J101" s="43"/>
      <c r="L101" s="43"/>
    </row>
    <row r="102" spans="1:12" ht="26">
      <c r="A102" s="66">
        <f>A101+1</f>
        <v>78</v>
      </c>
      <c r="B102" s="729" t="s">
        <v>212</v>
      </c>
      <c r="C102" s="124" t="str">
        <f>"(L"&amp;A101&amp;"/ L"&amp;A99&amp;")"</f>
        <v>(L77/ L75)</v>
      </c>
      <c r="D102" s="56"/>
      <c r="E102" s="80"/>
      <c r="F102" s="58"/>
      <c r="G102" s="56"/>
      <c r="H102" s="120">
        <f>IF(H99&gt;0,H101/H99,0)</f>
        <v>0</v>
      </c>
      <c r="I102" s="67"/>
      <c r="J102" s="45"/>
      <c r="L102" s="45" t="s">
        <v>103</v>
      </c>
    </row>
    <row r="103" spans="1:12">
      <c r="A103" s="66">
        <f>A102+1</f>
        <v>79</v>
      </c>
      <c r="B103" s="728" t="s">
        <v>213</v>
      </c>
      <c r="C103" s="57" t="str">
        <f>"(L"&amp;A97&amp;")"</f>
        <v>(L74)</v>
      </c>
      <c r="D103" s="56"/>
      <c r="E103" s="80"/>
      <c r="F103" s="58"/>
      <c r="G103" s="728" t="s">
        <v>70</v>
      </c>
      <c r="H103" s="120">
        <f>H97</f>
        <v>1</v>
      </c>
      <c r="I103" s="67"/>
      <c r="J103" s="45"/>
      <c r="L103" s="45"/>
    </row>
    <row r="104" spans="1:12">
      <c r="A104" s="66">
        <f>A103+1</f>
        <v>80</v>
      </c>
      <c r="B104" s="728" t="s">
        <v>214</v>
      </c>
      <c r="C104" s="124" t="str">
        <f>"(L"&amp;A103&amp;" * L"&amp;A102&amp;")"</f>
        <v>(L79 * L78)</v>
      </c>
      <c r="D104" s="57"/>
      <c r="E104" s="59"/>
      <c r="F104" s="77"/>
      <c r="G104" s="728" t="s">
        <v>215</v>
      </c>
      <c r="H104" s="114">
        <f>+H103*H102</f>
        <v>0</v>
      </c>
      <c r="I104" s="67"/>
      <c r="J104" s="45"/>
      <c r="L104" s="45"/>
    </row>
    <row r="105" spans="1:12">
      <c r="A105" s="66"/>
      <c r="B105" s="731" t="s">
        <v>216</v>
      </c>
      <c r="C105" s="56"/>
      <c r="D105" s="56"/>
      <c r="E105" s="80"/>
      <c r="F105" s="58"/>
      <c r="G105" s="56"/>
      <c r="H105" s="56"/>
      <c r="I105" s="67"/>
      <c r="J105" s="45"/>
      <c r="L105" s="123"/>
    </row>
    <row r="106" spans="1:12" ht="13.5" thickBot="1">
      <c r="A106" s="66"/>
      <c r="B106" s="95"/>
      <c r="C106" s="49"/>
      <c r="D106" s="72" t="s">
        <v>217</v>
      </c>
      <c r="E106" s="72" t="s">
        <v>70</v>
      </c>
      <c r="F106" s="71" t="s">
        <v>218</v>
      </c>
      <c r="G106" s="56"/>
      <c r="H106" s="56"/>
      <c r="I106" s="67"/>
      <c r="J106" s="45"/>
      <c r="L106" s="45"/>
    </row>
    <row r="107" spans="1:12">
      <c r="A107" s="66">
        <f>A104+1</f>
        <v>81</v>
      </c>
      <c r="B107" s="731" t="s">
        <v>101</v>
      </c>
      <c r="C107" s="56"/>
      <c r="D107" s="115">
        <v>0</v>
      </c>
      <c r="E107" s="122">
        <v>0</v>
      </c>
      <c r="F107" s="58">
        <f>D107*E107</f>
        <v>0</v>
      </c>
      <c r="G107" s="56"/>
      <c r="H107" s="56"/>
      <c r="I107" s="67"/>
      <c r="J107" s="45"/>
      <c r="L107" s="45"/>
    </row>
    <row r="108" spans="1:12">
      <c r="A108" s="66">
        <f>A107+1</f>
        <v>82</v>
      </c>
      <c r="B108" s="731" t="s">
        <v>104</v>
      </c>
      <c r="C108" s="56"/>
      <c r="D108" s="115">
        <f>'WS4-CostData'!C94</f>
        <v>15922732.653201915</v>
      </c>
      <c r="E108" s="122">
        <f>+H103</f>
        <v>1</v>
      </c>
      <c r="F108" s="58">
        <f>D108*E108</f>
        <v>15922732.653201915</v>
      </c>
      <c r="G108" s="56"/>
      <c r="H108" s="56"/>
      <c r="I108" s="67"/>
      <c r="J108" s="45"/>
      <c r="L108" s="45"/>
    </row>
    <row r="109" spans="1:12">
      <c r="A109" s="66">
        <f>A108+1</f>
        <v>83</v>
      </c>
      <c r="B109" s="731" t="s">
        <v>106</v>
      </c>
      <c r="C109" s="56"/>
      <c r="D109" s="115">
        <v>0</v>
      </c>
      <c r="E109" s="122">
        <v>0</v>
      </c>
      <c r="F109" s="58">
        <f>D109*E109</f>
        <v>0</v>
      </c>
      <c r="G109" s="56"/>
      <c r="H109" s="80" t="s">
        <v>219</v>
      </c>
      <c r="I109" s="67"/>
      <c r="J109" s="45"/>
      <c r="L109" s="45"/>
    </row>
    <row r="110" spans="1:12" ht="13.5" thickBot="1">
      <c r="A110" s="66">
        <f>A109+1</f>
        <v>84</v>
      </c>
      <c r="B110" s="731" t="s">
        <v>220</v>
      </c>
      <c r="C110" s="56"/>
      <c r="D110" s="112">
        <v>0</v>
      </c>
      <c r="E110" s="122">
        <v>0</v>
      </c>
      <c r="F110" s="71">
        <f>D110*E110</f>
        <v>0</v>
      </c>
      <c r="G110" s="56"/>
      <c r="H110" s="94" t="s">
        <v>221</v>
      </c>
      <c r="I110" s="67"/>
      <c r="J110" s="45"/>
      <c r="L110" s="45"/>
    </row>
    <row r="111" spans="1:12">
      <c r="A111" s="66">
        <f>A110+1</f>
        <v>85</v>
      </c>
      <c r="B111" s="731" t="s">
        <v>222</v>
      </c>
      <c r="C111" s="56" t="str">
        <f>"(sum L"&amp;A107&amp;" to L"&amp;A110&amp;")"</f>
        <v>(sum L81 to L84)</v>
      </c>
      <c r="D111" s="56">
        <f>SUM(D107:D110)</f>
        <v>15922732.653201915</v>
      </c>
      <c r="E111" s="80"/>
      <c r="F111" s="58">
        <f>SUM(F107:F110)</f>
        <v>15922732.653201915</v>
      </c>
      <c r="G111" s="88" t="s">
        <v>223</v>
      </c>
      <c r="H111" s="120">
        <f>IF(F111&gt;0,F111/D111,0)</f>
        <v>1</v>
      </c>
      <c r="I111" s="67"/>
      <c r="J111" s="43"/>
      <c r="L111" s="45"/>
    </row>
    <row r="112" spans="1:12">
      <c r="A112" s="66"/>
      <c r="B112" s="731" t="s">
        <v>224</v>
      </c>
      <c r="C112" s="56" t="s">
        <v>225</v>
      </c>
      <c r="D112" s="56"/>
      <c r="E112" s="80"/>
      <c r="F112" s="58"/>
      <c r="G112" s="56"/>
      <c r="H112" s="56"/>
      <c r="I112" s="67"/>
      <c r="J112" s="45"/>
      <c r="L112" s="45"/>
    </row>
    <row r="113" spans="1:12" ht="13.5" thickBot="1">
      <c r="A113" s="66"/>
      <c r="B113" s="95"/>
      <c r="C113" s="49"/>
      <c r="D113" s="72" t="s">
        <v>217</v>
      </c>
      <c r="E113" s="80"/>
      <c r="F113" s="58"/>
      <c r="G113" s="56"/>
      <c r="H113" s="121"/>
      <c r="I113" s="67"/>
      <c r="J113" s="43"/>
      <c r="L113" s="45"/>
    </row>
    <row r="114" spans="1:12">
      <c r="A114" s="66">
        <f>A111+1</f>
        <v>86</v>
      </c>
      <c r="B114" s="731" t="s">
        <v>226</v>
      </c>
      <c r="C114" s="56"/>
      <c r="D114" s="56">
        <f>'WS4-CostData'!C8</f>
        <v>1430782793.4795148</v>
      </c>
      <c r="E114" s="80"/>
      <c r="F114" s="87"/>
      <c r="G114" s="731"/>
      <c r="H114" s="731"/>
      <c r="I114" s="732"/>
      <c r="J114" s="43"/>
      <c r="L114" s="45"/>
    </row>
    <row r="115" spans="1:12">
      <c r="A115" s="66">
        <f t="shared" ref="A115:A122" si="5">A114+1</f>
        <v>87</v>
      </c>
      <c r="B115" s="731" t="s">
        <v>227</v>
      </c>
      <c r="C115" s="56"/>
      <c r="D115" s="56">
        <f>'WS4-CostData'!C7</f>
        <v>1506772333.9900005</v>
      </c>
      <c r="E115" s="80"/>
      <c r="F115" s="58"/>
      <c r="G115" s="56"/>
      <c r="H115" s="121"/>
      <c r="I115" s="732"/>
      <c r="J115" s="45"/>
      <c r="L115" s="43"/>
    </row>
    <row r="116" spans="1:12">
      <c r="A116" s="66">
        <f t="shared" si="5"/>
        <v>88</v>
      </c>
      <c r="B116" s="731" t="s">
        <v>228</v>
      </c>
      <c r="C116" s="57" t="str">
        <f>"(L"&amp;A114&amp;" / L"&amp;A115&amp;")"</f>
        <v>(L86 / L87)</v>
      </c>
      <c r="D116" s="56"/>
      <c r="E116" s="80"/>
      <c r="F116" s="58" t="s">
        <v>152</v>
      </c>
      <c r="G116" s="80" t="s">
        <v>223</v>
      </c>
      <c r="H116" s="120">
        <f>D114/D115</f>
        <v>0.94956800121936014</v>
      </c>
      <c r="I116" s="67"/>
      <c r="J116" s="43"/>
      <c r="L116" s="45"/>
    </row>
    <row r="117" spans="1:12">
      <c r="A117" s="66">
        <f t="shared" si="5"/>
        <v>89</v>
      </c>
      <c r="B117" s="731" t="s">
        <v>229</v>
      </c>
      <c r="C117" s="56"/>
      <c r="D117" s="56">
        <f>'WS4-CostData'!E8</f>
        <v>10750407.575000001</v>
      </c>
      <c r="E117" s="80"/>
      <c r="F117" s="58"/>
      <c r="G117" s="56"/>
      <c r="H117" s="58"/>
      <c r="I117" s="67"/>
      <c r="J117" s="41"/>
      <c r="L117" s="43"/>
    </row>
    <row r="118" spans="1:12">
      <c r="A118" s="66">
        <f t="shared" si="5"/>
        <v>90</v>
      </c>
      <c r="B118" s="731" t="s">
        <v>230</v>
      </c>
      <c r="C118" s="56"/>
      <c r="D118" s="56">
        <f>'WS4-CostData'!E7</f>
        <v>815665205.70000005</v>
      </c>
      <c r="E118" s="80"/>
      <c r="F118" s="58"/>
      <c r="G118" s="56"/>
      <c r="H118" s="120"/>
      <c r="I118" s="67"/>
      <c r="J118" s="41"/>
      <c r="L118" s="43"/>
    </row>
    <row r="119" spans="1:12">
      <c r="A119" s="66">
        <f t="shared" si="5"/>
        <v>91</v>
      </c>
      <c r="B119" s="731" t="s">
        <v>231</v>
      </c>
      <c r="C119" s="57" t="str">
        <f>"(L"&amp;A117&amp;" / L"&amp;A118&amp;")"</f>
        <v>(L89 / L90)</v>
      </c>
      <c r="D119" s="731"/>
      <c r="E119" s="80"/>
      <c r="F119" s="58" t="s">
        <v>154</v>
      </c>
      <c r="G119" s="80" t="s">
        <v>223</v>
      </c>
      <c r="H119" s="120">
        <f>D117/D118</f>
        <v>1.3179926641316092E-2</v>
      </c>
      <c r="I119" s="67"/>
      <c r="J119" s="41"/>
      <c r="L119" s="43"/>
    </row>
    <row r="120" spans="1:12">
      <c r="A120" s="66">
        <f t="shared" si="5"/>
        <v>92</v>
      </c>
      <c r="B120" s="731" t="s">
        <v>232</v>
      </c>
      <c r="C120" s="56"/>
      <c r="D120" s="56">
        <f>'WS4-CostData'!G8</f>
        <v>105009853.69</v>
      </c>
      <c r="E120" s="80"/>
      <c r="F120" s="58"/>
      <c r="G120" s="56"/>
      <c r="H120" s="58"/>
      <c r="I120" s="67"/>
      <c r="J120" s="41"/>
      <c r="L120" s="43"/>
    </row>
    <row r="121" spans="1:12">
      <c r="A121" s="66">
        <f t="shared" si="5"/>
        <v>93</v>
      </c>
      <c r="B121" s="731" t="s">
        <v>233</v>
      </c>
      <c r="C121" s="56"/>
      <c r="D121" s="56">
        <f>'WS4-CostData'!G7</f>
        <v>1271784132</v>
      </c>
      <c r="E121" s="80"/>
      <c r="F121" s="58"/>
      <c r="G121" s="56"/>
      <c r="H121" s="120"/>
      <c r="I121" s="67"/>
      <c r="J121" s="41"/>
      <c r="L121" s="43"/>
    </row>
    <row r="122" spans="1:12">
      <c r="A122" s="66">
        <f t="shared" si="5"/>
        <v>94</v>
      </c>
      <c r="B122" s="731" t="s">
        <v>234</v>
      </c>
      <c r="C122" s="57" t="str">
        <f>"(L"&amp;A120&amp;" / L"&amp;A121&amp;")"</f>
        <v>(L92 / L93)</v>
      </c>
      <c r="D122" s="731"/>
      <c r="E122" s="80"/>
      <c r="F122" s="58" t="s">
        <v>156</v>
      </c>
      <c r="G122" s="80" t="s">
        <v>223</v>
      </c>
      <c r="H122" s="120">
        <f>D120/D121</f>
        <v>8.2568928993367874E-2</v>
      </c>
      <c r="I122" s="67"/>
      <c r="J122" s="41"/>
      <c r="L122" s="43"/>
    </row>
    <row r="123" spans="1:12">
      <c r="A123" s="66"/>
      <c r="B123" s="731" t="s">
        <v>235</v>
      </c>
      <c r="C123" s="56" t="s">
        <v>236</v>
      </c>
      <c r="D123" s="56"/>
      <c r="E123" s="80"/>
      <c r="F123" s="58"/>
      <c r="G123" s="56"/>
      <c r="H123" s="58"/>
      <c r="I123" s="119" t="s">
        <v>112</v>
      </c>
      <c r="J123" s="41"/>
      <c r="L123" s="43"/>
    </row>
    <row r="124" spans="1:12">
      <c r="A124" s="66"/>
      <c r="B124" s="95"/>
      <c r="C124" s="56"/>
      <c r="D124" s="80" t="s">
        <v>217</v>
      </c>
      <c r="E124" s="80"/>
      <c r="F124" s="58" t="s">
        <v>237</v>
      </c>
      <c r="G124" s="116" t="s">
        <v>103</v>
      </c>
      <c r="H124" s="118" t="s">
        <v>238</v>
      </c>
      <c r="I124" s="117">
        <f>H126*F126</f>
        <v>0</v>
      </c>
      <c r="J124" s="41"/>
      <c r="L124" s="43"/>
    </row>
    <row r="125" spans="1:12">
      <c r="A125" s="66">
        <f>A122+1</f>
        <v>95</v>
      </c>
      <c r="B125" s="731" t="s">
        <v>239</v>
      </c>
      <c r="C125" s="56"/>
      <c r="D125" s="115">
        <v>0</v>
      </c>
      <c r="E125" s="80"/>
      <c r="F125" s="77" t="str">
        <f>"(L"&amp;A125&amp;" / L"&amp;A128&amp;")"</f>
        <v>(L95 / L98)</v>
      </c>
      <c r="G125" s="116"/>
      <c r="H125" s="88" t="str">
        <f>"(L"&amp;A111&amp;")"</f>
        <v>(L85)</v>
      </c>
      <c r="I125" s="732"/>
      <c r="J125" s="41"/>
      <c r="L125" s="45"/>
    </row>
    <row r="126" spans="1:12">
      <c r="A126" s="66">
        <f>A125+1</f>
        <v>96</v>
      </c>
      <c r="B126" s="731" t="s">
        <v>240</v>
      </c>
      <c r="C126" s="56"/>
      <c r="D126" s="115">
        <v>0</v>
      </c>
      <c r="E126" s="80"/>
      <c r="F126" s="114">
        <f>IF(D128&gt;0,D125/D128,0)</f>
        <v>0</v>
      </c>
      <c r="G126" s="80" t="s">
        <v>241</v>
      </c>
      <c r="H126" s="113">
        <f>H111</f>
        <v>1</v>
      </c>
      <c r="I126" s="732"/>
      <c r="J126" s="41"/>
    </row>
    <row r="127" spans="1:12" ht="13.5" thickBot="1">
      <c r="A127" s="66">
        <f>A126+1</f>
        <v>97</v>
      </c>
      <c r="B127" s="78" t="s">
        <v>242</v>
      </c>
      <c r="C127" s="49"/>
      <c r="D127" s="112">
        <v>0</v>
      </c>
      <c r="E127" s="80"/>
      <c r="F127" s="58" t="s">
        <v>103</v>
      </c>
      <c r="G127" s="56"/>
      <c r="H127" s="56"/>
      <c r="I127" s="732"/>
      <c r="J127" s="41"/>
      <c r="L127" s="45"/>
    </row>
    <row r="128" spans="1:12">
      <c r="A128" s="66">
        <f>A127+1</f>
        <v>98</v>
      </c>
      <c r="B128" s="731" t="s">
        <v>222</v>
      </c>
      <c r="C128" s="56" t="str">
        <f>"(sum L"&amp;A125&amp;" : L"&amp;A127&amp;")"</f>
        <v>(sum L95 : L97)</v>
      </c>
      <c r="D128" s="56">
        <f>D125+D126+D127</f>
        <v>0</v>
      </c>
      <c r="E128" s="80"/>
      <c r="F128" s="58"/>
      <c r="G128" s="56"/>
      <c r="H128" s="56"/>
      <c r="I128" s="732"/>
    </row>
    <row r="129" spans="1:23" ht="13.5" thickBot="1">
      <c r="A129" s="66"/>
      <c r="B129" s="731" t="s">
        <v>243</v>
      </c>
      <c r="C129" s="56"/>
      <c r="D129" s="72" t="s">
        <v>217</v>
      </c>
      <c r="E129" s="80"/>
      <c r="F129" s="58"/>
      <c r="G129" s="56"/>
      <c r="H129" s="731"/>
      <c r="I129" s="111"/>
    </row>
    <row r="130" spans="1:23">
      <c r="A130" s="66">
        <f>A128+1</f>
        <v>99</v>
      </c>
      <c r="B130" s="56" t="s">
        <v>244</v>
      </c>
      <c r="C130" s="57"/>
      <c r="D130" s="110">
        <f>('WS4-CostData'!C69*'WS4-CostData'!C14)+('WS4-CostData'!E69*'WS4-CostData'!E14)+('WS4-CostData'!G69*'WS4-CostData'!G14)</f>
        <v>44029753.431936927</v>
      </c>
      <c r="E130" s="80"/>
      <c r="F130" s="58"/>
      <c r="G130" s="56"/>
      <c r="H130" s="56"/>
      <c r="I130" s="732"/>
      <c r="P130" s="46"/>
      <c r="Q130" s="101"/>
      <c r="R130" s="103"/>
      <c r="S130" s="103"/>
      <c r="T130" s="103"/>
      <c r="U130" s="89"/>
      <c r="W130" s="89"/>
    </row>
    <row r="131" spans="1:23">
      <c r="A131" s="66"/>
      <c r="B131" s="95"/>
      <c r="C131" s="56"/>
      <c r="D131" s="56"/>
      <c r="E131" s="80"/>
      <c r="F131" s="58" t="s">
        <v>245</v>
      </c>
      <c r="G131" s="56"/>
      <c r="H131" s="56"/>
      <c r="I131" s="108" t="s">
        <v>246</v>
      </c>
      <c r="P131" s="46"/>
      <c r="Q131" s="101"/>
      <c r="R131" s="103"/>
      <c r="S131" s="103"/>
      <c r="T131" s="103"/>
      <c r="U131" s="89"/>
      <c r="W131" s="89"/>
    </row>
    <row r="132" spans="1:23" ht="13.5" thickBot="1">
      <c r="A132" s="66"/>
      <c r="B132" s="95"/>
      <c r="C132" s="57"/>
      <c r="D132" s="94" t="s">
        <v>217</v>
      </c>
      <c r="E132" s="94" t="s">
        <v>247</v>
      </c>
      <c r="F132" s="109" t="s">
        <v>248</v>
      </c>
      <c r="G132" s="56"/>
      <c r="H132" s="94" t="s">
        <v>249</v>
      </c>
      <c r="I132" s="732"/>
      <c r="P132" s="46"/>
      <c r="Q132" s="101"/>
      <c r="R132" s="103"/>
      <c r="S132" s="103"/>
      <c r="T132" s="103"/>
      <c r="U132" s="89"/>
      <c r="W132" s="89"/>
    </row>
    <row r="133" spans="1:23" ht="26">
      <c r="A133" s="66">
        <f>A130+1</f>
        <v>100</v>
      </c>
      <c r="B133" s="731" t="s">
        <v>250</v>
      </c>
      <c r="C133" s="729" t="s">
        <v>251</v>
      </c>
      <c r="D133" s="56">
        <f>('WS4-CostData'!C67*'WS4-CostData'!C14)+('WS4-CostData'!E67*'WS4-CostData'!E14)+('WS4-CostData'!G67*'WS4-CostData'!G14)</f>
        <v>889008662.87726557</v>
      </c>
      <c r="E133" s="106">
        <f>IF($D$135&gt;0,D133/$D$135,0)</f>
        <v>1</v>
      </c>
      <c r="F133" s="105">
        <f>IF(D130&gt;0,D130/D133,0)</f>
        <v>4.9526799085888737E-2</v>
      </c>
      <c r="G133" s="731"/>
      <c r="H133" s="105">
        <f>F133*E133</f>
        <v>4.9526799085888737E-2</v>
      </c>
      <c r="I133" s="108" t="s">
        <v>252</v>
      </c>
      <c r="P133" s="46"/>
      <c r="Q133" s="101"/>
      <c r="R133" s="103"/>
      <c r="S133" s="103"/>
      <c r="T133" s="103"/>
      <c r="U133" s="89"/>
      <c r="W133" s="89"/>
    </row>
    <row r="134" spans="1:23" ht="13.5" thickBot="1">
      <c r="A134" s="66">
        <f>A133+1</f>
        <v>101</v>
      </c>
      <c r="B134" s="731" t="s">
        <v>253</v>
      </c>
      <c r="C134" s="57"/>
      <c r="D134" s="49">
        <v>0</v>
      </c>
      <c r="E134" s="106">
        <f>IF($D$135&gt;0,D134/$D$135,0)</f>
        <v>0</v>
      </c>
      <c r="F134" s="105">
        <f>H136</f>
        <v>0.12379999999999999</v>
      </c>
      <c r="G134" s="731"/>
      <c r="H134" s="107">
        <f>F134*E134</f>
        <v>0</v>
      </c>
      <c r="I134" s="732"/>
      <c r="P134" s="46"/>
      <c r="Q134" s="101"/>
      <c r="R134" s="103"/>
      <c r="S134" s="103"/>
      <c r="T134" s="103"/>
      <c r="U134" s="89"/>
      <c r="W134" s="89"/>
    </row>
    <row r="135" spans="1:23">
      <c r="A135" s="66">
        <f>A134+1</f>
        <v>102</v>
      </c>
      <c r="B135" s="731" t="s">
        <v>254</v>
      </c>
      <c r="C135" s="56" t="str">
        <f>"(sum L"&amp;A133&amp;" : "&amp;A134&amp;")"</f>
        <v>(sum L100 : 101)</v>
      </c>
      <c r="D135" s="56">
        <f>SUM(D133:D134)</f>
        <v>889008662.87726557</v>
      </c>
      <c r="E135" s="106">
        <f>IF($D$135&gt;0,D135/$D$135,0)</f>
        <v>1</v>
      </c>
      <c r="F135" s="105"/>
      <c r="G135" s="731"/>
      <c r="H135" s="105">
        <f>SUM(H133:H134)</f>
        <v>4.9526799085888737E-2</v>
      </c>
      <c r="I135" s="732"/>
      <c r="P135" s="46"/>
      <c r="Q135" s="101"/>
      <c r="R135" s="103"/>
      <c r="S135" s="103"/>
      <c r="T135" s="103"/>
      <c r="U135" s="89"/>
      <c r="W135" s="89"/>
    </row>
    <row r="136" spans="1:23">
      <c r="A136" s="66">
        <f>A135+1</f>
        <v>103</v>
      </c>
      <c r="B136" s="731"/>
      <c r="C136" s="731"/>
      <c r="D136" s="731"/>
      <c r="E136" s="80"/>
      <c r="F136" s="58"/>
      <c r="G136" s="87" t="s">
        <v>255</v>
      </c>
      <c r="H136" s="104">
        <v>0.12379999999999999</v>
      </c>
      <c r="I136" s="732"/>
      <c r="P136" s="46"/>
      <c r="Q136" s="101"/>
      <c r="R136" s="103"/>
      <c r="S136" s="103"/>
      <c r="T136" s="103"/>
      <c r="U136" s="89"/>
      <c r="W136" s="89"/>
    </row>
    <row r="137" spans="1:23">
      <c r="A137" s="66">
        <f>A136+1</f>
        <v>104</v>
      </c>
      <c r="B137" s="731"/>
      <c r="C137" s="731"/>
      <c r="D137" s="731"/>
      <c r="E137" s="88"/>
      <c r="F137" s="87"/>
      <c r="G137" s="88" t="s">
        <v>256</v>
      </c>
      <c r="H137" s="102">
        <f>IF(H135&gt;0,H135/F133,0)</f>
        <v>1</v>
      </c>
      <c r="I137" s="732"/>
      <c r="P137" s="101" t="s">
        <v>103</v>
      </c>
      <c r="Q137" s="100"/>
      <c r="R137" s="99"/>
      <c r="S137" s="98"/>
      <c r="T137" s="89"/>
      <c r="V137" s="89"/>
    </row>
    <row r="138" spans="1:23">
      <c r="A138" s="66"/>
      <c r="B138" s="731" t="s">
        <v>60</v>
      </c>
      <c r="C138" s="57"/>
      <c r="D138" s="57"/>
      <c r="E138" s="59"/>
      <c r="F138" s="77"/>
      <c r="G138" s="57"/>
      <c r="H138" s="77"/>
      <c r="I138" s="732"/>
      <c r="P138" s="97"/>
      <c r="Q138" s="96"/>
      <c r="R138" s="96"/>
      <c r="S138" s="46"/>
      <c r="T138" s="89"/>
      <c r="V138" s="89"/>
    </row>
    <row r="139" spans="1:23" ht="13.5" thickBot="1">
      <c r="A139" s="66"/>
      <c r="B139" s="95"/>
      <c r="C139" s="95"/>
      <c r="D139" s="95"/>
      <c r="E139" s="59"/>
      <c r="F139" s="77"/>
      <c r="G139" s="95"/>
      <c r="H139" s="94" t="s">
        <v>257</v>
      </c>
      <c r="I139" s="732"/>
      <c r="P139" s="91"/>
      <c r="Q139" s="46"/>
      <c r="R139" s="46"/>
      <c r="S139" s="90"/>
      <c r="T139" s="89"/>
      <c r="V139" s="89"/>
    </row>
    <row r="140" spans="1:23">
      <c r="A140" s="66"/>
      <c r="B140" s="731" t="s">
        <v>258</v>
      </c>
      <c r="C140" s="57"/>
      <c r="D140" s="57"/>
      <c r="E140" s="59"/>
      <c r="F140" s="93" t="s">
        <v>103</v>
      </c>
      <c r="G140" s="86"/>
      <c r="H140" s="92"/>
      <c r="I140" s="732"/>
      <c r="P140" s="91"/>
      <c r="Q140" s="46"/>
      <c r="R140" s="46"/>
      <c r="S140" s="90"/>
      <c r="T140" s="89"/>
      <c r="V140" s="89"/>
    </row>
    <row r="141" spans="1:23">
      <c r="A141" s="66">
        <f>A137+1</f>
        <v>105</v>
      </c>
      <c r="B141" s="731" t="s">
        <v>259</v>
      </c>
      <c r="C141" s="57" t="s">
        <v>260</v>
      </c>
      <c r="D141" s="57"/>
      <c r="E141" s="88"/>
      <c r="F141" s="87"/>
      <c r="G141" s="86"/>
      <c r="H141" s="82">
        <v>0</v>
      </c>
      <c r="I141" s="732"/>
    </row>
    <row r="142" spans="1:23" ht="13.5" thickBot="1">
      <c r="A142" s="66">
        <f t="shared" ref="A142:A148" si="6">A141+1</f>
        <v>106</v>
      </c>
      <c r="B142" s="78" t="s">
        <v>261</v>
      </c>
      <c r="C142" s="57"/>
      <c r="D142" s="731"/>
      <c r="E142" s="59"/>
      <c r="F142" s="77"/>
      <c r="G142" s="57"/>
      <c r="H142" s="85">
        <v>0</v>
      </c>
      <c r="I142" s="84"/>
    </row>
    <row r="143" spans="1:23">
      <c r="A143" s="66">
        <f t="shared" si="6"/>
        <v>107</v>
      </c>
      <c r="B143" s="731" t="s">
        <v>262</v>
      </c>
      <c r="C143" s="57"/>
      <c r="D143" s="731"/>
      <c r="E143" s="59"/>
      <c r="F143" s="77"/>
      <c r="G143" s="57"/>
      <c r="H143" s="58">
        <f>+H141-H142</f>
        <v>0</v>
      </c>
      <c r="I143" s="84"/>
    </row>
    <row r="144" spans="1:23">
      <c r="A144" s="66">
        <f t="shared" si="6"/>
        <v>108</v>
      </c>
      <c r="B144" s="731" t="s">
        <v>263</v>
      </c>
      <c r="C144" s="57" t="s">
        <v>264</v>
      </c>
      <c r="D144" s="731"/>
      <c r="E144" s="59"/>
      <c r="F144" s="83"/>
      <c r="G144" s="57"/>
      <c r="H144" s="585">
        <f>-('Summary-ATRR'!D12)</f>
        <v>78071</v>
      </c>
      <c r="I144" s="732"/>
    </row>
    <row r="145" spans="1:12">
      <c r="A145" s="66">
        <f t="shared" si="6"/>
        <v>109</v>
      </c>
      <c r="B145" s="731" t="s">
        <v>265</v>
      </c>
      <c r="C145" s="57"/>
      <c r="D145" s="57"/>
      <c r="E145" s="59"/>
      <c r="F145" s="77"/>
      <c r="G145" s="57"/>
      <c r="H145" s="81">
        <v>0</v>
      </c>
      <c r="I145" s="75"/>
    </row>
    <row r="146" spans="1:12">
      <c r="A146" s="66">
        <f t="shared" si="6"/>
        <v>110</v>
      </c>
      <c r="B146" s="731" t="s">
        <v>266</v>
      </c>
      <c r="C146" s="56"/>
      <c r="D146" s="56"/>
      <c r="E146" s="80"/>
      <c r="F146" s="58"/>
      <c r="G146" s="56"/>
      <c r="H146" s="79">
        <v>0</v>
      </c>
      <c r="I146" s="75"/>
    </row>
    <row r="147" spans="1:12" ht="13.5" thickBot="1">
      <c r="A147" s="66">
        <f t="shared" si="6"/>
        <v>111</v>
      </c>
      <c r="B147" s="78" t="s">
        <v>267</v>
      </c>
      <c r="C147" s="50"/>
      <c r="D147" s="57"/>
      <c r="E147" s="59"/>
      <c r="F147" s="77"/>
      <c r="G147" s="57"/>
      <c r="H147" s="76">
        <v>0</v>
      </c>
      <c r="I147" s="75"/>
    </row>
    <row r="148" spans="1:12" ht="13.5" thickBot="1">
      <c r="A148" s="74">
        <f t="shared" si="6"/>
        <v>112</v>
      </c>
      <c r="B148" s="73" t="str">
        <f>+B143</f>
        <v xml:space="preserve">  Total of (a)-(b)</v>
      </c>
      <c r="C148" s="52"/>
      <c r="D148" s="49"/>
      <c r="E148" s="72"/>
      <c r="F148" s="71"/>
      <c r="G148" s="50"/>
      <c r="H148" s="70">
        <f>+H146-H147</f>
        <v>0</v>
      </c>
      <c r="I148" s="69"/>
    </row>
    <row r="149" spans="1:12">
      <c r="A149" s="63" t="s">
        <v>268</v>
      </c>
      <c r="B149" s="796" t="s">
        <v>269</v>
      </c>
      <c r="C149" s="796"/>
      <c r="D149" s="796"/>
      <c r="E149" s="796"/>
      <c r="F149" s="796"/>
      <c r="G149" s="796"/>
      <c r="H149" s="796"/>
      <c r="I149" s="797"/>
      <c r="J149" s="43"/>
      <c r="L149" s="43"/>
    </row>
    <row r="150" spans="1:12" ht="13.5" thickBot="1">
      <c r="A150" s="68" t="s">
        <v>270</v>
      </c>
      <c r="B150" s="796" t="s">
        <v>271</v>
      </c>
      <c r="C150" s="796"/>
      <c r="D150" s="796"/>
      <c r="E150" s="796"/>
      <c r="F150" s="796"/>
      <c r="G150" s="796"/>
      <c r="H150" s="796"/>
      <c r="I150" s="797"/>
      <c r="J150" s="43"/>
      <c r="L150" s="43"/>
    </row>
    <row r="151" spans="1:12" ht="13.5" customHeight="1">
      <c r="A151" s="63" t="s">
        <v>272</v>
      </c>
      <c r="B151" s="796" t="s">
        <v>273</v>
      </c>
      <c r="C151" s="796"/>
      <c r="D151" s="796"/>
      <c r="E151" s="796"/>
      <c r="F151" s="796"/>
      <c r="G151" s="796"/>
      <c r="H151" s="796"/>
      <c r="I151" s="797"/>
      <c r="J151" s="43"/>
      <c r="L151" s="43"/>
    </row>
    <row r="152" spans="1:12" ht="27" customHeight="1">
      <c r="A152" s="62" t="s">
        <v>274</v>
      </c>
      <c r="B152" s="792" t="s">
        <v>275</v>
      </c>
      <c r="C152" s="792"/>
      <c r="D152" s="792"/>
      <c r="E152" s="792"/>
      <c r="F152" s="792"/>
      <c r="G152" s="792"/>
      <c r="H152" s="792"/>
      <c r="I152" s="793"/>
      <c r="J152" s="43"/>
      <c r="L152" s="43"/>
    </row>
    <row r="153" spans="1:12">
      <c r="A153" s="63" t="s">
        <v>276</v>
      </c>
      <c r="B153" s="796" t="s">
        <v>277</v>
      </c>
      <c r="C153" s="796"/>
      <c r="D153" s="796"/>
      <c r="E153" s="796"/>
      <c r="F153" s="796"/>
      <c r="G153" s="796"/>
      <c r="H153" s="796"/>
      <c r="I153" s="797"/>
      <c r="J153" s="43"/>
      <c r="L153" s="43"/>
    </row>
    <row r="154" spans="1:12" ht="25.5" customHeight="1">
      <c r="A154" s="62" t="s">
        <v>278</v>
      </c>
      <c r="B154" s="792"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792"/>
      <c r="D154" s="792"/>
      <c r="E154" s="792"/>
      <c r="F154" s="792"/>
      <c r="G154" s="792"/>
      <c r="H154" s="792"/>
      <c r="I154" s="793"/>
      <c r="J154" s="43"/>
      <c r="L154" s="43"/>
    </row>
    <row r="155" spans="1:12" ht="25.5" customHeight="1">
      <c r="A155" s="62" t="s">
        <v>279</v>
      </c>
      <c r="B155" s="792" t="s">
        <v>280</v>
      </c>
      <c r="C155" s="792"/>
      <c r="D155" s="792"/>
      <c r="E155" s="792"/>
      <c r="F155" s="792"/>
      <c r="G155" s="792"/>
      <c r="H155" s="792"/>
      <c r="I155" s="793"/>
      <c r="J155" s="43"/>
      <c r="L155" s="43"/>
    </row>
    <row r="156" spans="1:12">
      <c r="A156" s="63" t="s">
        <v>281</v>
      </c>
      <c r="B156" s="796" t="s">
        <v>282</v>
      </c>
      <c r="C156" s="796"/>
      <c r="D156" s="796"/>
      <c r="E156" s="796"/>
      <c r="F156" s="796"/>
      <c r="G156" s="796"/>
      <c r="H156" s="796"/>
      <c r="I156" s="797"/>
      <c r="J156" s="43"/>
      <c r="L156" s="43"/>
    </row>
    <row r="157" spans="1:12" ht="25.5" customHeight="1">
      <c r="A157" s="62" t="s">
        <v>283</v>
      </c>
      <c r="B157" s="792"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792"/>
      <c r="D157" s="792"/>
      <c r="E157" s="792"/>
      <c r="F157" s="792"/>
      <c r="G157" s="792"/>
      <c r="H157" s="792"/>
      <c r="I157" s="793"/>
      <c r="J157" s="43"/>
      <c r="L157" s="43"/>
    </row>
    <row r="158" spans="1:12" ht="25.5" customHeight="1">
      <c r="A158" s="62" t="s">
        <v>284</v>
      </c>
      <c r="B158" s="792" t="s">
        <v>285</v>
      </c>
      <c r="C158" s="792"/>
      <c r="D158" s="792"/>
      <c r="E158" s="792"/>
      <c r="F158" s="792"/>
      <c r="G158" s="792"/>
      <c r="H158" s="792"/>
      <c r="I158" s="793"/>
      <c r="J158" s="43"/>
      <c r="L158" s="43"/>
    </row>
    <row r="159" spans="1:12">
      <c r="A159" s="63" t="s">
        <v>286</v>
      </c>
      <c r="B159" s="728" t="s">
        <v>287</v>
      </c>
      <c r="C159" s="57"/>
      <c r="D159" s="57"/>
      <c r="E159" s="59"/>
      <c r="F159" s="58"/>
      <c r="G159" s="57"/>
      <c r="H159" s="56"/>
      <c r="I159" s="67"/>
      <c r="J159" s="43"/>
      <c r="L159" s="43"/>
    </row>
    <row r="160" spans="1:12">
      <c r="A160" s="63" t="s">
        <v>103</v>
      </c>
      <c r="B160" s="728" t="s">
        <v>288</v>
      </c>
      <c r="C160" s="728" t="s">
        <v>289</v>
      </c>
      <c r="D160" s="65">
        <v>0</v>
      </c>
      <c r="E160" s="59"/>
      <c r="F160" s="58"/>
      <c r="G160" s="57"/>
      <c r="H160" s="56"/>
      <c r="I160" s="67"/>
      <c r="J160" s="43"/>
      <c r="L160" s="43"/>
    </row>
    <row r="161" spans="1:12">
      <c r="A161" s="66"/>
      <c r="B161" s="57"/>
      <c r="C161" s="728" t="s">
        <v>290</v>
      </c>
      <c r="D161" s="65">
        <v>0</v>
      </c>
      <c r="E161" s="794" t="s">
        <v>291</v>
      </c>
      <c r="F161" s="794"/>
      <c r="G161" s="794"/>
      <c r="H161" s="794"/>
      <c r="I161" s="795"/>
      <c r="J161" s="43"/>
      <c r="L161" s="43"/>
    </row>
    <row r="162" spans="1:12">
      <c r="A162" s="66"/>
      <c r="B162" s="57"/>
      <c r="C162" s="728" t="s">
        <v>292</v>
      </c>
      <c r="D162" s="65">
        <v>0</v>
      </c>
      <c r="E162" s="794" t="s">
        <v>293</v>
      </c>
      <c r="F162" s="794"/>
      <c r="G162" s="794"/>
      <c r="H162" s="794"/>
      <c r="I162" s="795"/>
      <c r="J162" s="43"/>
      <c r="L162" s="43"/>
    </row>
    <row r="163" spans="1:12">
      <c r="A163" s="63" t="s">
        <v>294</v>
      </c>
      <c r="B163" s="796" t="s">
        <v>295</v>
      </c>
      <c r="C163" s="796"/>
      <c r="D163" s="796"/>
      <c r="E163" s="796"/>
      <c r="F163" s="796"/>
      <c r="G163" s="796"/>
      <c r="H163" s="796"/>
      <c r="I163" s="797"/>
      <c r="J163" s="43"/>
      <c r="L163" s="43"/>
    </row>
    <row r="164" spans="1:12" ht="12.75" customHeight="1">
      <c r="A164" s="62" t="s">
        <v>296</v>
      </c>
      <c r="B164" s="792" t="s">
        <v>297</v>
      </c>
      <c r="C164" s="792"/>
      <c r="D164" s="792"/>
      <c r="E164" s="792"/>
      <c r="F164" s="792"/>
      <c r="G164" s="792"/>
      <c r="H164" s="792"/>
      <c r="I164" s="793"/>
      <c r="J164" s="43"/>
      <c r="L164" s="43"/>
    </row>
    <row r="165" spans="1:12" ht="25.5" customHeight="1">
      <c r="A165" s="62" t="s">
        <v>298</v>
      </c>
      <c r="B165" s="792" t="s">
        <v>299</v>
      </c>
      <c r="C165" s="792"/>
      <c r="D165" s="792"/>
      <c r="E165" s="792"/>
      <c r="F165" s="792"/>
      <c r="G165" s="792"/>
      <c r="H165" s="792"/>
      <c r="I165" s="793"/>
      <c r="J165" s="43"/>
      <c r="L165" s="43"/>
    </row>
    <row r="166" spans="1:12" ht="13.5" customHeight="1">
      <c r="A166" s="62" t="s">
        <v>300</v>
      </c>
      <c r="B166" s="792" t="s">
        <v>301</v>
      </c>
      <c r="C166" s="792"/>
      <c r="D166" s="792"/>
      <c r="E166" s="792"/>
      <c r="F166" s="792"/>
      <c r="G166" s="792"/>
      <c r="H166" s="792"/>
      <c r="I166" s="793"/>
      <c r="J166" s="44"/>
      <c r="L166" s="43"/>
    </row>
    <row r="167" spans="1:12">
      <c r="A167" s="63" t="s">
        <v>302</v>
      </c>
      <c r="B167" s="796" t="s">
        <v>303</v>
      </c>
      <c r="C167" s="796"/>
      <c r="D167" s="796"/>
      <c r="E167" s="796"/>
      <c r="F167" s="796"/>
      <c r="G167" s="796"/>
      <c r="H167" s="796"/>
      <c r="I167" s="797"/>
      <c r="J167" s="64"/>
      <c r="L167" s="43"/>
    </row>
    <row r="168" spans="1:12" ht="25.5" customHeight="1">
      <c r="A168" s="62" t="s">
        <v>304</v>
      </c>
      <c r="B168" s="792"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792"/>
      <c r="D168" s="792"/>
      <c r="E168" s="792"/>
      <c r="F168" s="792"/>
      <c r="G168" s="792"/>
      <c r="H168" s="792"/>
      <c r="I168" s="793"/>
      <c r="L168" s="43"/>
    </row>
    <row r="169" spans="1:12">
      <c r="A169" s="63" t="s">
        <v>305</v>
      </c>
      <c r="B169" s="796"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796"/>
      <c r="D169" s="796"/>
      <c r="E169" s="796"/>
      <c r="F169" s="796"/>
      <c r="G169" s="796"/>
      <c r="H169" s="796"/>
      <c r="I169" s="797"/>
      <c r="L169" s="43"/>
    </row>
    <row r="170" spans="1:12">
      <c r="A170" s="63" t="s">
        <v>306</v>
      </c>
      <c r="B170" s="796" t="s">
        <v>307</v>
      </c>
      <c r="C170" s="796"/>
      <c r="D170" s="796"/>
      <c r="E170" s="796"/>
      <c r="F170" s="796"/>
      <c r="G170" s="796"/>
      <c r="H170" s="796"/>
      <c r="I170" s="797"/>
      <c r="L170" s="43"/>
    </row>
    <row r="171" spans="1:12" ht="25.5" customHeight="1">
      <c r="A171" s="62" t="s">
        <v>308</v>
      </c>
      <c r="B171" s="792"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792"/>
      <c r="D171" s="792"/>
      <c r="E171" s="792"/>
      <c r="F171" s="792"/>
      <c r="G171" s="792"/>
      <c r="H171" s="792"/>
      <c r="I171" s="793"/>
      <c r="J171" s="43"/>
    </row>
    <row r="172" spans="1:12">
      <c r="A172" s="61"/>
      <c r="B172" s="728" t="s">
        <v>309</v>
      </c>
      <c r="C172" s="60"/>
      <c r="D172" s="57"/>
      <c r="E172" s="59"/>
      <c r="F172" s="58"/>
      <c r="G172" s="57"/>
      <c r="H172" s="56"/>
      <c r="I172" s="55"/>
      <c r="J172" s="43"/>
    </row>
    <row r="173" spans="1:12" ht="13.5" thickBot="1">
      <c r="A173" s="54"/>
      <c r="B173" s="53"/>
      <c r="C173" s="50"/>
      <c r="D173" s="50"/>
      <c r="E173" s="52"/>
      <c r="F173" s="51"/>
      <c r="G173" s="50"/>
      <c r="H173" s="49"/>
      <c r="I173" s="48"/>
      <c r="J173" s="41"/>
      <c r="L173" s="41"/>
    </row>
  </sheetData>
  <mergeCells count="21">
    <mergeCell ref="B169:I169"/>
    <mergeCell ref="B170:I170"/>
    <mergeCell ref="B171:I171"/>
    <mergeCell ref="B163:I163"/>
    <mergeCell ref="B164:I164"/>
    <mergeCell ref="B165:I165"/>
    <mergeCell ref="B166:I166"/>
    <mergeCell ref="B167:I167"/>
    <mergeCell ref="B168:I168"/>
    <mergeCell ref="B158:I158"/>
    <mergeCell ref="E161:I161"/>
    <mergeCell ref="E162:I162"/>
    <mergeCell ref="B149:I149"/>
    <mergeCell ref="B150:I150"/>
    <mergeCell ref="B151:I151"/>
    <mergeCell ref="B152:I152"/>
    <mergeCell ref="B153:I153"/>
    <mergeCell ref="B154:I154"/>
    <mergeCell ref="B155:I155"/>
    <mergeCell ref="B156:I156"/>
    <mergeCell ref="B157:I157"/>
  </mergeCells>
  <hyperlinks>
    <hyperlink ref="J1" location="'Cover Sheets'!A16"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13.26953125" defaultRowHeight="14.5"/>
  <cols>
    <col min="1" max="1" width="13.26953125" style="33"/>
    <col min="2" max="2" width="89.453125" style="33" bestFit="1" customWidth="1"/>
    <col min="3" max="7" width="13.26953125" style="33"/>
    <col min="8" max="8" width="43.54296875" style="33" customWidth="1"/>
    <col min="9" max="9" width="22.7265625" style="33" customWidth="1"/>
    <col min="10" max="16384" width="13.26953125" style="33"/>
  </cols>
  <sheetData>
    <row r="1" spans="1:9">
      <c r="A1" s="232" t="str">
        <f>'Cover Sheets'!A10:B10</f>
        <v>WAPA-UGP 2021 Rate Estimate Calculation</v>
      </c>
      <c r="B1" s="274"/>
      <c r="C1" s="275"/>
      <c r="D1" s="275"/>
      <c r="E1" s="275"/>
      <c r="F1" s="275"/>
      <c r="G1" s="275"/>
      <c r="H1" s="276"/>
      <c r="I1" s="575" t="s">
        <v>42</v>
      </c>
    </row>
    <row r="2" spans="1:9">
      <c r="A2" s="61" t="s">
        <v>310</v>
      </c>
      <c r="B2" s="503"/>
      <c r="C2" s="277"/>
      <c r="D2" s="277"/>
      <c r="E2" s="277"/>
      <c r="F2" s="277"/>
      <c r="G2" s="277"/>
      <c r="H2" s="278"/>
      <c r="I2" s="575"/>
    </row>
    <row r="3" spans="1:9">
      <c r="A3" s="61" t="str">
        <f>'Summary-ATRR'!A3</f>
        <v>12 Months Ending 09/30/2021 ESTIMATE</v>
      </c>
      <c r="B3" s="277"/>
      <c r="C3" s="277"/>
      <c r="D3" s="277"/>
      <c r="E3" s="277"/>
      <c r="F3" s="277"/>
      <c r="G3" s="277"/>
      <c r="H3" s="278"/>
    </row>
    <row r="4" spans="1:9" ht="39.5">
      <c r="A4" s="61"/>
      <c r="B4" s="240" t="s">
        <v>311</v>
      </c>
      <c r="C4" s="241" t="s">
        <v>45</v>
      </c>
      <c r="D4" s="241" t="s">
        <v>312</v>
      </c>
      <c r="E4" s="241" t="s">
        <v>313</v>
      </c>
      <c r="F4" s="241" t="s">
        <v>314</v>
      </c>
      <c r="G4" s="241" t="s">
        <v>315</v>
      </c>
      <c r="H4" s="242" t="s">
        <v>47</v>
      </c>
    </row>
    <row r="5" spans="1:9" ht="15" thickBot="1">
      <c r="A5" s="243" t="s">
        <v>316</v>
      </c>
      <c r="B5" s="244">
        <v>-1</v>
      </c>
      <c r="C5" s="244">
        <v>-2</v>
      </c>
      <c r="D5" s="244">
        <v>-3</v>
      </c>
      <c r="E5" s="244">
        <v>-5</v>
      </c>
      <c r="F5" s="244">
        <v>-4</v>
      </c>
      <c r="G5" s="244">
        <v>-5</v>
      </c>
      <c r="H5" s="245">
        <v>-6</v>
      </c>
    </row>
    <row r="6" spans="1:9">
      <c r="A6" s="279">
        <v>1</v>
      </c>
      <c r="B6" s="280" t="s">
        <v>317</v>
      </c>
      <c r="C6" s="292"/>
      <c r="D6" s="284"/>
      <c r="E6" s="293"/>
      <c r="F6" s="284"/>
      <c r="G6" s="284"/>
      <c r="H6" s="282"/>
    </row>
    <row r="7" spans="1:9">
      <c r="A7" s="279">
        <f t="shared" ref="A7:A37" si="0">A6+1</f>
        <v>2</v>
      </c>
      <c r="B7" s="285" t="s">
        <v>318</v>
      </c>
      <c r="C7" s="294">
        <f>'WS4-CostData'!K123</f>
        <v>70193087.875282288</v>
      </c>
      <c r="D7" s="281">
        <f>'WS4-CostData'!K124</f>
        <v>88583146.056617334</v>
      </c>
      <c r="E7" s="281">
        <f>'WS4-CostData'!G124</f>
        <v>44732296.820666283</v>
      </c>
      <c r="F7" s="281">
        <f>'WS4-CostData'!C125</f>
        <v>53894.706152190702</v>
      </c>
      <c r="G7" s="281">
        <f>'WS4-CostData'!K126</f>
        <v>353746.76326456602</v>
      </c>
      <c r="H7" s="282" t="s">
        <v>319</v>
      </c>
    </row>
    <row r="8" spans="1:9">
      <c r="A8" s="279">
        <f t="shared" si="0"/>
        <v>3</v>
      </c>
      <c r="B8" s="285" t="s">
        <v>320</v>
      </c>
      <c r="C8" s="294">
        <v>0</v>
      </c>
      <c r="D8" s="281">
        <v>0</v>
      </c>
      <c r="E8" s="281">
        <v>0</v>
      </c>
      <c r="F8" s="281">
        <v>0</v>
      </c>
      <c r="G8" s="281">
        <v>0</v>
      </c>
      <c r="H8" s="282"/>
    </row>
    <row r="9" spans="1:9">
      <c r="A9" s="279">
        <f t="shared" si="0"/>
        <v>4</v>
      </c>
      <c r="B9" s="285" t="s">
        <v>321</v>
      </c>
      <c r="C9" s="294">
        <f>SUM(C7:C8)</f>
        <v>70193087.875282288</v>
      </c>
      <c r="D9" s="281">
        <f>SUM(D7:D8)</f>
        <v>88583146.056617334</v>
      </c>
      <c r="E9" s="281">
        <f>SUM(E7:E8)</f>
        <v>44732296.820666283</v>
      </c>
      <c r="F9" s="281">
        <f>SUM(F7:F8)</f>
        <v>53894.706152190702</v>
      </c>
      <c r="G9" s="281">
        <f>SUM(G7:G8)</f>
        <v>353746.76326456602</v>
      </c>
      <c r="H9" s="282" t="s">
        <v>322</v>
      </c>
    </row>
    <row r="10" spans="1:9" ht="15" thickBot="1">
      <c r="A10" s="279">
        <f t="shared" si="0"/>
        <v>5</v>
      </c>
      <c r="B10" s="285" t="s">
        <v>323</v>
      </c>
      <c r="C10" s="294">
        <f>'WS4-CostData'!K24</f>
        <v>759227443.11841238</v>
      </c>
      <c r="D10" s="281">
        <f>'WS4-CostData'!K25</f>
        <v>751713915.20351911</v>
      </c>
      <c r="E10" s="281">
        <f>'WS4-CostData'!G25</f>
        <v>581186455.96057808</v>
      </c>
      <c r="F10" s="281">
        <f>'WS4-CostData'!K27</f>
        <v>576768.06820547453</v>
      </c>
      <c r="G10" s="281">
        <f>'WS4-CostData'!K28</f>
        <v>3785712.0271867318</v>
      </c>
      <c r="H10" s="282" t="s">
        <v>324</v>
      </c>
    </row>
    <row r="11" spans="1:9" ht="15" thickBot="1">
      <c r="A11" s="279">
        <f t="shared" si="0"/>
        <v>6</v>
      </c>
      <c r="B11" s="285" t="s">
        <v>325</v>
      </c>
      <c r="C11" s="295">
        <f>+C9/C10</f>
        <v>9.2453306991874207E-2</v>
      </c>
      <c r="D11" s="296">
        <f>+D9/D10</f>
        <v>0.1178415674700319</v>
      </c>
      <c r="E11" s="296">
        <f>+E9/E10</f>
        <v>7.6967204520850846E-2</v>
      </c>
      <c r="F11" s="296">
        <f>+F9/F10</f>
        <v>9.3442596986819712E-2</v>
      </c>
      <c r="G11" s="296">
        <f>+G9/G10</f>
        <v>9.3442596986819698E-2</v>
      </c>
      <c r="H11" s="282" t="s">
        <v>326</v>
      </c>
    </row>
    <row r="12" spans="1:9">
      <c r="A12" s="279">
        <f t="shared" si="0"/>
        <v>7</v>
      </c>
      <c r="B12" s="280" t="s">
        <v>327</v>
      </c>
      <c r="C12" s="292"/>
      <c r="D12" s="284"/>
      <c r="E12" s="284"/>
      <c r="F12" s="284"/>
      <c r="G12" s="284"/>
      <c r="H12" s="282"/>
    </row>
    <row r="13" spans="1:9">
      <c r="A13" s="279">
        <f t="shared" si="0"/>
        <v>8</v>
      </c>
      <c r="B13" s="285" t="s">
        <v>328</v>
      </c>
      <c r="C13" s="294">
        <f>'WS4-CostData'!K94</f>
        <v>16082738.544218689</v>
      </c>
      <c r="D13" s="281">
        <f>'WS4-CostData'!K95</f>
        <v>177003.18332133925</v>
      </c>
      <c r="E13" s="281">
        <f>'WS4-CostData'!G95</f>
        <v>0</v>
      </c>
      <c r="F13" s="281">
        <f>'WS4-CostData'!C97</f>
        <v>13090.469859792887</v>
      </c>
      <c r="G13" s="281">
        <f>'WS4-CostData'!K98</f>
        <v>85921.450790317787</v>
      </c>
      <c r="H13" s="282" t="s">
        <v>329</v>
      </c>
    </row>
    <row r="14" spans="1:9" ht="15" thickBot="1">
      <c r="A14" s="279">
        <f t="shared" si="0"/>
        <v>9</v>
      </c>
      <c r="B14" s="285" t="s">
        <v>330</v>
      </c>
      <c r="C14" s="294">
        <f>C10</f>
        <v>759227443.11841238</v>
      </c>
      <c r="D14" s="281">
        <f>D10</f>
        <v>751713915.20351911</v>
      </c>
      <c r="E14" s="281">
        <f>E10</f>
        <v>581186455.96057808</v>
      </c>
      <c r="F14" s="281">
        <f>F10</f>
        <v>576768.06820547453</v>
      </c>
      <c r="G14" s="281">
        <f>G10</f>
        <v>3785712.0271867318</v>
      </c>
      <c r="H14" s="282" t="s">
        <v>331</v>
      </c>
    </row>
    <row r="15" spans="1:9" ht="15" thickBot="1">
      <c r="A15" s="279">
        <f t="shared" si="0"/>
        <v>10</v>
      </c>
      <c r="B15" s="285" t="s">
        <v>332</v>
      </c>
      <c r="C15" s="295">
        <f>+C13/C14</f>
        <v>2.1183031106148196E-2</v>
      </c>
      <c r="D15" s="296">
        <f>+D13/D14</f>
        <v>2.3546615240376041E-4</v>
      </c>
      <c r="E15" s="296">
        <f>+E13/E14</f>
        <v>0</v>
      </c>
      <c r="F15" s="296">
        <f>+F13/F14</f>
        <v>2.2696245824637758E-2</v>
      </c>
      <c r="G15" s="296">
        <f>+G13/G14</f>
        <v>2.2696245824637754E-2</v>
      </c>
      <c r="H15" s="282" t="s">
        <v>333</v>
      </c>
    </row>
    <row r="16" spans="1:9">
      <c r="A16" s="279">
        <f t="shared" si="0"/>
        <v>11</v>
      </c>
      <c r="B16" s="280" t="s">
        <v>334</v>
      </c>
      <c r="C16" s="292"/>
      <c r="D16" s="284"/>
      <c r="E16" s="284"/>
      <c r="F16" s="284"/>
      <c r="G16" s="284"/>
      <c r="H16" s="282"/>
    </row>
    <row r="17" spans="1:8">
      <c r="A17" s="279">
        <f t="shared" si="0"/>
        <v>12</v>
      </c>
      <c r="B17" s="285" t="s">
        <v>335</v>
      </c>
      <c r="C17" s="281">
        <f>'WS4-CostData'!K47</f>
        <v>35394947.22048077</v>
      </c>
      <c r="D17" s="281">
        <f>'WS4-CostData'!K48</f>
        <v>19543557.167312793</v>
      </c>
      <c r="E17" s="281">
        <f>'WS4-CostData'!G48</f>
        <v>14914828.297481535</v>
      </c>
      <c r="F17" s="281">
        <f>'WS4-CostData'!K50</f>
        <v>27796.429452821209</v>
      </c>
      <c r="G17" s="281">
        <f>'WS4-CostData'!K51</f>
        <v>182446.43400560907</v>
      </c>
      <c r="H17" s="282" t="s">
        <v>336</v>
      </c>
    </row>
    <row r="18" spans="1:8" ht="15" thickBot="1">
      <c r="A18" s="279">
        <f t="shared" si="0"/>
        <v>13</v>
      </c>
      <c r="B18" s="285" t="s">
        <v>323</v>
      </c>
      <c r="C18" s="294">
        <f>C14</f>
        <v>759227443.11841238</v>
      </c>
      <c r="D18" s="281">
        <f>D14</f>
        <v>751713915.20351911</v>
      </c>
      <c r="E18" s="281">
        <f>E14</f>
        <v>581186455.96057808</v>
      </c>
      <c r="F18" s="281">
        <f>F14</f>
        <v>576768.06820547453</v>
      </c>
      <c r="G18" s="281">
        <f>G14</f>
        <v>3785712.0271867318</v>
      </c>
      <c r="H18" s="282" t="s">
        <v>331</v>
      </c>
    </row>
    <row r="19" spans="1:8" ht="15" thickBot="1">
      <c r="A19" s="279">
        <f t="shared" si="0"/>
        <v>14</v>
      </c>
      <c r="B19" s="285" t="s">
        <v>337</v>
      </c>
      <c r="C19" s="295">
        <f>C17/C18</f>
        <v>4.6619688923652911E-2</v>
      </c>
      <c r="D19" s="296">
        <f>D17/D18</f>
        <v>2.5998663550110775E-2</v>
      </c>
      <c r="E19" s="296">
        <f>E17/E18</f>
        <v>2.5662725179702413E-2</v>
      </c>
      <c r="F19" s="296">
        <f>F17/F18</f>
        <v>4.8193426413680525E-2</v>
      </c>
      <c r="G19" s="296">
        <f>G17/G18</f>
        <v>4.8193426413680525E-2</v>
      </c>
      <c r="H19" s="282" t="s">
        <v>338</v>
      </c>
    </row>
    <row r="20" spans="1:8">
      <c r="A20" s="279">
        <f t="shared" si="0"/>
        <v>15</v>
      </c>
      <c r="B20" s="280" t="s">
        <v>339</v>
      </c>
      <c r="C20" s="292"/>
      <c r="D20" s="284"/>
      <c r="E20" s="284"/>
      <c r="F20" s="284"/>
      <c r="G20" s="284"/>
      <c r="H20" s="282"/>
    </row>
    <row r="21" spans="1:8">
      <c r="A21" s="279">
        <f t="shared" si="0"/>
        <v>16</v>
      </c>
      <c r="B21" s="285" t="s">
        <v>340</v>
      </c>
      <c r="C21" s="292"/>
      <c r="D21" s="284"/>
      <c r="E21" s="284"/>
      <c r="F21" s="284"/>
      <c r="G21" s="284"/>
      <c r="H21" s="282"/>
    </row>
    <row r="22" spans="1:8">
      <c r="A22" s="279">
        <f t="shared" si="0"/>
        <v>17</v>
      </c>
      <c r="B22" s="280" t="s">
        <v>341</v>
      </c>
      <c r="C22" s="292"/>
      <c r="D22" s="284"/>
      <c r="E22" s="284"/>
      <c r="F22" s="284"/>
      <c r="G22" s="284"/>
      <c r="H22" s="282"/>
    </row>
    <row r="23" spans="1:8">
      <c r="A23" s="279">
        <f t="shared" si="0"/>
        <v>18</v>
      </c>
      <c r="B23" s="285" t="s">
        <v>342</v>
      </c>
      <c r="C23" s="292"/>
      <c r="D23" s="284"/>
      <c r="E23" s="284"/>
      <c r="F23" s="284"/>
      <c r="G23" s="284"/>
      <c r="H23" s="282"/>
    </row>
    <row r="24" spans="1:8" ht="15" thickBot="1">
      <c r="A24" s="279">
        <f t="shared" si="0"/>
        <v>19</v>
      </c>
      <c r="B24" s="280" t="s">
        <v>343</v>
      </c>
      <c r="C24" s="292"/>
      <c r="D24" s="284"/>
      <c r="E24" s="284"/>
      <c r="F24" s="284"/>
      <c r="G24" s="284"/>
      <c r="H24" s="282"/>
    </row>
    <row r="25" spans="1:8" ht="15" thickBot="1">
      <c r="A25" s="279">
        <f t="shared" si="0"/>
        <v>20</v>
      </c>
      <c r="B25" s="285" t="s">
        <v>344</v>
      </c>
      <c r="C25" s="295">
        <f>'WS4-CostData'!K72</f>
        <v>4.9518058794053493E-2</v>
      </c>
      <c r="D25" s="296">
        <f>'WS4-CostData'!K74</f>
        <v>3.7109761679430614E-2</v>
      </c>
      <c r="E25" s="296">
        <f>'WS4-CostData'!K74</f>
        <v>3.7109761679430614E-2</v>
      </c>
      <c r="F25" s="296">
        <f>C25</f>
        <v>4.9518058794053493E-2</v>
      </c>
      <c r="G25" s="296">
        <f>F25</f>
        <v>4.9518058794053493E-2</v>
      </c>
      <c r="H25" s="282" t="s">
        <v>345</v>
      </c>
    </row>
    <row r="26" spans="1:8">
      <c r="A26" s="279">
        <f t="shared" si="0"/>
        <v>21</v>
      </c>
      <c r="B26" s="280" t="s">
        <v>346</v>
      </c>
      <c r="C26" s="292"/>
      <c r="D26" s="284"/>
      <c r="E26" s="284"/>
      <c r="F26" s="284"/>
      <c r="G26" s="284"/>
      <c r="H26" s="282"/>
    </row>
    <row r="27" spans="1:8">
      <c r="A27" s="279">
        <f t="shared" si="0"/>
        <v>22</v>
      </c>
      <c r="B27" s="285" t="s">
        <v>347</v>
      </c>
      <c r="C27" s="297">
        <f>C11</f>
        <v>9.2453306991874207E-2</v>
      </c>
      <c r="D27" s="286">
        <f>D11</f>
        <v>0.1178415674700319</v>
      </c>
      <c r="E27" s="286">
        <f>E11</f>
        <v>7.6967204520850846E-2</v>
      </c>
      <c r="F27" s="286">
        <f>F11</f>
        <v>9.3442596986819712E-2</v>
      </c>
      <c r="G27" s="286">
        <f>G11</f>
        <v>9.3442596986819698E-2</v>
      </c>
      <c r="H27" s="282" t="s">
        <v>348</v>
      </c>
    </row>
    <row r="28" spans="1:8">
      <c r="A28" s="279">
        <f t="shared" si="0"/>
        <v>23</v>
      </c>
      <c r="B28" s="285" t="s">
        <v>349</v>
      </c>
      <c r="C28" s="297">
        <f>C15</f>
        <v>2.1183031106148196E-2</v>
      </c>
      <c r="D28" s="286">
        <f>D15</f>
        <v>2.3546615240376041E-4</v>
      </c>
      <c r="E28" s="286">
        <f>E15</f>
        <v>0</v>
      </c>
      <c r="F28" s="286">
        <f>F15</f>
        <v>2.2696245824637758E-2</v>
      </c>
      <c r="G28" s="286">
        <f>G15</f>
        <v>2.2696245824637754E-2</v>
      </c>
      <c r="H28" s="282" t="s">
        <v>350</v>
      </c>
    </row>
    <row r="29" spans="1:8">
      <c r="A29" s="279">
        <f t="shared" si="0"/>
        <v>24</v>
      </c>
      <c r="B29" s="285" t="s">
        <v>335</v>
      </c>
      <c r="C29" s="297">
        <f>C19</f>
        <v>4.6619688923652911E-2</v>
      </c>
      <c r="D29" s="286">
        <f>D19</f>
        <v>2.5998663550110775E-2</v>
      </c>
      <c r="E29" s="286">
        <f>E19</f>
        <v>2.5662725179702413E-2</v>
      </c>
      <c r="F29" s="286">
        <f>F19</f>
        <v>4.8193426413680525E-2</v>
      </c>
      <c r="G29" s="286">
        <f>G19</f>
        <v>4.8193426413680525E-2</v>
      </c>
      <c r="H29" s="282" t="s">
        <v>351</v>
      </c>
    </row>
    <row r="30" spans="1:8">
      <c r="A30" s="279">
        <f t="shared" si="0"/>
        <v>25</v>
      </c>
      <c r="B30" s="285" t="s">
        <v>352</v>
      </c>
      <c r="C30" s="297">
        <v>0</v>
      </c>
      <c r="D30" s="286">
        <v>0</v>
      </c>
      <c r="E30" s="286">
        <v>0</v>
      </c>
      <c r="F30" s="286">
        <v>0</v>
      </c>
      <c r="G30" s="286">
        <v>0</v>
      </c>
      <c r="H30" s="282"/>
    </row>
    <row r="31" spans="1:8">
      <c r="A31" s="279">
        <f t="shared" si="0"/>
        <v>26</v>
      </c>
      <c r="B31" s="285" t="s">
        <v>353</v>
      </c>
      <c r="C31" s="297">
        <v>0</v>
      </c>
      <c r="D31" s="286">
        <v>0</v>
      </c>
      <c r="E31" s="286">
        <v>0</v>
      </c>
      <c r="F31" s="286">
        <v>0</v>
      </c>
      <c r="G31" s="286">
        <v>0</v>
      </c>
      <c r="H31" s="282"/>
    </row>
    <row r="32" spans="1:8" ht="15" thickBot="1">
      <c r="A32" s="279">
        <f t="shared" si="0"/>
        <v>27</v>
      </c>
      <c r="B32" s="285" t="s">
        <v>354</v>
      </c>
      <c r="C32" s="297">
        <f>C25</f>
        <v>4.9518058794053493E-2</v>
      </c>
      <c r="D32" s="286">
        <f>D25</f>
        <v>3.7109761679430614E-2</v>
      </c>
      <c r="E32" s="286">
        <f>E25</f>
        <v>3.7109761679430614E-2</v>
      </c>
      <c r="F32" s="286">
        <f>F25</f>
        <v>4.9518058794053493E-2</v>
      </c>
      <c r="G32" s="286">
        <f>G25</f>
        <v>4.9518058794053493E-2</v>
      </c>
      <c r="H32" s="282" t="s">
        <v>355</v>
      </c>
    </row>
    <row r="33" spans="1:8" ht="15" thickBot="1">
      <c r="A33" s="279">
        <f t="shared" si="0"/>
        <v>28</v>
      </c>
      <c r="B33" s="285" t="s">
        <v>356</v>
      </c>
      <c r="C33" s="295">
        <f>SUM(C27:C32)</f>
        <v>0.20977408581572879</v>
      </c>
      <c r="D33" s="296">
        <f>SUM(D27:D32)</f>
        <v>0.18118545885197704</v>
      </c>
      <c r="E33" s="296">
        <f>SUM(E27:E32)</f>
        <v>0.13973969137998388</v>
      </c>
      <c r="F33" s="296">
        <f>SUM(F27:F32)</f>
        <v>0.21385032801919149</v>
      </c>
      <c r="G33" s="296">
        <f>SUM(G27:G32)</f>
        <v>0.21385032801919146</v>
      </c>
      <c r="H33" s="282"/>
    </row>
    <row r="34" spans="1:8">
      <c r="A34" s="279">
        <f t="shared" si="0"/>
        <v>29</v>
      </c>
      <c r="B34" s="280" t="s">
        <v>357</v>
      </c>
      <c r="C34" s="297"/>
      <c r="D34" s="286"/>
      <c r="E34" s="286"/>
      <c r="F34" s="286"/>
      <c r="G34" s="286"/>
      <c r="H34" s="287"/>
    </row>
    <row r="35" spans="1:8">
      <c r="A35" s="279">
        <f t="shared" si="0"/>
        <v>30</v>
      </c>
      <c r="B35" s="285" t="s">
        <v>358</v>
      </c>
      <c r="C35" s="297">
        <f>C33</f>
        <v>0.20977408581572879</v>
      </c>
      <c r="D35" s="286">
        <f>D33</f>
        <v>0.18118545885197704</v>
      </c>
      <c r="E35" s="286">
        <f>E33</f>
        <v>0.13973969137998388</v>
      </c>
      <c r="F35" s="286">
        <f>F33</f>
        <v>0.21385032801919149</v>
      </c>
      <c r="G35" s="286">
        <f>G33</f>
        <v>0.21385032801919146</v>
      </c>
      <c r="H35" s="298" t="s">
        <v>359</v>
      </c>
    </row>
    <row r="36" spans="1:8">
      <c r="A36" s="279">
        <f t="shared" si="0"/>
        <v>31</v>
      </c>
      <c r="B36" s="285" t="s">
        <v>323</v>
      </c>
      <c r="C36" s="299">
        <f>C10</f>
        <v>759227443.11841238</v>
      </c>
      <c r="D36" s="300">
        <f>D10</f>
        <v>751713915.20351911</v>
      </c>
      <c r="E36" s="300">
        <f>E10</f>
        <v>581186455.96057808</v>
      </c>
      <c r="F36" s="300">
        <f>F10</f>
        <v>576768.06820547453</v>
      </c>
      <c r="G36" s="300">
        <f>G10</f>
        <v>3785712.0271867318</v>
      </c>
      <c r="H36" s="282" t="s">
        <v>331</v>
      </c>
    </row>
    <row r="37" spans="1:8" ht="15" thickBot="1">
      <c r="A37" s="243">
        <f t="shared" si="0"/>
        <v>32</v>
      </c>
      <c r="B37" s="288" t="s">
        <v>360</v>
      </c>
      <c r="C37" s="301">
        <f>C36*C35</f>
        <v>159266242.80637819</v>
      </c>
      <c r="D37" s="289">
        <f>D36*D35</f>
        <v>136199630.65156576</v>
      </c>
      <c r="E37" s="289">
        <f>E36*E35</f>
        <v>81214815.990157768</v>
      </c>
      <c r="F37" s="289">
        <f>F36*F35</f>
        <v>123342.04057673614</v>
      </c>
      <c r="G37" s="289">
        <f>G36*G35</f>
        <v>809575.75880008086</v>
      </c>
      <c r="H37" s="290" t="s">
        <v>361</v>
      </c>
    </row>
  </sheetData>
  <hyperlinks>
    <hyperlink ref="I1" location="'Cover Sheets'!A16"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8"/>
  <sheetViews>
    <sheetView view="pageBreakPreview" zoomScaleNormal="100" zoomScaleSheetLayoutView="100" workbookViewId="0"/>
  </sheetViews>
  <sheetFormatPr defaultRowHeight="14.5"/>
  <cols>
    <col min="3" max="3" width="47.7265625" bestFit="1" customWidth="1"/>
    <col min="4" max="4" width="26.26953125" bestFit="1" customWidth="1"/>
    <col min="5" max="5" width="14.7265625" bestFit="1" customWidth="1"/>
    <col min="8" max="8" width="24.26953125" customWidth="1"/>
    <col min="9" max="9" width="7" customWidth="1"/>
    <col min="10" max="10" width="3.7265625" customWidth="1"/>
    <col min="11" max="11" width="22.81640625" customWidth="1"/>
  </cols>
  <sheetData>
    <row r="1" spans="1:11">
      <c r="A1" s="571" t="str">
        <f>'Cover Sheets'!A10:B10</f>
        <v>WAPA-UGP 2021 Rate Estimate Calculation</v>
      </c>
      <c r="B1" s="224"/>
      <c r="C1" s="520"/>
      <c r="D1" s="520"/>
      <c r="E1" s="521"/>
      <c r="F1" s="134"/>
      <c r="G1" s="132"/>
      <c r="H1" s="522"/>
      <c r="I1" s="132"/>
      <c r="J1" s="523"/>
      <c r="K1" s="576" t="s">
        <v>42</v>
      </c>
    </row>
    <row r="2" spans="1:11">
      <c r="A2" s="562" t="s">
        <v>362</v>
      </c>
      <c r="B2" s="728"/>
      <c r="C2" s="95"/>
      <c r="D2" s="95"/>
      <c r="E2" s="228"/>
      <c r="F2" s="59"/>
      <c r="G2" s="77"/>
      <c r="H2" s="227"/>
      <c r="I2" s="77"/>
      <c r="J2" s="192"/>
    </row>
    <row r="3" spans="1:11">
      <c r="A3" s="562" t="str">
        <f>'WS1-RateBase'!A4</f>
        <v>12 Months Ending 09/30/2021 ESTIMATE</v>
      </c>
      <c r="B3" s="728"/>
      <c r="C3" s="95"/>
      <c r="D3" s="95"/>
      <c r="E3" s="228"/>
      <c r="F3" s="59"/>
      <c r="G3" s="77"/>
      <c r="H3" s="227" t="s">
        <v>45</v>
      </c>
      <c r="I3" s="77"/>
      <c r="J3" s="192"/>
    </row>
    <row r="4" spans="1:11">
      <c r="A4" s="63" t="s">
        <v>46</v>
      </c>
      <c r="B4" s="227" t="s">
        <v>363</v>
      </c>
      <c r="C4" s="227" t="s">
        <v>364</v>
      </c>
      <c r="D4" s="227" t="s">
        <v>47</v>
      </c>
      <c r="E4" s="227" t="s">
        <v>48</v>
      </c>
      <c r="F4" s="227" t="s">
        <v>49</v>
      </c>
      <c r="G4" s="227" t="s">
        <v>50</v>
      </c>
      <c r="H4" s="227" t="s">
        <v>51</v>
      </c>
      <c r="I4" s="57"/>
      <c r="J4" s="55"/>
    </row>
    <row r="5" spans="1:11" ht="15" thickBot="1">
      <c r="A5" s="68" t="s">
        <v>52</v>
      </c>
      <c r="B5" s="94"/>
      <c r="C5" s="94" t="s">
        <v>53</v>
      </c>
      <c r="D5" s="94" t="s">
        <v>54</v>
      </c>
      <c r="E5" s="94" t="s">
        <v>55</v>
      </c>
      <c r="F5" s="52"/>
      <c r="G5" s="225" t="s">
        <v>56</v>
      </c>
      <c r="H5" s="225" t="s">
        <v>57</v>
      </c>
      <c r="I5" s="50"/>
      <c r="J5" s="48"/>
    </row>
    <row r="6" spans="1:11">
      <c r="A6" s="137">
        <v>1</v>
      </c>
      <c r="B6" s="134" t="s">
        <v>365</v>
      </c>
      <c r="C6" s="544"/>
      <c r="D6" s="545" t="s">
        <v>366</v>
      </c>
      <c r="E6" s="550">
        <v>120944</v>
      </c>
      <c r="F6" s="527" t="s">
        <v>63</v>
      </c>
      <c r="G6" s="547">
        <v>1</v>
      </c>
      <c r="H6" s="563">
        <f>E6</f>
        <v>120944</v>
      </c>
      <c r="I6" s="133"/>
      <c r="J6" s="528"/>
    </row>
    <row r="7" spans="1:11">
      <c r="A7" s="66">
        <v>2</v>
      </c>
      <c r="B7" s="59" t="s">
        <v>365</v>
      </c>
      <c r="C7" s="728" t="s">
        <v>367</v>
      </c>
      <c r="D7" s="549" t="s">
        <v>366</v>
      </c>
      <c r="E7" s="550">
        <v>0</v>
      </c>
      <c r="F7" s="548"/>
      <c r="G7" s="524">
        <v>1</v>
      </c>
      <c r="H7" s="564">
        <f>E7</f>
        <v>0</v>
      </c>
      <c r="I7" s="551"/>
      <c r="J7" s="552"/>
    </row>
    <row r="8" spans="1:11" ht="15" thickBot="1">
      <c r="A8" s="74">
        <v>3</v>
      </c>
      <c r="B8" s="52" t="s">
        <v>368</v>
      </c>
      <c r="C8" s="53"/>
      <c r="D8" s="553"/>
      <c r="E8" s="554">
        <f>SUM(E6:E7)</f>
        <v>120944</v>
      </c>
      <c r="F8" s="555"/>
      <c r="G8" s="51"/>
      <c r="H8" s="565">
        <f>SUM(H6:H7)</f>
        <v>120944</v>
      </c>
      <c r="I8" s="50"/>
      <c r="J8" s="48"/>
    </row>
    <row r="9" spans="1:11">
      <c r="A9" s="137">
        <v>4</v>
      </c>
      <c r="B9" s="134" t="s">
        <v>369</v>
      </c>
      <c r="C9" s="544"/>
      <c r="D9" s="545" t="s">
        <v>370</v>
      </c>
      <c r="E9" s="550">
        <v>-4396578</v>
      </c>
      <c r="F9" s="527" t="s">
        <v>70</v>
      </c>
      <c r="G9" s="547">
        <v>1</v>
      </c>
      <c r="H9" s="563">
        <f>E9</f>
        <v>-4396578</v>
      </c>
      <c r="I9" s="133"/>
      <c r="J9" s="528"/>
    </row>
    <row r="10" spans="1:11">
      <c r="A10" s="66">
        <v>5</v>
      </c>
      <c r="B10" s="59" t="s">
        <v>369</v>
      </c>
      <c r="C10" s="728" t="s">
        <v>367</v>
      </c>
      <c r="D10" s="549" t="s">
        <v>370</v>
      </c>
      <c r="E10" s="550">
        <v>0</v>
      </c>
      <c r="F10" s="548" t="s">
        <v>70</v>
      </c>
      <c r="G10" s="524">
        <v>1</v>
      </c>
      <c r="H10" s="564">
        <f>E10</f>
        <v>0</v>
      </c>
      <c r="I10" s="551"/>
      <c r="J10" s="552"/>
    </row>
    <row r="11" spans="1:11" ht="15" thickBot="1">
      <c r="A11" s="74">
        <v>6</v>
      </c>
      <c r="B11" s="52" t="s">
        <v>368</v>
      </c>
      <c r="C11" s="53"/>
      <c r="D11" s="553"/>
      <c r="E11" s="554">
        <f>SUM(E9:E10)</f>
        <v>-4396578</v>
      </c>
      <c r="F11" s="555"/>
      <c r="G11" s="51"/>
      <c r="H11" s="565">
        <f>SUM(H9:H10)</f>
        <v>-4396578</v>
      </c>
      <c r="I11" s="50"/>
      <c r="J11" s="48"/>
    </row>
    <row r="12" spans="1:11">
      <c r="A12" s="137">
        <v>7</v>
      </c>
      <c r="B12" s="134" t="s">
        <v>371</v>
      </c>
      <c r="C12" s="544"/>
      <c r="D12" s="545" t="s">
        <v>372</v>
      </c>
      <c r="E12" s="550">
        <v>-2576834</v>
      </c>
      <c r="F12" s="527" t="s">
        <v>70</v>
      </c>
      <c r="G12" s="547">
        <v>1</v>
      </c>
      <c r="H12" s="563">
        <f>E12</f>
        <v>-2576834</v>
      </c>
      <c r="I12" s="133"/>
      <c r="J12" s="528"/>
    </row>
    <row r="13" spans="1:11">
      <c r="A13" s="66">
        <v>8</v>
      </c>
      <c r="B13" s="59" t="s">
        <v>371</v>
      </c>
      <c r="C13" s="728" t="s">
        <v>367</v>
      </c>
      <c r="D13" s="556" t="s">
        <v>372</v>
      </c>
      <c r="E13" s="550">
        <v>0</v>
      </c>
      <c r="F13" s="548" t="s">
        <v>70</v>
      </c>
      <c r="G13" s="524">
        <v>1</v>
      </c>
      <c r="H13" s="583">
        <f>E13</f>
        <v>0</v>
      </c>
      <c r="I13" s="551"/>
      <c r="J13" s="552"/>
    </row>
    <row r="14" spans="1:11" ht="15" thickBot="1">
      <c r="A14" s="74">
        <v>9</v>
      </c>
      <c r="B14" s="52" t="s">
        <v>368</v>
      </c>
      <c r="C14" s="53"/>
      <c r="D14" s="553"/>
      <c r="E14" s="554">
        <f>SUM(E12:E13)</f>
        <v>-2576834</v>
      </c>
      <c r="F14" s="555"/>
      <c r="G14" s="51"/>
      <c r="H14" s="565">
        <f>SUM(H12:H13)</f>
        <v>-2576834</v>
      </c>
      <c r="I14" s="50"/>
      <c r="J14" s="48"/>
    </row>
    <row r="15" spans="1:11">
      <c r="A15" s="137">
        <v>10</v>
      </c>
      <c r="B15" s="134" t="s">
        <v>373</v>
      </c>
      <c r="C15" s="544"/>
      <c r="D15" s="545" t="s">
        <v>374</v>
      </c>
      <c r="E15" s="550">
        <v>-1195616</v>
      </c>
      <c r="F15" s="527" t="s">
        <v>70</v>
      </c>
      <c r="G15" s="547">
        <v>1</v>
      </c>
      <c r="H15" s="563">
        <f>E15</f>
        <v>-1195616</v>
      </c>
      <c r="I15" s="133"/>
      <c r="J15" s="528"/>
    </row>
    <row r="16" spans="1:11">
      <c r="A16" s="66">
        <v>11</v>
      </c>
      <c r="B16" s="59" t="s">
        <v>373</v>
      </c>
      <c r="C16" s="728" t="s">
        <v>367</v>
      </c>
      <c r="D16" s="218" t="s">
        <v>374</v>
      </c>
      <c r="E16" s="550">
        <v>0</v>
      </c>
      <c r="F16" s="548" t="s">
        <v>70</v>
      </c>
      <c r="G16" s="524">
        <v>1</v>
      </c>
      <c r="H16" s="564">
        <f>E16</f>
        <v>0</v>
      </c>
      <c r="I16" s="551"/>
      <c r="J16" s="552"/>
    </row>
    <row r="17" spans="1:10" ht="15" thickBot="1">
      <c r="A17" s="74">
        <v>12</v>
      </c>
      <c r="B17" s="52" t="s">
        <v>368</v>
      </c>
      <c r="C17" s="53"/>
      <c r="D17" s="553"/>
      <c r="E17" s="554">
        <f>SUM(E15:E16)</f>
        <v>-1195616</v>
      </c>
      <c r="F17" s="555"/>
      <c r="G17" s="51"/>
      <c r="H17" s="565">
        <f>SUM(H15:H16)</f>
        <v>-1195616</v>
      </c>
      <c r="I17" s="50"/>
      <c r="J17" s="48"/>
    </row>
    <row r="18" spans="1:10">
      <c r="A18" s="137">
        <v>13</v>
      </c>
      <c r="B18" s="134" t="s">
        <v>375</v>
      </c>
      <c r="C18" s="544"/>
      <c r="D18" s="545" t="s">
        <v>2680</v>
      </c>
      <c r="E18" s="550">
        <v>-10636</v>
      </c>
      <c r="F18" s="527" t="s">
        <v>63</v>
      </c>
      <c r="G18" s="547">
        <v>1</v>
      </c>
      <c r="H18" s="563">
        <f>E18</f>
        <v>-10636</v>
      </c>
      <c r="I18" s="133"/>
      <c r="J18" s="528"/>
    </row>
    <row r="19" spans="1:10">
      <c r="A19" s="66">
        <v>14</v>
      </c>
      <c r="B19" s="59" t="s">
        <v>375</v>
      </c>
      <c r="C19" s="728" t="s">
        <v>367</v>
      </c>
      <c r="D19" s="549" t="s">
        <v>376</v>
      </c>
      <c r="E19" s="550">
        <v>0</v>
      </c>
      <c r="F19" s="548" t="s">
        <v>63</v>
      </c>
      <c r="G19" s="524">
        <v>1</v>
      </c>
      <c r="H19" s="564">
        <f>E19</f>
        <v>0</v>
      </c>
      <c r="I19" s="551"/>
      <c r="J19" s="552"/>
    </row>
    <row r="20" spans="1:10" ht="15" thickBot="1">
      <c r="A20" s="74">
        <v>15</v>
      </c>
      <c r="B20" s="52" t="s">
        <v>368</v>
      </c>
      <c r="C20" s="53"/>
      <c r="D20" s="553"/>
      <c r="E20" s="554">
        <f>SUM(E18:E19)</f>
        <v>-10636</v>
      </c>
      <c r="F20" s="555"/>
      <c r="G20" s="51"/>
      <c r="H20" s="565">
        <f>SUM(H18:H19)</f>
        <v>-10636</v>
      </c>
      <c r="I20" s="50"/>
      <c r="J20" s="48"/>
    </row>
    <row r="21" spans="1:10">
      <c r="A21" s="137">
        <v>16</v>
      </c>
      <c r="B21" s="134">
        <v>45420</v>
      </c>
      <c r="C21" s="544"/>
      <c r="D21" s="545" t="s">
        <v>377</v>
      </c>
      <c r="E21" s="546">
        <v>-78071</v>
      </c>
      <c r="F21" s="527" t="s">
        <v>70</v>
      </c>
      <c r="G21" s="547">
        <v>1</v>
      </c>
      <c r="H21" s="563">
        <f>E21</f>
        <v>-78071</v>
      </c>
      <c r="I21" s="133"/>
      <c r="J21" s="528"/>
    </row>
    <row r="22" spans="1:10">
      <c r="A22" s="66">
        <v>17</v>
      </c>
      <c r="B22" s="59">
        <v>45420</v>
      </c>
      <c r="C22" s="728" t="s">
        <v>367</v>
      </c>
      <c r="D22" s="556" t="s">
        <v>377</v>
      </c>
      <c r="E22" s="550">
        <v>0</v>
      </c>
      <c r="F22" s="548" t="s">
        <v>70</v>
      </c>
      <c r="G22" s="524">
        <v>1</v>
      </c>
      <c r="H22" s="583">
        <f>E22</f>
        <v>0</v>
      </c>
      <c r="I22" s="551"/>
      <c r="J22" s="552"/>
    </row>
    <row r="23" spans="1:10" ht="15" thickBot="1">
      <c r="A23" s="74">
        <v>18</v>
      </c>
      <c r="B23" s="52" t="s">
        <v>368</v>
      </c>
      <c r="C23" s="53"/>
      <c r="D23" s="553"/>
      <c r="E23" s="554">
        <f>SUM(E21:E22)</f>
        <v>-78071</v>
      </c>
      <c r="F23" s="555"/>
      <c r="G23" s="51"/>
      <c r="H23" s="565">
        <f>SUM(H21:H22)</f>
        <v>-78071</v>
      </c>
      <c r="I23" s="50"/>
      <c r="J23" s="48"/>
    </row>
    <row r="24" spans="1:10">
      <c r="A24" s="137">
        <v>19</v>
      </c>
      <c r="B24" s="134" t="s">
        <v>378</v>
      </c>
      <c r="C24" s="544"/>
      <c r="D24" s="545" t="s">
        <v>379</v>
      </c>
      <c r="E24" s="546">
        <v>-16228</v>
      </c>
      <c r="F24" s="527" t="s">
        <v>63</v>
      </c>
      <c r="G24" s="547">
        <v>1</v>
      </c>
      <c r="H24" s="563">
        <f>E24</f>
        <v>-16228</v>
      </c>
      <c r="I24" s="133"/>
      <c r="J24" s="528"/>
    </row>
    <row r="25" spans="1:10">
      <c r="A25" s="66">
        <v>20</v>
      </c>
      <c r="B25" s="59" t="s">
        <v>378</v>
      </c>
      <c r="C25" s="728" t="s">
        <v>367</v>
      </c>
      <c r="D25" s="556" t="s">
        <v>379</v>
      </c>
      <c r="E25" s="550">
        <v>0</v>
      </c>
      <c r="F25" s="548" t="s">
        <v>63</v>
      </c>
      <c r="G25" s="524">
        <v>1</v>
      </c>
      <c r="H25" s="583">
        <f>E25</f>
        <v>0</v>
      </c>
      <c r="I25" s="551"/>
      <c r="J25" s="552"/>
    </row>
    <row r="26" spans="1:10" ht="15" thickBot="1">
      <c r="A26" s="74">
        <v>21</v>
      </c>
      <c r="B26" s="52" t="s">
        <v>368</v>
      </c>
      <c r="C26" s="53"/>
      <c r="D26" s="553"/>
      <c r="E26" s="554">
        <f>SUM(E24:E25)</f>
        <v>-16228</v>
      </c>
      <c r="F26" s="555"/>
      <c r="G26" s="51"/>
      <c r="H26" s="565">
        <f>SUM(H24:H25)</f>
        <v>-16228</v>
      </c>
      <c r="I26" s="50"/>
      <c r="J26" s="48"/>
    </row>
    <row r="27" spans="1:10">
      <c r="A27" s="137">
        <v>22</v>
      </c>
      <c r="B27" s="134" t="s">
        <v>378</v>
      </c>
      <c r="C27" s="544"/>
      <c r="D27" s="545" t="s">
        <v>380</v>
      </c>
      <c r="E27" s="546">
        <v>-2138</v>
      </c>
      <c r="F27" s="527" t="s">
        <v>63</v>
      </c>
      <c r="G27" s="547">
        <v>1</v>
      </c>
      <c r="H27" s="563">
        <f>E27</f>
        <v>-2138</v>
      </c>
      <c r="I27" s="133"/>
      <c r="J27" s="528"/>
    </row>
    <row r="28" spans="1:10">
      <c r="A28" s="66">
        <v>23</v>
      </c>
      <c r="B28" s="59" t="s">
        <v>378</v>
      </c>
      <c r="C28" s="728" t="s">
        <v>367</v>
      </c>
      <c r="D28" s="556" t="s">
        <v>380</v>
      </c>
      <c r="E28" s="550">
        <v>0</v>
      </c>
      <c r="F28" s="548" t="s">
        <v>63</v>
      </c>
      <c r="G28" s="524">
        <v>1</v>
      </c>
      <c r="H28" s="583">
        <f>E28</f>
        <v>0</v>
      </c>
      <c r="I28" s="551"/>
      <c r="J28" s="552"/>
    </row>
    <row r="29" spans="1:10" ht="15" thickBot="1">
      <c r="A29" s="74">
        <v>24</v>
      </c>
      <c r="B29" s="52" t="s">
        <v>368</v>
      </c>
      <c r="C29" s="53"/>
      <c r="D29" s="553"/>
      <c r="E29" s="554">
        <f>SUM(E27:E28)</f>
        <v>-2138</v>
      </c>
      <c r="F29" s="555"/>
      <c r="G29" s="51"/>
      <c r="H29" s="565">
        <f>SUM(H27:H28)</f>
        <v>-2138</v>
      </c>
      <c r="I29" s="50"/>
      <c r="J29" s="48"/>
    </row>
    <row r="30" spans="1:10">
      <c r="A30" s="312">
        <v>25</v>
      </c>
      <c r="B30" s="237" t="s">
        <v>381</v>
      </c>
      <c r="C30" s="237" t="s">
        <v>382</v>
      </c>
      <c r="D30" s="237"/>
      <c r="E30" s="237"/>
      <c r="F30" s="237"/>
      <c r="G30" s="237"/>
      <c r="H30" s="237"/>
      <c r="I30" s="237"/>
      <c r="J30" s="261"/>
    </row>
    <row r="31" spans="1:10">
      <c r="A31" s="303">
        <v>26</v>
      </c>
      <c r="B31" s="238"/>
      <c r="C31" s="238" t="s">
        <v>383</v>
      </c>
      <c r="D31" s="238"/>
      <c r="E31" s="238"/>
      <c r="F31" s="238"/>
      <c r="G31" s="238"/>
      <c r="H31" s="238"/>
      <c r="I31" s="238"/>
      <c r="J31" s="262"/>
    </row>
    <row r="32" spans="1:10">
      <c r="A32" s="303">
        <v>27</v>
      </c>
      <c r="B32" s="238"/>
      <c r="C32" s="800" t="s">
        <v>384</v>
      </c>
      <c r="D32" s="800"/>
      <c r="E32" s="800"/>
      <c r="F32" s="800"/>
      <c r="G32" s="800"/>
      <c r="H32" s="800"/>
      <c r="I32" s="800"/>
      <c r="J32" s="801"/>
    </row>
    <row r="33" spans="1:10">
      <c r="A33" s="303">
        <v>28</v>
      </c>
      <c r="B33" s="238"/>
      <c r="C33" s="800" t="s">
        <v>385</v>
      </c>
      <c r="D33" s="800"/>
      <c r="E33" s="800"/>
      <c r="F33" s="800"/>
      <c r="G33" s="800"/>
      <c r="H33" s="800"/>
      <c r="I33" s="800"/>
      <c r="J33" s="801"/>
    </row>
    <row r="34" spans="1:10">
      <c r="A34" s="303">
        <v>29</v>
      </c>
      <c r="B34" s="238"/>
      <c r="C34" s="800" t="s">
        <v>386</v>
      </c>
      <c r="D34" s="800"/>
      <c r="E34" s="800"/>
      <c r="F34" s="800"/>
      <c r="G34" s="800"/>
      <c r="H34" s="800"/>
      <c r="I34" s="800"/>
      <c r="J34" s="801"/>
    </row>
    <row r="35" spans="1:10">
      <c r="A35" s="303">
        <v>30</v>
      </c>
      <c r="B35" s="238"/>
      <c r="C35" s="800" t="s">
        <v>387</v>
      </c>
      <c r="D35" s="800"/>
      <c r="E35" s="800"/>
      <c r="F35" s="800"/>
      <c r="G35" s="800"/>
      <c r="H35" s="800"/>
      <c r="I35" s="800"/>
      <c r="J35" s="801"/>
    </row>
    <row r="36" spans="1:10">
      <c r="A36" s="579">
        <v>31</v>
      </c>
      <c r="B36" s="238"/>
      <c r="C36" s="733" t="s">
        <v>388</v>
      </c>
      <c r="D36" s="733"/>
      <c r="E36" s="733"/>
      <c r="F36" s="733"/>
      <c r="G36" s="733"/>
      <c r="H36" s="733"/>
      <c r="I36" s="733"/>
      <c r="J36" s="734"/>
    </row>
    <row r="37" spans="1:10">
      <c r="A37" s="303">
        <v>32</v>
      </c>
      <c r="B37" s="238"/>
      <c r="C37" s="800" t="s">
        <v>389</v>
      </c>
      <c r="D37" s="800"/>
      <c r="E37" s="800"/>
      <c r="F37" s="800"/>
      <c r="G37" s="800"/>
      <c r="H37" s="800"/>
      <c r="I37" s="800"/>
      <c r="J37" s="801"/>
    </row>
    <row r="38" spans="1:10" ht="15" thickBot="1">
      <c r="A38" s="325">
        <v>33</v>
      </c>
      <c r="B38" s="699"/>
      <c r="C38" s="798" t="s">
        <v>390</v>
      </c>
      <c r="D38" s="798"/>
      <c r="E38" s="798"/>
      <c r="F38" s="798"/>
      <c r="G38" s="798"/>
      <c r="H38" s="798"/>
      <c r="I38" s="798"/>
      <c r="J38" s="799"/>
    </row>
  </sheetData>
  <mergeCells count="6">
    <mergeCell ref="C38:J38"/>
    <mergeCell ref="C32:J32"/>
    <mergeCell ref="C33:J33"/>
    <mergeCell ref="C34:J34"/>
    <mergeCell ref="C35:J35"/>
    <mergeCell ref="C37:J37"/>
  </mergeCells>
  <hyperlinks>
    <hyperlink ref="K1" location="'Cover Sheets'!A16" display="(Back to Worksheet Links)" xr:uid="{00000000-0004-0000-0400-000000000000}"/>
  </hyperlinks>
  <pageMargins left="0.7" right="0.7" top="0.75" bottom="0.75" header="0.3" footer="0.3"/>
  <pageSetup scale="57"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M139"/>
  <sheetViews>
    <sheetView view="pageBreakPreview" zoomScale="90" zoomScaleNormal="100" zoomScaleSheetLayoutView="90" workbookViewId="0"/>
  </sheetViews>
  <sheetFormatPr defaultColWidth="12.7265625" defaultRowHeight="13"/>
  <cols>
    <col min="1" max="1" width="12.7265625" style="234"/>
    <col min="2" max="2" width="32" style="233" customWidth="1"/>
    <col min="3" max="3" width="18.54296875" style="233" bestFit="1" customWidth="1"/>
    <col min="4" max="4" width="7.26953125" style="233" bestFit="1" customWidth="1"/>
    <col min="5" max="5" width="12.7265625" style="233"/>
    <col min="6" max="6" width="6.7265625" style="233" customWidth="1"/>
    <col min="7" max="7" width="13.26953125" style="233" bestFit="1" customWidth="1"/>
    <col min="8" max="8" width="6" style="233" bestFit="1" customWidth="1"/>
    <col min="9" max="9" width="12.7265625" style="233"/>
    <col min="10" max="10" width="7" style="233" customWidth="1"/>
    <col min="11" max="11" width="13.26953125" style="233" bestFit="1" customWidth="1"/>
    <col min="12" max="12" width="16.26953125" style="233" customWidth="1"/>
    <col min="13" max="13" width="21.81640625" style="233" customWidth="1"/>
    <col min="14" max="16384" width="12.7265625" style="233"/>
  </cols>
  <sheetData>
    <row r="1" spans="1:13" ht="14.5">
      <c r="A1" s="232" t="str">
        <f>'Cover Sheets'!A10:B10</f>
        <v>WAPA-UGP 2021 Rate Estimate Calculation</v>
      </c>
      <c r="B1" s="302"/>
      <c r="C1" s="237"/>
      <c r="D1" s="237"/>
      <c r="E1" s="237"/>
      <c r="F1" s="237"/>
      <c r="G1" s="237"/>
      <c r="H1" s="237"/>
      <c r="I1" s="237"/>
      <c r="J1" s="237"/>
      <c r="K1" s="237"/>
      <c r="L1" s="261"/>
      <c r="M1" s="575" t="s">
        <v>42</v>
      </c>
    </row>
    <row r="2" spans="1:13">
      <c r="A2" s="560" t="s">
        <v>391</v>
      </c>
      <c r="B2" s="730"/>
      <c r="C2" s="238"/>
      <c r="D2" s="238"/>
      <c r="E2" s="238"/>
      <c r="F2" s="238"/>
      <c r="G2" s="238"/>
      <c r="H2" s="238"/>
      <c r="I2" s="238"/>
      <c r="J2" s="238"/>
      <c r="K2" s="238"/>
      <c r="L2" s="262"/>
    </row>
    <row r="3" spans="1:13">
      <c r="A3" s="560" t="str">
        <f>'Summary-ATRR'!A3</f>
        <v>12 Months Ending 09/30/2021 ESTIMATE</v>
      </c>
      <c r="B3" s="730"/>
      <c r="C3" s="238"/>
      <c r="D3" s="238"/>
      <c r="E3" s="238"/>
      <c r="F3" s="238"/>
      <c r="G3" s="238"/>
      <c r="H3" s="238"/>
      <c r="I3" s="238"/>
      <c r="J3" s="238"/>
      <c r="K3" s="238"/>
      <c r="L3" s="262"/>
    </row>
    <row r="4" spans="1:13">
      <c r="A4" s="303"/>
      <c r="B4" s="304"/>
      <c r="C4" s="304" t="s">
        <v>392</v>
      </c>
      <c r="D4" s="305"/>
      <c r="E4" s="304" t="s">
        <v>393</v>
      </c>
      <c r="F4" s="305"/>
      <c r="G4" s="304" t="s">
        <v>394</v>
      </c>
      <c r="H4" s="306"/>
      <c r="I4" s="304" t="s">
        <v>395</v>
      </c>
      <c r="J4" s="306"/>
      <c r="K4" s="304" t="s">
        <v>396</v>
      </c>
      <c r="L4" s="262"/>
    </row>
    <row r="5" spans="1:13" s="234" customFormat="1" ht="13.5" thickBot="1">
      <c r="A5" s="303" t="s">
        <v>397</v>
      </c>
      <c r="B5" s="307">
        <v>-1</v>
      </c>
      <c r="C5" s="308">
        <v>-2</v>
      </c>
      <c r="D5" s="309"/>
      <c r="E5" s="308">
        <v>-3</v>
      </c>
      <c r="F5" s="309"/>
      <c r="G5" s="307">
        <v>-4</v>
      </c>
      <c r="H5" s="310"/>
      <c r="I5" s="307">
        <v>-5</v>
      </c>
      <c r="J5" s="310"/>
      <c r="K5" s="307">
        <v>-6</v>
      </c>
      <c r="L5" s="311"/>
    </row>
    <row r="6" spans="1:13">
      <c r="A6" s="312">
        <v>1</v>
      </c>
      <c r="B6" s="313" t="s">
        <v>398</v>
      </c>
      <c r="C6" s="314"/>
      <c r="D6" s="314"/>
      <c r="E6" s="314"/>
      <c r="F6" s="314"/>
      <c r="G6" s="314"/>
      <c r="H6" s="314"/>
      <c r="I6" s="314"/>
      <c r="J6" s="314"/>
      <c r="K6" s="314"/>
      <c r="L6" s="261"/>
    </row>
    <row r="7" spans="1:13">
      <c r="A7" s="303">
        <f t="shared" ref="A7:A29" si="0">A6+1</f>
        <v>2</v>
      </c>
      <c r="B7" s="315" t="s">
        <v>399</v>
      </c>
      <c r="C7" s="316">
        <f>'WS8-TranFac'!G513</f>
        <v>1506772333.9900005</v>
      </c>
      <c r="D7" s="310" t="s">
        <v>400</v>
      </c>
      <c r="E7" s="316">
        <v>815665205.70000005</v>
      </c>
      <c r="F7" s="310" t="s">
        <v>401</v>
      </c>
      <c r="G7" s="316">
        <f>1244718264+27065868</f>
        <v>1271784132</v>
      </c>
      <c r="H7" s="310" t="s">
        <v>402</v>
      </c>
      <c r="I7" s="316">
        <v>533467055.48000002</v>
      </c>
      <c r="J7" s="310" t="s">
        <v>403</v>
      </c>
      <c r="K7" s="315">
        <f t="shared" ref="K7:K12" si="1">C7+E7+G7+I7</f>
        <v>4127688727.1700006</v>
      </c>
      <c r="L7" s="262"/>
    </row>
    <row r="8" spans="1:13">
      <c r="A8" s="303">
        <f t="shared" si="0"/>
        <v>3</v>
      </c>
      <c r="B8" s="315" t="s">
        <v>404</v>
      </c>
      <c r="C8" s="316">
        <f>'WS8-TranFac'!K513</f>
        <v>1430782793.4795148</v>
      </c>
      <c r="D8" s="310" t="s">
        <v>405</v>
      </c>
      <c r="E8" s="315">
        <f>'WS8-TranFac'!K504</f>
        <v>10750407.575000001</v>
      </c>
      <c r="F8" s="310" t="s">
        <v>406</v>
      </c>
      <c r="G8" s="315">
        <f>'WS8-TranFac'!K511</f>
        <v>105009853.69</v>
      </c>
      <c r="H8" s="310" t="s">
        <v>407</v>
      </c>
      <c r="I8" s="315">
        <v>0</v>
      </c>
      <c r="J8" s="310"/>
      <c r="K8" s="315">
        <f t="shared" si="1"/>
        <v>1546543054.7445149</v>
      </c>
      <c r="L8" s="262"/>
    </row>
    <row r="9" spans="1:13">
      <c r="A9" s="303">
        <f t="shared" si="0"/>
        <v>4</v>
      </c>
      <c r="B9" s="315" t="s">
        <v>408</v>
      </c>
      <c r="C9" s="316">
        <f>'WS8-TranFac'!I513</f>
        <v>15905128.510485012</v>
      </c>
      <c r="D9" s="310" t="s">
        <v>409</v>
      </c>
      <c r="E9" s="315">
        <v>0</v>
      </c>
      <c r="F9" s="310"/>
      <c r="G9" s="316">
        <f>G7-G8</f>
        <v>1166774278.3099999</v>
      </c>
      <c r="H9" s="310" t="s">
        <v>410</v>
      </c>
      <c r="I9" s="316">
        <f>I7-I8</f>
        <v>533467055.48000002</v>
      </c>
      <c r="J9" s="310" t="s">
        <v>410</v>
      </c>
      <c r="K9" s="315">
        <f t="shared" si="1"/>
        <v>1716146462.3004849</v>
      </c>
      <c r="L9" s="262"/>
    </row>
    <row r="10" spans="1:13">
      <c r="A10" s="303">
        <f>A9+1</f>
        <v>5</v>
      </c>
      <c r="B10" s="315" t="s">
        <v>411</v>
      </c>
      <c r="C10" s="316">
        <f>'WS13-SSCDFac'!$G$41+'WS13-SSCDFac'!$G$47+'WS13-SSCDFac'!$G$50+'WS13-SSCDFac'!$G$100+'WS13-SSCDFac'!$G$121</f>
        <v>16816727.73446</v>
      </c>
      <c r="D10" s="310" t="s">
        <v>412</v>
      </c>
      <c r="E10" s="315"/>
      <c r="F10" s="310"/>
      <c r="G10" s="316"/>
      <c r="H10" s="310"/>
      <c r="I10" s="316"/>
      <c r="J10" s="310"/>
      <c r="K10" s="315">
        <f t="shared" si="1"/>
        <v>16816727.73446</v>
      </c>
      <c r="L10" s="262"/>
    </row>
    <row r="11" spans="1:13">
      <c r="A11" s="303">
        <f t="shared" si="0"/>
        <v>6</v>
      </c>
      <c r="B11" s="315" t="s">
        <v>413</v>
      </c>
      <c r="C11" s="316">
        <f>'WS7-BPUFac'!G8</f>
        <v>1176281.7000000002</v>
      </c>
      <c r="D11" s="310"/>
      <c r="E11" s="315"/>
      <c r="F11" s="310"/>
      <c r="G11" s="316"/>
      <c r="H11" s="310"/>
      <c r="I11" s="316"/>
      <c r="J11" s="310"/>
      <c r="K11" s="315">
        <f t="shared" si="1"/>
        <v>1176281.7000000002</v>
      </c>
      <c r="L11" s="262"/>
    </row>
    <row r="12" spans="1:13">
      <c r="A12" s="303">
        <f t="shared" si="0"/>
        <v>7</v>
      </c>
      <c r="B12" s="315" t="s">
        <v>414</v>
      </c>
      <c r="C12" s="316">
        <f>'WS7-BPUFac'!H8</f>
        <v>7720718.2999999998</v>
      </c>
      <c r="D12" s="310"/>
      <c r="E12" s="315"/>
      <c r="F12" s="310"/>
      <c r="G12" s="316"/>
      <c r="H12" s="310"/>
      <c r="I12" s="316"/>
      <c r="J12" s="310"/>
      <c r="K12" s="315">
        <f t="shared" si="1"/>
        <v>7720718.2999999998</v>
      </c>
      <c r="L12" s="262"/>
    </row>
    <row r="13" spans="1:13">
      <c r="A13" s="303">
        <f t="shared" si="0"/>
        <v>8</v>
      </c>
      <c r="B13" s="315" t="s">
        <v>415</v>
      </c>
      <c r="C13" s="317">
        <f>C9/C7</f>
        <v>1.0555760914701375E-2</v>
      </c>
      <c r="D13" s="318" t="s">
        <v>416</v>
      </c>
      <c r="E13" s="317">
        <f>E9/E7</f>
        <v>0</v>
      </c>
      <c r="F13" s="318" t="s">
        <v>416</v>
      </c>
      <c r="G13" s="317">
        <f>G9/G7</f>
        <v>0.91743107100663213</v>
      </c>
      <c r="H13" s="318" t="s">
        <v>416</v>
      </c>
      <c r="I13" s="317">
        <f>I9/I7</f>
        <v>1</v>
      </c>
      <c r="J13" s="318" t="s">
        <v>416</v>
      </c>
      <c r="K13" s="315"/>
      <c r="L13" s="262"/>
    </row>
    <row r="14" spans="1:13">
      <c r="A14" s="303">
        <f t="shared" si="0"/>
        <v>9</v>
      </c>
      <c r="B14" s="315" t="s">
        <v>417</v>
      </c>
      <c r="C14" s="317">
        <f>C8/C7</f>
        <v>0.94956800121936014</v>
      </c>
      <c r="D14" s="318" t="s">
        <v>418</v>
      </c>
      <c r="E14" s="317">
        <f>E8/E7</f>
        <v>1.3179926641316092E-2</v>
      </c>
      <c r="F14" s="318" t="s">
        <v>418</v>
      </c>
      <c r="G14" s="317">
        <f>G8/G7</f>
        <v>8.2568928993367874E-2</v>
      </c>
      <c r="H14" s="318" t="s">
        <v>418</v>
      </c>
      <c r="I14" s="317">
        <f>I8/I7</f>
        <v>0</v>
      </c>
      <c r="J14" s="318" t="s">
        <v>418</v>
      </c>
      <c r="K14" s="315"/>
      <c r="L14" s="262"/>
    </row>
    <row r="15" spans="1:13">
      <c r="A15" s="303">
        <f t="shared" si="0"/>
        <v>10</v>
      </c>
      <c r="B15" s="315" t="s">
        <v>419</v>
      </c>
      <c r="C15" s="317">
        <f>C10/C7</f>
        <v>1.11607622167634E-2</v>
      </c>
      <c r="D15" s="318" t="s">
        <v>420</v>
      </c>
      <c r="E15" s="317"/>
      <c r="F15" s="318"/>
      <c r="G15" s="317"/>
      <c r="H15" s="318"/>
      <c r="I15" s="317"/>
      <c r="J15" s="318"/>
      <c r="K15" s="315"/>
      <c r="L15" s="262"/>
    </row>
    <row r="16" spans="1:13">
      <c r="A16" s="303">
        <f t="shared" si="0"/>
        <v>11</v>
      </c>
      <c r="B16" s="315" t="s">
        <v>421</v>
      </c>
      <c r="C16" s="317">
        <f>C11/C7</f>
        <v>7.8066319208632776E-4</v>
      </c>
      <c r="D16" s="318" t="s">
        <v>2662</v>
      </c>
      <c r="E16" s="317"/>
      <c r="F16" s="318"/>
      <c r="G16" s="317"/>
      <c r="H16" s="318"/>
      <c r="I16" s="317"/>
      <c r="J16" s="318"/>
      <c r="K16" s="315"/>
      <c r="L16" s="262"/>
    </row>
    <row r="17" spans="1:12">
      <c r="A17" s="303">
        <f t="shared" si="0"/>
        <v>12</v>
      </c>
      <c r="B17" s="315" t="s">
        <v>422</v>
      </c>
      <c r="C17" s="317">
        <f>C12/C7</f>
        <v>5.1240111899023208E-3</v>
      </c>
      <c r="D17" s="318" t="s">
        <v>2663</v>
      </c>
      <c r="E17" s="317"/>
      <c r="F17" s="318"/>
      <c r="G17" s="317"/>
      <c r="H17" s="318"/>
      <c r="I17" s="317"/>
      <c r="J17" s="318"/>
      <c r="K17" s="315"/>
      <c r="L17" s="262"/>
    </row>
    <row r="18" spans="1:12">
      <c r="A18" s="303">
        <f t="shared" si="0"/>
        <v>13</v>
      </c>
      <c r="B18" s="315" t="s">
        <v>423</v>
      </c>
      <c r="C18" s="316">
        <v>767954270</v>
      </c>
      <c r="D18" s="310" t="s">
        <v>424</v>
      </c>
      <c r="E18" s="749">
        <v>408789967.52999997</v>
      </c>
      <c r="F18" s="319" t="s">
        <v>425</v>
      </c>
      <c r="G18" s="315">
        <v>638290811</v>
      </c>
      <c r="H18" s="310" t="s">
        <v>426</v>
      </c>
      <c r="I18" s="316">
        <v>370738383.07999998</v>
      </c>
      <c r="J18" s="310" t="s">
        <v>403</v>
      </c>
      <c r="K18" s="315">
        <f t="shared" ref="K18:K28" si="2">C18+E18+G18+I18</f>
        <v>2185773431.6100001</v>
      </c>
      <c r="L18" s="262"/>
    </row>
    <row r="19" spans="1:12">
      <c r="A19" s="303">
        <f t="shared" si="0"/>
        <v>14</v>
      </c>
      <c r="B19" s="315" t="s">
        <v>427</v>
      </c>
      <c r="C19" s="315">
        <f>C18*C14</f>
        <v>729224801.19177282</v>
      </c>
      <c r="D19" s="310" t="s">
        <v>428</v>
      </c>
      <c r="E19" s="315">
        <f>E18*E14</f>
        <v>5387821.7837513871</v>
      </c>
      <c r="F19" s="310" t="s">
        <v>428</v>
      </c>
      <c r="G19" s="315">
        <f>G18*G14</f>
        <v>52702988.650578193</v>
      </c>
      <c r="H19" s="310" t="s">
        <v>428</v>
      </c>
      <c r="I19" s="315">
        <f>I18*I14</f>
        <v>0</v>
      </c>
      <c r="J19" s="310" t="s">
        <v>428</v>
      </c>
      <c r="K19" s="315">
        <f t="shared" si="2"/>
        <v>787315611.62610233</v>
      </c>
      <c r="L19" s="262"/>
    </row>
    <row r="20" spans="1:12">
      <c r="A20" s="303">
        <f t="shared" si="0"/>
        <v>15</v>
      </c>
      <c r="B20" s="315" t="s">
        <v>429</v>
      </c>
      <c r="C20" s="315">
        <f>C18*C$13</f>
        <v>8106341.6675440259</v>
      </c>
      <c r="D20" s="310" t="s">
        <v>430</v>
      </c>
      <c r="E20" s="315">
        <v>0</v>
      </c>
      <c r="F20" s="310"/>
      <c r="G20" s="316">
        <f>G18-G19</f>
        <v>585587822.34942186</v>
      </c>
      <c r="H20" s="310" t="s">
        <v>431</v>
      </c>
      <c r="I20" s="315">
        <f>I13*I18</f>
        <v>370738383.07999998</v>
      </c>
      <c r="J20" s="310" t="s">
        <v>430</v>
      </c>
      <c r="K20" s="315">
        <f t="shared" si="2"/>
        <v>964432547.09696579</v>
      </c>
      <c r="L20" s="262"/>
    </row>
    <row r="21" spans="1:12">
      <c r="A21" s="303">
        <f>A20+1</f>
        <v>16</v>
      </c>
      <c r="B21" s="315" t="s">
        <v>432</v>
      </c>
      <c r="C21" s="315">
        <f>C18*C$15</f>
        <v>8570955.0008181185</v>
      </c>
      <c r="D21" s="310" t="s">
        <v>433</v>
      </c>
      <c r="E21" s="315"/>
      <c r="F21" s="310"/>
      <c r="G21" s="316"/>
      <c r="H21" s="310"/>
      <c r="I21" s="315"/>
      <c r="J21" s="310"/>
      <c r="K21" s="315">
        <f t="shared" si="2"/>
        <v>8570955.0008181185</v>
      </c>
      <c r="L21" s="262"/>
    </row>
    <row r="22" spans="1:12">
      <c r="A22" s="303">
        <f t="shared" si="0"/>
        <v>17</v>
      </c>
      <c r="B22" s="315" t="s">
        <v>434</v>
      </c>
      <c r="C22" s="315">
        <f>C18*C16</f>
        <v>599513.63179452566</v>
      </c>
      <c r="D22" s="310" t="s">
        <v>2660</v>
      </c>
      <c r="E22" s="315"/>
      <c r="F22" s="310"/>
      <c r="G22" s="316"/>
      <c r="H22" s="310"/>
      <c r="I22" s="315"/>
      <c r="J22" s="310"/>
      <c r="K22" s="315">
        <f t="shared" si="2"/>
        <v>599513.63179452566</v>
      </c>
      <c r="L22" s="262"/>
    </row>
    <row r="23" spans="1:12">
      <c r="A23" s="303">
        <f t="shared" si="0"/>
        <v>18</v>
      </c>
      <c r="B23" s="320" t="s">
        <v>435</v>
      </c>
      <c r="C23" s="320">
        <f>C18*C17</f>
        <v>3935006.272813268</v>
      </c>
      <c r="D23" s="321" t="s">
        <v>2661</v>
      </c>
      <c r="E23" s="320"/>
      <c r="F23" s="321"/>
      <c r="G23" s="322"/>
      <c r="H23" s="321"/>
      <c r="I23" s="320"/>
      <c r="J23" s="321"/>
      <c r="K23" s="315">
        <f t="shared" si="2"/>
        <v>3935006.272813268</v>
      </c>
      <c r="L23" s="262"/>
    </row>
    <row r="24" spans="1:12">
      <c r="A24" s="303">
        <f t="shared" si="0"/>
        <v>19</v>
      </c>
      <c r="B24" s="315" t="s">
        <v>436</v>
      </c>
      <c r="C24" s="315">
        <f>C8-C19</f>
        <v>701557992.28774202</v>
      </c>
      <c r="D24" s="310" t="s">
        <v>437</v>
      </c>
      <c r="E24" s="315">
        <f>E8-E19</f>
        <v>5362585.791248614</v>
      </c>
      <c r="F24" s="310" t="s">
        <v>437</v>
      </c>
      <c r="G24" s="315">
        <f>G8-G19</f>
        <v>52306865.039421804</v>
      </c>
      <c r="H24" s="310" t="s">
        <v>437</v>
      </c>
      <c r="I24" s="315">
        <f>I8-I19</f>
        <v>0</v>
      </c>
      <c r="J24" s="310" t="s">
        <v>437</v>
      </c>
      <c r="K24" s="315">
        <f t="shared" si="2"/>
        <v>759227443.11841238</v>
      </c>
      <c r="L24" s="262"/>
    </row>
    <row r="25" spans="1:12">
      <c r="A25" s="303">
        <f t="shared" si="0"/>
        <v>20</v>
      </c>
      <c r="B25" s="315" t="s">
        <v>438</v>
      </c>
      <c r="C25" s="315">
        <f>C9-C20</f>
        <v>7798786.8429409862</v>
      </c>
      <c r="D25" s="310" t="s">
        <v>439</v>
      </c>
      <c r="E25" s="315">
        <v>0</v>
      </c>
      <c r="F25" s="310" t="s">
        <v>440</v>
      </c>
      <c r="G25" s="316">
        <f>G9-G20</f>
        <v>581186455.96057808</v>
      </c>
      <c r="H25" s="310" t="s">
        <v>439</v>
      </c>
      <c r="I25" s="315">
        <f>I9-I20</f>
        <v>162728672.40000004</v>
      </c>
      <c r="J25" s="310" t="s">
        <v>439</v>
      </c>
      <c r="K25" s="315">
        <f>C25+E25+G25+I25</f>
        <v>751713915.20351911</v>
      </c>
      <c r="L25" s="262"/>
    </row>
    <row r="26" spans="1:12">
      <c r="A26" s="303">
        <f t="shared" si="0"/>
        <v>21</v>
      </c>
      <c r="B26" s="315" t="s">
        <v>441</v>
      </c>
      <c r="C26" s="315">
        <f>C10-C21</f>
        <v>8245772.7336418815</v>
      </c>
      <c r="D26" s="310" t="s">
        <v>442</v>
      </c>
      <c r="E26" s="315"/>
      <c r="F26" s="310"/>
      <c r="G26" s="316"/>
      <c r="H26" s="310"/>
      <c r="I26" s="315"/>
      <c r="J26" s="310"/>
      <c r="K26" s="315">
        <f t="shared" si="2"/>
        <v>8245772.7336418815</v>
      </c>
      <c r="L26" s="262"/>
    </row>
    <row r="27" spans="1:12">
      <c r="A27" s="303">
        <f t="shared" si="0"/>
        <v>22</v>
      </c>
      <c r="B27" s="315" t="s">
        <v>443</v>
      </c>
      <c r="C27" s="315">
        <f>C11-C22</f>
        <v>576768.06820547453</v>
      </c>
      <c r="D27" s="310" t="s">
        <v>444</v>
      </c>
      <c r="E27" s="315"/>
      <c r="F27" s="310"/>
      <c r="G27" s="316"/>
      <c r="H27" s="310"/>
      <c r="I27" s="315"/>
      <c r="J27" s="310"/>
      <c r="K27" s="315">
        <f t="shared" si="2"/>
        <v>576768.06820547453</v>
      </c>
      <c r="L27" s="262"/>
    </row>
    <row r="28" spans="1:12">
      <c r="A28" s="303">
        <f>A27+1</f>
        <v>23</v>
      </c>
      <c r="B28" s="315" t="s">
        <v>445</v>
      </c>
      <c r="C28" s="315">
        <f>C12-C23</f>
        <v>3785712.0271867318</v>
      </c>
      <c r="D28" s="310" t="s">
        <v>446</v>
      </c>
      <c r="E28" s="315"/>
      <c r="F28" s="310"/>
      <c r="G28" s="316"/>
      <c r="H28" s="310"/>
      <c r="I28" s="315"/>
      <c r="J28" s="310"/>
      <c r="K28" s="315">
        <f t="shared" si="2"/>
        <v>3785712.0271867318</v>
      </c>
      <c r="L28" s="262"/>
    </row>
    <row r="29" spans="1:12">
      <c r="A29" s="303">
        <f t="shared" si="0"/>
        <v>24</v>
      </c>
      <c r="B29" s="315" t="s">
        <v>2673</v>
      </c>
      <c r="C29" s="315"/>
      <c r="D29" s="315"/>
      <c r="E29" s="315"/>
      <c r="F29" s="315"/>
      <c r="G29" s="315"/>
      <c r="H29" s="315"/>
      <c r="I29" s="315"/>
      <c r="J29" s="315"/>
      <c r="K29" s="315"/>
      <c r="L29" s="262"/>
    </row>
    <row r="30" spans="1:12">
      <c r="A30" s="303">
        <f t="shared" ref="A30:A41" si="3">A29+1</f>
        <v>25</v>
      </c>
      <c r="B30" s="323" t="s">
        <v>447</v>
      </c>
      <c r="C30" s="315"/>
      <c r="D30" s="315"/>
      <c r="E30" s="315"/>
      <c r="F30" s="315"/>
      <c r="G30" s="315"/>
      <c r="H30" s="315"/>
      <c r="I30" s="315"/>
      <c r="J30" s="315"/>
      <c r="K30" s="315"/>
      <c r="L30" s="262"/>
    </row>
    <row r="31" spans="1:12">
      <c r="A31" s="303">
        <f t="shared" si="3"/>
        <v>26</v>
      </c>
      <c r="B31" s="315" t="s">
        <v>448</v>
      </c>
      <c r="C31" s="315"/>
      <c r="D31" s="315"/>
      <c r="E31" s="315"/>
      <c r="F31" s="315"/>
      <c r="G31" s="315"/>
      <c r="H31" s="315"/>
      <c r="I31" s="315"/>
      <c r="J31" s="315"/>
      <c r="K31" s="315"/>
      <c r="L31" s="262"/>
    </row>
    <row r="32" spans="1:12">
      <c r="A32" s="303">
        <f t="shared" si="3"/>
        <v>27</v>
      </c>
      <c r="B32" s="315" t="s">
        <v>2674</v>
      </c>
      <c r="C32" s="315"/>
      <c r="D32" s="315"/>
      <c r="E32" s="315"/>
      <c r="F32" s="315"/>
      <c r="G32" s="315"/>
      <c r="H32" s="315"/>
      <c r="I32" s="315"/>
      <c r="J32" s="315"/>
      <c r="K32" s="315"/>
      <c r="L32" s="262"/>
    </row>
    <row r="33" spans="1:12">
      <c r="A33" s="303">
        <f t="shared" si="3"/>
        <v>28</v>
      </c>
      <c r="B33" s="315" t="s">
        <v>2675</v>
      </c>
      <c r="C33" s="315"/>
      <c r="D33" s="315"/>
      <c r="E33" s="315"/>
      <c r="F33" s="315"/>
      <c r="G33" s="315"/>
      <c r="H33" s="315"/>
      <c r="I33" s="315"/>
      <c r="J33" s="315"/>
      <c r="K33" s="324"/>
      <c r="L33" s="262"/>
    </row>
    <row r="34" spans="1:12">
      <c r="A34" s="303">
        <f t="shared" si="3"/>
        <v>29</v>
      </c>
      <c r="B34" s="315" t="s">
        <v>2676</v>
      </c>
      <c r="C34" s="315"/>
      <c r="D34" s="315"/>
      <c r="E34" s="315"/>
      <c r="F34" s="315"/>
      <c r="G34" s="315"/>
      <c r="H34" s="315"/>
      <c r="I34" s="315"/>
      <c r="J34" s="315"/>
      <c r="K34" s="315"/>
      <c r="L34" s="262"/>
    </row>
    <row r="35" spans="1:12">
      <c r="A35" s="303">
        <f t="shared" si="3"/>
        <v>30</v>
      </c>
      <c r="B35" s="315" t="s">
        <v>2677</v>
      </c>
      <c r="C35" s="315"/>
      <c r="D35" s="315"/>
      <c r="E35" s="315"/>
      <c r="F35" s="315"/>
      <c r="G35" s="315"/>
      <c r="H35" s="315"/>
      <c r="I35" s="315"/>
      <c r="J35" s="315"/>
      <c r="K35" s="315"/>
      <c r="L35" s="262"/>
    </row>
    <row r="36" spans="1:12">
      <c r="A36" s="303">
        <f t="shared" si="3"/>
        <v>31</v>
      </c>
      <c r="B36" s="238" t="s">
        <v>449</v>
      </c>
      <c r="C36" s="315"/>
      <c r="D36" s="315"/>
      <c r="E36" s="315"/>
      <c r="F36" s="315"/>
      <c r="G36" s="315"/>
      <c r="H36" s="315"/>
      <c r="I36" s="315"/>
      <c r="J36" s="315"/>
      <c r="K36" s="315"/>
      <c r="L36" s="262"/>
    </row>
    <row r="37" spans="1:12">
      <c r="A37" s="303">
        <f t="shared" si="3"/>
        <v>32</v>
      </c>
      <c r="B37" s="323" t="s">
        <v>450</v>
      </c>
      <c r="C37" s="315"/>
      <c r="D37" s="315"/>
      <c r="E37" s="315"/>
      <c r="F37" s="315"/>
      <c r="G37" s="315"/>
      <c r="H37" s="315"/>
      <c r="I37" s="315"/>
      <c r="J37" s="315"/>
      <c r="K37" s="315"/>
      <c r="L37" s="262"/>
    </row>
    <row r="38" spans="1:12">
      <c r="A38" s="303">
        <f t="shared" si="3"/>
        <v>33</v>
      </c>
      <c r="B38" s="323" t="s">
        <v>451</v>
      </c>
      <c r="C38" s="315"/>
      <c r="D38" s="315"/>
      <c r="E38" s="315"/>
      <c r="F38" s="315"/>
      <c r="G38" s="315"/>
      <c r="H38" s="315"/>
      <c r="I38" s="315"/>
      <c r="J38" s="315"/>
      <c r="K38" s="315"/>
      <c r="L38" s="262"/>
    </row>
    <row r="39" spans="1:12">
      <c r="A39" s="303">
        <f t="shared" si="3"/>
        <v>34</v>
      </c>
      <c r="B39" s="315" t="s">
        <v>452</v>
      </c>
      <c r="C39" s="315"/>
      <c r="D39" s="315"/>
      <c r="E39" s="315"/>
      <c r="F39" s="315"/>
      <c r="G39" s="315"/>
      <c r="H39" s="315"/>
      <c r="I39" s="315"/>
      <c r="J39" s="315"/>
      <c r="K39" s="315"/>
      <c r="L39" s="262"/>
    </row>
    <row r="40" spans="1:12">
      <c r="A40" s="303">
        <f t="shared" si="3"/>
        <v>35</v>
      </c>
      <c r="B40" s="315" t="s">
        <v>2672</v>
      </c>
      <c r="C40" s="315"/>
      <c r="D40" s="315"/>
      <c r="E40" s="315"/>
      <c r="F40" s="315"/>
      <c r="G40" s="315"/>
      <c r="H40" s="315"/>
      <c r="I40" s="315"/>
      <c r="J40" s="315"/>
      <c r="K40" s="315"/>
      <c r="L40" s="262"/>
    </row>
    <row r="41" spans="1:12" ht="13.5" thickBot="1">
      <c r="A41" s="325">
        <f t="shared" si="3"/>
        <v>36</v>
      </c>
      <c r="B41" s="326"/>
      <c r="C41" s="326"/>
      <c r="D41" s="326"/>
      <c r="E41" s="326"/>
      <c r="F41" s="326"/>
      <c r="G41" s="326"/>
      <c r="H41" s="326"/>
      <c r="I41" s="326"/>
      <c r="J41" s="326"/>
      <c r="K41" s="326"/>
      <c r="L41" s="327"/>
    </row>
    <row r="42" spans="1:12">
      <c r="A42" s="232" t="str">
        <f>A1</f>
        <v>WAPA-UGP 2021 Rate Estimate Calculation</v>
      </c>
      <c r="B42" s="302"/>
      <c r="C42" s="237"/>
      <c r="D42" s="237"/>
      <c r="E42" s="237"/>
      <c r="F42" s="237"/>
      <c r="G42" s="237"/>
      <c r="H42" s="237"/>
      <c r="I42" s="237"/>
      <c r="J42" s="237"/>
      <c r="K42" s="237"/>
      <c r="L42" s="261"/>
    </row>
    <row r="43" spans="1:12">
      <c r="A43" s="303"/>
      <c r="B43" s="304"/>
      <c r="C43" s="304" t="s">
        <v>392</v>
      </c>
      <c r="D43" s="305"/>
      <c r="E43" s="304" t="s">
        <v>393</v>
      </c>
      <c r="F43" s="305"/>
      <c r="G43" s="304" t="s">
        <v>394</v>
      </c>
      <c r="H43" s="306"/>
      <c r="I43" s="304" t="s">
        <v>395</v>
      </c>
      <c r="J43" s="306"/>
      <c r="K43" s="304" t="s">
        <v>396</v>
      </c>
      <c r="L43" s="262"/>
    </row>
    <row r="44" spans="1:12" s="234" customFormat="1" ht="13.5" thickBot="1">
      <c r="A44" s="303" t="s">
        <v>397</v>
      </c>
      <c r="B44" s="307">
        <v>-1</v>
      </c>
      <c r="C44" s="308">
        <v>-2</v>
      </c>
      <c r="D44" s="309"/>
      <c r="E44" s="308">
        <v>-3</v>
      </c>
      <c r="F44" s="309"/>
      <c r="G44" s="307">
        <v>-5</v>
      </c>
      <c r="H44" s="310"/>
      <c r="I44" s="307">
        <v>-6</v>
      </c>
      <c r="J44" s="310"/>
      <c r="K44" s="307">
        <v>-7</v>
      </c>
      <c r="L44" s="311"/>
    </row>
    <row r="45" spans="1:12">
      <c r="A45" s="312">
        <f>A41+1</f>
        <v>37</v>
      </c>
      <c r="B45" s="313" t="s">
        <v>453</v>
      </c>
      <c r="C45" s="314"/>
      <c r="D45" s="314"/>
      <c r="E45" s="314"/>
      <c r="F45" s="314"/>
      <c r="G45" s="314"/>
      <c r="H45" s="314"/>
      <c r="I45" s="314"/>
      <c r="J45" s="314"/>
      <c r="K45" s="314"/>
      <c r="L45" s="261"/>
    </row>
    <row r="46" spans="1:12">
      <c r="A46" s="303">
        <f>A45+1</f>
        <v>38</v>
      </c>
      <c r="B46" s="320" t="s">
        <v>454</v>
      </c>
      <c r="C46" s="320">
        <v>35606174</v>
      </c>
      <c r="D46" s="321" t="s">
        <v>400</v>
      </c>
      <c r="E46" s="328">
        <v>18370894.489999998</v>
      </c>
      <c r="F46" s="329" t="s">
        <v>401</v>
      </c>
      <c r="G46" s="322">
        <v>16257165</v>
      </c>
      <c r="H46" s="329" t="s">
        <v>402</v>
      </c>
      <c r="I46" s="328">
        <v>4252878.6100000003</v>
      </c>
      <c r="J46" s="329" t="s">
        <v>405</v>
      </c>
      <c r="K46" s="320">
        <f t="shared" ref="K46:K51" si="4">SUM(C46:I46)</f>
        <v>74487112.099999994</v>
      </c>
      <c r="L46" s="330"/>
    </row>
    <row r="47" spans="1:12">
      <c r="A47" s="303">
        <f>A46+1</f>
        <v>39</v>
      </c>
      <c r="B47" s="315" t="s">
        <v>455</v>
      </c>
      <c r="C47" s="315">
        <f>C46*C14</f>
        <v>33810483.476248749</v>
      </c>
      <c r="D47" s="310" t="s">
        <v>456</v>
      </c>
      <c r="E47" s="315">
        <f>E46*E14</f>
        <v>242127.04171355799</v>
      </c>
      <c r="F47" s="310" t="s">
        <v>456</v>
      </c>
      <c r="G47" s="331">
        <f>G46*G14</f>
        <v>1342336.7025184655</v>
      </c>
      <c r="H47" s="310" t="s">
        <v>456</v>
      </c>
      <c r="I47" s="315">
        <f>I46*I14</f>
        <v>0</v>
      </c>
      <c r="J47" s="310" t="s">
        <v>456</v>
      </c>
      <c r="K47" s="315">
        <f t="shared" si="4"/>
        <v>35394947.22048077</v>
      </c>
      <c r="L47" s="330"/>
    </row>
    <row r="48" spans="1:12">
      <c r="A48" s="303">
        <f>A47+1</f>
        <v>40</v>
      </c>
      <c r="B48" s="315" t="s">
        <v>457</v>
      </c>
      <c r="C48" s="315">
        <f>C46*C13</f>
        <v>375850.25983125629</v>
      </c>
      <c r="D48" s="310" t="s">
        <v>458</v>
      </c>
      <c r="E48" s="315">
        <v>0</v>
      </c>
      <c r="F48" s="310" t="s">
        <v>458</v>
      </c>
      <c r="G48" s="316">
        <f>G46-G47</f>
        <v>14914828.297481535</v>
      </c>
      <c r="H48" s="310" t="s">
        <v>458</v>
      </c>
      <c r="I48" s="315">
        <f>I46*I13</f>
        <v>4252878.6100000003</v>
      </c>
      <c r="J48" s="310" t="s">
        <v>458</v>
      </c>
      <c r="K48" s="315">
        <f t="shared" si="4"/>
        <v>19543557.167312793</v>
      </c>
      <c r="L48" s="330"/>
    </row>
    <row r="49" spans="1:12">
      <c r="A49" s="303">
        <f>A48+1</f>
        <v>41</v>
      </c>
      <c r="B49" s="315" t="s">
        <v>459</v>
      </c>
      <c r="C49" s="315">
        <f>C46*C15</f>
        <v>397392.04146270332</v>
      </c>
      <c r="D49" s="310" t="s">
        <v>460</v>
      </c>
      <c r="E49" s="315"/>
      <c r="F49" s="310"/>
      <c r="G49" s="316"/>
      <c r="H49" s="310"/>
      <c r="I49" s="315"/>
      <c r="J49" s="310"/>
      <c r="K49" s="315">
        <f t="shared" si="4"/>
        <v>397392.04146270332</v>
      </c>
      <c r="L49" s="330"/>
    </row>
    <row r="50" spans="1:12">
      <c r="A50" s="303">
        <f t="shared" ref="A50:A57" si="5">A49+1</f>
        <v>42</v>
      </c>
      <c r="B50" s="315" t="s">
        <v>461</v>
      </c>
      <c r="C50" s="315">
        <f>C46*C16</f>
        <v>27796.429452821209</v>
      </c>
      <c r="D50" s="310" t="s">
        <v>462</v>
      </c>
      <c r="E50" s="315"/>
      <c r="F50" s="310"/>
      <c r="G50" s="316"/>
      <c r="H50" s="310"/>
      <c r="I50" s="315"/>
      <c r="J50" s="310"/>
      <c r="K50" s="315">
        <f t="shared" si="4"/>
        <v>27796.429452821209</v>
      </c>
      <c r="L50" s="330"/>
    </row>
    <row r="51" spans="1:12">
      <c r="A51" s="303">
        <f t="shared" si="5"/>
        <v>43</v>
      </c>
      <c r="B51" s="315" t="s">
        <v>463</v>
      </c>
      <c r="C51" s="315">
        <f>C46*C17</f>
        <v>182446.43400560907</v>
      </c>
      <c r="D51" s="310" t="s">
        <v>464</v>
      </c>
      <c r="E51" s="315"/>
      <c r="F51" s="310"/>
      <c r="G51" s="316"/>
      <c r="H51" s="310"/>
      <c r="I51" s="315"/>
      <c r="J51" s="310"/>
      <c r="K51" s="315">
        <f t="shared" si="4"/>
        <v>182446.43400560907</v>
      </c>
      <c r="L51" s="330"/>
    </row>
    <row r="52" spans="1:12">
      <c r="A52" s="303">
        <f t="shared" si="5"/>
        <v>44</v>
      </c>
      <c r="B52" s="332" t="s">
        <v>465</v>
      </c>
      <c r="C52" s="315"/>
      <c r="D52" s="315"/>
      <c r="E52" s="315"/>
      <c r="F52" s="315"/>
      <c r="G52" s="315"/>
      <c r="H52" s="315"/>
      <c r="I52" s="315"/>
      <c r="J52" s="315"/>
      <c r="K52" s="315"/>
      <c r="L52" s="330"/>
    </row>
    <row r="53" spans="1:12">
      <c r="A53" s="303">
        <f t="shared" si="5"/>
        <v>45</v>
      </c>
      <c r="B53" s="332" t="s">
        <v>466</v>
      </c>
      <c r="C53" s="315"/>
      <c r="D53" s="315"/>
      <c r="E53" s="315"/>
      <c r="F53" s="315"/>
      <c r="G53" s="315"/>
      <c r="H53" s="315"/>
      <c r="I53" s="315"/>
      <c r="J53" s="315"/>
      <c r="K53" s="315"/>
      <c r="L53" s="330"/>
    </row>
    <row r="54" spans="1:12">
      <c r="A54" s="303">
        <f t="shared" si="5"/>
        <v>46</v>
      </c>
      <c r="B54" s="315" t="s">
        <v>467</v>
      </c>
      <c r="C54" s="315"/>
      <c r="D54" s="315"/>
      <c r="E54" s="315"/>
      <c r="F54" s="315"/>
      <c r="G54" s="315"/>
      <c r="H54" s="315"/>
      <c r="I54" s="315"/>
      <c r="J54" s="315"/>
      <c r="K54" s="315"/>
      <c r="L54" s="330"/>
    </row>
    <row r="55" spans="1:12">
      <c r="A55" s="303">
        <f t="shared" si="5"/>
        <v>47</v>
      </c>
      <c r="B55" s="315" t="s">
        <v>2686</v>
      </c>
      <c r="C55" s="315"/>
      <c r="D55" s="315"/>
      <c r="E55" s="315"/>
      <c r="F55" s="315"/>
      <c r="G55" s="315"/>
      <c r="H55" s="315"/>
      <c r="I55" s="315"/>
      <c r="J55" s="315"/>
      <c r="K55" s="315"/>
      <c r="L55" s="330"/>
    </row>
    <row r="56" spans="1:12">
      <c r="A56" s="303">
        <f t="shared" si="5"/>
        <v>48</v>
      </c>
      <c r="B56" s="332" t="s">
        <v>468</v>
      </c>
      <c r="C56" s="315"/>
      <c r="D56" s="315"/>
      <c r="E56" s="315"/>
      <c r="F56" s="315"/>
      <c r="G56" s="315"/>
      <c r="H56" s="315"/>
      <c r="I56" s="315"/>
      <c r="J56" s="315"/>
      <c r="K56" s="315"/>
      <c r="L56" s="330"/>
    </row>
    <row r="57" spans="1:12">
      <c r="A57" s="303">
        <f t="shared" si="5"/>
        <v>49</v>
      </c>
      <c r="B57" s="332" t="s">
        <v>469</v>
      </c>
      <c r="C57" s="315"/>
      <c r="D57" s="315"/>
      <c r="E57" s="315"/>
      <c r="F57" s="315"/>
      <c r="G57" s="315"/>
      <c r="H57" s="315"/>
      <c r="I57" s="315"/>
      <c r="J57" s="315"/>
      <c r="K57" s="315"/>
      <c r="L57" s="330"/>
    </row>
    <row r="58" spans="1:12">
      <c r="A58" s="303">
        <f>A57+1</f>
        <v>50</v>
      </c>
      <c r="B58" s="332" t="s">
        <v>470</v>
      </c>
      <c r="C58" s="315"/>
      <c r="D58" s="315"/>
      <c r="E58" s="315"/>
      <c r="F58" s="315"/>
      <c r="G58" s="315"/>
      <c r="H58" s="315"/>
      <c r="I58" s="315"/>
      <c r="J58" s="315"/>
      <c r="K58" s="315"/>
      <c r="L58" s="330"/>
    </row>
    <row r="59" spans="1:12">
      <c r="A59" s="303">
        <f>A58+1</f>
        <v>51</v>
      </c>
      <c r="B59" s="332" t="s">
        <v>471</v>
      </c>
      <c r="C59" s="315"/>
      <c r="D59" s="315"/>
      <c r="E59" s="315"/>
      <c r="F59" s="315"/>
      <c r="G59" s="315"/>
      <c r="H59" s="315"/>
      <c r="I59" s="315"/>
      <c r="J59" s="315"/>
      <c r="K59" s="315"/>
      <c r="L59" s="330"/>
    </row>
    <row r="60" spans="1:12">
      <c r="A60" s="303">
        <f>A59+1</f>
        <v>52</v>
      </c>
      <c r="B60" s="332" t="s">
        <v>472</v>
      </c>
      <c r="C60" s="315"/>
      <c r="D60" s="315"/>
      <c r="E60" s="315"/>
      <c r="F60" s="315"/>
      <c r="G60" s="315"/>
      <c r="H60" s="315"/>
      <c r="I60" s="315"/>
      <c r="J60" s="315"/>
      <c r="K60" s="315"/>
      <c r="L60" s="330"/>
    </row>
    <row r="61" spans="1:12" ht="13.5" thickBot="1">
      <c r="A61" s="325">
        <f>A60+1</f>
        <v>53</v>
      </c>
      <c r="B61" s="333" t="s">
        <v>473</v>
      </c>
      <c r="C61" s="326"/>
      <c r="D61" s="326"/>
      <c r="E61" s="326"/>
      <c r="F61" s="326"/>
      <c r="G61" s="326"/>
      <c r="H61" s="326"/>
      <c r="I61" s="326"/>
      <c r="J61" s="326"/>
      <c r="K61" s="326"/>
      <c r="L61" s="334"/>
    </row>
    <row r="62" spans="1:12">
      <c r="A62" s="232" t="str">
        <f>A1</f>
        <v>WAPA-UGP 2021 Rate Estimate Calculation</v>
      </c>
      <c r="B62" s="302"/>
      <c r="C62" s="237"/>
      <c r="D62" s="237"/>
      <c r="E62" s="237"/>
      <c r="F62" s="237"/>
      <c r="G62" s="237"/>
      <c r="H62" s="237"/>
      <c r="I62" s="237"/>
      <c r="J62" s="237"/>
      <c r="K62" s="237"/>
      <c r="L62" s="261"/>
    </row>
    <row r="63" spans="1:12">
      <c r="A63" s="303"/>
      <c r="B63" s="304"/>
      <c r="C63" s="304" t="s">
        <v>392</v>
      </c>
      <c r="D63" s="305"/>
      <c r="E63" s="304" t="s">
        <v>393</v>
      </c>
      <c r="F63" s="305"/>
      <c r="G63" s="304" t="s">
        <v>394</v>
      </c>
      <c r="H63" s="306"/>
      <c r="I63" s="304" t="s">
        <v>395</v>
      </c>
      <c r="J63" s="306"/>
      <c r="K63" s="304" t="s">
        <v>396</v>
      </c>
      <c r="L63" s="262"/>
    </row>
    <row r="64" spans="1:12" s="234" customFormat="1" ht="13.5" thickBot="1">
      <c r="A64" s="303" t="s">
        <v>397</v>
      </c>
      <c r="B64" s="307">
        <v>-1</v>
      </c>
      <c r="C64" s="308">
        <v>-2</v>
      </c>
      <c r="D64" s="309"/>
      <c r="E64" s="308">
        <v>-3</v>
      </c>
      <c r="F64" s="309"/>
      <c r="G64" s="307">
        <v>-5</v>
      </c>
      <c r="H64" s="310"/>
      <c r="I64" s="307">
        <v>-6</v>
      </c>
      <c r="J64" s="310"/>
      <c r="K64" s="307">
        <v>-7</v>
      </c>
      <c r="L64" s="311"/>
    </row>
    <row r="65" spans="1:12">
      <c r="A65" s="312">
        <f>A61+1</f>
        <v>54</v>
      </c>
      <c r="B65" s="313" t="s">
        <v>474</v>
      </c>
      <c r="C65" s="314"/>
      <c r="D65" s="314"/>
      <c r="E65" s="314"/>
      <c r="F65" s="314"/>
      <c r="G65" s="314"/>
      <c r="H65" s="314"/>
      <c r="I65" s="314"/>
      <c r="J65" s="314"/>
      <c r="K65" s="314"/>
      <c r="L65" s="335"/>
    </row>
    <row r="66" spans="1:12">
      <c r="A66" s="303">
        <f t="shared" ref="A66:A87" si="6">A65+1</f>
        <v>55</v>
      </c>
      <c r="B66" s="336" t="s">
        <v>475</v>
      </c>
      <c r="C66" s="315"/>
      <c r="D66" s="315"/>
      <c r="E66" s="315"/>
      <c r="F66" s="315"/>
      <c r="G66" s="315"/>
      <c r="H66" s="315"/>
      <c r="I66" s="315"/>
      <c r="J66" s="315"/>
      <c r="K66" s="315"/>
      <c r="L66" s="330"/>
    </row>
    <row r="67" spans="1:12">
      <c r="A67" s="303">
        <f t="shared" si="6"/>
        <v>56</v>
      </c>
      <c r="B67" s="315" t="s">
        <v>476</v>
      </c>
      <c r="C67" s="315">
        <f>351518867+72317690+1216465+329535622+111766804+2573333</f>
        <v>868928781</v>
      </c>
      <c r="D67" s="310" t="s">
        <v>400</v>
      </c>
      <c r="E67" s="315">
        <f>214015526+10930939+136212530+1409809</f>
        <v>362568804</v>
      </c>
      <c r="F67" s="310" t="s">
        <v>400</v>
      </c>
      <c r="G67" s="315">
        <f>520501743+195543234</f>
        <v>716044977</v>
      </c>
      <c r="H67" s="310" t="s">
        <v>400</v>
      </c>
      <c r="I67" s="315">
        <f>151978104+61893184</f>
        <v>213871288</v>
      </c>
      <c r="J67" s="310" t="s">
        <v>400</v>
      </c>
      <c r="K67" s="315">
        <f>SUM(C67:I67)</f>
        <v>2161413850</v>
      </c>
      <c r="L67" s="330"/>
    </row>
    <row r="68" spans="1:12">
      <c r="A68" s="303">
        <f t="shared" si="6"/>
        <v>57</v>
      </c>
      <c r="B68" s="336" t="s">
        <v>477</v>
      </c>
      <c r="C68" s="315"/>
      <c r="D68" s="310"/>
      <c r="E68" s="315"/>
      <c r="F68" s="310"/>
      <c r="G68" s="315"/>
      <c r="H68" s="310"/>
      <c r="I68" s="315"/>
      <c r="J68" s="310"/>
      <c r="K68" s="315"/>
      <c r="L68" s="330"/>
    </row>
    <row r="69" spans="1:12">
      <c r="A69" s="303">
        <f t="shared" si="6"/>
        <v>58</v>
      </c>
      <c r="B69" s="315" t="s">
        <v>478</v>
      </c>
      <c r="C69" s="315">
        <f>43193115+938990</f>
        <v>44132105</v>
      </c>
      <c r="D69" s="310" t="s">
        <v>401</v>
      </c>
      <c r="E69" s="315">
        <f>16439468+7014727-643425.48</f>
        <v>22810769.52</v>
      </c>
      <c r="F69" s="310" t="s">
        <v>401</v>
      </c>
      <c r="G69" s="315">
        <v>22074580</v>
      </c>
      <c r="H69" s="310" t="s">
        <v>401</v>
      </c>
      <c r="I69" s="315">
        <v>10787676</v>
      </c>
      <c r="J69" s="310" t="s">
        <v>401</v>
      </c>
      <c r="K69" s="315">
        <f>SUM(C69:I69)</f>
        <v>99805130.519999996</v>
      </c>
      <c r="L69" s="330"/>
    </row>
    <row r="70" spans="1:12">
      <c r="A70" s="303">
        <f t="shared" si="6"/>
        <v>59</v>
      </c>
      <c r="B70" s="315" t="s">
        <v>479</v>
      </c>
      <c r="C70" s="337">
        <f>C69/C67</f>
        <v>5.0789093381405671E-2</v>
      </c>
      <c r="D70" s="338" t="s">
        <v>480</v>
      </c>
      <c r="E70" s="337">
        <f>E69/E67</f>
        <v>6.2914319346680472E-2</v>
      </c>
      <c r="F70" s="338" t="s">
        <v>480</v>
      </c>
      <c r="G70" s="337">
        <f>G69/G67</f>
        <v>3.0828482440426363E-2</v>
      </c>
      <c r="H70" s="338" t="s">
        <v>480</v>
      </c>
      <c r="I70" s="337">
        <f>I69/I67</f>
        <v>5.0440038496425012E-2</v>
      </c>
      <c r="J70" s="338" t="s">
        <v>480</v>
      </c>
      <c r="K70" s="339"/>
      <c r="L70" s="330"/>
    </row>
    <row r="71" spans="1:12">
      <c r="A71" s="303">
        <f t="shared" si="6"/>
        <v>60</v>
      </c>
      <c r="B71" s="315" t="s">
        <v>481</v>
      </c>
      <c r="C71" s="340">
        <f>C8/(C8+E8+G8)</f>
        <v>0.92514902128985776</v>
      </c>
      <c r="D71" s="318" t="s">
        <v>402</v>
      </c>
      <c r="E71" s="340">
        <f>E8/(C8+E8+G8)</f>
        <v>6.9512501071468339E-3</v>
      </c>
      <c r="F71" s="318" t="s">
        <v>405</v>
      </c>
      <c r="G71" s="340">
        <f>G8/(C8+E8+G8)</f>
        <v>6.7899728602995382E-2</v>
      </c>
      <c r="H71" s="318" t="s">
        <v>406</v>
      </c>
      <c r="I71" s="340">
        <v>0</v>
      </c>
      <c r="J71" s="318" t="s">
        <v>407</v>
      </c>
      <c r="K71" s="339"/>
      <c r="L71" s="330"/>
    </row>
    <row r="72" spans="1:12">
      <c r="A72" s="303">
        <f t="shared" si="6"/>
        <v>61</v>
      </c>
      <c r="B72" s="315" t="s">
        <v>482</v>
      </c>
      <c r="C72" s="339"/>
      <c r="D72" s="338"/>
      <c r="E72" s="339"/>
      <c r="F72" s="338"/>
      <c r="G72" s="339"/>
      <c r="H72" s="338"/>
      <c r="I72" s="339"/>
      <c r="J72" s="338"/>
      <c r="K72" s="337">
        <f>C70*C71+E70*E71+G70*G71+I70*I71</f>
        <v>4.9518058794053493E-2</v>
      </c>
      <c r="L72" s="341" t="s">
        <v>409</v>
      </c>
    </row>
    <row r="73" spans="1:12">
      <c r="A73" s="303">
        <f t="shared" si="6"/>
        <v>62</v>
      </c>
      <c r="B73" s="315" t="s">
        <v>483</v>
      </c>
      <c r="C73" s="340">
        <f>C9/(C9+E9+G9+I9)</f>
        <v>9.267931881037866E-3</v>
      </c>
      <c r="D73" s="318" t="s">
        <v>412</v>
      </c>
      <c r="E73" s="340">
        <v>0</v>
      </c>
      <c r="F73" s="338" t="s">
        <v>424</v>
      </c>
      <c r="G73" s="340">
        <f>G9/(C9+G9+I9)</f>
        <v>0.67988036216089942</v>
      </c>
      <c r="H73" s="318" t="s">
        <v>425</v>
      </c>
      <c r="I73" s="340">
        <f>I9/(C9+G9+I9)</f>
        <v>0.31085170595806277</v>
      </c>
      <c r="J73" s="318" t="s">
        <v>426</v>
      </c>
      <c r="K73" s="339"/>
      <c r="L73" s="330"/>
    </row>
    <row r="74" spans="1:12">
      <c r="A74" s="303">
        <f t="shared" si="6"/>
        <v>63</v>
      </c>
      <c r="B74" s="315" t="s">
        <v>484</v>
      </c>
      <c r="C74" s="339"/>
      <c r="D74" s="338"/>
      <c r="E74" s="339"/>
      <c r="F74" s="339"/>
      <c r="G74" s="342"/>
      <c r="H74" s="342"/>
      <c r="I74" s="342"/>
      <c r="J74" s="338"/>
      <c r="K74" s="337">
        <f>C70*C73+E70*E73+G70*G73+I70*I73</f>
        <v>3.7109761679430614E-2</v>
      </c>
      <c r="L74" s="341" t="s">
        <v>403</v>
      </c>
    </row>
    <row r="75" spans="1:12">
      <c r="A75" s="303">
        <f t="shared" si="6"/>
        <v>64</v>
      </c>
      <c r="B75" s="315" t="s">
        <v>485</v>
      </c>
      <c r="C75" s="315"/>
      <c r="D75" s="315"/>
      <c r="E75" s="315"/>
      <c r="F75" s="315"/>
      <c r="G75" s="315"/>
      <c r="H75" s="315"/>
      <c r="I75" s="315"/>
      <c r="J75" s="315"/>
      <c r="K75" s="315"/>
      <c r="L75" s="330"/>
    </row>
    <row r="76" spans="1:12">
      <c r="A76" s="303">
        <f t="shared" si="6"/>
        <v>65</v>
      </c>
      <c r="B76" s="315" t="s">
        <v>2671</v>
      </c>
      <c r="C76" s="315"/>
      <c r="D76" s="315"/>
      <c r="E76" s="315"/>
      <c r="F76" s="315"/>
      <c r="G76" s="315"/>
      <c r="H76" s="315"/>
      <c r="I76" s="315"/>
      <c r="J76" s="315"/>
      <c r="K76" s="315"/>
      <c r="L76" s="330"/>
    </row>
    <row r="77" spans="1:12">
      <c r="A77" s="303">
        <f t="shared" si="6"/>
        <v>66</v>
      </c>
      <c r="B77" s="315" t="s">
        <v>486</v>
      </c>
      <c r="C77" s="315"/>
      <c r="D77" s="315"/>
      <c r="E77" s="315"/>
      <c r="F77" s="315"/>
      <c r="G77" s="315"/>
      <c r="H77" s="315"/>
      <c r="I77" s="315"/>
      <c r="J77" s="315"/>
      <c r="K77" s="315"/>
      <c r="L77" s="330"/>
    </row>
    <row r="78" spans="1:12">
      <c r="A78" s="303">
        <f t="shared" si="6"/>
        <v>67</v>
      </c>
      <c r="B78" s="315" t="s">
        <v>487</v>
      </c>
      <c r="C78" s="315"/>
      <c r="D78" s="315"/>
      <c r="E78" s="315"/>
      <c r="F78" s="315"/>
      <c r="G78" s="315"/>
      <c r="H78" s="315"/>
      <c r="I78" s="315"/>
      <c r="J78" s="315"/>
      <c r="K78" s="315"/>
      <c r="L78" s="330"/>
    </row>
    <row r="79" spans="1:12">
      <c r="A79" s="303">
        <f t="shared" si="6"/>
        <v>68</v>
      </c>
      <c r="B79" s="315" t="s">
        <v>488</v>
      </c>
      <c r="C79" s="315"/>
      <c r="D79" s="315"/>
      <c r="E79" s="315"/>
      <c r="F79" s="315"/>
      <c r="G79" s="315"/>
      <c r="H79" s="315"/>
      <c r="I79" s="315"/>
      <c r="J79" s="315"/>
      <c r="K79" s="315"/>
      <c r="L79" s="330"/>
    </row>
    <row r="80" spans="1:12">
      <c r="A80" s="303">
        <f t="shared" si="6"/>
        <v>69</v>
      </c>
      <c r="B80" s="315" t="s">
        <v>489</v>
      </c>
      <c r="C80" s="315"/>
      <c r="D80" s="315"/>
      <c r="E80" s="315"/>
      <c r="F80" s="315"/>
      <c r="G80" s="315"/>
      <c r="H80" s="315"/>
      <c r="I80" s="315"/>
      <c r="J80" s="315"/>
      <c r="K80" s="315"/>
      <c r="L80" s="330"/>
    </row>
    <row r="81" spans="1:12">
      <c r="A81" s="303">
        <f t="shared" si="6"/>
        <v>70</v>
      </c>
      <c r="B81" s="315" t="s">
        <v>490</v>
      </c>
      <c r="C81" s="315"/>
      <c r="D81" s="315"/>
      <c r="E81" s="315"/>
      <c r="F81" s="315"/>
      <c r="G81" s="315"/>
      <c r="H81" s="315"/>
      <c r="I81" s="315"/>
      <c r="J81" s="315"/>
      <c r="K81" s="315"/>
      <c r="L81" s="330"/>
    </row>
    <row r="82" spans="1:12">
      <c r="A82" s="303">
        <f t="shared" si="6"/>
        <v>71</v>
      </c>
      <c r="B82" s="315" t="s">
        <v>491</v>
      </c>
      <c r="C82" s="315"/>
      <c r="D82" s="315"/>
      <c r="E82" s="315"/>
      <c r="F82" s="315"/>
      <c r="G82" s="315"/>
      <c r="H82" s="315"/>
      <c r="I82" s="315"/>
      <c r="J82" s="315"/>
      <c r="K82" s="315"/>
      <c r="L82" s="330"/>
    </row>
    <row r="83" spans="1:12">
      <c r="A83" s="303">
        <f t="shared" si="6"/>
        <v>72</v>
      </c>
      <c r="B83" s="315" t="s">
        <v>492</v>
      </c>
      <c r="C83" s="315"/>
      <c r="D83" s="315"/>
      <c r="E83" s="315"/>
      <c r="F83" s="315"/>
      <c r="G83" s="315"/>
      <c r="H83" s="315"/>
      <c r="I83" s="315"/>
      <c r="J83" s="315"/>
      <c r="K83" s="315"/>
      <c r="L83" s="330"/>
    </row>
    <row r="84" spans="1:12">
      <c r="A84" s="303">
        <f t="shared" si="6"/>
        <v>73</v>
      </c>
      <c r="B84" s="315" t="s">
        <v>493</v>
      </c>
      <c r="C84" s="315"/>
      <c r="D84" s="315"/>
      <c r="E84" s="315"/>
      <c r="F84" s="315"/>
      <c r="G84" s="315"/>
      <c r="H84" s="315"/>
      <c r="I84" s="315"/>
      <c r="J84" s="315"/>
      <c r="K84" s="315"/>
      <c r="L84" s="330"/>
    </row>
    <row r="85" spans="1:12">
      <c r="A85" s="303">
        <f t="shared" si="6"/>
        <v>74</v>
      </c>
      <c r="B85" s="315" t="s">
        <v>494</v>
      </c>
      <c r="C85" s="315"/>
      <c r="D85" s="315"/>
      <c r="E85" s="315"/>
      <c r="F85" s="315"/>
      <c r="G85" s="315"/>
      <c r="H85" s="315"/>
      <c r="I85" s="315"/>
      <c r="J85" s="315"/>
      <c r="K85" s="315"/>
      <c r="L85" s="330"/>
    </row>
    <row r="86" spans="1:12">
      <c r="A86" s="303">
        <f t="shared" si="6"/>
        <v>75</v>
      </c>
      <c r="B86" s="315" t="s">
        <v>495</v>
      </c>
      <c r="C86" s="315"/>
      <c r="D86" s="315"/>
      <c r="E86" s="315"/>
      <c r="F86" s="315"/>
      <c r="G86" s="315"/>
      <c r="H86" s="315"/>
      <c r="I86" s="315"/>
      <c r="J86" s="315"/>
      <c r="K86" s="315"/>
      <c r="L86" s="330"/>
    </row>
    <row r="87" spans="1:12" ht="13.5" thickBot="1">
      <c r="A87" s="325">
        <f t="shared" si="6"/>
        <v>76</v>
      </c>
      <c r="B87" s="326"/>
      <c r="C87" s="326"/>
      <c r="D87" s="326"/>
      <c r="E87" s="326"/>
      <c r="F87" s="326"/>
      <c r="G87" s="326"/>
      <c r="H87" s="326"/>
      <c r="I87" s="326"/>
      <c r="J87" s="326"/>
      <c r="K87" s="326"/>
      <c r="L87" s="334"/>
    </row>
    <row r="88" spans="1:12">
      <c r="A88" s="232" t="str">
        <f>A1</f>
        <v>WAPA-UGP 2021 Rate Estimate Calculation</v>
      </c>
      <c r="B88" s="302"/>
      <c r="C88" s="237"/>
      <c r="D88" s="237"/>
      <c r="E88" s="237"/>
      <c r="F88" s="237"/>
      <c r="G88" s="237"/>
      <c r="H88" s="237"/>
      <c r="I88" s="237"/>
      <c r="J88" s="237"/>
      <c r="K88" s="237"/>
      <c r="L88" s="261"/>
    </row>
    <row r="89" spans="1:12">
      <c r="A89" s="303"/>
      <c r="B89" s="304"/>
      <c r="C89" s="304" t="s">
        <v>392</v>
      </c>
      <c r="D89" s="305"/>
      <c r="E89" s="304" t="s">
        <v>393</v>
      </c>
      <c r="F89" s="305"/>
      <c r="G89" s="304" t="s">
        <v>394</v>
      </c>
      <c r="H89" s="306"/>
      <c r="I89" s="304" t="s">
        <v>395</v>
      </c>
      <c r="J89" s="306"/>
      <c r="K89" s="304" t="s">
        <v>396</v>
      </c>
      <c r="L89" s="262"/>
    </row>
    <row r="90" spans="1:12" s="234" customFormat="1" ht="13.5" thickBot="1">
      <c r="A90" s="303" t="s">
        <v>397</v>
      </c>
      <c r="B90" s="307">
        <v>-1</v>
      </c>
      <c r="C90" s="308">
        <v>-2</v>
      </c>
      <c r="D90" s="309"/>
      <c r="E90" s="308">
        <v>-3</v>
      </c>
      <c r="F90" s="309"/>
      <c r="G90" s="307">
        <v>-5</v>
      </c>
      <c r="H90" s="310"/>
      <c r="I90" s="307">
        <v>-6</v>
      </c>
      <c r="J90" s="310"/>
      <c r="K90" s="307">
        <v>-7</v>
      </c>
      <c r="L90" s="311"/>
    </row>
    <row r="91" spans="1:12">
      <c r="A91" s="312">
        <f>A87+1</f>
        <v>77</v>
      </c>
      <c r="B91" s="313" t="s">
        <v>496</v>
      </c>
      <c r="C91" s="343"/>
      <c r="D91" s="343"/>
      <c r="E91" s="343"/>
      <c r="F91" s="343"/>
      <c r="G91" s="343"/>
      <c r="H91" s="344"/>
      <c r="I91" s="344"/>
      <c r="J91" s="344"/>
      <c r="K91" s="344"/>
      <c r="L91" s="335"/>
    </row>
    <row r="92" spans="1:12">
      <c r="A92" s="303">
        <f t="shared" ref="A92:A106" si="7">A91+1</f>
        <v>78</v>
      </c>
      <c r="B92" s="345"/>
      <c r="C92" s="345" t="s">
        <v>497</v>
      </c>
      <c r="D92" s="238"/>
      <c r="E92" s="345" t="s">
        <v>498</v>
      </c>
      <c r="F92" s="346"/>
      <c r="G92" s="345" t="s">
        <v>499</v>
      </c>
      <c r="H92" s="238"/>
      <c r="I92" s="345" t="s">
        <v>500</v>
      </c>
      <c r="J92" s="238"/>
      <c r="K92" s="345" t="s">
        <v>501</v>
      </c>
      <c r="L92" s="262"/>
    </row>
    <row r="93" spans="1:12">
      <c r="A93" s="303">
        <f>A92+1</f>
        <v>79</v>
      </c>
      <c r="B93" s="347" t="s">
        <v>502</v>
      </c>
      <c r="C93" s="348">
        <f>16768396.4</f>
        <v>16768396.4</v>
      </c>
      <c r="D93" s="238"/>
      <c r="E93" s="348">
        <v>12140120</v>
      </c>
      <c r="F93" s="238"/>
      <c r="G93" s="348">
        <v>0</v>
      </c>
      <c r="H93" s="238"/>
      <c r="I93" s="348">
        <v>0</v>
      </c>
      <c r="J93" s="238"/>
      <c r="K93" s="348">
        <f>SUM(C93:I93)</f>
        <v>28908516.399999999</v>
      </c>
      <c r="L93" s="262"/>
    </row>
    <row r="94" spans="1:12">
      <c r="A94" s="303">
        <f t="shared" si="7"/>
        <v>80</v>
      </c>
      <c r="B94" s="347" t="s">
        <v>503</v>
      </c>
      <c r="C94" s="348">
        <f>C93*C14</f>
        <v>15922732.653201915</v>
      </c>
      <c r="D94" s="238"/>
      <c r="E94" s="348">
        <f>E93*E14</f>
        <v>160005.89101677432</v>
      </c>
      <c r="F94" s="238"/>
      <c r="G94" s="348">
        <v>0</v>
      </c>
      <c r="H94" s="238"/>
      <c r="I94" s="348">
        <v>0</v>
      </c>
      <c r="J94" s="238"/>
      <c r="K94" s="348">
        <f>SUM(C94:I94)</f>
        <v>16082738.544218689</v>
      </c>
      <c r="L94" s="262"/>
    </row>
    <row r="95" spans="1:12">
      <c r="A95" s="303">
        <f t="shared" si="7"/>
        <v>81</v>
      </c>
      <c r="B95" s="347" t="s">
        <v>504</v>
      </c>
      <c r="C95" s="348">
        <f>C93*C13</f>
        <v>177003.18332133925</v>
      </c>
      <c r="D95" s="238"/>
      <c r="E95" s="348">
        <v>0</v>
      </c>
      <c r="F95" s="348"/>
      <c r="G95" s="348">
        <v>0</v>
      </c>
      <c r="H95" s="238"/>
      <c r="I95" s="238">
        <v>0</v>
      </c>
      <c r="J95" s="238"/>
      <c r="K95" s="348">
        <f>SUM(C95:G95)</f>
        <v>177003.18332133925</v>
      </c>
      <c r="L95" s="262"/>
    </row>
    <row r="96" spans="1:12">
      <c r="A96" s="303">
        <f>A95+1</f>
        <v>82</v>
      </c>
      <c r="B96" s="347" t="s">
        <v>505</v>
      </c>
      <c r="C96" s="348">
        <f>C93*C15</f>
        <v>187148.08497683142</v>
      </c>
      <c r="D96" s="238"/>
      <c r="E96" s="348">
        <v>0</v>
      </c>
      <c r="F96" s="348"/>
      <c r="G96" s="348">
        <v>0</v>
      </c>
      <c r="H96" s="238"/>
      <c r="I96" s="238">
        <v>0</v>
      </c>
      <c r="J96" s="238"/>
      <c r="K96" s="348">
        <f>SUM(C96:G96)</f>
        <v>187148.08497683142</v>
      </c>
      <c r="L96" s="262"/>
    </row>
    <row r="97" spans="1:12">
      <c r="A97" s="303">
        <f t="shared" si="7"/>
        <v>83</v>
      </c>
      <c r="B97" s="347" t="s">
        <v>506</v>
      </c>
      <c r="C97" s="348">
        <f>C93*C16</f>
        <v>13090.469859792887</v>
      </c>
      <c r="D97" s="238"/>
      <c r="E97" s="348">
        <v>0</v>
      </c>
      <c r="F97" s="348"/>
      <c r="G97" s="348">
        <v>0</v>
      </c>
      <c r="H97" s="238"/>
      <c r="I97" s="238">
        <v>0</v>
      </c>
      <c r="J97" s="238"/>
      <c r="K97" s="348">
        <f>SUM(C97:G97)</f>
        <v>13090.469859792887</v>
      </c>
      <c r="L97" s="262"/>
    </row>
    <row r="98" spans="1:12">
      <c r="A98" s="303">
        <f t="shared" si="7"/>
        <v>84</v>
      </c>
      <c r="B98" s="347" t="s">
        <v>507</v>
      </c>
      <c r="C98" s="348">
        <f>C93*C17</f>
        <v>85921.450790317787</v>
      </c>
      <c r="D98" s="238"/>
      <c r="E98" s="348">
        <v>0</v>
      </c>
      <c r="F98" s="348"/>
      <c r="G98" s="348">
        <v>0</v>
      </c>
      <c r="H98" s="238"/>
      <c r="I98" s="238">
        <v>0</v>
      </c>
      <c r="J98" s="238"/>
      <c r="K98" s="348">
        <f>SUM(C98:G98)</f>
        <v>85921.450790317787</v>
      </c>
      <c r="L98" s="262"/>
    </row>
    <row r="99" spans="1:12">
      <c r="A99" s="303">
        <f t="shared" si="7"/>
        <v>85</v>
      </c>
      <c r="B99" s="349" t="s">
        <v>508</v>
      </c>
      <c r="C99" s="348"/>
      <c r="D99" s="238"/>
      <c r="E99" s="348"/>
      <c r="F99" s="348"/>
      <c r="G99" s="348"/>
      <c r="H99" s="238"/>
      <c r="I99" s="238"/>
      <c r="J99" s="238"/>
      <c r="K99" s="348"/>
      <c r="L99" s="262"/>
    </row>
    <row r="100" spans="1:12">
      <c r="A100" s="303">
        <f t="shared" si="7"/>
        <v>86</v>
      </c>
      <c r="B100" s="349" t="s">
        <v>509</v>
      </c>
      <c r="C100" s="348"/>
      <c r="D100" s="238"/>
      <c r="E100" s="348"/>
      <c r="F100" s="348"/>
      <c r="G100" s="348"/>
      <c r="H100" s="238"/>
      <c r="I100" s="238"/>
      <c r="J100" s="238"/>
      <c r="K100" s="348"/>
      <c r="L100" s="262"/>
    </row>
    <row r="101" spans="1:12">
      <c r="A101" s="303">
        <f t="shared" si="7"/>
        <v>87</v>
      </c>
      <c r="B101" s="349" t="s">
        <v>510</v>
      </c>
      <c r="C101" s="348"/>
      <c r="D101" s="238"/>
      <c r="E101" s="348"/>
      <c r="F101" s="348"/>
      <c r="G101" s="348"/>
      <c r="H101" s="238"/>
      <c r="I101" s="238"/>
      <c r="J101" s="238"/>
      <c r="K101" s="348"/>
      <c r="L101" s="262"/>
    </row>
    <row r="102" spans="1:12">
      <c r="A102" s="303">
        <f t="shared" si="7"/>
        <v>88</v>
      </c>
      <c r="B102" s="349" t="s">
        <v>511</v>
      </c>
      <c r="C102" s="348"/>
      <c r="D102" s="238"/>
      <c r="E102" s="348"/>
      <c r="F102" s="348"/>
      <c r="G102" s="348"/>
      <c r="H102" s="238"/>
      <c r="I102" s="238"/>
      <c r="J102" s="238"/>
      <c r="K102" s="348"/>
      <c r="L102" s="262"/>
    </row>
    <row r="103" spans="1:12">
      <c r="A103" s="303">
        <f t="shared" si="7"/>
        <v>89</v>
      </c>
      <c r="B103" s="349" t="s">
        <v>512</v>
      </c>
      <c r="C103" s="348"/>
      <c r="D103" s="238"/>
      <c r="E103" s="348"/>
      <c r="F103" s="348"/>
      <c r="G103" s="348"/>
      <c r="H103" s="238"/>
      <c r="I103" s="238"/>
      <c r="J103" s="238"/>
      <c r="K103" s="348"/>
      <c r="L103" s="262"/>
    </row>
    <row r="104" spans="1:12">
      <c r="A104" s="303">
        <f t="shared" si="7"/>
        <v>90</v>
      </c>
      <c r="B104" s="349" t="s">
        <v>513</v>
      </c>
      <c r="C104" s="348"/>
      <c r="D104" s="238"/>
      <c r="E104" s="348"/>
      <c r="F104" s="348"/>
      <c r="G104" s="348"/>
      <c r="H104" s="238"/>
      <c r="I104" s="238"/>
      <c r="J104" s="238"/>
      <c r="K104" s="348"/>
      <c r="L104" s="262"/>
    </row>
    <row r="105" spans="1:12">
      <c r="A105" s="303">
        <f t="shared" si="7"/>
        <v>91</v>
      </c>
      <c r="B105" s="349" t="s">
        <v>512</v>
      </c>
      <c r="C105" s="348"/>
      <c r="D105" s="238"/>
      <c r="E105" s="348"/>
      <c r="F105" s="348"/>
      <c r="G105" s="348"/>
      <c r="H105" s="238"/>
      <c r="I105" s="238"/>
      <c r="J105" s="238"/>
      <c r="K105" s="348"/>
      <c r="L105" s="262"/>
    </row>
    <row r="106" spans="1:12" ht="13.5" thickBot="1">
      <c r="A106" s="325">
        <f t="shared" si="7"/>
        <v>92</v>
      </c>
      <c r="B106" s="350" t="s">
        <v>514</v>
      </c>
      <c r="C106" s="351"/>
      <c r="D106" s="260"/>
      <c r="E106" s="351"/>
      <c r="F106" s="351"/>
      <c r="G106" s="351"/>
      <c r="H106" s="260"/>
      <c r="I106" s="260"/>
      <c r="J106" s="260"/>
      <c r="K106" s="351"/>
      <c r="L106" s="327"/>
    </row>
    <row r="107" spans="1:12">
      <c r="A107" s="232" t="str">
        <f>A1</f>
        <v>WAPA-UGP 2021 Rate Estimate Calculation</v>
      </c>
      <c r="B107" s="302"/>
      <c r="C107" s="237"/>
      <c r="D107" s="237"/>
      <c r="E107" s="237"/>
      <c r="F107" s="237"/>
      <c r="G107" s="237"/>
      <c r="H107" s="237"/>
      <c r="I107" s="237"/>
      <c r="J107" s="237"/>
      <c r="K107" s="237"/>
      <c r="L107" s="261"/>
    </row>
    <row r="108" spans="1:12">
      <c r="A108" s="303"/>
      <c r="B108" s="304"/>
      <c r="C108" s="304" t="s">
        <v>392</v>
      </c>
      <c r="D108" s="305"/>
      <c r="E108" s="304" t="s">
        <v>393</v>
      </c>
      <c r="F108" s="305"/>
      <c r="G108" s="304" t="s">
        <v>394</v>
      </c>
      <c r="H108" s="306"/>
      <c r="I108" s="304" t="s">
        <v>395</v>
      </c>
      <c r="J108" s="306"/>
      <c r="K108" s="304" t="s">
        <v>396</v>
      </c>
      <c r="L108" s="262"/>
    </row>
    <row r="109" spans="1:12" s="234" customFormat="1" ht="13.5" thickBot="1">
      <c r="A109" s="303" t="s">
        <v>397</v>
      </c>
      <c r="B109" s="307">
        <v>-1</v>
      </c>
      <c r="C109" s="308">
        <v>-2</v>
      </c>
      <c r="D109" s="309"/>
      <c r="E109" s="308">
        <v>-3</v>
      </c>
      <c r="F109" s="309"/>
      <c r="G109" s="307">
        <v>-5</v>
      </c>
      <c r="H109" s="310"/>
      <c r="I109" s="307">
        <v>-6</v>
      </c>
      <c r="J109" s="310"/>
      <c r="K109" s="307">
        <v>-7</v>
      </c>
      <c r="L109" s="311"/>
    </row>
    <row r="110" spans="1:12">
      <c r="A110" s="312">
        <f>A106+1</f>
        <v>93</v>
      </c>
      <c r="B110" s="313" t="s">
        <v>515</v>
      </c>
      <c r="C110" s="343"/>
      <c r="D110" s="343"/>
      <c r="E110" s="343"/>
      <c r="F110" s="343"/>
      <c r="G110" s="343"/>
      <c r="H110" s="237"/>
      <c r="I110" s="237"/>
      <c r="J110" s="237"/>
      <c r="K110" s="237"/>
      <c r="L110" s="261"/>
    </row>
    <row r="111" spans="1:12">
      <c r="A111" s="303">
        <f>A110+1</f>
        <v>94</v>
      </c>
      <c r="B111" s="362"/>
      <c r="C111" s="352" t="s">
        <v>497</v>
      </c>
      <c r="D111" s="363"/>
      <c r="E111" s="352" t="s">
        <v>498</v>
      </c>
      <c r="F111" s="363"/>
      <c r="G111" s="364" t="s">
        <v>516</v>
      </c>
      <c r="H111" s="238"/>
      <c r="I111" s="364" t="s">
        <v>517</v>
      </c>
      <c r="J111" s="238"/>
      <c r="K111" s="238"/>
      <c r="L111" s="262"/>
    </row>
    <row r="112" spans="1:12">
      <c r="A112" s="303">
        <f t="shared" ref="A112:A126" si="8">A111+1</f>
        <v>95</v>
      </c>
      <c r="B112" s="345" t="s">
        <v>518</v>
      </c>
      <c r="C112" s="332">
        <v>77620000</v>
      </c>
      <c r="D112" s="238"/>
      <c r="E112" s="332">
        <v>46417099</v>
      </c>
      <c r="F112" s="238"/>
      <c r="G112" s="332">
        <f>9135719+9294532+7831856+8147821+8563184+5785098</f>
        <v>48758210</v>
      </c>
      <c r="H112" s="238"/>
      <c r="I112" s="332">
        <v>43122110.340000004</v>
      </c>
      <c r="J112" s="238"/>
      <c r="K112" s="332">
        <f>SUM(C112:I112)</f>
        <v>215917419.34</v>
      </c>
      <c r="L112" s="262"/>
    </row>
    <row r="113" spans="1:12">
      <c r="A113" s="303">
        <f t="shared" si="8"/>
        <v>96</v>
      </c>
      <c r="B113" s="352" t="s">
        <v>519</v>
      </c>
      <c r="C113" s="332"/>
      <c r="D113" s="238"/>
      <c r="E113" s="332"/>
      <c r="F113" s="238"/>
      <c r="G113" s="332"/>
      <c r="H113" s="238"/>
      <c r="I113" s="332"/>
      <c r="J113" s="238"/>
      <c r="K113" s="332"/>
      <c r="L113" s="262"/>
    </row>
    <row r="114" spans="1:12">
      <c r="A114" s="303">
        <f t="shared" si="8"/>
        <v>97</v>
      </c>
      <c r="B114" s="352" t="s">
        <v>520</v>
      </c>
      <c r="C114" s="332"/>
      <c r="D114" s="238"/>
      <c r="E114" s="332"/>
      <c r="F114" s="238"/>
      <c r="G114" s="332"/>
      <c r="H114" s="238"/>
      <c r="I114" s="332"/>
      <c r="J114" s="238"/>
      <c r="K114" s="332"/>
      <c r="L114" s="262"/>
    </row>
    <row r="115" spans="1:12">
      <c r="A115" s="303">
        <f>A114+1</f>
        <v>98</v>
      </c>
      <c r="B115" s="352" t="s">
        <v>521</v>
      </c>
      <c r="C115" s="365">
        <f>C93</f>
        <v>16768396.4</v>
      </c>
      <c r="D115" s="238"/>
      <c r="E115" s="332"/>
      <c r="F115" s="238"/>
      <c r="G115" s="332"/>
      <c r="H115" s="238"/>
      <c r="I115" s="332"/>
      <c r="J115" s="238"/>
      <c r="K115" s="332">
        <f>SUM(C115:I115)</f>
        <v>16768396.4</v>
      </c>
      <c r="L115" s="262"/>
    </row>
    <row r="116" spans="1:12">
      <c r="A116" s="303">
        <f t="shared" si="8"/>
        <v>99</v>
      </c>
      <c r="B116" s="352" t="s">
        <v>522</v>
      </c>
      <c r="C116" s="332"/>
      <c r="D116" s="238"/>
      <c r="E116" s="332"/>
      <c r="F116" s="238"/>
      <c r="G116" s="332"/>
      <c r="H116" s="238"/>
      <c r="I116" s="332"/>
      <c r="J116" s="238"/>
      <c r="K116" s="332"/>
      <c r="L116" s="262"/>
    </row>
    <row r="117" spans="1:12">
      <c r="A117" s="303">
        <f t="shared" si="8"/>
        <v>100</v>
      </c>
      <c r="B117" s="352" t="s">
        <v>523</v>
      </c>
      <c r="C117" s="332">
        <v>65525</v>
      </c>
      <c r="D117" s="238"/>
      <c r="E117" s="332"/>
      <c r="F117" s="238"/>
      <c r="G117" s="332"/>
      <c r="H117" s="238"/>
      <c r="I117" s="332"/>
      <c r="J117" s="238"/>
      <c r="K117" s="332">
        <f>SUM(C117:I117)</f>
        <v>65525</v>
      </c>
      <c r="L117" s="262"/>
    </row>
    <row r="118" spans="1:12">
      <c r="A118" s="303">
        <f t="shared" si="8"/>
        <v>101</v>
      </c>
      <c r="B118" s="352" t="s">
        <v>524</v>
      </c>
      <c r="C118" s="332"/>
      <c r="D118" s="238"/>
      <c r="E118" s="332"/>
      <c r="F118" s="238"/>
      <c r="G118" s="332"/>
      <c r="H118" s="238"/>
      <c r="I118" s="332"/>
      <c r="J118" s="238"/>
      <c r="K118" s="332"/>
      <c r="L118" s="262"/>
    </row>
    <row r="119" spans="1:12">
      <c r="A119" s="303">
        <f t="shared" si="8"/>
        <v>102</v>
      </c>
      <c r="B119" s="352" t="s">
        <v>525</v>
      </c>
      <c r="C119" s="332">
        <v>8251000</v>
      </c>
      <c r="D119" s="238"/>
      <c r="E119" s="332"/>
      <c r="F119" s="238"/>
      <c r="G119" s="332"/>
      <c r="H119" s="238"/>
      <c r="I119" s="332"/>
      <c r="J119" s="238"/>
      <c r="K119" s="332">
        <f>SUM(C119:I119)</f>
        <v>8251000</v>
      </c>
      <c r="L119" s="262"/>
    </row>
    <row r="120" spans="1:12">
      <c r="A120" s="303">
        <f t="shared" si="8"/>
        <v>103</v>
      </c>
      <c r="B120" s="352" t="s">
        <v>526</v>
      </c>
      <c r="C120" s="332"/>
      <c r="D120" s="238"/>
      <c r="E120" s="332"/>
      <c r="F120" s="238"/>
      <c r="G120" s="332"/>
      <c r="H120" s="238"/>
      <c r="I120" s="332"/>
      <c r="J120" s="238"/>
      <c r="K120" s="332"/>
      <c r="L120" s="262"/>
    </row>
    <row r="121" spans="1:12">
      <c r="A121" s="303">
        <f t="shared" ref="A121:A135" si="9">A120+1</f>
        <v>104</v>
      </c>
      <c r="B121" s="739" t="s">
        <v>527</v>
      </c>
      <c r="C121" s="740">
        <f>7798166.62+2579471.17</f>
        <v>10377637.789999999</v>
      </c>
      <c r="D121" s="741"/>
      <c r="E121" s="740"/>
      <c r="F121" s="741"/>
      <c r="G121" s="740"/>
      <c r="H121" s="741"/>
      <c r="I121" s="740"/>
      <c r="J121" s="741"/>
      <c r="K121" s="740">
        <f>SUM(C121:I121)</f>
        <v>10377637.789999999</v>
      </c>
      <c r="L121" s="262"/>
    </row>
    <row r="122" spans="1:12">
      <c r="A122" s="303">
        <f t="shared" si="8"/>
        <v>105</v>
      </c>
      <c r="B122" s="353" t="s">
        <v>528</v>
      </c>
      <c r="C122" s="354">
        <f>C112-C115-C117+C119</f>
        <v>69037078.599999994</v>
      </c>
      <c r="D122" s="238"/>
      <c r="E122" s="377">
        <v>46417099</v>
      </c>
      <c r="F122" s="238"/>
      <c r="G122" s="354">
        <f>G112</f>
        <v>48758210</v>
      </c>
      <c r="H122" s="238"/>
      <c r="I122" s="354">
        <f>I112</f>
        <v>43122110.340000004</v>
      </c>
      <c r="J122" s="238"/>
      <c r="K122" s="354">
        <f>K112-K114-K115-K116-K117+K119+K120</f>
        <v>207334497.94</v>
      </c>
      <c r="L122" s="262"/>
    </row>
    <row r="123" spans="1:12">
      <c r="A123" s="303">
        <f t="shared" si="8"/>
        <v>106</v>
      </c>
      <c r="B123" s="353" t="s">
        <v>529</v>
      </c>
      <c r="C123" s="354">
        <f>C122*C14</f>
        <v>65555400.736225858</v>
      </c>
      <c r="D123" s="238"/>
      <c r="E123" s="354">
        <f>E122*E14</f>
        <v>611773.95972270658</v>
      </c>
      <c r="F123" s="238"/>
      <c r="G123" s="354">
        <f>G122*G14</f>
        <v>4025913.1793337194</v>
      </c>
      <c r="H123" s="238"/>
      <c r="I123" s="354">
        <f>I122*I14</f>
        <v>0</v>
      </c>
      <c r="J123" s="238"/>
      <c r="K123" s="354">
        <f>SUM(C123:I123)</f>
        <v>70193087.875282288</v>
      </c>
      <c r="L123" s="262"/>
    </row>
    <row r="124" spans="1:12">
      <c r="A124" s="303">
        <f t="shared" si="8"/>
        <v>107</v>
      </c>
      <c r="B124" s="353" t="s">
        <v>530</v>
      </c>
      <c r="C124" s="354">
        <f>C122*C13</f>
        <v>728738.89595104661</v>
      </c>
      <c r="D124" s="238"/>
      <c r="E124" s="354">
        <v>0</v>
      </c>
      <c r="F124" s="238"/>
      <c r="G124" s="332">
        <f>G122*G13</f>
        <v>44732296.820666283</v>
      </c>
      <c r="H124" s="238"/>
      <c r="I124" s="332">
        <f>I122*I13</f>
        <v>43122110.340000004</v>
      </c>
      <c r="J124" s="238"/>
      <c r="K124" s="354">
        <f>SUM(C124:I124)</f>
        <v>88583146.056617334</v>
      </c>
      <c r="L124" s="262"/>
    </row>
    <row r="125" spans="1:12">
      <c r="A125" s="303">
        <f>A124+1</f>
        <v>108</v>
      </c>
      <c r="B125" s="353" t="s">
        <v>531</v>
      </c>
      <c r="C125" s="354">
        <f>C122*C16</f>
        <v>53894.706152190702</v>
      </c>
      <c r="D125" s="238"/>
      <c r="E125" s="354"/>
      <c r="F125" s="238"/>
      <c r="G125" s="332"/>
      <c r="H125" s="238"/>
      <c r="I125" s="332"/>
      <c r="J125" s="238"/>
      <c r="K125" s="354">
        <f>SUM(C125:I125)</f>
        <v>53894.706152190702</v>
      </c>
      <c r="L125" s="262"/>
    </row>
    <row r="126" spans="1:12">
      <c r="A126" s="303">
        <f t="shared" si="8"/>
        <v>109</v>
      </c>
      <c r="B126" s="353" t="s">
        <v>532</v>
      </c>
      <c r="C126" s="354">
        <f>C122*C17</f>
        <v>353746.76326456602</v>
      </c>
      <c r="D126" s="238"/>
      <c r="E126" s="354"/>
      <c r="F126" s="238"/>
      <c r="G126" s="332"/>
      <c r="H126" s="238"/>
      <c r="I126" s="332"/>
      <c r="J126" s="238"/>
      <c r="K126" s="354">
        <f>SUM(C126:I126)</f>
        <v>353746.76326456602</v>
      </c>
      <c r="L126" s="262"/>
    </row>
    <row r="127" spans="1:12">
      <c r="A127" s="303">
        <f t="shared" si="9"/>
        <v>110</v>
      </c>
      <c r="B127" s="332" t="s">
        <v>533</v>
      </c>
      <c r="C127" s="332"/>
      <c r="D127" s="332"/>
      <c r="E127" s="332"/>
      <c r="F127" s="332"/>
      <c r="G127" s="332"/>
      <c r="H127" s="238"/>
      <c r="I127" s="238"/>
      <c r="J127" s="238"/>
      <c r="K127" s="238"/>
      <c r="L127" s="262"/>
    </row>
    <row r="128" spans="1:12">
      <c r="A128" s="303">
        <f t="shared" si="9"/>
        <v>111</v>
      </c>
      <c r="B128" s="332" t="s">
        <v>534</v>
      </c>
      <c r="C128" s="332"/>
      <c r="D128" s="332"/>
      <c r="E128" s="332"/>
      <c r="F128" s="332"/>
      <c r="G128" s="332"/>
      <c r="H128" s="238"/>
      <c r="I128" s="238"/>
      <c r="J128" s="238"/>
      <c r="K128" s="238"/>
      <c r="L128" s="262"/>
    </row>
    <row r="129" spans="1:12">
      <c r="A129" s="303">
        <f t="shared" si="9"/>
        <v>112</v>
      </c>
      <c r="B129" s="332" t="s">
        <v>535</v>
      </c>
      <c r="C129" s="332"/>
      <c r="D129" s="332"/>
      <c r="E129" s="332"/>
      <c r="F129" s="332"/>
      <c r="G129" s="332"/>
      <c r="H129" s="238"/>
      <c r="I129" s="238"/>
      <c r="J129" s="238"/>
      <c r="K129" s="238"/>
      <c r="L129" s="262"/>
    </row>
    <row r="130" spans="1:12">
      <c r="A130" s="303">
        <f t="shared" si="9"/>
        <v>113</v>
      </c>
      <c r="B130" s="332" t="s">
        <v>536</v>
      </c>
      <c r="C130" s="332"/>
      <c r="D130" s="332"/>
      <c r="E130" s="332"/>
      <c r="F130" s="332"/>
      <c r="G130" s="332"/>
      <c r="H130" s="238"/>
      <c r="I130" s="238"/>
      <c r="J130" s="238"/>
      <c r="K130" s="238"/>
      <c r="L130" s="262"/>
    </row>
    <row r="131" spans="1:12">
      <c r="A131" s="303">
        <f t="shared" si="9"/>
        <v>114</v>
      </c>
      <c r="B131" s="332" t="s">
        <v>2664</v>
      </c>
      <c r="C131" s="332"/>
      <c r="D131" s="332"/>
      <c r="E131" s="332"/>
      <c r="F131" s="332"/>
      <c r="G131" s="332"/>
      <c r="H131" s="238"/>
      <c r="I131" s="238"/>
      <c r="J131" s="238"/>
      <c r="K131" s="238"/>
      <c r="L131" s="262"/>
    </row>
    <row r="132" spans="1:12">
      <c r="A132" s="303">
        <f t="shared" si="9"/>
        <v>115</v>
      </c>
      <c r="B132" s="332" t="s">
        <v>537</v>
      </c>
      <c r="C132" s="332"/>
      <c r="D132" s="332"/>
      <c r="E132" s="332"/>
      <c r="F132" s="332"/>
      <c r="G132" s="332"/>
      <c r="H132" s="238"/>
      <c r="I132" s="238"/>
      <c r="J132" s="238"/>
      <c r="K132" s="238"/>
      <c r="L132" s="262"/>
    </row>
    <row r="133" spans="1:12">
      <c r="A133" s="303">
        <f t="shared" si="9"/>
        <v>116</v>
      </c>
      <c r="B133" s="332" t="s">
        <v>538</v>
      </c>
      <c r="C133" s="332"/>
      <c r="D133" s="332"/>
      <c r="E133" s="332"/>
      <c r="F133" s="332"/>
      <c r="G133" s="332"/>
      <c r="H133" s="238"/>
      <c r="I133" s="238"/>
      <c r="J133" s="238"/>
      <c r="K133" s="238"/>
      <c r="L133" s="262"/>
    </row>
    <row r="134" spans="1:12">
      <c r="A134" s="303">
        <f t="shared" si="9"/>
        <v>117</v>
      </c>
      <c r="B134" s="332" t="s">
        <v>539</v>
      </c>
      <c r="C134" s="332"/>
      <c r="D134" s="332"/>
      <c r="E134" s="332"/>
      <c r="F134" s="332"/>
      <c r="G134" s="332"/>
      <c r="H134" s="238"/>
      <c r="I134" s="238"/>
      <c r="J134" s="238"/>
      <c r="K134" s="238"/>
      <c r="L134" s="262"/>
    </row>
    <row r="135" spans="1:12" ht="13.5" thickBot="1">
      <c r="A135" s="325">
        <f t="shared" si="9"/>
        <v>118</v>
      </c>
      <c r="B135" s="333" t="s">
        <v>398</v>
      </c>
      <c r="C135" s="333"/>
      <c r="D135" s="333"/>
      <c r="E135" s="333"/>
      <c r="F135" s="333"/>
      <c r="G135" s="333"/>
      <c r="H135" s="260"/>
      <c r="I135" s="260"/>
      <c r="J135" s="260"/>
      <c r="K135" s="260"/>
      <c r="L135" s="327"/>
    </row>
    <row r="136" spans="1:12">
      <c r="C136" s="235"/>
      <c r="D136" s="235"/>
      <c r="E136" s="235"/>
      <c r="F136" s="235"/>
      <c r="G136" s="235"/>
    </row>
    <row r="137" spans="1:12">
      <c r="B137" s="235"/>
      <c r="C137" s="235"/>
      <c r="D137" s="235"/>
      <c r="E137" s="235"/>
      <c r="F137" s="235"/>
      <c r="G137" s="235"/>
    </row>
    <row r="138" spans="1:12">
      <c r="C138" s="235"/>
      <c r="D138" s="235"/>
      <c r="E138" s="235"/>
      <c r="F138" s="235"/>
      <c r="G138" s="235"/>
    </row>
    <row r="139" spans="1:12">
      <c r="B139" s="235"/>
      <c r="C139" s="235"/>
      <c r="D139" s="235"/>
      <c r="E139" s="235"/>
      <c r="F139" s="235"/>
      <c r="G139" s="235"/>
    </row>
  </sheetData>
  <hyperlinks>
    <hyperlink ref="M1" location="'Cover Sheets'!A16" display="(Back to Worksheet Links)" xr:uid="{00000000-0004-0000-0500-000000000000}"/>
  </hyperlinks>
  <pageMargins left="0.7" right="0.7" top="0.75" bottom="0.75" header="0.3" footer="0.3"/>
  <pageSetup scale="77" fitToHeight="0" orientation="landscape" r:id="rId1"/>
  <headerFooter>
    <oddFooter>&amp;R&amp;A</oddFooter>
  </headerFooter>
  <rowBreaks count="4" manualBreakCount="4">
    <brk id="41" max="16383" man="1"/>
    <brk id="61" max="16383" man="1"/>
    <brk id="87"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0"/>
  <sheetViews>
    <sheetView view="pageBreakPreview" zoomScale="70" zoomScaleNormal="100" zoomScaleSheetLayoutView="70" workbookViewId="0"/>
  </sheetViews>
  <sheetFormatPr defaultColWidth="13.26953125" defaultRowHeight="14.5"/>
  <cols>
    <col min="1" max="1" width="9.7265625" style="33" customWidth="1"/>
    <col min="2" max="2" width="37.7265625" style="33" bestFit="1" customWidth="1"/>
    <col min="3" max="3" width="14.7265625" style="33" customWidth="1"/>
    <col min="4" max="4" width="16.7265625" style="33" customWidth="1"/>
    <col min="5" max="11" width="13.26953125" style="33"/>
    <col min="12" max="12" width="13.7265625" style="33" bestFit="1" customWidth="1"/>
    <col min="13" max="15" width="13.26953125" style="33"/>
    <col min="16" max="16" width="22.26953125" style="33" customWidth="1"/>
    <col min="17" max="16384" width="13.26953125" style="33"/>
  </cols>
  <sheetData>
    <row r="1" spans="1:16">
      <c r="A1" s="730" t="str">
        <f>'Cover Sheets'!A10:B10</f>
        <v>WAPA-UGP 2021 Rate Estimate Calculation</v>
      </c>
      <c r="B1" s="503"/>
      <c r="C1" s="277"/>
      <c r="D1" s="277"/>
      <c r="E1" s="277"/>
      <c r="F1" s="277"/>
      <c r="G1" s="277"/>
      <c r="H1" s="277"/>
      <c r="I1" s="277"/>
      <c r="J1" s="277"/>
      <c r="K1" s="277"/>
      <c r="L1" s="277"/>
      <c r="M1" s="277"/>
      <c r="N1" s="277"/>
      <c r="O1" s="277"/>
      <c r="P1" s="575" t="s">
        <v>42</v>
      </c>
    </row>
    <row r="2" spans="1:16">
      <c r="A2" s="730" t="s">
        <v>540</v>
      </c>
      <c r="B2" s="503"/>
      <c r="C2" s="277"/>
      <c r="D2" s="277"/>
      <c r="E2" s="277"/>
      <c r="F2" s="277"/>
      <c r="G2" s="277"/>
      <c r="H2" s="277"/>
      <c r="I2" s="277"/>
      <c r="J2" s="277"/>
      <c r="K2" s="277"/>
      <c r="L2" s="277"/>
      <c r="M2" s="277"/>
      <c r="N2" s="277"/>
      <c r="O2" s="277"/>
    </row>
    <row r="3" spans="1:16">
      <c r="A3" s="731" t="str">
        <f>'Summary-ATRR'!A3</f>
        <v>12 Months Ending 09/30/2021 ESTIMATE</v>
      </c>
      <c r="B3" s="277"/>
      <c r="C3" s="277"/>
      <c r="D3" s="277"/>
      <c r="E3" s="277"/>
      <c r="F3" s="277"/>
      <c r="G3" s="277"/>
      <c r="H3" s="277"/>
      <c r="I3" s="277"/>
      <c r="J3" s="277"/>
      <c r="K3" s="277"/>
      <c r="L3" s="277"/>
      <c r="M3" s="277"/>
      <c r="N3" s="277"/>
      <c r="O3" s="277"/>
    </row>
    <row r="4" spans="1:16" ht="39.5">
      <c r="A4" s="731"/>
      <c r="B4" s="240" t="s">
        <v>541</v>
      </c>
      <c r="C4" s="241" t="s">
        <v>542</v>
      </c>
      <c r="D4" s="240" t="s">
        <v>543</v>
      </c>
      <c r="E4" s="240" t="s">
        <v>544</v>
      </c>
      <c r="F4" s="240" t="s">
        <v>545</v>
      </c>
      <c r="G4" s="240" t="s">
        <v>546</v>
      </c>
      <c r="H4" s="240" t="s">
        <v>547</v>
      </c>
      <c r="I4" s="240" t="s">
        <v>548</v>
      </c>
      <c r="J4" s="240" t="s">
        <v>549</v>
      </c>
      <c r="K4" s="240" t="s">
        <v>550</v>
      </c>
      <c r="L4" s="240" t="s">
        <v>549</v>
      </c>
      <c r="M4" s="241" t="s">
        <v>551</v>
      </c>
      <c r="N4" s="240" t="s">
        <v>552</v>
      </c>
      <c r="O4" s="240" t="s">
        <v>553</v>
      </c>
    </row>
    <row r="5" spans="1:16">
      <c r="A5" s="508" t="s">
        <v>316</v>
      </c>
      <c r="B5" s="509">
        <v>-1</v>
      </c>
      <c r="C5" s="509">
        <v>-2</v>
      </c>
      <c r="D5" s="509">
        <v>-3</v>
      </c>
      <c r="E5" s="509">
        <v>-4</v>
      </c>
      <c r="F5" s="509">
        <v>-5</v>
      </c>
      <c r="G5" s="509">
        <v>-6</v>
      </c>
      <c r="H5" s="509">
        <v>-7</v>
      </c>
      <c r="I5" s="509">
        <v>-8</v>
      </c>
      <c r="J5" s="509">
        <v>-9</v>
      </c>
      <c r="K5" s="509">
        <v>-10</v>
      </c>
      <c r="L5" s="509">
        <v>-11</v>
      </c>
      <c r="M5" s="509">
        <v>-12</v>
      </c>
      <c r="N5" s="509">
        <v>-13</v>
      </c>
      <c r="O5" s="509">
        <v>-14</v>
      </c>
    </row>
    <row r="6" spans="1:16">
      <c r="A6" s="504">
        <v>1</v>
      </c>
      <c r="B6" s="511" t="s">
        <v>554</v>
      </c>
      <c r="C6" s="513" t="s">
        <v>555</v>
      </c>
      <c r="D6" s="514">
        <f>'WS7-BPUFac'!H5</f>
        <v>91120</v>
      </c>
      <c r="E6" s="515">
        <f>D6/D19</f>
        <v>1.1802010701517242E-2</v>
      </c>
      <c r="F6" s="514">
        <f>'WS4-CostData'!C23*'WS5-BPUz'!E6</f>
        <v>46440.986142279668</v>
      </c>
      <c r="G6" s="501">
        <f>'WS4-CostData'!C126*'WS5-BPUz'!E6</f>
        <v>4174.9230856754948</v>
      </c>
      <c r="H6" s="518">
        <f>'WS4-CostData'!C51*'WS5-BPUz'!E6</f>
        <v>2153.2347665878574</v>
      </c>
      <c r="I6" s="501">
        <f>'WS4-CostData'!C98*'WS5-BPUz'!E6</f>
        <v>1014.0458817172176</v>
      </c>
      <c r="J6" s="515">
        <f>'WS2-AllocFactor'!F25</f>
        <v>4.9518058794053493E-2</v>
      </c>
      <c r="K6" s="514">
        <f>D6-F6</f>
        <v>44679.013857720332</v>
      </c>
      <c r="L6" s="516">
        <f>J6*K6</f>
        <v>2212.4180350669262</v>
      </c>
      <c r="M6" s="517">
        <f>L6+G6+I6+H6</f>
        <v>9554.6217690474969</v>
      </c>
      <c r="N6" s="517">
        <f>E6*N18</f>
        <v>-187.76025177025963</v>
      </c>
      <c r="O6" s="517">
        <f>M6+N6</f>
        <v>9366.861517277237</v>
      </c>
    </row>
    <row r="7" spans="1:16">
      <c r="A7" s="504">
        <f t="shared" ref="A7:A19" si="0">A6+1</f>
        <v>2</v>
      </c>
      <c r="B7" s="511" t="s">
        <v>556</v>
      </c>
      <c r="C7" s="513" t="s">
        <v>557</v>
      </c>
      <c r="D7" s="514">
        <f>'WS7-BPUFac'!H6</f>
        <v>2297088.2999999998</v>
      </c>
      <c r="E7" s="515">
        <f>D7/D19</f>
        <v>0.29752261522091794</v>
      </c>
      <c r="F7" s="514">
        <f>'WS4-CostData'!C23*'WS5-BPUz'!E7</f>
        <v>1170753.3571981203</v>
      </c>
      <c r="G7" s="501">
        <f>'WS4-CostData'!C126*'WS5-BPUz'!E7</f>
        <v>105247.66213240863</v>
      </c>
      <c r="H7" s="518">
        <f>'WS4-CostData'!C51*'WS5-BPUz'!E7</f>
        <v>54281.940183079423</v>
      </c>
      <c r="I7" s="501">
        <f>'WS4-CostData'!C98*'WS5-BPUz'!E7</f>
        <v>25563.574742710756</v>
      </c>
      <c r="J7" s="515">
        <f>'WS2-AllocFactor'!F25</f>
        <v>4.9518058794053493E-2</v>
      </c>
      <c r="K7" s="514">
        <f>D7-F7</f>
        <v>1126334.9428018795</v>
      </c>
      <c r="L7" s="516">
        <f>J7*K7</f>
        <v>55773.91991946035</v>
      </c>
      <c r="M7" s="517">
        <f>L7+G7+I7+H7</f>
        <v>240867.09697765918</v>
      </c>
      <c r="N7" s="517">
        <f>E7*N18</f>
        <v>-4733.3393058221864</v>
      </c>
      <c r="O7" s="517">
        <f>M7+N7</f>
        <v>236133.757671837</v>
      </c>
    </row>
    <row r="8" spans="1:16">
      <c r="A8" s="504">
        <f t="shared" si="0"/>
        <v>3</v>
      </c>
      <c r="B8" s="511" t="s">
        <v>558</v>
      </c>
      <c r="C8" s="513" t="s">
        <v>557</v>
      </c>
      <c r="D8" s="698">
        <f>'WS7-BPUFac'!H7</f>
        <v>5332510</v>
      </c>
      <c r="E8" s="515">
        <f>D8/D19</f>
        <v>0.69067537407756474</v>
      </c>
      <c r="F8" s="514">
        <f>'WS4-CostData'!C23*'WS5-BPUz'!E8</f>
        <v>2717811.9294728679</v>
      </c>
      <c r="G8" s="501">
        <f>'WS4-CostData'!C126*'WS5-BPUz'!E8</f>
        <v>244324.17804648186</v>
      </c>
      <c r="H8" s="518">
        <f>'WS4-CostData'!C51*'WS5-BPUz'!E8</f>
        <v>126011.25905594177</v>
      </c>
      <c r="I8" s="501">
        <f>'WS4-CostData'!C98*'WS5-BPUz'!E8</f>
        <v>59343.830165889805</v>
      </c>
      <c r="J8" s="515">
        <f>'WS2-AllocFactor'!F25</f>
        <v>4.9518058794053493E-2</v>
      </c>
      <c r="K8" s="514">
        <f>D8-F8</f>
        <v>2614698.0705271321</v>
      </c>
      <c r="L8" s="516">
        <f>J8*K8</f>
        <v>129474.77278506076</v>
      </c>
      <c r="M8" s="517">
        <f>L8+G8+I8+H8</f>
        <v>559154.04005337413</v>
      </c>
      <c r="N8" s="517">
        <f>E8*N18</f>
        <v>-10988.07528717545</v>
      </c>
      <c r="O8" s="517">
        <f>M8+N8</f>
        <v>548165.96476619865</v>
      </c>
    </row>
    <row r="9" spans="1:16">
      <c r="A9" s="504">
        <f t="shared" si="0"/>
        <v>4</v>
      </c>
      <c r="B9" s="510"/>
      <c r="C9" s="501"/>
      <c r="D9" s="285"/>
      <c r="E9" s="285"/>
      <c r="F9" s="285"/>
      <c r="G9" s="285"/>
      <c r="H9" s="285"/>
      <c r="I9" s="285"/>
      <c r="J9" s="285"/>
      <c r="K9" s="285"/>
      <c r="L9" s="285"/>
      <c r="M9" s="285"/>
      <c r="N9" s="285"/>
      <c r="O9" s="285"/>
    </row>
    <row r="10" spans="1:16">
      <c r="A10" s="504">
        <f t="shared" si="0"/>
        <v>5</v>
      </c>
      <c r="B10" s="510"/>
      <c r="C10" s="501"/>
      <c r="D10" s="505"/>
      <c r="E10" s="505"/>
      <c r="F10" s="505"/>
      <c r="G10" s="505"/>
      <c r="H10" s="505"/>
      <c r="I10" s="505"/>
      <c r="J10" s="505"/>
      <c r="K10" s="505"/>
      <c r="L10" s="505"/>
      <c r="M10" s="505"/>
      <c r="N10" s="505"/>
      <c r="O10" s="505"/>
    </row>
    <row r="11" spans="1:16">
      <c r="A11" s="504">
        <f t="shared" si="0"/>
        <v>6</v>
      </c>
      <c r="B11" s="510"/>
      <c r="C11" s="285"/>
      <c r="D11" s="285"/>
      <c r="E11" s="285"/>
      <c r="F11" s="285"/>
      <c r="G11" s="285"/>
      <c r="H11" s="285"/>
      <c r="I11" s="285"/>
      <c r="J11" s="285"/>
      <c r="K11" s="285"/>
      <c r="L11" s="285"/>
      <c r="M11" s="285"/>
      <c r="N11" s="285"/>
      <c r="O11" s="285"/>
    </row>
    <row r="12" spans="1:16">
      <c r="A12" s="504">
        <f t="shared" si="0"/>
        <v>7</v>
      </c>
      <c r="B12" s="511"/>
      <c r="C12" s="502"/>
      <c r="D12" s="285"/>
      <c r="E12" s="285"/>
      <c r="F12" s="285"/>
      <c r="G12" s="285"/>
      <c r="H12" s="285"/>
      <c r="I12" s="285"/>
      <c r="J12" s="285"/>
      <c r="K12" s="285"/>
      <c r="L12" s="285"/>
      <c r="M12" s="285"/>
      <c r="N12" s="285"/>
      <c r="O12" s="285"/>
    </row>
    <row r="13" spans="1:16">
      <c r="A13" s="504">
        <f t="shared" si="0"/>
        <v>8</v>
      </c>
      <c r="B13" s="511"/>
      <c r="C13" s="501"/>
      <c r="D13" s="285"/>
      <c r="E13" s="285"/>
      <c r="F13" s="285"/>
      <c r="G13" s="285"/>
      <c r="H13" s="285"/>
      <c r="I13" s="285"/>
      <c r="J13" s="285"/>
      <c r="K13" s="285"/>
      <c r="L13" s="285"/>
      <c r="M13" s="285"/>
      <c r="N13" s="285"/>
      <c r="O13" s="285"/>
    </row>
    <row r="14" spans="1:16">
      <c r="A14" s="504">
        <f t="shared" si="0"/>
        <v>9</v>
      </c>
      <c r="B14" s="511"/>
      <c r="C14" s="501"/>
      <c r="D14" s="285"/>
      <c r="E14" s="285"/>
      <c r="F14" s="285"/>
      <c r="G14" s="285"/>
      <c r="H14" s="285"/>
      <c r="I14" s="285"/>
      <c r="J14" s="285"/>
      <c r="K14" s="285"/>
      <c r="L14" s="285"/>
      <c r="M14" s="285"/>
      <c r="N14" s="285"/>
      <c r="O14" s="285"/>
    </row>
    <row r="15" spans="1:16">
      <c r="A15" s="504">
        <f t="shared" si="0"/>
        <v>10</v>
      </c>
      <c r="B15" s="510"/>
      <c r="C15" s="502"/>
      <c r="D15" s="506"/>
      <c r="E15" s="506"/>
      <c r="F15" s="506"/>
      <c r="G15" s="506"/>
      <c r="H15" s="506"/>
      <c r="I15" s="506"/>
      <c r="J15" s="506"/>
      <c r="K15" s="506"/>
      <c r="L15" s="506"/>
      <c r="M15" s="506"/>
      <c r="N15" s="506"/>
      <c r="O15" s="506"/>
    </row>
    <row r="16" spans="1:16">
      <c r="A16" s="504">
        <f t="shared" si="0"/>
        <v>11</v>
      </c>
      <c r="B16" s="511"/>
      <c r="C16" s="501"/>
      <c r="D16" s="285"/>
      <c r="E16" s="285"/>
      <c r="F16" s="285"/>
      <c r="G16" s="285"/>
      <c r="H16" s="285"/>
      <c r="I16" s="285"/>
      <c r="J16" s="285"/>
      <c r="K16" s="285"/>
      <c r="L16" s="285"/>
      <c r="M16" s="285"/>
      <c r="N16" s="285"/>
      <c r="O16" s="285"/>
    </row>
    <row r="17" spans="1:15">
      <c r="A17" s="504">
        <f t="shared" si="0"/>
        <v>12</v>
      </c>
      <c r="B17" s="512"/>
      <c r="C17" s="355"/>
      <c r="D17" s="507"/>
      <c r="E17" s="507"/>
      <c r="F17" s="507"/>
      <c r="G17" s="507"/>
      <c r="H17" s="507"/>
      <c r="I17" s="507"/>
      <c r="J17" s="507"/>
      <c r="K17" s="507"/>
      <c r="L17" s="507"/>
      <c r="M17" s="507"/>
      <c r="N17" s="507"/>
      <c r="O17" s="507"/>
    </row>
    <row r="18" spans="1:15">
      <c r="A18" s="504">
        <f t="shared" si="0"/>
        <v>13</v>
      </c>
      <c r="B18" s="512" t="s">
        <v>559</v>
      </c>
      <c r="C18" s="355"/>
      <c r="D18" s="595">
        <v>-18333</v>
      </c>
      <c r="E18" s="507"/>
      <c r="F18" s="507"/>
      <c r="G18" s="507"/>
      <c r="H18" s="507"/>
      <c r="I18" s="507"/>
      <c r="J18" s="602">
        <f>D19/(D19+'WS6-BPUr'!D19)</f>
        <v>0.86778895133190959</v>
      </c>
      <c r="K18" s="507"/>
      <c r="L18" s="507"/>
      <c r="M18" s="507"/>
      <c r="N18" s="599">
        <f>D18*J18</f>
        <v>-15909.174844767898</v>
      </c>
      <c r="O18" s="594"/>
    </row>
    <row r="19" spans="1:15">
      <c r="A19" s="537">
        <f t="shared" si="0"/>
        <v>14</v>
      </c>
      <c r="B19" s="538" t="s">
        <v>501</v>
      </c>
      <c r="C19" s="539"/>
      <c r="D19" s="540">
        <f>SUM(D6:D8)</f>
        <v>7720718.2999999998</v>
      </c>
      <c r="E19" s="640">
        <v>1</v>
      </c>
      <c r="F19" s="540">
        <f>SUM(F6:F18)</f>
        <v>3935006.272813268</v>
      </c>
      <c r="G19" s="540">
        <f>SUM(G6:G18)</f>
        <v>353746.76326456596</v>
      </c>
      <c r="H19" s="540">
        <f>SUM(H6:H18)</f>
        <v>182446.43400560904</v>
      </c>
      <c r="I19" s="540">
        <f>SUM(I6:I18)</f>
        <v>85921.450790317787</v>
      </c>
      <c r="J19" s="541"/>
      <c r="K19" s="540">
        <f>SUM(K6:K18)</f>
        <v>3785712.0271867318</v>
      </c>
      <c r="L19" s="540">
        <f>SUM(L6:L18)</f>
        <v>187461.11073958804</v>
      </c>
      <c r="M19" s="540">
        <f>SUM(M6:M18)</f>
        <v>809575.75880008074</v>
      </c>
      <c r="N19" s="596">
        <f>SUM(N6:N8)</f>
        <v>-15909.174844767897</v>
      </c>
      <c r="O19" s="593">
        <f>SUM(O6:O10)</f>
        <v>793666.58395531285</v>
      </c>
    </row>
    <row r="20" spans="1:15">
      <c r="A20" s="35"/>
      <c r="B20" s="34"/>
      <c r="C20" s="34"/>
      <c r="D20" s="34"/>
    </row>
  </sheetData>
  <hyperlinks>
    <hyperlink ref="P1" location="'Cover Sheets'!A16" display="(Back to Worksheet Links)" xr:uid="{00000000-0004-0000-0600-000000000000}"/>
  </hyperlinks>
  <pageMargins left="0.7" right="0.7" top="0.75" bottom="0.75" header="0.3" footer="0.3"/>
  <pageSetup scale="54"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0"/>
  <sheetViews>
    <sheetView view="pageBreakPreview" zoomScale="70" zoomScaleNormal="100" zoomScaleSheetLayoutView="70" workbookViewId="0"/>
  </sheetViews>
  <sheetFormatPr defaultColWidth="13.26953125" defaultRowHeight="14.5"/>
  <cols>
    <col min="1" max="1" width="9.7265625" style="33" customWidth="1"/>
    <col min="2" max="2" width="37.7265625" style="33" customWidth="1"/>
    <col min="3" max="3" width="14.7265625" style="33" customWidth="1"/>
    <col min="4" max="15" width="13.7265625" style="33" customWidth="1"/>
    <col min="16" max="16384" width="13.26953125" style="33"/>
  </cols>
  <sheetData>
    <row r="1" spans="1:16">
      <c r="A1" s="730" t="str">
        <f>'Cover Sheets'!A10:B10</f>
        <v>WAPA-UGP 2021 Rate Estimate Calculation</v>
      </c>
      <c r="B1" s="503"/>
      <c r="C1" s="277"/>
      <c r="D1" s="277"/>
      <c r="E1" s="277"/>
      <c r="F1" s="277"/>
      <c r="G1" s="277"/>
      <c r="H1" s="277"/>
      <c r="I1" s="277"/>
      <c r="J1" s="277"/>
      <c r="K1" s="277"/>
      <c r="L1" s="277"/>
      <c r="M1" s="519"/>
      <c r="N1" s="519"/>
      <c r="O1" s="519"/>
      <c r="P1" s="575" t="s">
        <v>42</v>
      </c>
    </row>
    <row r="2" spans="1:16">
      <c r="A2" s="730" t="s">
        <v>560</v>
      </c>
      <c r="B2" s="503"/>
      <c r="C2" s="277"/>
      <c r="D2" s="277"/>
      <c r="E2" s="277"/>
      <c r="F2" s="277"/>
      <c r="G2" s="277"/>
      <c r="H2" s="277"/>
      <c r="I2" s="277"/>
      <c r="J2" s="277"/>
      <c r="K2" s="277"/>
      <c r="L2" s="277"/>
      <c r="M2" s="519"/>
      <c r="N2" s="519"/>
      <c r="O2" s="519"/>
    </row>
    <row r="3" spans="1:16">
      <c r="A3" s="731" t="str">
        <f>'Summary-ATRR'!A3</f>
        <v>12 Months Ending 09/30/2021 ESTIMATE</v>
      </c>
      <c r="B3" s="277"/>
      <c r="C3" s="277"/>
      <c r="D3" s="277"/>
      <c r="E3" s="277"/>
      <c r="F3" s="277"/>
      <c r="G3" s="277"/>
      <c r="H3" s="277"/>
      <c r="I3" s="277"/>
      <c r="J3" s="277"/>
      <c r="K3" s="277"/>
      <c r="L3" s="277"/>
      <c r="M3" s="519"/>
      <c r="N3" s="519"/>
      <c r="O3" s="519"/>
    </row>
    <row r="4" spans="1:16" ht="39.5">
      <c r="A4" s="731"/>
      <c r="B4" s="240" t="s">
        <v>541</v>
      </c>
      <c r="C4" s="241" t="s">
        <v>542</v>
      </c>
      <c r="D4" s="240" t="s">
        <v>561</v>
      </c>
      <c r="E4" s="240" t="s">
        <v>562</v>
      </c>
      <c r="F4" s="240" t="s">
        <v>545</v>
      </c>
      <c r="G4" s="240" t="s">
        <v>546</v>
      </c>
      <c r="H4" s="240" t="s">
        <v>547</v>
      </c>
      <c r="I4" s="240" t="s">
        <v>548</v>
      </c>
      <c r="J4" s="240" t="s">
        <v>549</v>
      </c>
      <c r="K4" s="240" t="s">
        <v>550</v>
      </c>
      <c r="L4" s="240" t="s">
        <v>549</v>
      </c>
      <c r="M4" s="241" t="s">
        <v>551</v>
      </c>
      <c r="N4" s="240" t="s">
        <v>552</v>
      </c>
      <c r="O4" s="240" t="s">
        <v>553</v>
      </c>
    </row>
    <row r="5" spans="1:16">
      <c r="A5" s="508" t="s">
        <v>316</v>
      </c>
      <c r="B5" s="509">
        <v>-1</v>
      </c>
      <c r="C5" s="509">
        <v>-2</v>
      </c>
      <c r="D5" s="509">
        <v>-3</v>
      </c>
      <c r="E5" s="509">
        <v>-4</v>
      </c>
      <c r="F5" s="509">
        <v>-5</v>
      </c>
      <c r="G5" s="509">
        <v>-6</v>
      </c>
      <c r="H5" s="509">
        <v>-7</v>
      </c>
      <c r="I5" s="509">
        <v>-8</v>
      </c>
      <c r="J5" s="509">
        <v>-9</v>
      </c>
      <c r="K5" s="509">
        <v>-10</v>
      </c>
      <c r="L5" s="509">
        <v>-11</v>
      </c>
      <c r="M5" s="509">
        <v>-12</v>
      </c>
      <c r="N5" s="509">
        <v>-13</v>
      </c>
      <c r="O5" s="509">
        <v>-14</v>
      </c>
    </row>
    <row r="6" spans="1:16">
      <c r="A6" s="504">
        <v>1</v>
      </c>
      <c r="B6" s="511" t="s">
        <v>563</v>
      </c>
      <c r="C6" s="513" t="s">
        <v>555</v>
      </c>
      <c r="D6" s="514">
        <f>'WS7-BPUFac'!G5</f>
        <v>44880</v>
      </c>
      <c r="E6" s="515">
        <f>D6/D19</f>
        <v>3.8154125835673541E-2</v>
      </c>
      <c r="F6" s="514">
        <f>'WS4-CostData'!C22*'WS6-BPUr'!E6</f>
        <v>22873.918547689987</v>
      </c>
      <c r="G6" s="501">
        <f>'WS4-CostData'!C125*'WS6-BPUr'!E6</f>
        <v>2056.3054004073329</v>
      </c>
      <c r="H6" s="518">
        <f>'WS4-CostData'!C50*'WS6-BPUr'!E6</f>
        <v>1060.5484671253625</v>
      </c>
      <c r="I6" s="501">
        <f>'WS4-CostData'!C97*'WS6-BPUr'!E6</f>
        <v>499.45543427862958</v>
      </c>
      <c r="J6" s="515">
        <f>'WS2-AllocFactor'!F25</f>
        <v>4.9518058794053493E-2</v>
      </c>
      <c r="K6" s="514">
        <f>D6-F6</f>
        <v>22006.081452310013</v>
      </c>
      <c r="L6" s="516">
        <f>J6*K6</f>
        <v>1089.6984351822173</v>
      </c>
      <c r="M6" s="517">
        <f>L6+H6+G6+I6</f>
        <v>4706.0077369935425</v>
      </c>
      <c r="N6" s="517">
        <f>E6*N18</f>
        <v>-92.478929976396543</v>
      </c>
      <c r="O6" s="517">
        <f>M6+N6</f>
        <v>4613.5288070171464</v>
      </c>
    </row>
    <row r="7" spans="1:16">
      <c r="A7" s="504">
        <f t="shared" ref="A7:A19" si="0">A6+1</f>
        <v>2</v>
      </c>
      <c r="B7" s="511" t="s">
        <v>556</v>
      </c>
      <c r="C7" s="513" t="s">
        <v>557</v>
      </c>
      <c r="D7" s="514">
        <f>'WS7-BPUFac'!G6</f>
        <v>1131401.7000000002</v>
      </c>
      <c r="E7" s="515">
        <f>D7/D19</f>
        <v>0.96184587416432643</v>
      </c>
      <c r="F7" s="514">
        <f>'WS4-CostData'!C22*'WS6-BPUr'!E7</f>
        <v>576639.71324683563</v>
      </c>
      <c r="G7" s="501">
        <f>'WS4-CostData'!C125*'WS6-BPUr'!E7</f>
        <v>51838.400751783367</v>
      </c>
      <c r="H7" s="518">
        <f>'WS4-CostData'!C50*'WS6-BPUr'!E7</f>
        <v>26735.880985695847</v>
      </c>
      <c r="I7" s="501">
        <f>'WS4-CostData'!C97*'WS6-BPUr'!E7</f>
        <v>12591.014425514257</v>
      </c>
      <c r="J7" s="515">
        <f>'WS2-AllocFactor'!F25</f>
        <v>4.9518058794053493E-2</v>
      </c>
      <c r="K7" s="514">
        <f>D7-F7</f>
        <v>554761.98675316456</v>
      </c>
      <c r="L7" s="516">
        <f>J7*K7</f>
        <v>27470.736676749129</v>
      </c>
      <c r="M7" s="517">
        <f>L7+H7+G7+I7</f>
        <v>118636.03283974259</v>
      </c>
      <c r="N7" s="517">
        <f>E7*N18</f>
        <v>-2331.3462252557047</v>
      </c>
      <c r="O7" s="517">
        <f>M7+N7</f>
        <v>116304.68661448688</v>
      </c>
    </row>
    <row r="8" spans="1:16">
      <c r="A8" s="504">
        <f t="shared" si="0"/>
        <v>3</v>
      </c>
      <c r="B8" s="510"/>
      <c r="C8" s="501"/>
      <c r="D8" s="285"/>
      <c r="E8" s="285"/>
      <c r="F8" s="285"/>
      <c r="G8" s="285"/>
      <c r="H8" s="285"/>
      <c r="I8" s="285"/>
      <c r="J8" s="285"/>
      <c r="K8" s="285"/>
      <c r="L8" s="285"/>
      <c r="M8" s="519"/>
      <c r="N8" s="519"/>
      <c r="O8" s="519"/>
    </row>
    <row r="9" spans="1:16">
      <c r="A9" s="504">
        <f t="shared" si="0"/>
        <v>4</v>
      </c>
      <c r="B9" s="510"/>
      <c r="C9" s="501"/>
      <c r="D9" s="285"/>
      <c r="E9" s="285"/>
      <c r="F9" s="285"/>
      <c r="G9" s="285"/>
      <c r="H9" s="285"/>
      <c r="I9" s="285"/>
      <c r="J9" s="285"/>
      <c r="K9" s="285"/>
      <c r="L9" s="285"/>
      <c r="M9" s="519"/>
      <c r="N9" s="519"/>
      <c r="O9" s="519"/>
    </row>
    <row r="10" spans="1:16">
      <c r="A10" s="504">
        <f t="shared" si="0"/>
        <v>5</v>
      </c>
      <c r="B10" s="510"/>
      <c r="C10" s="501"/>
      <c r="D10" s="505"/>
      <c r="E10" s="505"/>
      <c r="F10" s="505"/>
      <c r="G10" s="505"/>
      <c r="H10" s="505"/>
      <c r="I10" s="505"/>
      <c r="J10" s="505"/>
      <c r="K10" s="505"/>
      <c r="L10" s="505"/>
      <c r="M10" s="519"/>
      <c r="N10" s="519"/>
      <c r="O10" s="519"/>
    </row>
    <row r="11" spans="1:16">
      <c r="A11" s="504">
        <f t="shared" si="0"/>
        <v>6</v>
      </c>
      <c r="B11" s="510"/>
      <c r="C11" s="285"/>
      <c r="D11" s="285"/>
      <c r="E11" s="285"/>
      <c r="F11" s="285"/>
      <c r="G11" s="285"/>
      <c r="H11" s="285"/>
      <c r="I11" s="285"/>
      <c r="J11" s="285"/>
      <c r="K11" s="285"/>
      <c r="L11" s="285"/>
      <c r="M11" s="519"/>
      <c r="N11" s="519"/>
      <c r="O11" s="519"/>
    </row>
    <row r="12" spans="1:16">
      <c r="A12" s="504">
        <f t="shared" si="0"/>
        <v>7</v>
      </c>
      <c r="B12" s="511"/>
      <c r="C12" s="502"/>
      <c r="D12" s="285"/>
      <c r="E12" s="285"/>
      <c r="F12" s="285"/>
      <c r="G12" s="285"/>
      <c r="H12" s="285"/>
      <c r="I12" s="285"/>
      <c r="J12" s="285"/>
      <c r="K12" s="285"/>
      <c r="L12" s="285"/>
      <c r="M12" s="519"/>
      <c r="N12" s="519"/>
      <c r="O12" s="519"/>
    </row>
    <row r="13" spans="1:16">
      <c r="A13" s="504">
        <f t="shared" si="0"/>
        <v>8</v>
      </c>
      <c r="B13" s="511"/>
      <c r="C13" s="501"/>
      <c r="D13" s="285"/>
      <c r="E13" s="285"/>
      <c r="F13" s="285"/>
      <c r="G13" s="285"/>
      <c r="H13" s="285"/>
      <c r="I13" s="285"/>
      <c r="J13" s="285"/>
      <c r="K13" s="285"/>
      <c r="L13" s="285"/>
      <c r="M13" s="519"/>
      <c r="N13" s="519"/>
      <c r="O13" s="519"/>
    </row>
    <row r="14" spans="1:16">
      <c r="A14" s="504">
        <f t="shared" si="0"/>
        <v>9</v>
      </c>
      <c r="B14" s="511"/>
      <c r="C14" s="501"/>
      <c r="D14" s="285"/>
      <c r="E14" s="285"/>
      <c r="F14" s="285"/>
      <c r="G14" s="285"/>
      <c r="H14" s="285"/>
      <c r="I14" s="285"/>
      <c r="J14" s="285"/>
      <c r="K14" s="285"/>
      <c r="L14" s="285"/>
      <c r="M14" s="519"/>
      <c r="N14" s="519"/>
      <c r="O14" s="519"/>
    </row>
    <row r="15" spans="1:16">
      <c r="A15" s="504">
        <f t="shared" si="0"/>
        <v>10</v>
      </c>
      <c r="B15" s="510"/>
      <c r="C15" s="502"/>
      <c r="D15" s="506"/>
      <c r="E15" s="506"/>
      <c r="F15" s="506"/>
      <c r="G15" s="506"/>
      <c r="H15" s="506"/>
      <c r="I15" s="506"/>
      <c r="J15" s="506"/>
      <c r="K15" s="506"/>
      <c r="L15" s="506"/>
      <c r="M15" s="519"/>
      <c r="N15" s="519"/>
      <c r="O15" s="519"/>
    </row>
    <row r="16" spans="1:16">
      <c r="A16" s="504">
        <f t="shared" si="0"/>
        <v>11</v>
      </c>
      <c r="B16" s="511"/>
      <c r="C16" s="501"/>
      <c r="D16" s="285"/>
      <c r="E16" s="285"/>
      <c r="F16" s="285"/>
      <c r="G16" s="285"/>
      <c r="H16" s="285"/>
      <c r="I16" s="285"/>
      <c r="J16" s="285"/>
      <c r="K16" s="285"/>
      <c r="L16" s="285"/>
      <c r="M16" s="519"/>
      <c r="N16" s="519"/>
      <c r="O16" s="519"/>
    </row>
    <row r="17" spans="1:15">
      <c r="A17" s="504">
        <f t="shared" si="0"/>
        <v>12</v>
      </c>
      <c r="B17" s="512"/>
      <c r="C17" s="355"/>
      <c r="D17" s="507"/>
      <c r="E17" s="507"/>
      <c r="F17" s="507"/>
      <c r="G17" s="507"/>
      <c r="H17" s="507"/>
      <c r="I17" s="507"/>
      <c r="J17" s="507"/>
      <c r="K17" s="507"/>
      <c r="L17" s="507"/>
      <c r="M17" s="519"/>
      <c r="N17" s="519"/>
      <c r="O17" s="519"/>
    </row>
    <row r="18" spans="1:15">
      <c r="A18" s="504">
        <f t="shared" si="0"/>
        <v>13</v>
      </c>
      <c r="B18" s="512" t="s">
        <v>559</v>
      </c>
      <c r="C18" s="355"/>
      <c r="D18" s="603">
        <v>-18333</v>
      </c>
      <c r="E18" s="507"/>
      <c r="F18" s="507"/>
      <c r="G18" s="507"/>
      <c r="H18" s="507"/>
      <c r="I18" s="507"/>
      <c r="J18" s="602">
        <f>D19/(D19+'WS5-BPUz'!D19)</f>
        <v>0.13221104866809039</v>
      </c>
      <c r="K18" s="507"/>
      <c r="L18" s="507"/>
      <c r="M18" s="519"/>
      <c r="N18" s="600">
        <f>D18*J18</f>
        <v>-2423.8251552321012</v>
      </c>
      <c r="O18" s="598"/>
    </row>
    <row r="19" spans="1:15">
      <c r="A19" s="542">
        <f t="shared" si="0"/>
        <v>14</v>
      </c>
      <c r="B19" s="538" t="s">
        <v>501</v>
      </c>
      <c r="C19" s="539"/>
      <c r="D19" s="540">
        <f>SUM(D6:D7)</f>
        <v>1176281.7000000002</v>
      </c>
      <c r="E19" s="640">
        <v>1</v>
      </c>
      <c r="F19" s="540">
        <f>SUM(F6:F18)</f>
        <v>599513.63179452566</v>
      </c>
      <c r="G19" s="539">
        <f>SUM(G6:G18)</f>
        <v>53894.706152190702</v>
      </c>
      <c r="H19" s="543">
        <f>SUM(H6:H18)</f>
        <v>27796.429452821209</v>
      </c>
      <c r="I19" s="543">
        <f>SUM(I6:I18)</f>
        <v>13090.469859792887</v>
      </c>
      <c r="J19" s="541"/>
      <c r="K19" s="543">
        <f>SUM(K6:K18)</f>
        <v>576768.06820547453</v>
      </c>
      <c r="L19" s="543">
        <f>SUM(L6:L18)</f>
        <v>28560.435111931347</v>
      </c>
      <c r="M19" s="543">
        <f>SUM(M6:M18)</f>
        <v>123342.04057673614</v>
      </c>
      <c r="N19" s="597">
        <f>SUM(N6:N9)</f>
        <v>-2423.8251552321012</v>
      </c>
      <c r="O19" s="597">
        <f>SUM(O6:O7)</f>
        <v>120918.21542150404</v>
      </c>
    </row>
    <row r="20" spans="1:15">
      <c r="A20" s="35"/>
      <c r="B20" s="34"/>
      <c r="C20" s="34"/>
      <c r="D20" s="34"/>
    </row>
  </sheetData>
  <hyperlinks>
    <hyperlink ref="P1" location="'Cover Sheets'!A16" display="(Back to Worksheet Links)" xr:uid="{00000000-0004-0000-0700-000000000000}"/>
  </hyperlinks>
  <pageMargins left="0.7" right="0.7" top="0.75" bottom="0.75" header="0.3" footer="0.3"/>
  <pageSetup scale="53"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3"/>
  <sheetViews>
    <sheetView view="pageBreakPreview" zoomScale="70" zoomScaleNormal="100" zoomScaleSheetLayoutView="70" workbookViewId="0"/>
  </sheetViews>
  <sheetFormatPr defaultColWidth="9.26953125" defaultRowHeight="13"/>
  <cols>
    <col min="1" max="1" width="22.26953125" style="236" customWidth="1"/>
    <col min="2" max="2" width="19.26953125" style="236" bestFit="1" customWidth="1"/>
    <col min="3" max="3" width="82.1796875" style="236" customWidth="1"/>
    <col min="4" max="4" width="9.81640625" style="236" customWidth="1"/>
    <col min="5" max="5" width="22" style="430" customWidth="1"/>
    <col min="6" max="6" width="16.54296875" style="236" customWidth="1"/>
    <col min="7" max="7" width="15" style="431" customWidth="1"/>
    <col min="8" max="8" width="17.26953125" style="236" customWidth="1"/>
    <col min="9" max="9" width="16.453125" style="432" customWidth="1"/>
    <col min="10" max="10" width="22.54296875" style="236" customWidth="1"/>
    <col min="11" max="11" width="11.54296875" style="236" bestFit="1" customWidth="1"/>
    <col min="12" max="16384" width="9.26953125" style="236"/>
  </cols>
  <sheetData>
    <row r="1" spans="1:14" ht="14.5">
      <c r="A1" s="232" t="str">
        <f>'Cover Sheets'!A10:B10</f>
        <v>WAPA-UGP 2021 Rate Estimate Calculation</v>
      </c>
      <c r="B1" s="620"/>
      <c r="C1" s="237"/>
      <c r="D1" s="237"/>
      <c r="E1" s="438"/>
      <c r="F1" s="237"/>
      <c r="G1" s="418"/>
      <c r="H1" s="237"/>
      <c r="I1" s="419"/>
      <c r="J1" s="576" t="s">
        <v>42</v>
      </c>
    </row>
    <row r="2" spans="1:14">
      <c r="A2" s="560" t="s">
        <v>564</v>
      </c>
      <c r="B2" s="621"/>
      <c r="C2" s="238"/>
      <c r="D2" s="238"/>
      <c r="E2" s="436"/>
      <c r="F2" s="238"/>
      <c r="G2" s="403"/>
      <c r="H2" s="238"/>
      <c r="I2" s="404"/>
    </row>
    <row r="3" spans="1:14">
      <c r="A3" s="239" t="str">
        <f>'Summary-ATRR'!A3</f>
        <v>12 Months Ending 09/30/2021 ESTIMATE</v>
      </c>
      <c r="B3" s="622"/>
      <c r="C3" s="238"/>
      <c r="D3" s="238"/>
      <c r="E3" s="436"/>
      <c r="F3" s="238"/>
      <c r="G3" s="403"/>
      <c r="H3" s="238"/>
      <c r="I3" s="404"/>
    </row>
    <row r="4" spans="1:14" s="3" customFormat="1" ht="52">
      <c r="A4" s="641" t="s">
        <v>565</v>
      </c>
      <c r="B4" s="642" t="s">
        <v>566</v>
      </c>
      <c r="C4" s="643" t="s">
        <v>311</v>
      </c>
      <c r="D4" s="644" t="s">
        <v>567</v>
      </c>
      <c r="E4" s="645" t="s">
        <v>568</v>
      </c>
      <c r="F4" s="645" t="s">
        <v>569</v>
      </c>
      <c r="G4" s="646" t="s">
        <v>314</v>
      </c>
      <c r="H4" s="646" t="s">
        <v>315</v>
      </c>
      <c r="I4" s="647" t="s">
        <v>570</v>
      </c>
      <c r="J4" s="8"/>
      <c r="N4" s="8"/>
    </row>
    <row r="5" spans="1:14">
      <c r="A5" s="592"/>
      <c r="B5" s="623" t="s">
        <v>571</v>
      </c>
      <c r="C5" s="375" t="s">
        <v>572</v>
      </c>
      <c r="D5" s="375" t="s">
        <v>573</v>
      </c>
      <c r="E5" s="216">
        <v>0</v>
      </c>
      <c r="F5" s="216">
        <v>136000</v>
      </c>
      <c r="G5" s="331">
        <f>G12</f>
        <v>44880</v>
      </c>
      <c r="H5" s="331">
        <f>I12</f>
        <v>91120</v>
      </c>
      <c r="I5" s="380">
        <f>G5+H5</f>
        <v>136000</v>
      </c>
      <c r="J5" s="736"/>
      <c r="L5" s="11"/>
      <c r="M5" s="11"/>
      <c r="N5" s="15"/>
    </row>
    <row r="6" spans="1:14">
      <c r="A6" s="592"/>
      <c r="B6" s="623" t="s">
        <v>574</v>
      </c>
      <c r="C6" s="375" t="s">
        <v>575</v>
      </c>
      <c r="D6" s="375"/>
      <c r="E6" s="216"/>
      <c r="F6" s="216">
        <v>3428490</v>
      </c>
      <c r="G6" s="331">
        <f>G19</f>
        <v>1131401.7000000002</v>
      </c>
      <c r="H6" s="331">
        <f>I19</f>
        <v>2297088.2999999998</v>
      </c>
      <c r="I6" s="380">
        <f>G6+H6</f>
        <v>3428490</v>
      </c>
      <c r="J6" s="736"/>
      <c r="L6" s="11"/>
      <c r="M6" s="11"/>
      <c r="N6" s="15"/>
    </row>
    <row r="7" spans="1:14">
      <c r="A7" s="385"/>
      <c r="B7" s="623" t="s">
        <v>574</v>
      </c>
      <c r="C7" s="533" t="s">
        <v>576</v>
      </c>
      <c r="D7" s="533" t="s">
        <v>368</v>
      </c>
      <c r="E7" s="534">
        <f>SUM(E4:E4)</f>
        <v>0</v>
      </c>
      <c r="F7" s="742">
        <v>5332510</v>
      </c>
      <c r="G7" s="328">
        <f>G27</f>
        <v>0</v>
      </c>
      <c r="H7" s="738">
        <f>I27</f>
        <v>5332510</v>
      </c>
      <c r="I7" s="536">
        <f>G7+H7</f>
        <v>5332510</v>
      </c>
      <c r="J7" s="14"/>
      <c r="K7" s="736"/>
      <c r="L7" s="11"/>
      <c r="M7" s="11"/>
      <c r="N7" s="15"/>
    </row>
    <row r="8" spans="1:14">
      <c r="A8" s="385"/>
      <c r="B8" s="623"/>
      <c r="C8" s="375" t="s">
        <v>396</v>
      </c>
      <c r="D8" s="375" t="s">
        <v>368</v>
      </c>
      <c r="E8" s="216">
        <f>SUM(E5:E7)</f>
        <v>0</v>
      </c>
      <c r="F8" s="498">
        <f>SUM(F5:F7)</f>
        <v>8897000</v>
      </c>
      <c r="G8" s="331">
        <f>SUM(G5:G7)</f>
        <v>1176281.7000000002</v>
      </c>
      <c r="H8" s="331">
        <f>SUM(H5:H7)</f>
        <v>7720718.2999999998</v>
      </c>
      <c r="I8" s="532">
        <f>SUM(I5:I7)</f>
        <v>8897000</v>
      </c>
      <c r="J8" s="14"/>
      <c r="K8" s="736"/>
      <c r="L8" s="11"/>
      <c r="M8" s="11"/>
      <c r="N8" s="15"/>
    </row>
    <row r="9" spans="1:14" ht="14.25" customHeight="1">
      <c r="A9" s="393" t="s">
        <v>577</v>
      </c>
      <c r="B9" s="624" t="s">
        <v>566</v>
      </c>
      <c r="C9" s="586" t="s">
        <v>311</v>
      </c>
      <c r="D9" s="586" t="s">
        <v>578</v>
      </c>
      <c r="E9" s="587" t="s">
        <v>579</v>
      </c>
      <c r="F9" s="588" t="s">
        <v>580</v>
      </c>
      <c r="G9" s="589" t="s">
        <v>581</v>
      </c>
      <c r="H9" s="590" t="s">
        <v>582</v>
      </c>
      <c r="I9" s="591" t="s">
        <v>583</v>
      </c>
    </row>
    <row r="10" spans="1:14" ht="12.75" customHeight="1">
      <c r="A10" s="393"/>
      <c r="B10" s="623" t="s">
        <v>571</v>
      </c>
      <c r="C10" s="437" t="s">
        <v>584</v>
      </c>
      <c r="D10" s="396"/>
      <c r="E10" s="535">
        <v>20000</v>
      </c>
      <c r="F10" s="572">
        <v>0.33</v>
      </c>
      <c r="G10" s="403">
        <f>F10*E10</f>
        <v>6600</v>
      </c>
      <c r="H10" s="572">
        <v>0.67</v>
      </c>
      <c r="I10" s="404">
        <f>E10*H10</f>
        <v>13400</v>
      </c>
    </row>
    <row r="11" spans="1:14" ht="12.75" customHeight="1">
      <c r="A11" s="393"/>
      <c r="B11" s="623" t="s">
        <v>571</v>
      </c>
      <c r="C11" s="437" t="s">
        <v>585</v>
      </c>
      <c r="D11" s="396"/>
      <c r="E11" s="535">
        <v>116000</v>
      </c>
      <c r="F11" s="572">
        <v>0.33</v>
      </c>
      <c r="G11" s="403">
        <f t="shared" ref="G11:G26" si="0">F11*E11</f>
        <v>38280</v>
      </c>
      <c r="H11" s="572">
        <v>0.67</v>
      </c>
      <c r="I11" s="404">
        <f>E11*H11</f>
        <v>77720</v>
      </c>
    </row>
    <row r="12" spans="1:14" ht="13.5" thickBot="1">
      <c r="A12" s="401"/>
      <c r="B12" s="625"/>
      <c r="C12" s="617" t="s">
        <v>586</v>
      </c>
      <c r="D12" s="406"/>
      <c r="E12" s="407">
        <f>SUM(E10:E11)</f>
        <v>136000</v>
      </c>
      <c r="F12" s="743"/>
      <c r="G12" s="409">
        <f>SUM(G10:G11)</f>
        <v>44880</v>
      </c>
      <c r="H12" s="743"/>
      <c r="I12" s="410">
        <f>SUM(I10:I11)</f>
        <v>91120</v>
      </c>
    </row>
    <row r="13" spans="1:14" ht="13.5" thickTop="1">
      <c r="A13" s="401"/>
      <c r="B13" s="626" t="s">
        <v>574</v>
      </c>
      <c r="C13" s="436" t="s">
        <v>587</v>
      </c>
      <c r="D13" s="375" t="s">
        <v>588</v>
      </c>
      <c r="E13" s="216">
        <v>507079</v>
      </c>
      <c r="F13" s="572">
        <v>0.33</v>
      </c>
      <c r="G13" s="403">
        <f t="shared" si="0"/>
        <v>167336.07</v>
      </c>
      <c r="H13" s="572">
        <v>0.67</v>
      </c>
      <c r="I13" s="404">
        <f>E13*H13</f>
        <v>339742.93</v>
      </c>
    </row>
    <row r="14" spans="1:14">
      <c r="A14" s="401"/>
      <c r="B14" s="626" t="s">
        <v>574</v>
      </c>
      <c r="C14" s="436" t="s">
        <v>589</v>
      </c>
      <c r="D14" s="375" t="s">
        <v>590</v>
      </c>
      <c r="E14" s="216">
        <v>290698</v>
      </c>
      <c r="F14" s="572">
        <v>0.33</v>
      </c>
      <c r="G14" s="403">
        <f t="shared" si="0"/>
        <v>95930.340000000011</v>
      </c>
      <c r="H14" s="572">
        <v>0.67</v>
      </c>
      <c r="I14" s="404">
        <f t="shared" ref="I14:I26" si="1">E14*H14</f>
        <v>194767.66</v>
      </c>
    </row>
    <row r="15" spans="1:14">
      <c r="A15" s="401"/>
      <c r="B15" s="626" t="s">
        <v>574</v>
      </c>
      <c r="C15" s="436" t="s">
        <v>591</v>
      </c>
      <c r="D15" s="375" t="s">
        <v>590</v>
      </c>
      <c r="E15" s="216">
        <v>102695</v>
      </c>
      <c r="F15" s="572">
        <v>0.33</v>
      </c>
      <c r="G15" s="403">
        <f t="shared" si="0"/>
        <v>33889.35</v>
      </c>
      <c r="H15" s="572">
        <v>0.67</v>
      </c>
      <c r="I15" s="404">
        <f t="shared" si="1"/>
        <v>68805.650000000009</v>
      </c>
    </row>
    <row r="16" spans="1:14">
      <c r="A16" s="401"/>
      <c r="B16" s="626" t="s">
        <v>574</v>
      </c>
      <c r="C16" s="436" t="s">
        <v>592</v>
      </c>
      <c r="D16" s="375" t="s">
        <v>593</v>
      </c>
      <c r="E16" s="216">
        <v>409927</v>
      </c>
      <c r="F16" s="572">
        <v>0.33</v>
      </c>
      <c r="G16" s="403">
        <f t="shared" si="0"/>
        <v>135275.91</v>
      </c>
      <c r="H16" s="572">
        <v>0.67</v>
      </c>
      <c r="I16" s="404">
        <f t="shared" si="1"/>
        <v>274651.09000000003</v>
      </c>
    </row>
    <row r="17" spans="1:9">
      <c r="A17" s="401"/>
      <c r="B17" s="626" t="s">
        <v>574</v>
      </c>
      <c r="C17" s="436" t="s">
        <v>594</v>
      </c>
      <c r="D17" s="375" t="s">
        <v>588</v>
      </c>
      <c r="E17" s="216">
        <v>476416</v>
      </c>
      <c r="F17" s="572">
        <v>0.33</v>
      </c>
      <c r="G17" s="403">
        <f t="shared" si="0"/>
        <v>157217.28</v>
      </c>
      <c r="H17" s="572">
        <v>0.67</v>
      </c>
      <c r="I17" s="404">
        <f t="shared" si="1"/>
        <v>319198.72000000003</v>
      </c>
    </row>
    <row r="18" spans="1:9">
      <c r="A18" s="401"/>
      <c r="B18" s="626" t="s">
        <v>574</v>
      </c>
      <c r="C18" s="436" t="s">
        <v>595</v>
      </c>
      <c r="D18" s="375" t="s">
        <v>596</v>
      </c>
      <c r="E18" s="216">
        <v>1641675</v>
      </c>
      <c r="F18" s="572">
        <v>0.33</v>
      </c>
      <c r="G18" s="403">
        <f t="shared" si="0"/>
        <v>541752.75</v>
      </c>
      <c r="H18" s="572">
        <v>0.67</v>
      </c>
      <c r="I18" s="404">
        <f t="shared" si="1"/>
        <v>1099922.25</v>
      </c>
    </row>
    <row r="19" spans="1:9" ht="13.5" thickBot="1">
      <c r="A19" s="401"/>
      <c r="B19" s="625"/>
      <c r="C19" s="617" t="s">
        <v>597</v>
      </c>
      <c r="D19" s="406"/>
      <c r="E19" s="407">
        <f>SUM(E13:E18)</f>
        <v>3428490</v>
      </c>
      <c r="F19" s="408"/>
      <c r="G19" s="409">
        <f>SUM(G13:G18)</f>
        <v>1131401.7000000002</v>
      </c>
      <c r="H19" s="408"/>
      <c r="I19" s="410">
        <f>SUM(I13:I18)</f>
        <v>2297088.2999999998</v>
      </c>
    </row>
    <row r="20" spans="1:9" ht="13.5" thickTop="1">
      <c r="A20" s="401"/>
      <c r="B20" s="626" t="s">
        <v>574</v>
      </c>
      <c r="C20" s="436" t="s">
        <v>598</v>
      </c>
      <c r="D20" s="375" t="s">
        <v>596</v>
      </c>
      <c r="E20" s="216">
        <v>510765</v>
      </c>
      <c r="F20" s="572">
        <v>0</v>
      </c>
      <c r="G20" s="403">
        <f t="shared" si="0"/>
        <v>0</v>
      </c>
      <c r="H20" s="572">
        <v>1</v>
      </c>
      <c r="I20" s="404">
        <f t="shared" si="1"/>
        <v>510765</v>
      </c>
    </row>
    <row r="21" spans="1:9">
      <c r="A21" s="401"/>
      <c r="B21" s="626" t="s">
        <v>574</v>
      </c>
      <c r="C21" s="436" t="s">
        <v>599</v>
      </c>
      <c r="D21" s="375" t="s">
        <v>600</v>
      </c>
      <c r="E21" s="216">
        <v>204259</v>
      </c>
      <c r="F21" s="572">
        <v>0</v>
      </c>
      <c r="G21" s="403">
        <f t="shared" si="0"/>
        <v>0</v>
      </c>
      <c r="H21" s="572">
        <v>1</v>
      </c>
      <c r="I21" s="404">
        <f t="shared" si="1"/>
        <v>204259</v>
      </c>
    </row>
    <row r="22" spans="1:9">
      <c r="A22" s="401"/>
      <c r="B22" s="626" t="s">
        <v>574</v>
      </c>
      <c r="C22" s="436" t="s">
        <v>601</v>
      </c>
      <c r="D22" s="375" t="s">
        <v>590</v>
      </c>
      <c r="E22" s="216">
        <v>34175</v>
      </c>
      <c r="F22" s="572">
        <v>0</v>
      </c>
      <c r="G22" s="403">
        <f t="shared" si="0"/>
        <v>0</v>
      </c>
      <c r="H22" s="572">
        <v>1</v>
      </c>
      <c r="I22" s="404">
        <f t="shared" si="1"/>
        <v>34175</v>
      </c>
    </row>
    <row r="23" spans="1:9">
      <c r="A23" s="401"/>
      <c r="B23" s="626" t="s">
        <v>574</v>
      </c>
      <c r="C23" s="436" t="s">
        <v>602</v>
      </c>
      <c r="D23" s="375" t="s">
        <v>603</v>
      </c>
      <c r="E23" s="216">
        <v>713078</v>
      </c>
      <c r="F23" s="572">
        <v>0</v>
      </c>
      <c r="G23" s="403">
        <f t="shared" si="0"/>
        <v>0</v>
      </c>
      <c r="H23" s="572">
        <v>1</v>
      </c>
      <c r="I23" s="404">
        <f t="shared" si="1"/>
        <v>713078</v>
      </c>
    </row>
    <row r="24" spans="1:9">
      <c r="A24" s="401"/>
      <c r="B24" s="626" t="s">
        <v>574</v>
      </c>
      <c r="C24" s="436" t="s">
        <v>604</v>
      </c>
      <c r="D24" s="375" t="s">
        <v>605</v>
      </c>
      <c r="E24" s="216">
        <v>1592151</v>
      </c>
      <c r="F24" s="572">
        <v>0</v>
      </c>
      <c r="G24" s="403">
        <f t="shared" si="0"/>
        <v>0</v>
      </c>
      <c r="H24" s="572">
        <v>1</v>
      </c>
      <c r="I24" s="404">
        <f t="shared" si="1"/>
        <v>1592151</v>
      </c>
    </row>
    <row r="25" spans="1:9">
      <c r="A25" s="401"/>
      <c r="B25" s="626" t="s">
        <v>574</v>
      </c>
      <c r="C25" s="436" t="s">
        <v>606</v>
      </c>
      <c r="D25" s="375" t="s">
        <v>607</v>
      </c>
      <c r="E25" s="216">
        <v>674578</v>
      </c>
      <c r="F25" s="572">
        <v>0</v>
      </c>
      <c r="G25" s="403">
        <f t="shared" si="0"/>
        <v>0</v>
      </c>
      <c r="H25" s="572">
        <v>1</v>
      </c>
      <c r="I25" s="404">
        <f t="shared" si="1"/>
        <v>674578</v>
      </c>
    </row>
    <row r="26" spans="1:9">
      <c r="A26" s="401"/>
      <c r="B26" s="626" t="s">
        <v>574</v>
      </c>
      <c r="C26" s="436" t="s">
        <v>608</v>
      </c>
      <c r="D26" s="375" t="s">
        <v>609</v>
      </c>
      <c r="E26" s="216">
        <v>1603504</v>
      </c>
      <c r="F26" s="572">
        <v>0</v>
      </c>
      <c r="G26" s="403">
        <f t="shared" si="0"/>
        <v>0</v>
      </c>
      <c r="H26" s="572">
        <v>1</v>
      </c>
      <c r="I26" s="404">
        <f t="shared" si="1"/>
        <v>1603504</v>
      </c>
    </row>
    <row r="27" spans="1:9">
      <c r="A27" s="401"/>
      <c r="B27" s="625"/>
      <c r="C27" s="618" t="s">
        <v>610</v>
      </c>
      <c r="D27" s="412"/>
      <c r="E27" s="413">
        <f>SUM(E20:E26)</f>
        <v>5332510</v>
      </c>
      <c r="F27" s="573">
        <v>0</v>
      </c>
      <c r="G27" s="415">
        <f>SUM(G20:G26)</f>
        <v>0</v>
      </c>
      <c r="H27" s="414"/>
      <c r="I27" s="416">
        <f>SUM(I20:I26)</f>
        <v>5332510</v>
      </c>
    </row>
    <row r="28" spans="1:9" ht="13.5" thickBot="1">
      <c r="A28" s="581"/>
      <c r="B28" s="627"/>
      <c r="C28" s="619" t="s">
        <v>611</v>
      </c>
      <c r="D28" s="426"/>
      <c r="E28" s="427">
        <f>E12+E27+E19</f>
        <v>8897000</v>
      </c>
      <c r="F28" s="426"/>
      <c r="G28" s="427">
        <f>G12+G27+G19</f>
        <v>1176281.7000000002</v>
      </c>
      <c r="H28" s="426"/>
      <c r="I28" s="582">
        <f>I12+I27+I19</f>
        <v>7720718.2999999998</v>
      </c>
    </row>
    <row r="29" spans="1:9">
      <c r="A29" s="238"/>
      <c r="B29" s="238"/>
      <c r="C29" s="238"/>
      <c r="D29" s="238"/>
      <c r="E29" s="436"/>
      <c r="F29" s="238"/>
      <c r="G29" s="403"/>
      <c r="H29" s="238"/>
      <c r="I29" s="580"/>
    </row>
    <row r="30" spans="1:9">
      <c r="A30" s="238"/>
      <c r="B30" s="238"/>
      <c r="C30" s="238"/>
      <c r="D30" s="238"/>
      <c r="E30" s="436"/>
      <c r="F30" s="238"/>
      <c r="G30" s="403"/>
      <c r="H30" s="238"/>
      <c r="I30" s="580"/>
    </row>
    <row r="31" spans="1:9">
      <c r="A31" s="238"/>
      <c r="B31" s="238"/>
      <c r="C31" s="238"/>
      <c r="D31" s="238"/>
      <c r="E31" s="436"/>
      <c r="F31" s="238"/>
      <c r="G31" s="403"/>
      <c r="H31" s="238"/>
      <c r="I31" s="580"/>
    </row>
    <row r="32" spans="1:9">
      <c r="A32" s="238"/>
      <c r="B32" s="238"/>
      <c r="C32" s="238"/>
      <c r="D32" s="238"/>
      <c r="E32" s="436"/>
      <c r="F32" s="238"/>
      <c r="G32" s="403"/>
      <c r="H32" s="238"/>
      <c r="I32" s="580"/>
    </row>
    <row r="33" spans="1:9">
      <c r="A33" s="238"/>
      <c r="B33" s="238"/>
      <c r="C33" s="238"/>
      <c r="D33" s="238"/>
      <c r="E33" s="436"/>
      <c r="F33" s="238"/>
      <c r="G33" s="403"/>
      <c r="H33" s="238"/>
      <c r="I33" s="580"/>
    </row>
  </sheetData>
  <hyperlinks>
    <hyperlink ref="J1" location="'Cover Sheets'!A16" display="(Back to Worksheet Links)" xr:uid="{00000000-0004-0000-0900-000000000000}"/>
  </hyperlinks>
  <pageMargins left="0.7" right="0.7" top="0.75" bottom="0.75" header="0.3" footer="0.3"/>
  <pageSetup scale="55"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603"/>
  <sheetViews>
    <sheetView view="pageBreakPreview" zoomScale="110" zoomScaleNormal="90" zoomScaleSheetLayoutView="110" zoomScalePageLayoutView="90" workbookViewId="0"/>
  </sheetViews>
  <sheetFormatPr defaultColWidth="9.26953125" defaultRowHeight="13" outlineLevelRow="2"/>
  <cols>
    <col min="1" max="1" width="9.26953125" style="11"/>
    <col min="2" max="2" width="9.26953125" style="11" customWidth="1"/>
    <col min="3" max="3" width="8" style="17" bestFit="1" customWidth="1"/>
    <col min="4" max="4" width="35.453125" style="12" customWidth="1"/>
    <col min="5" max="5" width="17" style="13" bestFit="1" customWidth="1"/>
    <col min="6" max="6" width="14.26953125" style="13" customWidth="1"/>
    <col min="7" max="7" width="13.54296875" style="13" customWidth="1"/>
    <col min="8" max="8" width="12.7265625" style="13" customWidth="1"/>
    <col min="9" max="9" width="13.26953125" style="13" customWidth="1"/>
    <col min="10" max="10" width="12.7265625" style="13" customWidth="1"/>
    <col min="11" max="11" width="13.26953125" style="14" customWidth="1"/>
    <col min="12" max="12" width="22.1796875" style="17" customWidth="1"/>
    <col min="13" max="13" width="10.7265625" style="12" customWidth="1"/>
    <col min="14" max="14" width="12.26953125" style="11" customWidth="1"/>
    <col min="15" max="15" width="12" style="11" customWidth="1"/>
    <col min="16" max="17" width="9.26953125" style="12" customWidth="1"/>
    <col min="18" max="18" width="10" style="12" bestFit="1" customWidth="1"/>
    <col min="19" max="16384" width="9.26953125" style="12"/>
  </cols>
  <sheetData>
    <row r="1" spans="1:15" s="3" customFormat="1" ht="14.5">
      <c r="A1" s="1" t="str">
        <f>'Cover Sheets'!A10:B10</f>
        <v>WAPA-UGP 2021 Rate Estimate Calculation</v>
      </c>
      <c r="B1" s="1"/>
      <c r="C1" s="2"/>
      <c r="E1" s="4"/>
      <c r="F1" s="4"/>
      <c r="G1" s="4"/>
      <c r="H1" s="4"/>
      <c r="I1" s="4"/>
      <c r="J1" s="4"/>
      <c r="K1" s="5"/>
      <c r="L1" s="577" t="s">
        <v>42</v>
      </c>
    </row>
    <row r="2" spans="1:15" s="3" customFormat="1">
      <c r="A2" s="1" t="s">
        <v>612</v>
      </c>
      <c r="B2" s="1"/>
      <c r="C2" s="2"/>
      <c r="E2" s="4"/>
      <c r="F2" s="4"/>
      <c r="G2" s="4"/>
      <c r="H2" s="4"/>
      <c r="I2" s="4"/>
      <c r="J2" s="4"/>
      <c r="K2" s="5"/>
    </row>
    <row r="3" spans="1:15" s="6" customFormat="1">
      <c r="A3" s="1" t="str">
        <f>'Summary-ATRR'!A3</f>
        <v>12 Months Ending 09/30/2021 ESTIMATE</v>
      </c>
      <c r="B3" s="1"/>
      <c r="C3" s="3"/>
      <c r="E3" s="4"/>
      <c r="F3" s="4"/>
      <c r="G3" s="4"/>
      <c r="H3" s="4"/>
      <c r="I3" s="4"/>
      <c r="J3" s="4"/>
      <c r="K3" s="7"/>
      <c r="L3" s="3"/>
      <c r="M3" s="3"/>
      <c r="N3" s="3"/>
      <c r="O3" s="3"/>
    </row>
    <row r="4" spans="1:15" s="11" customFormat="1">
      <c r="B4" s="610"/>
      <c r="C4" s="610"/>
      <c r="D4" s="610"/>
      <c r="E4" s="31">
        <v>-1</v>
      </c>
      <c r="F4" s="610">
        <v>-2</v>
      </c>
      <c r="G4" s="610">
        <v>-3</v>
      </c>
      <c r="H4" s="610">
        <v>-4</v>
      </c>
      <c r="I4" s="610">
        <v>-5</v>
      </c>
      <c r="J4" s="610">
        <v>-6</v>
      </c>
      <c r="K4" s="610">
        <v>-7</v>
      </c>
    </row>
    <row r="5" spans="1:15" s="3" customFormat="1" ht="54.75" customHeight="1">
      <c r="A5" s="3" t="s">
        <v>397</v>
      </c>
      <c r="C5" s="8" t="s">
        <v>566</v>
      </c>
      <c r="D5" s="9" t="s">
        <v>311</v>
      </c>
      <c r="E5" s="10" t="s">
        <v>568</v>
      </c>
      <c r="F5" s="10" t="s">
        <v>613</v>
      </c>
      <c r="G5" s="10" t="s">
        <v>614</v>
      </c>
      <c r="H5" s="10" t="s">
        <v>615</v>
      </c>
      <c r="I5" s="10" t="s">
        <v>616</v>
      </c>
      <c r="J5" s="10" t="s">
        <v>617</v>
      </c>
      <c r="K5" s="366" t="s">
        <v>570</v>
      </c>
      <c r="L5" s="8"/>
      <c r="O5" s="8"/>
    </row>
    <row r="6" spans="1:15" ht="13.5" customHeight="1" outlineLevel="2">
      <c r="A6" s="11">
        <v>1</v>
      </c>
      <c r="B6" s="11" t="s">
        <v>555</v>
      </c>
      <c r="C6" s="12" t="s">
        <v>618</v>
      </c>
      <c r="D6" s="12" t="s">
        <v>619</v>
      </c>
      <c r="E6" s="13">
        <v>133157.92000000001</v>
      </c>
      <c r="G6" s="13">
        <f>E6+F6</f>
        <v>133157.92000000001</v>
      </c>
      <c r="H6" s="14">
        <v>0</v>
      </c>
      <c r="I6" s="14">
        <v>0</v>
      </c>
      <c r="J6" s="14"/>
      <c r="K6" s="14">
        <f>SUM(G6:J6)</f>
        <v>133157.92000000001</v>
      </c>
      <c r="L6" s="12"/>
      <c r="M6" s="11"/>
      <c r="O6" s="15"/>
    </row>
    <row r="7" spans="1:15" outlineLevel="2">
      <c r="A7" s="11">
        <f t="shared" ref="A7:A71" si="0">A6+1</f>
        <v>2</v>
      </c>
      <c r="B7" s="11" t="s">
        <v>555</v>
      </c>
      <c r="C7" s="12" t="s">
        <v>620</v>
      </c>
      <c r="D7" s="12" t="s">
        <v>621</v>
      </c>
      <c r="E7" s="13">
        <v>96623.18</v>
      </c>
      <c r="G7" s="13">
        <f t="shared" ref="G7:G71" si="1">E7+F7</f>
        <v>96623.18</v>
      </c>
      <c r="H7" s="14">
        <v>0</v>
      </c>
      <c r="I7" s="14">
        <v>0</v>
      </c>
      <c r="J7" s="14"/>
      <c r="K7" s="14">
        <f t="shared" ref="K7:K71" si="2">SUM(G7:J7)</f>
        <v>96623.18</v>
      </c>
      <c r="L7" s="12"/>
      <c r="M7" s="11"/>
      <c r="O7" s="15"/>
    </row>
    <row r="8" spans="1:15" ht="12.75" customHeight="1" outlineLevel="2">
      <c r="A8" s="11">
        <f t="shared" si="0"/>
        <v>3</v>
      </c>
      <c r="B8" s="11" t="s">
        <v>555</v>
      </c>
      <c r="C8" s="12" t="s">
        <v>622</v>
      </c>
      <c r="D8" s="12" t="s">
        <v>623</v>
      </c>
      <c r="E8" s="13">
        <v>459778.46</v>
      </c>
      <c r="G8" s="13">
        <f t="shared" si="1"/>
        <v>459778.46</v>
      </c>
      <c r="H8" s="14">
        <v>0</v>
      </c>
      <c r="I8" s="14">
        <v>0</v>
      </c>
      <c r="J8" s="14"/>
      <c r="K8" s="14">
        <f t="shared" si="2"/>
        <v>459778.46</v>
      </c>
      <c r="L8" s="12"/>
      <c r="M8" s="11"/>
      <c r="O8" s="15"/>
    </row>
    <row r="9" spans="1:15" ht="13.5" customHeight="1" outlineLevel="2">
      <c r="A9" s="11">
        <f t="shared" si="0"/>
        <v>4</v>
      </c>
      <c r="B9" s="11" t="s">
        <v>555</v>
      </c>
      <c r="C9" s="16" t="s">
        <v>624</v>
      </c>
      <c r="D9" s="12" t="s">
        <v>625</v>
      </c>
      <c r="E9" s="13">
        <v>357312.09</v>
      </c>
      <c r="G9" s="13">
        <f t="shared" si="1"/>
        <v>357312.09</v>
      </c>
      <c r="H9" s="14">
        <v>0</v>
      </c>
      <c r="I9" s="14">
        <v>0</v>
      </c>
      <c r="J9" s="14"/>
      <c r="K9" s="14">
        <f t="shared" si="2"/>
        <v>357312.09</v>
      </c>
      <c r="L9" s="16"/>
      <c r="M9" s="11"/>
      <c r="O9" s="15"/>
    </row>
    <row r="10" spans="1:15" outlineLevel="2">
      <c r="A10" s="11">
        <f t="shared" si="0"/>
        <v>5</v>
      </c>
      <c r="B10" s="11" t="s">
        <v>555</v>
      </c>
      <c r="C10" s="17" t="s">
        <v>626</v>
      </c>
      <c r="D10" s="12" t="s">
        <v>627</v>
      </c>
      <c r="E10" s="13">
        <v>5076896.62</v>
      </c>
      <c r="F10" s="13">
        <v>591296</v>
      </c>
      <c r="G10" s="13">
        <f t="shared" si="1"/>
        <v>5668192.6200000001</v>
      </c>
      <c r="H10" s="14">
        <v>0</v>
      </c>
      <c r="I10" s="14">
        <v>0</v>
      </c>
      <c r="J10" s="14"/>
      <c r="K10" s="14">
        <f t="shared" si="2"/>
        <v>5668192.6200000001</v>
      </c>
      <c r="M10" s="11"/>
      <c r="O10" s="15"/>
    </row>
    <row r="11" spans="1:15" outlineLevel="2">
      <c r="A11" s="11">
        <f t="shared" si="0"/>
        <v>6</v>
      </c>
      <c r="B11" s="11" t="s">
        <v>555</v>
      </c>
      <c r="C11" s="17" t="s">
        <v>628</v>
      </c>
      <c r="D11" s="12" t="s">
        <v>629</v>
      </c>
      <c r="E11" s="13">
        <v>9317119.5999999996</v>
      </c>
      <c r="G11" s="13">
        <f t="shared" si="1"/>
        <v>9317119.5999999996</v>
      </c>
      <c r="H11" s="14">
        <v>0</v>
      </c>
      <c r="I11" s="14">
        <v>0</v>
      </c>
      <c r="J11" s="14"/>
      <c r="K11" s="14">
        <f t="shared" si="2"/>
        <v>9317119.5999999996</v>
      </c>
      <c r="M11" s="11"/>
    </row>
    <row r="12" spans="1:15" outlineLevel="2">
      <c r="A12" s="11">
        <f t="shared" si="0"/>
        <v>7</v>
      </c>
      <c r="B12" s="11" t="s">
        <v>555</v>
      </c>
      <c r="C12" s="17" t="s">
        <v>630</v>
      </c>
      <c r="D12" s="12" t="s">
        <v>631</v>
      </c>
      <c r="E12" s="13">
        <v>4229572.28</v>
      </c>
      <c r="G12" s="13">
        <f t="shared" si="1"/>
        <v>4229572.28</v>
      </c>
      <c r="H12" s="14">
        <v>0</v>
      </c>
      <c r="I12" s="14">
        <v>0</v>
      </c>
      <c r="J12" s="14"/>
      <c r="K12" s="14">
        <f t="shared" si="2"/>
        <v>4229572.28</v>
      </c>
      <c r="M12" s="11"/>
      <c r="O12" s="15"/>
    </row>
    <row r="13" spans="1:15" outlineLevel="2">
      <c r="A13" s="11">
        <f t="shared" si="0"/>
        <v>8</v>
      </c>
      <c r="B13" s="11" t="s">
        <v>555</v>
      </c>
      <c r="C13" s="17" t="s">
        <v>632</v>
      </c>
      <c r="D13" s="12" t="s">
        <v>633</v>
      </c>
      <c r="E13" s="13">
        <v>12764457.25</v>
      </c>
      <c r="F13" s="13">
        <v>0</v>
      </c>
      <c r="G13" s="13">
        <f t="shared" si="1"/>
        <v>12764457.25</v>
      </c>
      <c r="H13" s="14">
        <v>0</v>
      </c>
      <c r="I13" s="14">
        <v>0</v>
      </c>
      <c r="J13" s="14"/>
      <c r="K13" s="14">
        <f t="shared" si="2"/>
        <v>12764457.25</v>
      </c>
      <c r="M13" s="11"/>
    </row>
    <row r="14" spans="1:15" outlineLevel="2">
      <c r="A14" s="11">
        <f t="shared" si="0"/>
        <v>9</v>
      </c>
      <c r="B14" s="11" t="s">
        <v>555</v>
      </c>
      <c r="C14" s="17" t="s">
        <v>634</v>
      </c>
      <c r="D14" s="12" t="s">
        <v>635</v>
      </c>
      <c r="E14" s="13">
        <v>2564428.87</v>
      </c>
      <c r="G14" s="13">
        <f t="shared" si="1"/>
        <v>2564428.87</v>
      </c>
      <c r="H14" s="14">
        <v>0</v>
      </c>
      <c r="I14" s="14">
        <v>0</v>
      </c>
      <c r="J14" s="14"/>
      <c r="K14" s="14">
        <f t="shared" si="2"/>
        <v>2564428.87</v>
      </c>
      <c r="M14" s="11"/>
      <c r="O14" s="15"/>
    </row>
    <row r="15" spans="1:15" outlineLevel="2">
      <c r="A15" s="11">
        <f t="shared" si="0"/>
        <v>10</v>
      </c>
      <c r="B15" s="11" t="s">
        <v>555</v>
      </c>
      <c r="C15" s="17" t="s">
        <v>636</v>
      </c>
      <c r="D15" s="12" t="s">
        <v>637</v>
      </c>
      <c r="E15" s="13">
        <v>1718240.27</v>
      </c>
      <c r="G15" s="13">
        <f t="shared" si="1"/>
        <v>1718240.27</v>
      </c>
      <c r="H15" s="14">
        <v>0</v>
      </c>
      <c r="I15" s="14">
        <v>0</v>
      </c>
      <c r="J15" s="14"/>
      <c r="K15" s="14">
        <f t="shared" si="2"/>
        <v>1718240.27</v>
      </c>
      <c r="M15" s="11"/>
      <c r="O15" s="15"/>
    </row>
    <row r="16" spans="1:15" outlineLevel="2">
      <c r="A16" s="11">
        <f t="shared" si="0"/>
        <v>11</v>
      </c>
      <c r="B16" s="11" t="s">
        <v>555</v>
      </c>
      <c r="C16" s="17" t="s">
        <v>638</v>
      </c>
      <c r="D16" s="12" t="s">
        <v>639</v>
      </c>
      <c r="E16" s="13">
        <v>3318557.94</v>
      </c>
      <c r="G16" s="13">
        <f t="shared" si="1"/>
        <v>3318557.94</v>
      </c>
      <c r="H16" s="14">
        <v>0</v>
      </c>
      <c r="I16" s="14">
        <v>0</v>
      </c>
      <c r="J16" s="14"/>
      <c r="K16" s="14">
        <f t="shared" si="2"/>
        <v>3318557.94</v>
      </c>
      <c r="M16" s="11"/>
      <c r="O16" s="15"/>
    </row>
    <row r="17" spans="1:15" outlineLevel="2">
      <c r="A17" s="11">
        <f t="shared" si="0"/>
        <v>12</v>
      </c>
      <c r="B17" s="11" t="s">
        <v>555</v>
      </c>
      <c r="C17" s="17" t="s">
        <v>640</v>
      </c>
      <c r="D17" s="12" t="s">
        <v>641</v>
      </c>
      <c r="E17" s="13">
        <v>2952236.87</v>
      </c>
      <c r="G17" s="13">
        <f t="shared" si="1"/>
        <v>2952236.87</v>
      </c>
      <c r="H17" s="14">
        <v>0</v>
      </c>
      <c r="I17" s="14">
        <v>0</v>
      </c>
      <c r="J17" s="14"/>
      <c r="K17" s="14">
        <f t="shared" si="2"/>
        <v>2952236.87</v>
      </c>
      <c r="M17" s="11"/>
      <c r="O17" s="15"/>
    </row>
    <row r="18" spans="1:15" outlineLevel="2">
      <c r="A18" s="11">
        <f t="shared" si="0"/>
        <v>13</v>
      </c>
      <c r="B18" s="11" t="s">
        <v>555</v>
      </c>
      <c r="C18" s="17" t="s">
        <v>642</v>
      </c>
      <c r="D18" s="12" t="s">
        <v>643</v>
      </c>
      <c r="E18" s="13">
        <v>141044</v>
      </c>
      <c r="G18" s="13">
        <f t="shared" si="1"/>
        <v>141044</v>
      </c>
      <c r="H18" s="13">
        <v>0</v>
      </c>
      <c r="I18" s="13">
        <v>0</v>
      </c>
      <c r="K18" s="14">
        <f t="shared" si="2"/>
        <v>141044</v>
      </c>
      <c r="L18" s="12"/>
      <c r="M18" s="11"/>
      <c r="O18" s="15"/>
    </row>
    <row r="19" spans="1:15" ht="12.75" customHeight="1" outlineLevel="2">
      <c r="A19" s="11">
        <f t="shared" si="0"/>
        <v>14</v>
      </c>
      <c r="B19" s="11" t="s">
        <v>555</v>
      </c>
      <c r="C19" s="735" t="s">
        <v>644</v>
      </c>
      <c r="D19" s="12" t="s">
        <v>645</v>
      </c>
      <c r="E19" s="13">
        <v>141044</v>
      </c>
      <c r="G19" s="13">
        <f t="shared" si="1"/>
        <v>141044</v>
      </c>
      <c r="H19" s="13">
        <v>0</v>
      </c>
      <c r="I19" s="13">
        <v>0</v>
      </c>
      <c r="K19" s="14">
        <f t="shared" si="2"/>
        <v>141044</v>
      </c>
      <c r="M19" s="11"/>
      <c r="O19" s="15"/>
    </row>
    <row r="20" spans="1:15" outlineLevel="2">
      <c r="A20" s="11">
        <f t="shared" si="0"/>
        <v>15</v>
      </c>
      <c r="B20" s="11" t="s">
        <v>555</v>
      </c>
      <c r="C20" s="17" t="s">
        <v>646</v>
      </c>
      <c r="D20" s="12" t="s">
        <v>647</v>
      </c>
      <c r="E20" s="13">
        <v>1259667.9099999999</v>
      </c>
      <c r="G20" s="13">
        <f t="shared" si="1"/>
        <v>1259667.9099999999</v>
      </c>
      <c r="H20" s="14">
        <v>0</v>
      </c>
      <c r="I20" s="14">
        <v>0</v>
      </c>
      <c r="J20" s="14"/>
      <c r="K20" s="14">
        <f t="shared" si="2"/>
        <v>1259667.9099999999</v>
      </c>
      <c r="M20" s="11"/>
      <c r="O20" s="15"/>
    </row>
    <row r="21" spans="1:15" outlineLevel="2">
      <c r="A21" s="11">
        <f t="shared" si="0"/>
        <v>16</v>
      </c>
      <c r="B21" s="11" t="s">
        <v>555</v>
      </c>
      <c r="C21" s="17" t="s">
        <v>648</v>
      </c>
      <c r="D21" s="12" t="s">
        <v>649</v>
      </c>
      <c r="E21" s="13">
        <f>17227021-3775575</f>
        <v>13451446</v>
      </c>
      <c r="G21" s="13">
        <f t="shared" si="1"/>
        <v>13451446</v>
      </c>
      <c r="H21" s="14">
        <v>0</v>
      </c>
      <c r="I21" s="14">
        <v>0</v>
      </c>
      <c r="J21" s="14"/>
      <c r="K21" s="14">
        <f t="shared" si="2"/>
        <v>13451446</v>
      </c>
      <c r="M21" s="11"/>
      <c r="O21" s="15"/>
    </row>
    <row r="22" spans="1:15" outlineLevel="2">
      <c r="A22" s="11">
        <f t="shared" si="0"/>
        <v>17</v>
      </c>
      <c r="B22" s="11" t="s">
        <v>555</v>
      </c>
      <c r="C22" s="17" t="s">
        <v>650</v>
      </c>
      <c r="D22" s="12" t="s">
        <v>651</v>
      </c>
      <c r="E22" s="13">
        <v>14513307.74</v>
      </c>
      <c r="G22" s="13">
        <f t="shared" si="1"/>
        <v>14513307.74</v>
      </c>
      <c r="H22" s="14">
        <v>0</v>
      </c>
      <c r="I22" s="14">
        <v>0</v>
      </c>
      <c r="J22" s="14"/>
      <c r="K22" s="14">
        <f t="shared" si="2"/>
        <v>14513307.74</v>
      </c>
      <c r="M22" s="11"/>
      <c r="O22" s="15"/>
    </row>
    <row r="23" spans="1:15" outlineLevel="2">
      <c r="A23" s="11">
        <f t="shared" si="0"/>
        <v>18</v>
      </c>
      <c r="B23" s="11" t="s">
        <v>555</v>
      </c>
      <c r="C23" s="17" t="s">
        <v>652</v>
      </c>
      <c r="D23" s="12" t="s">
        <v>2715</v>
      </c>
      <c r="E23" s="13">
        <v>2417703.4700000002</v>
      </c>
      <c r="G23" s="13">
        <f t="shared" si="1"/>
        <v>2417703.4700000002</v>
      </c>
      <c r="H23" s="14">
        <v>0</v>
      </c>
      <c r="I23" s="14">
        <v>0</v>
      </c>
      <c r="J23" s="14"/>
      <c r="K23" s="14">
        <f t="shared" si="2"/>
        <v>2417703.4700000002</v>
      </c>
      <c r="M23" s="11"/>
      <c r="O23" s="15"/>
    </row>
    <row r="24" spans="1:15" outlineLevel="2">
      <c r="A24" s="11">
        <f t="shared" si="0"/>
        <v>19</v>
      </c>
      <c r="B24" s="11" t="s">
        <v>555</v>
      </c>
      <c r="C24" s="17" t="s">
        <v>653</v>
      </c>
      <c r="D24" s="12" t="s">
        <v>654</v>
      </c>
      <c r="E24" s="13">
        <v>6735889.54</v>
      </c>
      <c r="G24" s="13">
        <f t="shared" si="1"/>
        <v>6735889.54</v>
      </c>
      <c r="H24" s="14">
        <v>0</v>
      </c>
      <c r="I24" s="14">
        <v>0</v>
      </c>
      <c r="J24" s="14"/>
      <c r="K24" s="14">
        <f t="shared" si="2"/>
        <v>6735889.54</v>
      </c>
      <c r="M24" s="11"/>
      <c r="O24" s="15"/>
    </row>
    <row r="25" spans="1:15" outlineLevel="2">
      <c r="A25" s="11">
        <f t="shared" si="0"/>
        <v>20</v>
      </c>
      <c r="B25" s="11" t="s">
        <v>555</v>
      </c>
      <c r="C25" s="17" t="s">
        <v>655</v>
      </c>
      <c r="D25" s="12" t="s">
        <v>656</v>
      </c>
      <c r="E25" s="13">
        <v>1366481</v>
      </c>
      <c r="G25" s="13">
        <f t="shared" si="1"/>
        <v>1366481</v>
      </c>
      <c r="H25" s="14">
        <v>0</v>
      </c>
      <c r="I25" s="14">
        <v>0</v>
      </c>
      <c r="J25" s="14"/>
      <c r="K25" s="14">
        <f t="shared" si="2"/>
        <v>1366481</v>
      </c>
      <c r="M25" s="11"/>
      <c r="O25" s="15"/>
    </row>
    <row r="26" spans="1:15" outlineLevel="2">
      <c r="A26" s="11">
        <f t="shared" si="0"/>
        <v>21</v>
      </c>
      <c r="B26" s="11" t="s">
        <v>555</v>
      </c>
      <c r="C26" s="17" t="s">
        <v>657</v>
      </c>
      <c r="D26" s="12" t="s">
        <v>658</v>
      </c>
      <c r="E26" s="13">
        <v>2605678.14</v>
      </c>
      <c r="G26" s="13">
        <f t="shared" si="1"/>
        <v>2605678.14</v>
      </c>
      <c r="H26" s="14">
        <v>0</v>
      </c>
      <c r="I26" s="14">
        <v>0</v>
      </c>
      <c r="J26" s="14"/>
      <c r="K26" s="14">
        <f t="shared" si="2"/>
        <v>2605678.14</v>
      </c>
      <c r="M26" s="11"/>
      <c r="O26" s="15"/>
    </row>
    <row r="27" spans="1:15" outlineLevel="2">
      <c r="A27" s="11">
        <f t="shared" si="0"/>
        <v>22</v>
      </c>
      <c r="B27" s="11" t="s">
        <v>555</v>
      </c>
      <c r="C27" s="17" t="s">
        <v>659</v>
      </c>
      <c r="D27" s="12" t="s">
        <v>660</v>
      </c>
      <c r="E27" s="13">
        <v>553799.82999999996</v>
      </c>
      <c r="G27" s="13">
        <f t="shared" si="1"/>
        <v>553799.82999999996</v>
      </c>
      <c r="H27" s="14">
        <v>0</v>
      </c>
      <c r="I27" s="14">
        <v>0</v>
      </c>
      <c r="J27" s="14"/>
      <c r="K27" s="14">
        <f t="shared" si="2"/>
        <v>553799.82999999996</v>
      </c>
      <c r="M27" s="11"/>
      <c r="O27" s="15"/>
    </row>
    <row r="28" spans="1:15" outlineLevel="2">
      <c r="A28" s="11">
        <f t="shared" si="0"/>
        <v>23</v>
      </c>
      <c r="B28" s="11" t="s">
        <v>555</v>
      </c>
      <c r="C28" s="17" t="s">
        <v>661</v>
      </c>
      <c r="D28" s="12" t="s">
        <v>662</v>
      </c>
      <c r="E28" s="13">
        <v>3464063.5</v>
      </c>
      <c r="G28" s="13">
        <f t="shared" si="1"/>
        <v>3464063.5</v>
      </c>
      <c r="H28" s="14">
        <v>0</v>
      </c>
      <c r="I28" s="14">
        <v>0</v>
      </c>
      <c r="J28" s="14"/>
      <c r="K28" s="14">
        <f t="shared" si="2"/>
        <v>3464063.5</v>
      </c>
      <c r="M28" s="11"/>
      <c r="O28" s="15"/>
    </row>
    <row r="29" spans="1:15" outlineLevel="2">
      <c r="A29" s="11">
        <f t="shared" si="0"/>
        <v>24</v>
      </c>
      <c r="B29" s="11" t="s">
        <v>555</v>
      </c>
      <c r="C29" s="17" t="s">
        <v>663</v>
      </c>
      <c r="D29" s="12" t="s">
        <v>664</v>
      </c>
      <c r="E29" s="13">
        <v>918676</v>
      </c>
      <c r="G29" s="13">
        <f t="shared" si="1"/>
        <v>918676</v>
      </c>
      <c r="H29" s="14">
        <v>0</v>
      </c>
      <c r="I29" s="14">
        <v>0</v>
      </c>
      <c r="J29" s="14"/>
      <c r="K29" s="14">
        <f t="shared" si="2"/>
        <v>918676</v>
      </c>
      <c r="M29" s="11"/>
      <c r="O29" s="15"/>
    </row>
    <row r="30" spans="1:15" outlineLevel="2">
      <c r="A30" s="11">
        <f t="shared" si="0"/>
        <v>25</v>
      </c>
      <c r="B30" s="11" t="s">
        <v>555</v>
      </c>
      <c r="C30" s="17" t="s">
        <v>665</v>
      </c>
      <c r="D30" s="12" t="s">
        <v>666</v>
      </c>
      <c r="E30" s="13">
        <v>1258899.68</v>
      </c>
      <c r="G30" s="13">
        <f t="shared" si="1"/>
        <v>1258899.68</v>
      </c>
      <c r="H30" s="14">
        <v>0</v>
      </c>
      <c r="I30" s="14">
        <v>0</v>
      </c>
      <c r="J30" s="14"/>
      <c r="K30" s="14">
        <f t="shared" si="2"/>
        <v>1258899.68</v>
      </c>
      <c r="M30" s="11"/>
      <c r="O30" s="15"/>
    </row>
    <row r="31" spans="1:15" outlineLevel="2">
      <c r="A31" s="11">
        <f t="shared" si="0"/>
        <v>26</v>
      </c>
      <c r="B31" s="11" t="s">
        <v>555</v>
      </c>
      <c r="C31" s="17" t="s">
        <v>667</v>
      </c>
      <c r="D31" s="12" t="s">
        <v>668</v>
      </c>
      <c r="E31" s="13">
        <v>20977730.73</v>
      </c>
      <c r="G31" s="13">
        <f t="shared" si="1"/>
        <v>20977730.73</v>
      </c>
      <c r="H31" s="14">
        <v>0</v>
      </c>
      <c r="I31" s="14">
        <v>0</v>
      </c>
      <c r="J31" s="14"/>
      <c r="K31" s="14">
        <f t="shared" si="2"/>
        <v>20977730.73</v>
      </c>
      <c r="M31" s="11"/>
      <c r="O31" s="15"/>
    </row>
    <row r="32" spans="1:15" outlineLevel="2">
      <c r="A32" s="11">
        <f t="shared" si="0"/>
        <v>27</v>
      </c>
      <c r="B32" s="11" t="s">
        <v>555</v>
      </c>
      <c r="C32" s="17" t="s">
        <v>669</v>
      </c>
      <c r="D32" s="12" t="s">
        <v>670</v>
      </c>
      <c r="E32" s="13">
        <v>9358003.3100000005</v>
      </c>
      <c r="G32" s="13">
        <f t="shared" si="1"/>
        <v>9358003.3100000005</v>
      </c>
      <c r="H32" s="14">
        <v>0</v>
      </c>
      <c r="I32" s="14">
        <v>0</v>
      </c>
      <c r="J32" s="14"/>
      <c r="K32" s="14">
        <f t="shared" si="2"/>
        <v>9358003.3100000005</v>
      </c>
      <c r="M32" s="11"/>
      <c r="O32" s="15"/>
    </row>
    <row r="33" spans="1:15" outlineLevel="2">
      <c r="A33" s="11">
        <f t="shared" si="0"/>
        <v>28</v>
      </c>
      <c r="B33" s="11" t="s">
        <v>555</v>
      </c>
      <c r="C33" s="17" t="s">
        <v>671</v>
      </c>
      <c r="D33" s="12" t="s">
        <v>672</v>
      </c>
      <c r="E33" s="13">
        <v>1872141.8</v>
      </c>
      <c r="G33" s="13">
        <f t="shared" si="1"/>
        <v>1872141.8</v>
      </c>
      <c r="H33" s="14">
        <v>0</v>
      </c>
      <c r="I33" s="14">
        <v>0</v>
      </c>
      <c r="J33" s="14"/>
      <c r="K33" s="14">
        <f t="shared" si="2"/>
        <v>1872141.8</v>
      </c>
      <c r="M33" s="11"/>
      <c r="O33" s="15"/>
    </row>
    <row r="34" spans="1:15" outlineLevel="2">
      <c r="A34" s="11">
        <f t="shared" si="0"/>
        <v>29</v>
      </c>
      <c r="B34" s="11" t="s">
        <v>555</v>
      </c>
      <c r="C34" s="17" t="s">
        <v>673</v>
      </c>
      <c r="D34" s="12" t="s">
        <v>674</v>
      </c>
      <c r="E34" s="13">
        <v>375316.01</v>
      </c>
      <c r="F34" s="13">
        <v>621522</v>
      </c>
      <c r="G34" s="13">
        <f t="shared" si="1"/>
        <v>996838.01</v>
      </c>
      <c r="H34" s="14">
        <v>0</v>
      </c>
      <c r="I34" s="14">
        <v>0</v>
      </c>
      <c r="J34" s="14"/>
      <c r="K34" s="14">
        <f t="shared" si="2"/>
        <v>996838.01</v>
      </c>
      <c r="M34" s="11"/>
      <c r="O34" s="15"/>
    </row>
    <row r="35" spans="1:15" outlineLevel="2">
      <c r="A35" s="11">
        <f t="shared" si="0"/>
        <v>30</v>
      </c>
      <c r="B35" s="11" t="s">
        <v>555</v>
      </c>
      <c r="C35" s="17" t="s">
        <v>675</v>
      </c>
      <c r="D35" s="12" t="s">
        <v>676</v>
      </c>
      <c r="E35" s="13">
        <v>771572.37</v>
      </c>
      <c r="G35" s="13">
        <f t="shared" si="1"/>
        <v>771572.37</v>
      </c>
      <c r="H35" s="14">
        <v>0</v>
      </c>
      <c r="I35" s="14">
        <v>0</v>
      </c>
      <c r="J35" s="14"/>
      <c r="K35" s="14">
        <f t="shared" si="2"/>
        <v>771572.37</v>
      </c>
      <c r="M35" s="11"/>
      <c r="O35" s="15"/>
    </row>
    <row r="36" spans="1:15" outlineLevel="2">
      <c r="A36" s="11">
        <f t="shared" si="0"/>
        <v>31</v>
      </c>
      <c r="B36" s="11" t="s">
        <v>555</v>
      </c>
      <c r="C36" s="17" t="s">
        <v>677</v>
      </c>
      <c r="D36" s="12" t="s">
        <v>678</v>
      </c>
      <c r="E36" s="13">
        <v>60704.18</v>
      </c>
      <c r="G36" s="13">
        <f t="shared" si="1"/>
        <v>60704.18</v>
      </c>
      <c r="H36" s="14">
        <v>0</v>
      </c>
      <c r="I36" s="14">
        <v>0</v>
      </c>
      <c r="J36" s="14"/>
      <c r="K36" s="14">
        <f t="shared" si="2"/>
        <v>60704.18</v>
      </c>
      <c r="M36" s="11"/>
      <c r="O36" s="15"/>
    </row>
    <row r="37" spans="1:15" outlineLevel="2">
      <c r="A37" s="11">
        <f t="shared" si="0"/>
        <v>32</v>
      </c>
      <c r="B37" s="11" t="s">
        <v>555</v>
      </c>
      <c r="C37" s="17" t="s">
        <v>679</v>
      </c>
      <c r="D37" s="12" t="s">
        <v>680</v>
      </c>
      <c r="E37" s="13">
        <v>2369098.0699999998</v>
      </c>
      <c r="G37" s="13">
        <f t="shared" si="1"/>
        <v>2369098.0699999998</v>
      </c>
      <c r="H37" s="14">
        <v>0</v>
      </c>
      <c r="I37" s="14">
        <v>0</v>
      </c>
      <c r="J37" s="14"/>
      <c r="K37" s="14">
        <f t="shared" si="2"/>
        <v>2369098.0699999998</v>
      </c>
      <c r="M37" s="11"/>
      <c r="O37" s="15"/>
    </row>
    <row r="38" spans="1:15" outlineLevel="2">
      <c r="A38" s="11">
        <f t="shared" si="0"/>
        <v>33</v>
      </c>
      <c r="B38" s="11" t="s">
        <v>555</v>
      </c>
      <c r="C38" s="17" t="s">
        <v>681</v>
      </c>
      <c r="D38" s="12" t="s">
        <v>682</v>
      </c>
      <c r="E38" s="13">
        <v>7305876.0899999999</v>
      </c>
      <c r="F38" s="13">
        <v>704397</v>
      </c>
      <c r="G38" s="13">
        <f t="shared" si="1"/>
        <v>8010273.0899999999</v>
      </c>
      <c r="H38" s="14">
        <v>0</v>
      </c>
      <c r="I38" s="14">
        <v>0</v>
      </c>
      <c r="J38" s="14"/>
      <c r="K38" s="14">
        <f t="shared" si="2"/>
        <v>8010273.0899999999</v>
      </c>
      <c r="M38" s="11"/>
      <c r="O38" s="15"/>
    </row>
    <row r="39" spans="1:15" outlineLevel="2">
      <c r="A39" s="11">
        <f t="shared" si="0"/>
        <v>34</v>
      </c>
      <c r="B39" s="11" t="s">
        <v>555</v>
      </c>
      <c r="C39" s="17" t="s">
        <v>683</v>
      </c>
      <c r="D39" s="12" t="s">
        <v>684</v>
      </c>
      <c r="E39" s="13">
        <v>922097.72</v>
      </c>
      <c r="G39" s="13">
        <f>E39+F39</f>
        <v>922097.72</v>
      </c>
      <c r="H39" s="14">
        <v>0</v>
      </c>
      <c r="I39" s="14">
        <v>0</v>
      </c>
      <c r="J39" s="14"/>
      <c r="K39" s="14">
        <f t="shared" si="2"/>
        <v>922097.72</v>
      </c>
      <c r="M39" s="11"/>
      <c r="O39" s="15"/>
    </row>
    <row r="40" spans="1:15" outlineLevel="2">
      <c r="A40" s="11">
        <f t="shared" si="0"/>
        <v>35</v>
      </c>
      <c r="B40" s="11" t="s">
        <v>555</v>
      </c>
      <c r="C40" s="17" t="s">
        <v>685</v>
      </c>
      <c r="D40" s="12" t="s">
        <v>686</v>
      </c>
      <c r="E40" s="13">
        <v>4465037.05</v>
      </c>
      <c r="G40" s="13">
        <f t="shared" si="1"/>
        <v>4465037.05</v>
      </c>
      <c r="H40" s="14">
        <v>0</v>
      </c>
      <c r="I40" s="14">
        <v>0</v>
      </c>
      <c r="J40" s="14"/>
      <c r="K40" s="14">
        <f t="shared" si="2"/>
        <v>4465037.05</v>
      </c>
      <c r="M40" s="11"/>
      <c r="O40" s="15"/>
    </row>
    <row r="41" spans="1:15" outlineLevel="2">
      <c r="A41" s="11">
        <f t="shared" si="0"/>
        <v>36</v>
      </c>
      <c r="B41" s="11" t="s">
        <v>555</v>
      </c>
      <c r="C41" s="17" t="s">
        <v>687</v>
      </c>
      <c r="D41" s="12" t="s">
        <v>688</v>
      </c>
      <c r="E41" s="13">
        <v>261417.22</v>
      </c>
      <c r="G41" s="13">
        <f t="shared" si="1"/>
        <v>261417.22</v>
      </c>
      <c r="H41" s="14">
        <v>0</v>
      </c>
      <c r="I41" s="14">
        <v>0</v>
      </c>
      <c r="J41" s="14"/>
      <c r="K41" s="14">
        <f t="shared" si="2"/>
        <v>261417.22</v>
      </c>
      <c r="M41" s="11"/>
      <c r="O41" s="15"/>
    </row>
    <row r="42" spans="1:15" outlineLevel="2">
      <c r="A42" s="11">
        <f t="shared" si="0"/>
        <v>37</v>
      </c>
      <c r="B42" s="11" t="s">
        <v>555</v>
      </c>
      <c r="C42" s="17" t="s">
        <v>689</v>
      </c>
      <c r="D42" s="12" t="s">
        <v>690</v>
      </c>
      <c r="E42" s="13">
        <v>8301710.0999999996</v>
      </c>
      <c r="G42" s="13">
        <f t="shared" si="1"/>
        <v>8301710.0999999996</v>
      </c>
      <c r="H42" s="14">
        <v>0</v>
      </c>
      <c r="I42" s="14">
        <v>0</v>
      </c>
      <c r="J42" s="14"/>
      <c r="K42" s="14">
        <f t="shared" si="2"/>
        <v>8301710.0999999996</v>
      </c>
      <c r="M42" s="11"/>
      <c r="O42" s="15"/>
    </row>
    <row r="43" spans="1:15" outlineLevel="2">
      <c r="A43" s="11">
        <f t="shared" si="0"/>
        <v>38</v>
      </c>
      <c r="B43" s="11" t="s">
        <v>555</v>
      </c>
      <c r="C43" s="17" t="s">
        <v>691</v>
      </c>
      <c r="D43" s="12" t="s">
        <v>692</v>
      </c>
      <c r="E43" s="13">
        <v>28806330.280000001</v>
      </c>
      <c r="G43" s="13">
        <f t="shared" si="1"/>
        <v>28806330.280000001</v>
      </c>
      <c r="H43" s="14">
        <v>0</v>
      </c>
      <c r="I43" s="14">
        <v>0</v>
      </c>
      <c r="J43" s="14"/>
      <c r="K43" s="14">
        <f t="shared" si="2"/>
        <v>28806330.280000001</v>
      </c>
      <c r="M43" s="11"/>
      <c r="O43" s="15"/>
    </row>
    <row r="44" spans="1:15" outlineLevel="2">
      <c r="A44" s="11">
        <f t="shared" si="0"/>
        <v>39</v>
      </c>
      <c r="B44" s="11" t="s">
        <v>555</v>
      </c>
      <c r="C44" s="17" t="s">
        <v>693</v>
      </c>
      <c r="D44" s="12" t="s">
        <v>694</v>
      </c>
      <c r="E44" s="13">
        <v>157876.32</v>
      </c>
      <c r="G44" s="13">
        <f t="shared" si="1"/>
        <v>157876.32</v>
      </c>
      <c r="H44" s="14">
        <v>0</v>
      </c>
      <c r="I44" s="14">
        <v>0</v>
      </c>
      <c r="J44" s="14"/>
      <c r="K44" s="14">
        <f t="shared" si="2"/>
        <v>157876.32</v>
      </c>
      <c r="M44" s="11"/>
      <c r="O44" s="15"/>
    </row>
    <row r="45" spans="1:15" outlineLevel="2">
      <c r="A45" s="11">
        <f t="shared" si="0"/>
        <v>40</v>
      </c>
      <c r="B45" s="11" t="s">
        <v>555</v>
      </c>
      <c r="C45" s="17" t="s">
        <v>695</v>
      </c>
      <c r="D45" s="12" t="s">
        <v>696</v>
      </c>
      <c r="E45" s="13">
        <v>13298531.439999999</v>
      </c>
      <c r="G45" s="13">
        <f t="shared" si="1"/>
        <v>13298531.439999999</v>
      </c>
      <c r="H45" s="14">
        <v>0</v>
      </c>
      <c r="I45" s="14">
        <v>0</v>
      </c>
      <c r="J45" s="14"/>
      <c r="K45" s="14">
        <f t="shared" si="2"/>
        <v>13298531.439999999</v>
      </c>
      <c r="M45" s="11"/>
      <c r="O45" s="15"/>
    </row>
    <row r="46" spans="1:15" outlineLevel="2">
      <c r="A46" s="11">
        <f t="shared" si="0"/>
        <v>41</v>
      </c>
      <c r="B46" s="11" t="s">
        <v>555</v>
      </c>
      <c r="C46" s="17" t="s">
        <v>697</v>
      </c>
      <c r="D46" s="12" t="s">
        <v>698</v>
      </c>
      <c r="E46" s="13">
        <v>7554491.9000000004</v>
      </c>
      <c r="G46" s="13">
        <f t="shared" si="1"/>
        <v>7554491.9000000004</v>
      </c>
      <c r="H46" s="14">
        <v>0</v>
      </c>
      <c r="I46" s="14">
        <v>0</v>
      </c>
      <c r="J46" s="14"/>
      <c r="K46" s="14">
        <f t="shared" si="2"/>
        <v>7554491.9000000004</v>
      </c>
      <c r="M46" s="11"/>
      <c r="O46" s="15"/>
    </row>
    <row r="47" spans="1:15" outlineLevel="2">
      <c r="A47" s="11">
        <f t="shared" si="0"/>
        <v>42</v>
      </c>
      <c r="B47" s="11" t="s">
        <v>555</v>
      </c>
      <c r="C47" s="17" t="s">
        <v>699</v>
      </c>
      <c r="D47" s="12" t="s">
        <v>700</v>
      </c>
      <c r="E47" s="13">
        <v>7782247.0099999998</v>
      </c>
      <c r="G47" s="13">
        <f t="shared" si="1"/>
        <v>7782247.0099999998</v>
      </c>
      <c r="H47" s="14">
        <v>0</v>
      </c>
      <c r="I47" s="14">
        <v>0</v>
      </c>
      <c r="J47" s="14"/>
      <c r="K47" s="14">
        <f t="shared" si="2"/>
        <v>7782247.0099999998</v>
      </c>
      <c r="M47" s="11"/>
      <c r="O47" s="15"/>
    </row>
    <row r="48" spans="1:15" outlineLevel="2">
      <c r="A48" s="11">
        <f t="shared" si="0"/>
        <v>43</v>
      </c>
      <c r="B48" s="11" t="s">
        <v>555</v>
      </c>
      <c r="C48" s="17" t="s">
        <v>701</v>
      </c>
      <c r="D48" s="12" t="s">
        <v>702</v>
      </c>
      <c r="E48" s="13">
        <v>2319938.7200000002</v>
      </c>
      <c r="G48" s="13">
        <f t="shared" si="1"/>
        <v>2319938.7200000002</v>
      </c>
      <c r="H48" s="14">
        <v>0</v>
      </c>
      <c r="I48" s="14">
        <v>0</v>
      </c>
      <c r="J48" s="14"/>
      <c r="K48" s="14">
        <f t="shared" si="2"/>
        <v>2319938.7200000002</v>
      </c>
      <c r="M48" s="11"/>
      <c r="O48" s="15"/>
    </row>
    <row r="49" spans="1:15" outlineLevel="2">
      <c r="A49" s="11">
        <f t="shared" si="0"/>
        <v>44</v>
      </c>
      <c r="B49" s="11" t="s">
        <v>555</v>
      </c>
      <c r="C49" s="17" t="s">
        <v>703</v>
      </c>
      <c r="D49" s="12" t="s">
        <v>704</v>
      </c>
      <c r="E49" s="13">
        <v>777326.71</v>
      </c>
      <c r="G49" s="13">
        <f t="shared" si="1"/>
        <v>777326.71</v>
      </c>
      <c r="H49" s="14">
        <v>0</v>
      </c>
      <c r="I49" s="14">
        <v>0</v>
      </c>
      <c r="J49" s="14"/>
      <c r="K49" s="14">
        <f t="shared" si="2"/>
        <v>777326.71</v>
      </c>
      <c r="M49" s="11"/>
      <c r="O49" s="15"/>
    </row>
    <row r="50" spans="1:15" outlineLevel="2">
      <c r="A50" s="11">
        <f t="shared" si="0"/>
        <v>45</v>
      </c>
      <c r="B50" s="11" t="s">
        <v>555</v>
      </c>
      <c r="C50" s="17" t="s">
        <v>705</v>
      </c>
      <c r="D50" s="12" t="s">
        <v>706</v>
      </c>
      <c r="E50" s="13">
        <v>1308561.8400000001</v>
      </c>
      <c r="G50" s="13">
        <f t="shared" si="1"/>
        <v>1308561.8400000001</v>
      </c>
      <c r="H50" s="14">
        <v>0</v>
      </c>
      <c r="I50" s="14">
        <v>0</v>
      </c>
      <c r="J50" s="14"/>
      <c r="K50" s="14">
        <f t="shared" si="2"/>
        <v>1308561.8400000001</v>
      </c>
      <c r="M50" s="11"/>
      <c r="O50" s="15"/>
    </row>
    <row r="51" spans="1:15" outlineLevel="2">
      <c r="A51" s="11">
        <f t="shared" si="0"/>
        <v>46</v>
      </c>
      <c r="B51" s="11" t="s">
        <v>555</v>
      </c>
      <c r="C51" s="17" t="s">
        <v>707</v>
      </c>
      <c r="D51" s="12" t="s">
        <v>708</v>
      </c>
      <c r="E51" s="13">
        <v>679540.13</v>
      </c>
      <c r="G51" s="13">
        <f t="shared" si="1"/>
        <v>679540.13</v>
      </c>
      <c r="H51" s="14">
        <v>0</v>
      </c>
      <c r="I51" s="14">
        <v>0</v>
      </c>
      <c r="J51" s="14"/>
      <c r="K51" s="14">
        <f t="shared" si="2"/>
        <v>679540.13</v>
      </c>
      <c r="M51" s="11"/>
      <c r="O51" s="15"/>
    </row>
    <row r="52" spans="1:15" outlineLevel="2">
      <c r="A52" s="11">
        <f t="shared" si="0"/>
        <v>47</v>
      </c>
      <c r="B52" s="11" t="s">
        <v>555</v>
      </c>
      <c r="C52" s="17" t="s">
        <v>709</v>
      </c>
      <c r="D52" s="12" t="s">
        <v>710</v>
      </c>
      <c r="E52" s="13">
        <v>11019006.33</v>
      </c>
      <c r="G52" s="13">
        <f t="shared" si="1"/>
        <v>11019006.33</v>
      </c>
      <c r="H52" s="14">
        <v>0</v>
      </c>
      <c r="I52" s="14">
        <v>0</v>
      </c>
      <c r="J52" s="14"/>
      <c r="K52" s="14">
        <f t="shared" si="2"/>
        <v>11019006.33</v>
      </c>
      <c r="M52" s="11"/>
      <c r="O52" s="15"/>
    </row>
    <row r="53" spans="1:15" outlineLevel="2">
      <c r="A53" s="11">
        <f t="shared" si="0"/>
        <v>48</v>
      </c>
      <c r="B53" s="11" t="s">
        <v>555</v>
      </c>
      <c r="C53" s="17" t="s">
        <v>711</v>
      </c>
      <c r="D53" s="12" t="s">
        <v>712</v>
      </c>
      <c r="E53" s="13">
        <v>17876165.600000001</v>
      </c>
      <c r="G53" s="13">
        <f t="shared" si="1"/>
        <v>17876165.600000001</v>
      </c>
      <c r="H53" s="14">
        <v>0</v>
      </c>
      <c r="I53" s="14">
        <v>0</v>
      </c>
      <c r="J53" s="14"/>
      <c r="K53" s="14">
        <f t="shared" si="2"/>
        <v>17876165.600000001</v>
      </c>
      <c r="M53" s="11"/>
      <c r="O53" s="15"/>
    </row>
    <row r="54" spans="1:15" outlineLevel="2">
      <c r="A54" s="11">
        <f t="shared" si="0"/>
        <v>49</v>
      </c>
      <c r="B54" s="11" t="s">
        <v>555</v>
      </c>
      <c r="C54" s="17" t="s">
        <v>713</v>
      </c>
      <c r="D54" s="12" t="s">
        <v>714</v>
      </c>
      <c r="E54" s="13">
        <v>6788950.71</v>
      </c>
      <c r="F54" s="13">
        <v>640072</v>
      </c>
      <c r="G54" s="13">
        <f t="shared" si="1"/>
        <v>7429022.71</v>
      </c>
      <c r="H54" s="14">
        <v>0</v>
      </c>
      <c r="I54" s="14">
        <v>0</v>
      </c>
      <c r="J54" s="14"/>
      <c r="K54" s="14">
        <f t="shared" si="2"/>
        <v>7429022.71</v>
      </c>
      <c r="M54" s="11"/>
      <c r="O54" s="15"/>
    </row>
    <row r="55" spans="1:15" outlineLevel="2">
      <c r="A55" s="11">
        <f t="shared" si="0"/>
        <v>50</v>
      </c>
      <c r="B55" s="11" t="s">
        <v>555</v>
      </c>
      <c r="C55" s="17" t="s">
        <v>715</v>
      </c>
      <c r="D55" s="12" t="s">
        <v>716</v>
      </c>
      <c r="E55" s="13">
        <v>10455917.060000001</v>
      </c>
      <c r="G55" s="13">
        <f t="shared" si="1"/>
        <v>10455917.060000001</v>
      </c>
      <c r="H55" s="14">
        <v>0</v>
      </c>
      <c r="I55" s="14">
        <v>0</v>
      </c>
      <c r="J55" s="14"/>
      <c r="K55" s="14">
        <f t="shared" si="2"/>
        <v>10455917.060000001</v>
      </c>
      <c r="M55" s="11"/>
      <c r="O55" s="15"/>
    </row>
    <row r="56" spans="1:15" outlineLevel="2">
      <c r="A56" s="11">
        <f t="shared" si="0"/>
        <v>51</v>
      </c>
      <c r="B56" s="11" t="s">
        <v>555</v>
      </c>
      <c r="C56" s="17" t="s">
        <v>717</v>
      </c>
      <c r="D56" s="12" t="s">
        <v>718</v>
      </c>
      <c r="E56" s="13">
        <v>10713977.23</v>
      </c>
      <c r="G56" s="13">
        <f t="shared" si="1"/>
        <v>10713977.23</v>
      </c>
      <c r="H56" s="14">
        <v>0</v>
      </c>
      <c r="I56" s="14">
        <v>0</v>
      </c>
      <c r="J56" s="14"/>
      <c r="K56" s="14">
        <f t="shared" si="2"/>
        <v>10713977.23</v>
      </c>
      <c r="M56" s="11"/>
      <c r="O56" s="15"/>
    </row>
    <row r="57" spans="1:15" outlineLevel="2">
      <c r="A57" s="11">
        <f t="shared" si="0"/>
        <v>52</v>
      </c>
      <c r="B57" s="11" t="s">
        <v>555</v>
      </c>
      <c r="C57" s="17" t="s">
        <v>719</v>
      </c>
      <c r="D57" s="12" t="s">
        <v>720</v>
      </c>
      <c r="E57" s="13">
        <v>5097353.08</v>
      </c>
      <c r="G57" s="13">
        <f t="shared" si="1"/>
        <v>5097353.08</v>
      </c>
      <c r="H57" s="14">
        <v>0</v>
      </c>
      <c r="I57" s="14">
        <v>0</v>
      </c>
      <c r="J57" s="14"/>
      <c r="K57" s="14">
        <f t="shared" si="2"/>
        <v>5097353.08</v>
      </c>
      <c r="M57" s="11"/>
      <c r="O57" s="15"/>
    </row>
    <row r="58" spans="1:15" outlineLevel="2">
      <c r="A58" s="11">
        <f t="shared" si="0"/>
        <v>53</v>
      </c>
      <c r="B58" s="11" t="s">
        <v>555</v>
      </c>
      <c r="C58" s="17" t="s">
        <v>721</v>
      </c>
      <c r="D58" s="12" t="s">
        <v>722</v>
      </c>
      <c r="E58" s="13">
        <v>1948078.5</v>
      </c>
      <c r="G58" s="13">
        <f t="shared" si="1"/>
        <v>1948078.5</v>
      </c>
      <c r="H58" s="14">
        <v>0</v>
      </c>
      <c r="I58" s="14">
        <v>0</v>
      </c>
      <c r="J58" s="14"/>
      <c r="K58" s="14">
        <f t="shared" si="2"/>
        <v>1948078.5</v>
      </c>
      <c r="M58" s="11"/>
      <c r="O58" s="15"/>
    </row>
    <row r="59" spans="1:15" outlineLevel="2">
      <c r="A59" s="11">
        <f t="shared" si="0"/>
        <v>54</v>
      </c>
      <c r="B59" s="11" t="s">
        <v>555</v>
      </c>
      <c r="C59" s="17" t="s">
        <v>723</v>
      </c>
      <c r="D59" s="12" t="s">
        <v>724</v>
      </c>
      <c r="E59" s="13">
        <v>1521173.69</v>
      </c>
      <c r="G59" s="13">
        <f t="shared" si="1"/>
        <v>1521173.69</v>
      </c>
      <c r="H59" s="14">
        <v>0</v>
      </c>
      <c r="I59" s="14">
        <v>0</v>
      </c>
      <c r="J59" s="14"/>
      <c r="K59" s="14">
        <f t="shared" si="2"/>
        <v>1521173.69</v>
      </c>
      <c r="M59" s="11"/>
      <c r="O59" s="15"/>
    </row>
    <row r="60" spans="1:15" outlineLevel="2">
      <c r="A60" s="11">
        <f t="shared" si="0"/>
        <v>55</v>
      </c>
      <c r="B60" s="11" t="s">
        <v>555</v>
      </c>
      <c r="C60" s="17" t="s">
        <v>725</v>
      </c>
      <c r="D60" s="12" t="s">
        <v>726</v>
      </c>
      <c r="E60" s="13">
        <v>455727</v>
      </c>
      <c r="G60" s="13">
        <f t="shared" si="1"/>
        <v>455727</v>
      </c>
      <c r="H60" s="14">
        <v>0</v>
      </c>
      <c r="I60" s="14">
        <v>0</v>
      </c>
      <c r="J60" s="14"/>
      <c r="K60" s="14">
        <f t="shared" si="2"/>
        <v>455727</v>
      </c>
      <c r="M60" s="11"/>
      <c r="O60" s="15"/>
    </row>
    <row r="61" spans="1:15" outlineLevel="2">
      <c r="A61" s="11">
        <f t="shared" si="0"/>
        <v>56</v>
      </c>
      <c r="B61" s="11" t="s">
        <v>555</v>
      </c>
      <c r="C61" s="17" t="s">
        <v>727</v>
      </c>
      <c r="D61" s="12" t="s">
        <v>728</v>
      </c>
      <c r="E61" s="13">
        <v>3361449.06</v>
      </c>
      <c r="G61" s="13">
        <f t="shared" si="1"/>
        <v>3361449.06</v>
      </c>
      <c r="H61" s="14">
        <v>0</v>
      </c>
      <c r="I61" s="14">
        <v>0</v>
      </c>
      <c r="J61" s="14"/>
      <c r="K61" s="14">
        <f t="shared" si="2"/>
        <v>3361449.06</v>
      </c>
      <c r="M61" s="11"/>
      <c r="O61" s="15"/>
    </row>
    <row r="62" spans="1:15" outlineLevel="2">
      <c r="A62" s="11">
        <f t="shared" si="0"/>
        <v>57</v>
      </c>
      <c r="B62" s="11" t="s">
        <v>555</v>
      </c>
      <c r="C62" s="17" t="s">
        <v>729</v>
      </c>
      <c r="D62" s="12" t="s">
        <v>730</v>
      </c>
      <c r="E62" s="13">
        <v>3279089.4</v>
      </c>
      <c r="G62" s="13">
        <f t="shared" si="1"/>
        <v>3279089.4</v>
      </c>
      <c r="H62" s="14">
        <v>0</v>
      </c>
      <c r="I62" s="14">
        <v>0</v>
      </c>
      <c r="J62" s="14"/>
      <c r="K62" s="14">
        <f t="shared" si="2"/>
        <v>3279089.4</v>
      </c>
      <c r="M62" s="11"/>
      <c r="O62" s="15"/>
    </row>
    <row r="63" spans="1:15" outlineLevel="2">
      <c r="A63" s="11">
        <f t="shared" si="0"/>
        <v>58</v>
      </c>
      <c r="B63" s="11" t="s">
        <v>555</v>
      </c>
      <c r="C63" s="17" t="s">
        <v>731</v>
      </c>
      <c r="D63" s="12" t="s">
        <v>732</v>
      </c>
      <c r="E63" s="13">
        <v>156778</v>
      </c>
      <c r="G63" s="13">
        <f>E63+F63</f>
        <v>156778</v>
      </c>
      <c r="H63" s="14">
        <v>0</v>
      </c>
      <c r="I63" s="14">
        <v>0</v>
      </c>
      <c r="J63" s="14"/>
      <c r="K63" s="14">
        <f t="shared" si="2"/>
        <v>156778</v>
      </c>
      <c r="M63" s="11"/>
      <c r="O63" s="15"/>
    </row>
    <row r="64" spans="1:15" outlineLevel="2">
      <c r="A64" s="11">
        <f t="shared" si="0"/>
        <v>59</v>
      </c>
      <c r="B64" s="11" t="s">
        <v>555</v>
      </c>
      <c r="C64" s="17" t="s">
        <v>733</v>
      </c>
      <c r="D64" s="12" t="s">
        <v>734</v>
      </c>
      <c r="E64" s="13">
        <v>12744944.75</v>
      </c>
      <c r="G64" s="13">
        <f t="shared" si="1"/>
        <v>12744944.75</v>
      </c>
      <c r="H64" s="14">
        <v>0</v>
      </c>
      <c r="I64" s="14">
        <v>0</v>
      </c>
      <c r="J64" s="14"/>
      <c r="K64" s="14">
        <f t="shared" si="2"/>
        <v>12744944.75</v>
      </c>
      <c r="M64" s="11"/>
      <c r="O64" s="15"/>
    </row>
    <row r="65" spans="1:15" outlineLevel="2">
      <c r="A65" s="11">
        <f t="shared" si="0"/>
        <v>60</v>
      </c>
      <c r="B65" s="11" t="s">
        <v>555</v>
      </c>
      <c r="C65" s="17" t="s">
        <v>735</v>
      </c>
      <c r="D65" s="12" t="s">
        <v>736</v>
      </c>
      <c r="E65" s="13">
        <v>10110752.16</v>
      </c>
      <c r="G65" s="13">
        <f t="shared" si="1"/>
        <v>10110752.16</v>
      </c>
      <c r="H65" s="14">
        <v>0</v>
      </c>
      <c r="I65" s="14">
        <v>0</v>
      </c>
      <c r="J65" s="14"/>
      <c r="K65" s="14">
        <f t="shared" si="2"/>
        <v>10110752.16</v>
      </c>
      <c r="M65" s="11"/>
      <c r="O65" s="15"/>
    </row>
    <row r="66" spans="1:15" outlineLevel="2">
      <c r="A66" s="11">
        <f t="shared" si="0"/>
        <v>61</v>
      </c>
      <c r="B66" s="11" t="s">
        <v>555</v>
      </c>
      <c r="C66" s="17" t="s">
        <v>737</v>
      </c>
      <c r="D66" s="12" t="s">
        <v>738</v>
      </c>
      <c r="E66" s="13">
        <v>1270645.42</v>
      </c>
      <c r="G66" s="13">
        <f t="shared" si="1"/>
        <v>1270645.42</v>
      </c>
      <c r="H66" s="14">
        <v>0</v>
      </c>
      <c r="I66" s="14">
        <v>0</v>
      </c>
      <c r="J66" s="14"/>
      <c r="K66" s="14">
        <f t="shared" si="2"/>
        <v>1270645.42</v>
      </c>
      <c r="M66" s="11"/>
      <c r="O66" s="15"/>
    </row>
    <row r="67" spans="1:15" outlineLevel="2">
      <c r="A67" s="11">
        <f t="shared" si="0"/>
        <v>62</v>
      </c>
      <c r="B67" s="11" t="s">
        <v>555</v>
      </c>
      <c r="C67" s="17" t="s">
        <v>739</v>
      </c>
      <c r="D67" s="12" t="s">
        <v>740</v>
      </c>
      <c r="E67" s="13">
        <v>3255847.1</v>
      </c>
      <c r="G67" s="13">
        <f t="shared" si="1"/>
        <v>3255847.1</v>
      </c>
      <c r="H67" s="14">
        <v>0</v>
      </c>
      <c r="I67" s="14">
        <v>0</v>
      </c>
      <c r="J67" s="14"/>
      <c r="K67" s="14">
        <f t="shared" si="2"/>
        <v>3255847.1</v>
      </c>
      <c r="M67" s="11"/>
      <c r="O67" s="15"/>
    </row>
    <row r="68" spans="1:15" outlineLevel="2">
      <c r="A68" s="11">
        <f t="shared" si="0"/>
        <v>63</v>
      </c>
      <c r="B68" s="11" t="s">
        <v>555</v>
      </c>
      <c r="C68" s="17" t="s">
        <v>741</v>
      </c>
      <c r="D68" s="12" t="s">
        <v>742</v>
      </c>
      <c r="E68" s="13">
        <v>8681331.6699999999</v>
      </c>
      <c r="G68" s="13">
        <f t="shared" si="1"/>
        <v>8681331.6699999999</v>
      </c>
      <c r="H68" s="14">
        <v>0</v>
      </c>
      <c r="I68" s="14">
        <v>0</v>
      </c>
      <c r="J68" s="14"/>
      <c r="K68" s="14">
        <f t="shared" si="2"/>
        <v>8681331.6699999999</v>
      </c>
      <c r="M68" s="11"/>
      <c r="O68" s="15"/>
    </row>
    <row r="69" spans="1:15" outlineLevel="2">
      <c r="A69" s="11">
        <f t="shared" si="0"/>
        <v>64</v>
      </c>
      <c r="B69" s="11" t="s">
        <v>555</v>
      </c>
      <c r="C69" s="17" t="s">
        <v>743</v>
      </c>
      <c r="D69" s="12" t="s">
        <v>744</v>
      </c>
      <c r="E69" s="13">
        <v>5561904.6399999997</v>
      </c>
      <c r="G69" s="13">
        <f t="shared" si="1"/>
        <v>5561904.6399999997</v>
      </c>
      <c r="H69" s="14">
        <v>0</v>
      </c>
      <c r="I69" s="14">
        <v>0</v>
      </c>
      <c r="J69" s="14"/>
      <c r="K69" s="14">
        <f t="shared" si="2"/>
        <v>5561904.6399999997</v>
      </c>
      <c r="M69" s="11"/>
      <c r="O69" s="15"/>
    </row>
    <row r="70" spans="1:15" outlineLevel="2">
      <c r="A70" s="11">
        <f t="shared" si="0"/>
        <v>65</v>
      </c>
      <c r="B70" s="11" t="s">
        <v>555</v>
      </c>
      <c r="C70" s="17" t="s">
        <v>745</v>
      </c>
      <c r="D70" s="12" t="s">
        <v>746</v>
      </c>
      <c r="E70" s="13">
        <v>6450032.7800000003</v>
      </c>
      <c r="G70" s="13">
        <f t="shared" si="1"/>
        <v>6450032.7800000003</v>
      </c>
      <c r="H70" s="14">
        <v>0</v>
      </c>
      <c r="I70" s="14">
        <v>0</v>
      </c>
      <c r="J70" s="14"/>
      <c r="K70" s="14">
        <f t="shared" si="2"/>
        <v>6450032.7800000003</v>
      </c>
      <c r="M70" s="11"/>
      <c r="O70" s="15"/>
    </row>
    <row r="71" spans="1:15" outlineLevel="2">
      <c r="A71" s="11">
        <f t="shared" si="0"/>
        <v>66</v>
      </c>
      <c r="B71" s="11" t="s">
        <v>555</v>
      </c>
      <c r="C71" s="17" t="s">
        <v>747</v>
      </c>
      <c r="D71" s="12" t="s">
        <v>748</v>
      </c>
      <c r="E71" s="13">
        <v>11263708.41</v>
      </c>
      <c r="G71" s="13">
        <f t="shared" si="1"/>
        <v>11263708.41</v>
      </c>
      <c r="H71" s="14">
        <v>0</v>
      </c>
      <c r="I71" s="14">
        <v>0</v>
      </c>
      <c r="J71" s="14"/>
      <c r="K71" s="14">
        <f t="shared" si="2"/>
        <v>11263708.41</v>
      </c>
      <c r="M71" s="11"/>
      <c r="O71" s="15"/>
    </row>
    <row r="72" spans="1:15" outlineLevel="2">
      <c r="A72" s="11">
        <f t="shared" ref="A72:A135" si="3">A71+1</f>
        <v>67</v>
      </c>
      <c r="B72" s="11" t="s">
        <v>555</v>
      </c>
      <c r="C72" s="17" t="s">
        <v>749</v>
      </c>
      <c r="D72" s="12" t="s">
        <v>750</v>
      </c>
      <c r="E72" s="13">
        <v>617622.68000000005</v>
      </c>
      <c r="G72" s="13">
        <f t="shared" ref="G72:G84" si="4">E72+F72</f>
        <v>617622.68000000005</v>
      </c>
      <c r="H72" s="14">
        <v>0</v>
      </c>
      <c r="I72" s="14">
        <v>0</v>
      </c>
      <c r="J72" s="14"/>
      <c r="K72" s="14">
        <f t="shared" ref="K72:K121" si="5">SUM(G72:J72)</f>
        <v>617622.68000000005</v>
      </c>
      <c r="M72" s="11"/>
      <c r="O72" s="15"/>
    </row>
    <row r="73" spans="1:15" outlineLevel="2">
      <c r="A73" s="11">
        <f t="shared" si="3"/>
        <v>68</v>
      </c>
      <c r="B73" s="11" t="s">
        <v>555</v>
      </c>
      <c r="C73" s="17" t="s">
        <v>751</v>
      </c>
      <c r="D73" s="12" t="s">
        <v>752</v>
      </c>
      <c r="E73" s="13">
        <v>6319621.6699999999</v>
      </c>
      <c r="G73" s="13">
        <f t="shared" si="4"/>
        <v>6319621.6699999999</v>
      </c>
      <c r="H73" s="14">
        <v>0</v>
      </c>
      <c r="I73" s="14">
        <v>0</v>
      </c>
      <c r="J73" s="14"/>
      <c r="K73" s="14">
        <f t="shared" si="5"/>
        <v>6319621.6699999999</v>
      </c>
      <c r="M73" s="11"/>
      <c r="O73" s="15"/>
    </row>
    <row r="74" spans="1:15" outlineLevel="2">
      <c r="A74" s="11">
        <f t="shared" si="3"/>
        <v>69</v>
      </c>
      <c r="B74" s="11" t="s">
        <v>555</v>
      </c>
      <c r="C74" s="17" t="s">
        <v>753</v>
      </c>
      <c r="D74" s="12" t="s">
        <v>754</v>
      </c>
      <c r="E74" s="13">
        <v>1189519.96</v>
      </c>
      <c r="G74" s="13">
        <f t="shared" si="4"/>
        <v>1189519.96</v>
      </c>
      <c r="H74" s="14">
        <v>0</v>
      </c>
      <c r="I74" s="14">
        <v>0</v>
      </c>
      <c r="J74" s="14"/>
      <c r="K74" s="14">
        <f t="shared" si="5"/>
        <v>1189519.96</v>
      </c>
      <c r="M74" s="11"/>
      <c r="O74" s="15"/>
    </row>
    <row r="75" spans="1:15" outlineLevel="2">
      <c r="A75" s="11">
        <f t="shared" si="3"/>
        <v>70</v>
      </c>
      <c r="B75" s="11" t="s">
        <v>555</v>
      </c>
      <c r="C75" s="17" t="s">
        <v>755</v>
      </c>
      <c r="D75" s="12" t="s">
        <v>756</v>
      </c>
      <c r="E75" s="13">
        <v>4941648.6100000003</v>
      </c>
      <c r="G75" s="13">
        <f t="shared" si="4"/>
        <v>4941648.6100000003</v>
      </c>
      <c r="H75" s="14">
        <v>0</v>
      </c>
      <c r="I75" s="14">
        <v>0</v>
      </c>
      <c r="J75" s="14"/>
      <c r="K75" s="14">
        <f t="shared" si="5"/>
        <v>4941648.6100000003</v>
      </c>
      <c r="M75" s="11"/>
      <c r="O75" s="15"/>
    </row>
    <row r="76" spans="1:15" outlineLevel="2">
      <c r="A76" s="11">
        <f t="shared" si="3"/>
        <v>71</v>
      </c>
      <c r="B76" s="11" t="s">
        <v>555</v>
      </c>
      <c r="C76" s="17" t="s">
        <v>757</v>
      </c>
      <c r="D76" s="12" t="s">
        <v>758</v>
      </c>
      <c r="E76" s="13">
        <v>3155849.87</v>
      </c>
      <c r="G76" s="13">
        <f t="shared" si="4"/>
        <v>3155849.87</v>
      </c>
      <c r="H76" s="14">
        <v>0</v>
      </c>
      <c r="I76" s="14">
        <v>0</v>
      </c>
      <c r="J76" s="14"/>
      <c r="K76" s="14">
        <f t="shared" si="5"/>
        <v>3155849.87</v>
      </c>
      <c r="M76" s="11"/>
      <c r="O76" s="15"/>
    </row>
    <row r="77" spans="1:15" outlineLevel="2">
      <c r="A77" s="11">
        <f t="shared" si="3"/>
        <v>72</v>
      </c>
      <c r="B77" s="11" t="s">
        <v>555</v>
      </c>
      <c r="C77" s="17" t="s">
        <v>759</v>
      </c>
      <c r="D77" s="12" t="s">
        <v>760</v>
      </c>
      <c r="E77" s="13">
        <v>28856299.199999999</v>
      </c>
      <c r="G77" s="13">
        <f t="shared" si="4"/>
        <v>28856299.199999999</v>
      </c>
      <c r="H77" s="14">
        <v>0</v>
      </c>
      <c r="I77" s="14">
        <v>0</v>
      </c>
      <c r="J77" s="14"/>
      <c r="K77" s="14">
        <f t="shared" si="5"/>
        <v>28856299.199999999</v>
      </c>
      <c r="M77" s="11"/>
      <c r="O77" s="15"/>
    </row>
    <row r="78" spans="1:15" outlineLevel="2">
      <c r="A78" s="11">
        <f t="shared" si="3"/>
        <v>73</v>
      </c>
      <c r="B78" s="11" t="s">
        <v>555</v>
      </c>
      <c r="C78" s="17" t="s">
        <v>761</v>
      </c>
      <c r="D78" s="12" t="s">
        <v>762</v>
      </c>
      <c r="E78" s="13">
        <v>1055414.43</v>
      </c>
      <c r="G78" s="13">
        <f t="shared" si="4"/>
        <v>1055414.43</v>
      </c>
      <c r="H78" s="14">
        <v>0</v>
      </c>
      <c r="I78" s="14">
        <v>0</v>
      </c>
      <c r="J78" s="14"/>
      <c r="K78" s="14">
        <f t="shared" si="5"/>
        <v>1055414.43</v>
      </c>
      <c r="M78" s="11"/>
      <c r="O78" s="15"/>
    </row>
    <row r="79" spans="1:15" outlineLevel="2">
      <c r="A79" s="11">
        <f t="shared" si="3"/>
        <v>74</v>
      </c>
      <c r="B79" s="11" t="s">
        <v>555</v>
      </c>
      <c r="C79" s="17" t="s">
        <v>763</v>
      </c>
      <c r="D79" s="12" t="s">
        <v>2714</v>
      </c>
      <c r="E79" s="13">
        <v>0</v>
      </c>
      <c r="F79" s="13">
        <v>3628323</v>
      </c>
      <c r="G79" s="13">
        <f t="shared" si="4"/>
        <v>3628323</v>
      </c>
      <c r="H79" s="14">
        <v>0</v>
      </c>
      <c r="I79" s="14">
        <v>0</v>
      </c>
      <c r="J79" s="14"/>
      <c r="K79" s="14">
        <f t="shared" si="5"/>
        <v>3628323</v>
      </c>
      <c r="M79" s="11"/>
      <c r="O79" s="15"/>
    </row>
    <row r="80" spans="1:15" outlineLevel="2">
      <c r="A80" s="11">
        <f t="shared" si="3"/>
        <v>75</v>
      </c>
      <c r="B80" s="11" t="s">
        <v>555</v>
      </c>
      <c r="C80" s="17" t="s">
        <v>764</v>
      </c>
      <c r="D80" s="12" t="s">
        <v>765</v>
      </c>
      <c r="E80" s="13">
        <v>8982947.9100000001</v>
      </c>
      <c r="G80" s="13">
        <f t="shared" si="4"/>
        <v>8982947.9100000001</v>
      </c>
      <c r="H80" s="14">
        <v>0</v>
      </c>
      <c r="I80" s="14">
        <v>0</v>
      </c>
      <c r="J80" s="14"/>
      <c r="K80" s="14">
        <f t="shared" si="5"/>
        <v>8982947.9100000001</v>
      </c>
      <c r="M80" s="11"/>
      <c r="O80" s="15"/>
    </row>
    <row r="81" spans="1:15" outlineLevel="2">
      <c r="A81" s="11">
        <f t="shared" si="3"/>
        <v>76</v>
      </c>
      <c r="B81" s="11" t="s">
        <v>555</v>
      </c>
      <c r="C81" s="17" t="s">
        <v>766</v>
      </c>
      <c r="D81" s="12" t="s">
        <v>767</v>
      </c>
      <c r="E81" s="13">
        <v>6738649.0599999996</v>
      </c>
      <c r="G81" s="13">
        <f t="shared" si="4"/>
        <v>6738649.0599999996</v>
      </c>
      <c r="H81" s="14">
        <v>0</v>
      </c>
      <c r="I81" s="14">
        <v>0</v>
      </c>
      <c r="J81" s="14"/>
      <c r="K81" s="14">
        <f t="shared" si="5"/>
        <v>6738649.0599999996</v>
      </c>
      <c r="M81" s="11"/>
      <c r="O81" s="15"/>
    </row>
    <row r="82" spans="1:15" outlineLevel="2">
      <c r="A82" s="11">
        <f t="shared" si="3"/>
        <v>77</v>
      </c>
      <c r="B82" s="11" t="s">
        <v>555</v>
      </c>
      <c r="D82" s="12" t="s">
        <v>768</v>
      </c>
      <c r="F82" s="13">
        <v>136000</v>
      </c>
      <c r="G82" s="13">
        <f t="shared" si="4"/>
        <v>136000</v>
      </c>
      <c r="H82" s="14">
        <v>0</v>
      </c>
      <c r="I82" s="14">
        <v>0</v>
      </c>
      <c r="J82" s="14">
        <v>-136000</v>
      </c>
      <c r="K82" s="14">
        <f t="shared" si="5"/>
        <v>0</v>
      </c>
      <c r="M82" s="11"/>
      <c r="O82" s="15"/>
    </row>
    <row r="83" spans="1:15" outlineLevel="2">
      <c r="A83" s="11">
        <f t="shared" si="3"/>
        <v>78</v>
      </c>
      <c r="B83" s="11" t="s">
        <v>555</v>
      </c>
      <c r="C83" s="17" t="s">
        <v>769</v>
      </c>
      <c r="D83" s="12" t="s">
        <v>770</v>
      </c>
      <c r="E83" s="13">
        <v>1089083.24</v>
      </c>
      <c r="G83" s="13">
        <f t="shared" si="4"/>
        <v>1089083.24</v>
      </c>
      <c r="H83" s="14">
        <v>0</v>
      </c>
      <c r="I83" s="14">
        <v>0</v>
      </c>
      <c r="J83" s="14"/>
      <c r="K83" s="14">
        <f t="shared" si="5"/>
        <v>1089083.24</v>
      </c>
      <c r="M83" s="11"/>
      <c r="O83" s="15"/>
    </row>
    <row r="84" spans="1:15" outlineLevel="2">
      <c r="A84" s="11">
        <f t="shared" si="3"/>
        <v>79</v>
      </c>
      <c r="B84" s="11" t="s">
        <v>555</v>
      </c>
      <c r="C84" s="17" t="s">
        <v>771</v>
      </c>
      <c r="D84" s="12" t="s">
        <v>772</v>
      </c>
      <c r="E84" s="13">
        <v>1816903.7</v>
      </c>
      <c r="G84" s="13">
        <f t="shared" si="4"/>
        <v>1816903.7</v>
      </c>
      <c r="H84" s="14">
        <v>0</v>
      </c>
      <c r="I84" s="14">
        <v>0</v>
      </c>
      <c r="J84" s="14"/>
      <c r="K84" s="14">
        <f t="shared" si="5"/>
        <v>1816903.7</v>
      </c>
      <c r="M84" s="11"/>
      <c r="O84" s="15"/>
    </row>
    <row r="85" spans="1:15" outlineLevel="2">
      <c r="A85" s="11">
        <f t="shared" si="3"/>
        <v>80</v>
      </c>
      <c r="B85" s="11" t="s">
        <v>555</v>
      </c>
      <c r="C85" s="17" t="s">
        <v>773</v>
      </c>
      <c r="D85" s="12" t="s">
        <v>774</v>
      </c>
      <c r="E85" s="13">
        <v>1790107.66</v>
      </c>
      <c r="G85" s="13">
        <f>E85+F85</f>
        <v>1790107.66</v>
      </c>
      <c r="H85" s="14">
        <v>0</v>
      </c>
      <c r="I85" s="14">
        <v>0</v>
      </c>
      <c r="J85" s="14"/>
      <c r="K85" s="14">
        <f t="shared" si="5"/>
        <v>1790107.66</v>
      </c>
      <c r="M85" s="11"/>
      <c r="O85" s="15"/>
    </row>
    <row r="86" spans="1:15" outlineLevel="2">
      <c r="A86" s="11">
        <f t="shared" si="3"/>
        <v>81</v>
      </c>
      <c r="B86" s="11" t="s">
        <v>555</v>
      </c>
      <c r="C86" s="17" t="s">
        <v>775</v>
      </c>
      <c r="D86" s="12" t="s">
        <v>776</v>
      </c>
      <c r="E86" s="13">
        <v>6346264.54</v>
      </c>
      <c r="G86" s="13">
        <f t="shared" ref="G86:G105" si="6">E86+F86</f>
        <v>6346264.54</v>
      </c>
      <c r="H86" s="14">
        <v>0</v>
      </c>
      <c r="I86" s="14">
        <v>0</v>
      </c>
      <c r="J86" s="14"/>
      <c r="K86" s="14">
        <f t="shared" si="5"/>
        <v>6346264.54</v>
      </c>
      <c r="M86" s="11"/>
      <c r="O86" s="15"/>
    </row>
    <row r="87" spans="1:15" outlineLevel="2">
      <c r="A87" s="11">
        <f t="shared" si="3"/>
        <v>82</v>
      </c>
      <c r="B87" s="11" t="s">
        <v>555</v>
      </c>
      <c r="C87" s="17" t="s">
        <v>777</v>
      </c>
      <c r="D87" s="12" t="s">
        <v>778</v>
      </c>
      <c r="E87" s="13">
        <v>10569337.84</v>
      </c>
      <c r="G87" s="13">
        <f t="shared" si="6"/>
        <v>10569337.84</v>
      </c>
      <c r="H87" s="14">
        <v>0</v>
      </c>
      <c r="I87" s="14">
        <v>0</v>
      </c>
      <c r="J87" s="14"/>
      <c r="K87" s="14">
        <f t="shared" si="5"/>
        <v>10569337.84</v>
      </c>
      <c r="M87" s="11"/>
      <c r="O87" s="15"/>
    </row>
    <row r="88" spans="1:15" outlineLevel="2">
      <c r="A88" s="11">
        <f t="shared" si="3"/>
        <v>83</v>
      </c>
      <c r="B88" s="11" t="s">
        <v>555</v>
      </c>
      <c r="C88" s="17" t="s">
        <v>779</v>
      </c>
      <c r="D88" s="12" t="s">
        <v>780</v>
      </c>
      <c r="E88" s="13">
        <v>3750704.04</v>
      </c>
      <c r="G88" s="13">
        <f t="shared" si="6"/>
        <v>3750704.04</v>
      </c>
      <c r="H88" s="14">
        <v>0</v>
      </c>
      <c r="I88" s="14">
        <v>0</v>
      </c>
      <c r="J88" s="14"/>
      <c r="K88" s="14">
        <f t="shared" si="5"/>
        <v>3750704.04</v>
      </c>
      <c r="M88" s="11"/>
      <c r="O88" s="15"/>
    </row>
    <row r="89" spans="1:15" outlineLevel="2">
      <c r="A89" s="11">
        <f t="shared" si="3"/>
        <v>84</v>
      </c>
      <c r="B89" s="11" t="s">
        <v>555</v>
      </c>
      <c r="C89" s="17" t="s">
        <v>781</v>
      </c>
      <c r="D89" s="12" t="s">
        <v>782</v>
      </c>
      <c r="E89" s="13">
        <v>2915316.01</v>
      </c>
      <c r="G89" s="13">
        <f t="shared" si="6"/>
        <v>2915316.01</v>
      </c>
      <c r="H89" s="14">
        <v>0</v>
      </c>
      <c r="I89" s="14">
        <v>0</v>
      </c>
      <c r="J89" s="14"/>
      <c r="K89" s="14">
        <f t="shared" si="5"/>
        <v>2915316.01</v>
      </c>
      <c r="M89" s="11"/>
      <c r="O89" s="15"/>
    </row>
    <row r="90" spans="1:15" outlineLevel="2">
      <c r="A90" s="11">
        <f t="shared" si="3"/>
        <v>85</v>
      </c>
      <c r="B90" s="11" t="s">
        <v>555</v>
      </c>
      <c r="C90" s="17" t="s">
        <v>783</v>
      </c>
      <c r="D90" s="12" t="s">
        <v>784</v>
      </c>
      <c r="E90" s="13">
        <v>1132485.8600000001</v>
      </c>
      <c r="G90" s="13">
        <f t="shared" si="6"/>
        <v>1132485.8600000001</v>
      </c>
      <c r="H90" s="14">
        <v>0</v>
      </c>
      <c r="I90" s="14">
        <v>0</v>
      </c>
      <c r="J90" s="14"/>
      <c r="K90" s="14">
        <f t="shared" si="5"/>
        <v>1132485.8600000001</v>
      </c>
      <c r="M90" s="11"/>
      <c r="O90" s="15"/>
    </row>
    <row r="91" spans="1:15" outlineLevel="2">
      <c r="A91" s="11">
        <f t="shared" si="3"/>
        <v>86</v>
      </c>
      <c r="B91" s="11" t="s">
        <v>555</v>
      </c>
      <c r="C91" s="17" t="s">
        <v>785</v>
      </c>
      <c r="D91" s="12" t="s">
        <v>786</v>
      </c>
      <c r="E91" s="13">
        <v>309991</v>
      </c>
      <c r="G91" s="13">
        <f t="shared" si="6"/>
        <v>309991</v>
      </c>
      <c r="H91" s="14">
        <v>0</v>
      </c>
      <c r="I91" s="14">
        <v>0</v>
      </c>
      <c r="J91" s="14"/>
      <c r="K91" s="14">
        <f t="shared" si="5"/>
        <v>309991</v>
      </c>
      <c r="M91" s="11"/>
      <c r="O91" s="15"/>
    </row>
    <row r="92" spans="1:15" outlineLevel="2">
      <c r="A92" s="11">
        <f t="shared" si="3"/>
        <v>87</v>
      </c>
      <c r="B92" s="11" t="s">
        <v>555</v>
      </c>
      <c r="C92" s="17" t="s">
        <v>787</v>
      </c>
      <c r="D92" s="12" t="s">
        <v>788</v>
      </c>
      <c r="E92" s="13">
        <v>2651859.84</v>
      </c>
      <c r="G92" s="13">
        <f t="shared" si="6"/>
        <v>2651859.84</v>
      </c>
      <c r="H92" s="14">
        <v>0</v>
      </c>
      <c r="I92" s="14">
        <v>0</v>
      </c>
      <c r="J92" s="14"/>
      <c r="K92" s="14">
        <f t="shared" si="5"/>
        <v>2651859.84</v>
      </c>
      <c r="M92" s="11"/>
      <c r="O92" s="15"/>
    </row>
    <row r="93" spans="1:15" ht="13.5" customHeight="1" outlineLevel="2">
      <c r="A93" s="11">
        <f t="shared" si="3"/>
        <v>88</v>
      </c>
      <c r="B93" s="11" t="s">
        <v>555</v>
      </c>
      <c r="C93" s="17" t="s">
        <v>789</v>
      </c>
      <c r="D93" s="12" t="s">
        <v>790</v>
      </c>
      <c r="E93" s="13">
        <v>3973415.92</v>
      </c>
      <c r="G93" s="13">
        <f t="shared" si="6"/>
        <v>3973415.92</v>
      </c>
      <c r="H93" s="14">
        <v>0</v>
      </c>
      <c r="I93" s="14">
        <v>0</v>
      </c>
      <c r="J93" s="14"/>
      <c r="K93" s="14">
        <f t="shared" si="5"/>
        <v>3973415.92</v>
      </c>
      <c r="M93" s="11"/>
      <c r="O93" s="15"/>
    </row>
    <row r="94" spans="1:15" outlineLevel="2">
      <c r="A94" s="11">
        <f t="shared" si="3"/>
        <v>89</v>
      </c>
      <c r="B94" s="11" t="s">
        <v>555</v>
      </c>
      <c r="C94" s="17" t="s">
        <v>791</v>
      </c>
      <c r="D94" s="12" t="s">
        <v>792</v>
      </c>
      <c r="E94" s="13">
        <v>5563295.5999999996</v>
      </c>
      <c r="G94" s="13">
        <f t="shared" si="6"/>
        <v>5563295.5999999996</v>
      </c>
      <c r="H94" s="14">
        <v>0</v>
      </c>
      <c r="I94" s="14">
        <v>0</v>
      </c>
      <c r="J94" s="14"/>
      <c r="K94" s="14">
        <f t="shared" si="5"/>
        <v>5563295.5999999996</v>
      </c>
      <c r="M94" s="11"/>
      <c r="O94" s="15"/>
    </row>
    <row r="95" spans="1:15" outlineLevel="2">
      <c r="A95" s="11">
        <f t="shared" si="3"/>
        <v>90</v>
      </c>
      <c r="B95" s="11" t="s">
        <v>555</v>
      </c>
      <c r="C95" s="17" t="s">
        <v>793</v>
      </c>
      <c r="D95" s="12" t="s">
        <v>794</v>
      </c>
      <c r="E95" s="13">
        <v>5949647.5099999998</v>
      </c>
      <c r="G95" s="13">
        <f t="shared" si="6"/>
        <v>5949647.5099999998</v>
      </c>
      <c r="H95" s="14">
        <v>0</v>
      </c>
      <c r="I95" s="14">
        <v>0</v>
      </c>
      <c r="J95" s="14"/>
      <c r="K95" s="14">
        <f t="shared" si="5"/>
        <v>5949647.5099999998</v>
      </c>
      <c r="M95" s="11"/>
      <c r="O95" s="15"/>
    </row>
    <row r="96" spans="1:15" outlineLevel="2">
      <c r="A96" s="11">
        <f t="shared" si="3"/>
        <v>91</v>
      </c>
      <c r="B96" s="11" t="s">
        <v>555</v>
      </c>
      <c r="C96" s="17" t="s">
        <v>795</v>
      </c>
      <c r="D96" s="12" t="s">
        <v>796</v>
      </c>
      <c r="E96" s="13">
        <v>1967901.35</v>
      </c>
      <c r="G96" s="13">
        <f t="shared" si="6"/>
        <v>1967901.35</v>
      </c>
      <c r="H96" s="14">
        <v>0</v>
      </c>
      <c r="I96" s="14">
        <v>0</v>
      </c>
      <c r="J96" s="14"/>
      <c r="K96" s="14">
        <f t="shared" si="5"/>
        <v>1967901.35</v>
      </c>
      <c r="M96" s="11"/>
      <c r="O96" s="15"/>
    </row>
    <row r="97" spans="1:15" outlineLevel="2">
      <c r="A97" s="11">
        <f t="shared" si="3"/>
        <v>92</v>
      </c>
      <c r="B97" s="11" t="s">
        <v>555</v>
      </c>
      <c r="C97" s="17" t="s">
        <v>797</v>
      </c>
      <c r="D97" s="12" t="s">
        <v>798</v>
      </c>
      <c r="E97" s="13">
        <v>6683770.3600000003</v>
      </c>
      <c r="G97" s="13">
        <f t="shared" si="6"/>
        <v>6683770.3600000003</v>
      </c>
      <c r="H97" s="14">
        <v>0</v>
      </c>
      <c r="I97" s="14">
        <v>0</v>
      </c>
      <c r="J97" s="14"/>
      <c r="K97" s="14">
        <f t="shared" si="5"/>
        <v>6683770.3600000003</v>
      </c>
      <c r="M97" s="11"/>
      <c r="O97" s="15"/>
    </row>
    <row r="98" spans="1:15" outlineLevel="2">
      <c r="A98" s="11">
        <f t="shared" si="3"/>
        <v>93</v>
      </c>
      <c r="B98" s="11" t="s">
        <v>555</v>
      </c>
      <c r="C98" s="17" t="s">
        <v>799</v>
      </c>
      <c r="D98" s="12" t="s">
        <v>800</v>
      </c>
      <c r="E98" s="13">
        <v>388816.19</v>
      </c>
      <c r="G98" s="13">
        <f t="shared" si="6"/>
        <v>388816.19</v>
      </c>
      <c r="H98" s="14">
        <v>0</v>
      </c>
      <c r="I98" s="14">
        <v>0</v>
      </c>
      <c r="J98" s="14"/>
      <c r="K98" s="14">
        <f t="shared" si="5"/>
        <v>388816.19</v>
      </c>
      <c r="M98" s="11"/>
      <c r="O98" s="15"/>
    </row>
    <row r="99" spans="1:15" outlineLevel="2">
      <c r="A99" s="11">
        <f t="shared" si="3"/>
        <v>94</v>
      </c>
      <c r="B99" s="11" t="s">
        <v>555</v>
      </c>
      <c r="C99" s="17" t="s">
        <v>801</v>
      </c>
      <c r="D99" s="12" t="s">
        <v>802</v>
      </c>
      <c r="E99" s="13">
        <v>2488318.48</v>
      </c>
      <c r="G99" s="13">
        <f t="shared" si="6"/>
        <v>2488318.48</v>
      </c>
      <c r="H99" s="14">
        <v>0</v>
      </c>
      <c r="I99" s="14">
        <v>0</v>
      </c>
      <c r="J99" s="14"/>
      <c r="K99" s="14">
        <f t="shared" si="5"/>
        <v>2488318.48</v>
      </c>
      <c r="M99" s="11"/>
      <c r="O99" s="15"/>
    </row>
    <row r="100" spans="1:15" outlineLevel="2">
      <c r="A100" s="11">
        <f t="shared" si="3"/>
        <v>95</v>
      </c>
      <c r="B100" s="11" t="s">
        <v>555</v>
      </c>
      <c r="C100" s="17" t="s">
        <v>803</v>
      </c>
      <c r="D100" s="12" t="s">
        <v>804</v>
      </c>
      <c r="E100" s="13">
        <v>2140435.5299999998</v>
      </c>
      <c r="G100" s="13">
        <f t="shared" si="6"/>
        <v>2140435.5299999998</v>
      </c>
      <c r="H100" s="14">
        <v>0</v>
      </c>
      <c r="I100" s="14">
        <v>0</v>
      </c>
      <c r="J100" s="14"/>
      <c r="K100" s="14">
        <f t="shared" si="5"/>
        <v>2140435.5299999998</v>
      </c>
      <c r="M100" s="11"/>
      <c r="O100" s="15"/>
    </row>
    <row r="101" spans="1:15" outlineLevel="2">
      <c r="A101" s="11">
        <f t="shared" si="3"/>
        <v>96</v>
      </c>
      <c r="B101" s="11" t="s">
        <v>555</v>
      </c>
      <c r="C101" s="17" t="s">
        <v>805</v>
      </c>
      <c r="D101" s="12" t="s">
        <v>806</v>
      </c>
      <c r="E101" s="13">
        <v>9269194.1600000001</v>
      </c>
      <c r="G101" s="13">
        <f t="shared" si="6"/>
        <v>9269194.1600000001</v>
      </c>
      <c r="H101" s="14"/>
      <c r="I101" s="14"/>
      <c r="J101" s="14"/>
      <c r="K101" s="14">
        <f t="shared" si="5"/>
        <v>9269194.1600000001</v>
      </c>
      <c r="M101" s="11"/>
      <c r="O101" s="15"/>
    </row>
    <row r="102" spans="1:15" outlineLevel="2">
      <c r="A102" s="11">
        <f t="shared" si="3"/>
        <v>97</v>
      </c>
      <c r="B102" s="11" t="s">
        <v>555</v>
      </c>
      <c r="C102" s="17" t="s">
        <v>807</v>
      </c>
      <c r="D102" s="12" t="s">
        <v>808</v>
      </c>
      <c r="E102" s="13">
        <v>52063.76</v>
      </c>
      <c r="G102" s="13">
        <f t="shared" si="6"/>
        <v>52063.76</v>
      </c>
      <c r="H102" s="14">
        <v>0</v>
      </c>
      <c r="I102" s="14">
        <v>0</v>
      </c>
      <c r="J102" s="14"/>
      <c r="K102" s="14">
        <f t="shared" si="5"/>
        <v>52063.76</v>
      </c>
      <c r="M102" s="11"/>
      <c r="O102" s="15"/>
    </row>
    <row r="103" spans="1:15" outlineLevel="2">
      <c r="A103" s="11">
        <f t="shared" si="3"/>
        <v>98</v>
      </c>
      <c r="B103" s="11" t="s">
        <v>555</v>
      </c>
      <c r="C103" s="17" t="s">
        <v>809</v>
      </c>
      <c r="D103" s="12" t="s">
        <v>810</v>
      </c>
      <c r="E103" s="13">
        <v>2235654.88</v>
      </c>
      <c r="G103" s="13">
        <f t="shared" si="6"/>
        <v>2235654.88</v>
      </c>
      <c r="H103" s="14">
        <v>0</v>
      </c>
      <c r="I103" s="14">
        <v>0</v>
      </c>
      <c r="J103" s="14"/>
      <c r="K103" s="14">
        <f t="shared" si="5"/>
        <v>2235654.88</v>
      </c>
      <c r="M103" s="11"/>
      <c r="O103" s="15"/>
    </row>
    <row r="104" spans="1:15" outlineLevel="2">
      <c r="A104" s="11">
        <f t="shared" si="3"/>
        <v>99</v>
      </c>
      <c r="B104" s="11" t="s">
        <v>555</v>
      </c>
      <c r="C104" s="17" t="s">
        <v>811</v>
      </c>
      <c r="D104" s="12" t="s">
        <v>812</v>
      </c>
      <c r="E104" s="13">
        <v>576089.67000000004</v>
      </c>
      <c r="G104" s="13">
        <f t="shared" si="6"/>
        <v>576089.67000000004</v>
      </c>
      <c r="H104" s="14">
        <v>-576090</v>
      </c>
      <c r="I104" s="14">
        <v>0</v>
      </c>
      <c r="J104" s="14"/>
      <c r="K104" s="14">
        <f t="shared" si="5"/>
        <v>-0.32999999995809048</v>
      </c>
      <c r="M104" s="11"/>
      <c r="O104" s="15"/>
    </row>
    <row r="105" spans="1:15" outlineLevel="2">
      <c r="A105" s="11">
        <f t="shared" si="3"/>
        <v>100</v>
      </c>
      <c r="B105" s="11" t="s">
        <v>555</v>
      </c>
      <c r="C105" s="17" t="s">
        <v>813</v>
      </c>
      <c r="D105" s="12" t="s">
        <v>814</v>
      </c>
      <c r="E105" s="13">
        <v>9038246.6300000008</v>
      </c>
      <c r="F105" s="13">
        <f>1391193+1392275</f>
        <v>2783468</v>
      </c>
      <c r="G105" s="13">
        <f t="shared" si="6"/>
        <v>11821714.630000001</v>
      </c>
      <c r="H105" s="14">
        <v>0</v>
      </c>
      <c r="I105" s="14">
        <v>0</v>
      </c>
      <c r="J105" s="14"/>
      <c r="K105" s="14">
        <f t="shared" si="5"/>
        <v>11821714.630000001</v>
      </c>
      <c r="M105" s="11"/>
      <c r="O105" s="15"/>
    </row>
    <row r="106" spans="1:15" outlineLevel="2">
      <c r="A106" s="11">
        <f t="shared" si="3"/>
        <v>101</v>
      </c>
      <c r="B106" s="11" t="s">
        <v>555</v>
      </c>
      <c r="C106" s="17" t="s">
        <v>815</v>
      </c>
      <c r="D106" s="12" t="s">
        <v>816</v>
      </c>
      <c r="E106" s="13">
        <v>1938352.95</v>
      </c>
      <c r="G106" s="13">
        <f>E106+F106</f>
        <v>1938352.95</v>
      </c>
      <c r="H106" s="14">
        <v>0</v>
      </c>
      <c r="I106" s="14">
        <v>0</v>
      </c>
      <c r="J106" s="14"/>
      <c r="K106" s="14">
        <f t="shared" si="5"/>
        <v>1938352.95</v>
      </c>
      <c r="M106" s="11"/>
      <c r="O106" s="15"/>
    </row>
    <row r="107" spans="1:15" outlineLevel="2">
      <c r="A107" s="11">
        <f t="shared" si="3"/>
        <v>102</v>
      </c>
      <c r="B107" s="11" t="s">
        <v>555</v>
      </c>
      <c r="C107" s="17" t="s">
        <v>817</v>
      </c>
      <c r="D107" s="12" t="s">
        <v>818</v>
      </c>
      <c r="E107" s="13">
        <v>3217192.17</v>
      </c>
      <c r="G107" s="13">
        <f t="shared" ref="G107:G121" si="7">E107+F107</f>
        <v>3217192.17</v>
      </c>
      <c r="H107" s="14">
        <v>0</v>
      </c>
      <c r="I107" s="14">
        <v>0</v>
      </c>
      <c r="J107" s="14"/>
      <c r="K107" s="14">
        <f t="shared" si="5"/>
        <v>3217192.17</v>
      </c>
      <c r="M107" s="11"/>
      <c r="O107" s="15"/>
    </row>
    <row r="108" spans="1:15" outlineLevel="2">
      <c r="A108" s="11">
        <f t="shared" si="3"/>
        <v>103</v>
      </c>
      <c r="B108" s="11" t="s">
        <v>555</v>
      </c>
      <c r="C108" s="17" t="s">
        <v>819</v>
      </c>
      <c r="D108" s="12" t="s">
        <v>820</v>
      </c>
      <c r="E108" s="13">
        <v>277896.62</v>
      </c>
      <c r="G108" s="13">
        <f t="shared" si="7"/>
        <v>277896.62</v>
      </c>
      <c r="H108" s="14">
        <v>0</v>
      </c>
      <c r="I108" s="14">
        <v>0</v>
      </c>
      <c r="J108" s="14"/>
      <c r="K108" s="14">
        <f t="shared" si="5"/>
        <v>277896.62</v>
      </c>
      <c r="M108" s="11"/>
    </row>
    <row r="109" spans="1:15" outlineLevel="2">
      <c r="A109" s="11">
        <f t="shared" si="3"/>
        <v>104</v>
      </c>
      <c r="B109" s="11" t="s">
        <v>555</v>
      </c>
      <c r="C109" s="17" t="s">
        <v>821</v>
      </c>
      <c r="D109" s="12" t="s">
        <v>822</v>
      </c>
      <c r="E109" s="13">
        <v>6743203.0499999998</v>
      </c>
      <c r="G109" s="13">
        <f t="shared" si="7"/>
        <v>6743203.0499999998</v>
      </c>
      <c r="H109" s="14">
        <v>0</v>
      </c>
      <c r="I109" s="14">
        <v>0</v>
      </c>
      <c r="J109" s="14"/>
      <c r="K109" s="14">
        <f t="shared" si="5"/>
        <v>6743203.0499999998</v>
      </c>
      <c r="M109" s="11"/>
      <c r="O109" s="15"/>
    </row>
    <row r="110" spans="1:15" outlineLevel="2">
      <c r="A110" s="11">
        <f t="shared" si="3"/>
        <v>105</v>
      </c>
      <c r="B110" s="11" t="s">
        <v>555</v>
      </c>
      <c r="C110" s="17" t="s">
        <v>823</v>
      </c>
      <c r="D110" s="12" t="s">
        <v>824</v>
      </c>
      <c r="E110" s="13">
        <v>1084857.5</v>
      </c>
      <c r="G110" s="13">
        <f t="shared" si="7"/>
        <v>1084857.5</v>
      </c>
      <c r="H110" s="14">
        <v>0</v>
      </c>
      <c r="I110" s="14">
        <v>0</v>
      </c>
      <c r="J110" s="14"/>
      <c r="K110" s="14">
        <f t="shared" si="5"/>
        <v>1084857.5</v>
      </c>
    </row>
    <row r="111" spans="1:15" outlineLevel="2">
      <c r="A111" s="11">
        <f t="shared" si="3"/>
        <v>106</v>
      </c>
      <c r="B111" s="11" t="s">
        <v>555</v>
      </c>
      <c r="C111" s="17" t="s">
        <v>825</v>
      </c>
      <c r="D111" s="12" t="s">
        <v>826</v>
      </c>
      <c r="E111" s="13">
        <v>3485236.01</v>
      </c>
      <c r="G111" s="13">
        <f t="shared" si="7"/>
        <v>3485236.01</v>
      </c>
      <c r="H111" s="14">
        <v>0</v>
      </c>
      <c r="I111" s="14">
        <v>0</v>
      </c>
      <c r="J111" s="14"/>
      <c r="K111" s="14">
        <f t="shared" si="5"/>
        <v>3485236.01</v>
      </c>
      <c r="M111" s="11"/>
      <c r="O111" s="15"/>
    </row>
    <row r="112" spans="1:15" outlineLevel="2">
      <c r="A112" s="11">
        <f t="shared" si="3"/>
        <v>107</v>
      </c>
      <c r="B112" s="11" t="s">
        <v>555</v>
      </c>
      <c r="C112" s="17" t="s">
        <v>827</v>
      </c>
      <c r="D112" s="12" t="s">
        <v>828</v>
      </c>
      <c r="E112" s="13">
        <v>2428605.56</v>
      </c>
      <c r="G112" s="13">
        <f t="shared" si="7"/>
        <v>2428605.56</v>
      </c>
      <c r="H112" s="14">
        <v>0</v>
      </c>
      <c r="I112" s="14">
        <v>0</v>
      </c>
      <c r="J112" s="14"/>
      <c r="K112" s="14">
        <f t="shared" si="5"/>
        <v>2428605.56</v>
      </c>
      <c r="M112" s="11"/>
      <c r="O112" s="15"/>
    </row>
    <row r="113" spans="1:15" outlineLevel="2">
      <c r="A113" s="11">
        <f t="shared" si="3"/>
        <v>108</v>
      </c>
      <c r="B113" s="11" t="s">
        <v>555</v>
      </c>
      <c r="C113" s="17" t="s">
        <v>829</v>
      </c>
      <c r="D113" s="12" t="s">
        <v>830</v>
      </c>
      <c r="E113" s="13">
        <v>5110115.21</v>
      </c>
      <c r="G113" s="13">
        <f t="shared" si="7"/>
        <v>5110115.21</v>
      </c>
      <c r="H113" s="14">
        <v>0</v>
      </c>
      <c r="I113" s="14">
        <v>0</v>
      </c>
      <c r="J113" s="14"/>
      <c r="K113" s="14">
        <f t="shared" si="5"/>
        <v>5110115.21</v>
      </c>
      <c r="M113" s="11"/>
      <c r="O113" s="15"/>
    </row>
    <row r="114" spans="1:15" outlineLevel="2">
      <c r="A114" s="11">
        <f t="shared" si="3"/>
        <v>109</v>
      </c>
      <c r="B114" s="11" t="s">
        <v>555</v>
      </c>
      <c r="C114" s="17" t="s">
        <v>831</v>
      </c>
      <c r="D114" s="12" t="s">
        <v>832</v>
      </c>
      <c r="E114" s="13">
        <v>312931.03999999998</v>
      </c>
      <c r="G114" s="13">
        <f t="shared" si="7"/>
        <v>312931.03999999998</v>
      </c>
      <c r="H114" s="14">
        <v>0</v>
      </c>
      <c r="I114" s="14">
        <v>0</v>
      </c>
      <c r="J114" s="14"/>
      <c r="K114" s="14">
        <f t="shared" si="5"/>
        <v>312931.03999999998</v>
      </c>
      <c r="M114" s="11"/>
      <c r="O114" s="15"/>
    </row>
    <row r="115" spans="1:15" outlineLevel="2">
      <c r="A115" s="11">
        <f t="shared" si="3"/>
        <v>110</v>
      </c>
      <c r="B115" s="11" t="s">
        <v>555</v>
      </c>
      <c r="C115" s="17" t="s">
        <v>833</v>
      </c>
      <c r="D115" s="12" t="s">
        <v>834</v>
      </c>
      <c r="E115" s="13">
        <v>7488153.7300000004</v>
      </c>
      <c r="G115" s="13">
        <f t="shared" si="7"/>
        <v>7488153.7300000004</v>
      </c>
      <c r="H115" s="14">
        <v>0</v>
      </c>
      <c r="I115" s="14">
        <v>0</v>
      </c>
      <c r="J115" s="14"/>
      <c r="K115" s="14">
        <f t="shared" si="5"/>
        <v>7488153.7300000004</v>
      </c>
      <c r="M115" s="11"/>
      <c r="O115" s="15"/>
    </row>
    <row r="116" spans="1:15" outlineLevel="2">
      <c r="A116" s="11">
        <f t="shared" si="3"/>
        <v>111</v>
      </c>
      <c r="B116" s="11" t="s">
        <v>555</v>
      </c>
      <c r="C116" s="17" t="s">
        <v>835</v>
      </c>
      <c r="D116" s="12" t="s">
        <v>836</v>
      </c>
      <c r="E116" s="13">
        <v>26924889.420000002</v>
      </c>
      <c r="G116" s="13">
        <f t="shared" si="7"/>
        <v>26924889.420000002</v>
      </c>
      <c r="H116" s="14">
        <v>0</v>
      </c>
      <c r="I116" s="14">
        <v>0</v>
      </c>
      <c r="J116" s="14"/>
      <c r="K116" s="14">
        <f t="shared" si="5"/>
        <v>26924889.420000002</v>
      </c>
      <c r="M116" s="11"/>
      <c r="O116" s="15"/>
    </row>
    <row r="117" spans="1:15" outlineLevel="2">
      <c r="A117" s="11">
        <f t="shared" si="3"/>
        <v>112</v>
      </c>
      <c r="B117" s="11" t="s">
        <v>555</v>
      </c>
      <c r="C117" s="17" t="s">
        <v>648</v>
      </c>
      <c r="D117" s="12" t="s">
        <v>837</v>
      </c>
      <c r="E117" s="13">
        <v>349954</v>
      </c>
      <c r="G117" s="13">
        <f t="shared" si="7"/>
        <v>349954</v>
      </c>
      <c r="H117" s="14">
        <v>0</v>
      </c>
      <c r="I117" s="14">
        <v>0</v>
      </c>
      <c r="J117" s="14"/>
      <c r="K117" s="14">
        <f t="shared" si="5"/>
        <v>349954</v>
      </c>
      <c r="M117" s="11"/>
      <c r="O117" s="15"/>
    </row>
    <row r="118" spans="1:15" outlineLevel="2">
      <c r="A118" s="11">
        <f t="shared" si="3"/>
        <v>113</v>
      </c>
      <c r="B118" s="11" t="s">
        <v>555</v>
      </c>
      <c r="C118" s="17" t="s">
        <v>838</v>
      </c>
      <c r="D118" s="12" t="s">
        <v>839</v>
      </c>
      <c r="E118" s="13">
        <v>17627867.68</v>
      </c>
      <c r="G118" s="13">
        <f t="shared" si="7"/>
        <v>17627867.68</v>
      </c>
      <c r="H118" s="14">
        <v>0</v>
      </c>
      <c r="I118" s="14">
        <v>0</v>
      </c>
      <c r="J118" s="14"/>
      <c r="K118" s="14">
        <f t="shared" si="5"/>
        <v>17627867.68</v>
      </c>
      <c r="M118" s="11"/>
      <c r="O118" s="15"/>
    </row>
    <row r="119" spans="1:15" outlineLevel="2">
      <c r="A119" s="11">
        <f t="shared" si="3"/>
        <v>114</v>
      </c>
      <c r="B119" s="11" t="s">
        <v>555</v>
      </c>
      <c r="C119" s="17" t="s">
        <v>840</v>
      </c>
      <c r="D119" s="12" t="s">
        <v>841</v>
      </c>
      <c r="E119" s="13">
        <v>11035513.970000001</v>
      </c>
      <c r="G119" s="13">
        <f t="shared" si="7"/>
        <v>11035513.970000001</v>
      </c>
      <c r="H119" s="14">
        <v>0</v>
      </c>
      <c r="I119" s="14">
        <v>0</v>
      </c>
      <c r="J119" s="14"/>
      <c r="K119" s="14">
        <f t="shared" si="5"/>
        <v>11035513.970000001</v>
      </c>
      <c r="M119" s="11"/>
      <c r="O119" s="15"/>
    </row>
    <row r="120" spans="1:15" outlineLevel="2">
      <c r="A120" s="11">
        <f t="shared" si="3"/>
        <v>115</v>
      </c>
      <c r="B120" s="11" t="s">
        <v>555</v>
      </c>
      <c r="C120" s="17" t="s">
        <v>842</v>
      </c>
      <c r="D120" s="12" t="s">
        <v>843</v>
      </c>
      <c r="E120" s="13">
        <v>4629315.97</v>
      </c>
      <c r="G120" s="13">
        <f t="shared" si="7"/>
        <v>4629315.97</v>
      </c>
      <c r="H120" s="14">
        <v>0</v>
      </c>
      <c r="I120" s="14">
        <v>0</v>
      </c>
      <c r="J120" s="14"/>
      <c r="K120" s="14">
        <f t="shared" si="5"/>
        <v>4629315.97</v>
      </c>
      <c r="M120" s="11"/>
      <c r="O120" s="15"/>
    </row>
    <row r="121" spans="1:15" outlineLevel="2">
      <c r="A121" s="11">
        <f t="shared" si="3"/>
        <v>116</v>
      </c>
      <c r="B121" s="11" t="s">
        <v>555</v>
      </c>
      <c r="C121" s="17" t="s">
        <v>844</v>
      </c>
      <c r="D121" s="12" t="s">
        <v>845</v>
      </c>
      <c r="E121" s="13">
        <v>2265163.38</v>
      </c>
      <c r="G121" s="13">
        <f t="shared" si="7"/>
        <v>2265163.38</v>
      </c>
      <c r="H121" s="14">
        <v>0</v>
      </c>
      <c r="I121" s="14">
        <v>0</v>
      </c>
      <c r="J121" s="14"/>
      <c r="K121" s="14">
        <f t="shared" si="5"/>
        <v>2265163.38</v>
      </c>
      <c r="M121" s="11"/>
      <c r="O121" s="15"/>
    </row>
    <row r="122" spans="1:15" s="6" customFormat="1" ht="13.5" outlineLevel="1" thickBot="1">
      <c r="A122" s="11">
        <f t="shared" si="3"/>
        <v>117</v>
      </c>
      <c r="B122" s="18" t="s">
        <v>846</v>
      </c>
      <c r="C122" s="19"/>
      <c r="D122" s="20" t="s">
        <v>847</v>
      </c>
      <c r="E122" s="21">
        <f>SUBTOTAL(9,E6:E121)</f>
        <v>583030189.1700002</v>
      </c>
      <c r="F122" s="21">
        <f>SUBTOTAL(9,F6:F121)</f>
        <v>9105078</v>
      </c>
      <c r="G122" s="21">
        <f>SUBTOTAL(9,G6:G121)</f>
        <v>592135267.1700002</v>
      </c>
      <c r="H122" s="21">
        <f>SUBTOTAL(9,H6:H121)</f>
        <v>-576090</v>
      </c>
      <c r="I122" s="21">
        <f>SUBTOTAL(9,I6:I121)</f>
        <v>0</v>
      </c>
      <c r="J122" s="21"/>
      <c r="K122" s="22">
        <f>SUBTOTAL(9,K6:K121)</f>
        <v>591423177.1700002</v>
      </c>
      <c r="L122" s="23"/>
      <c r="M122" s="3"/>
      <c r="N122" s="3"/>
      <c r="O122" s="8"/>
    </row>
    <row r="123" spans="1:15" ht="13.5" outlineLevel="2" thickTop="1">
      <c r="A123" s="11">
        <f t="shared" si="3"/>
        <v>118</v>
      </c>
      <c r="B123" s="11" t="s">
        <v>557</v>
      </c>
      <c r="C123" s="17" t="s">
        <v>848</v>
      </c>
      <c r="D123" s="12" t="s">
        <v>849</v>
      </c>
      <c r="E123" s="13">
        <v>6259.21</v>
      </c>
      <c r="G123" s="13">
        <f>E123+F123</f>
        <v>6259.21</v>
      </c>
      <c r="H123" s="13">
        <v>0</v>
      </c>
      <c r="I123" s="13">
        <v>0</v>
      </c>
      <c r="K123" s="14">
        <f>SUM(G123:J123)</f>
        <v>6259.21</v>
      </c>
      <c r="M123" s="11"/>
      <c r="O123" s="15"/>
    </row>
    <row r="124" spans="1:15" outlineLevel="2">
      <c r="A124" s="11">
        <f t="shared" si="3"/>
        <v>119</v>
      </c>
      <c r="B124" s="11" t="s">
        <v>557</v>
      </c>
      <c r="C124" s="17" t="s">
        <v>850</v>
      </c>
      <c r="D124" s="1" t="s">
        <v>851</v>
      </c>
      <c r="E124" s="13">
        <v>5878984.1399999997</v>
      </c>
      <c r="G124" s="13">
        <f t="shared" ref="G124" si="8">E124+F124</f>
        <v>5878984.1399999997</v>
      </c>
      <c r="H124" s="13">
        <v>0</v>
      </c>
      <c r="I124" s="13">
        <v>0</v>
      </c>
      <c r="K124" s="14">
        <f t="shared" ref="K124" si="9">SUM(G124:J124)</f>
        <v>5878984.1399999997</v>
      </c>
      <c r="M124" s="11"/>
      <c r="O124" s="15"/>
    </row>
    <row r="125" spans="1:15" outlineLevel="2">
      <c r="A125" s="11">
        <f t="shared" si="3"/>
        <v>120</v>
      </c>
      <c r="B125" s="11" t="s">
        <v>557</v>
      </c>
      <c r="C125" s="17" t="s">
        <v>852</v>
      </c>
      <c r="D125" s="12" t="s">
        <v>853</v>
      </c>
      <c r="E125" s="13">
        <v>2318295.1</v>
      </c>
      <c r="G125" s="13">
        <f t="shared" ref="G125:G187" si="10">E125+F125</f>
        <v>2318295.1</v>
      </c>
      <c r="H125" s="13">
        <v>-800024</v>
      </c>
      <c r="I125" s="13">
        <v>0</v>
      </c>
      <c r="K125" s="14">
        <f t="shared" ref="K125:K187" si="11">SUM(G125:J125)</f>
        <v>1518271.1</v>
      </c>
      <c r="M125" s="11"/>
      <c r="O125" s="15"/>
    </row>
    <row r="126" spans="1:15" outlineLevel="2">
      <c r="A126" s="11">
        <f t="shared" si="3"/>
        <v>121</v>
      </c>
      <c r="B126" s="11" t="s">
        <v>557</v>
      </c>
      <c r="C126" s="17" t="s">
        <v>854</v>
      </c>
      <c r="D126" s="12" t="s">
        <v>855</v>
      </c>
      <c r="E126" s="13">
        <v>63325.31</v>
      </c>
      <c r="G126" s="13">
        <f t="shared" si="10"/>
        <v>63325.31</v>
      </c>
      <c r="H126" s="13">
        <v>0</v>
      </c>
      <c r="I126" s="13">
        <v>0</v>
      </c>
      <c r="K126" s="14">
        <f t="shared" si="11"/>
        <v>63325.31</v>
      </c>
      <c r="M126" s="11"/>
    </row>
    <row r="127" spans="1:15" outlineLevel="2">
      <c r="A127" s="11">
        <f t="shared" si="3"/>
        <v>122</v>
      </c>
      <c r="B127" s="11" t="s">
        <v>557</v>
      </c>
      <c r="C127" s="17" t="s">
        <v>856</v>
      </c>
      <c r="D127" s="12" t="s">
        <v>857</v>
      </c>
      <c r="E127" s="13">
        <v>35004.78</v>
      </c>
      <c r="G127" s="13">
        <f t="shared" si="10"/>
        <v>35004.78</v>
      </c>
      <c r="H127" s="13">
        <v>-35005</v>
      </c>
      <c r="I127" s="13">
        <v>0</v>
      </c>
      <c r="K127" s="14">
        <f t="shared" si="11"/>
        <v>-0.22000000000116415</v>
      </c>
      <c r="M127" s="11"/>
    </row>
    <row r="128" spans="1:15" outlineLevel="2">
      <c r="A128" s="11">
        <f t="shared" si="3"/>
        <v>123</v>
      </c>
      <c r="B128" s="11" t="s">
        <v>557</v>
      </c>
      <c r="C128" s="17" t="s">
        <v>858</v>
      </c>
      <c r="D128" s="12" t="s">
        <v>859</v>
      </c>
      <c r="E128" s="13">
        <v>2899880.73</v>
      </c>
      <c r="G128" s="13">
        <f t="shared" si="10"/>
        <v>2899880.73</v>
      </c>
      <c r="H128" s="13">
        <v>-124344</v>
      </c>
      <c r="I128" s="13">
        <v>0</v>
      </c>
      <c r="K128" s="14">
        <f t="shared" si="11"/>
        <v>2775536.73</v>
      </c>
      <c r="M128" s="11"/>
    </row>
    <row r="129" spans="1:15" outlineLevel="2">
      <c r="A129" s="11">
        <f t="shared" si="3"/>
        <v>124</v>
      </c>
      <c r="B129" s="11" t="s">
        <v>557</v>
      </c>
      <c r="C129" s="17" t="s">
        <v>860</v>
      </c>
      <c r="D129" s="12" t="s">
        <v>861</v>
      </c>
      <c r="E129" s="13">
        <v>279691.27</v>
      </c>
      <c r="G129" s="13">
        <f t="shared" si="10"/>
        <v>279691.27</v>
      </c>
      <c r="H129" s="13">
        <v>0</v>
      </c>
      <c r="I129" s="13">
        <v>0</v>
      </c>
      <c r="K129" s="14">
        <f t="shared" si="11"/>
        <v>279691.27</v>
      </c>
      <c r="M129" s="11"/>
    </row>
    <row r="130" spans="1:15" outlineLevel="2">
      <c r="A130" s="11">
        <f t="shared" si="3"/>
        <v>125</v>
      </c>
      <c r="B130" s="11" t="s">
        <v>557</v>
      </c>
      <c r="C130" s="17" t="s">
        <v>862</v>
      </c>
      <c r="D130" s="12" t="s">
        <v>863</v>
      </c>
      <c r="E130" s="13">
        <v>298521.89</v>
      </c>
      <c r="G130" s="13">
        <f t="shared" si="10"/>
        <v>298521.89</v>
      </c>
      <c r="H130" s="13">
        <v>0</v>
      </c>
      <c r="I130" s="13">
        <v>0</v>
      </c>
      <c r="K130" s="14">
        <f>SUM(G130:J130)</f>
        <v>298521.89</v>
      </c>
      <c r="M130" s="11"/>
      <c r="O130" s="15"/>
    </row>
    <row r="131" spans="1:15" outlineLevel="2">
      <c r="A131" s="11">
        <f t="shared" si="3"/>
        <v>126</v>
      </c>
      <c r="B131" s="11" t="s">
        <v>557</v>
      </c>
      <c r="C131" s="17" t="s">
        <v>864</v>
      </c>
      <c r="D131" s="12" t="s">
        <v>865</v>
      </c>
      <c r="E131" s="13">
        <v>13779308.23</v>
      </c>
      <c r="G131" s="13">
        <f t="shared" si="10"/>
        <v>13779308.23</v>
      </c>
      <c r="H131" s="13">
        <v>-163836</v>
      </c>
      <c r="I131" s="13">
        <v>0</v>
      </c>
      <c r="K131" s="14">
        <f t="shared" si="11"/>
        <v>13615472.23</v>
      </c>
      <c r="L131" s="12"/>
      <c r="M131" s="11"/>
      <c r="O131" s="15"/>
    </row>
    <row r="132" spans="1:15" outlineLevel="2">
      <c r="A132" s="11">
        <f t="shared" si="3"/>
        <v>127</v>
      </c>
      <c r="B132" s="11" t="s">
        <v>557</v>
      </c>
      <c r="C132" s="17" t="s">
        <v>866</v>
      </c>
      <c r="D132" s="12" t="s">
        <v>867</v>
      </c>
      <c r="E132" s="13">
        <v>4771588.2699999996</v>
      </c>
      <c r="G132" s="13">
        <f t="shared" si="10"/>
        <v>4771588.2699999996</v>
      </c>
      <c r="H132" s="13">
        <v>-231321</v>
      </c>
      <c r="I132" s="13">
        <v>0</v>
      </c>
      <c r="K132" s="14">
        <f t="shared" si="11"/>
        <v>4540267.2699999996</v>
      </c>
      <c r="L132" s="12"/>
      <c r="M132" s="11"/>
      <c r="O132" s="15"/>
    </row>
    <row r="133" spans="1:15" outlineLevel="2">
      <c r="A133" s="11">
        <f t="shared" si="3"/>
        <v>128</v>
      </c>
      <c r="B133" s="11" t="s">
        <v>557</v>
      </c>
      <c r="C133" s="17" t="s">
        <v>868</v>
      </c>
      <c r="D133" s="12" t="s">
        <v>869</v>
      </c>
      <c r="E133" s="13">
        <v>272529.27</v>
      </c>
      <c r="G133" s="13">
        <f t="shared" si="10"/>
        <v>272529.27</v>
      </c>
      <c r="H133" s="13">
        <v>-218122</v>
      </c>
      <c r="I133" s="13">
        <v>0</v>
      </c>
      <c r="K133" s="14">
        <f t="shared" si="11"/>
        <v>54407.270000000019</v>
      </c>
      <c r="L133" s="12"/>
      <c r="M133" s="11"/>
      <c r="O133" s="15"/>
    </row>
    <row r="134" spans="1:15" outlineLevel="2">
      <c r="A134" s="11">
        <f t="shared" si="3"/>
        <v>129</v>
      </c>
      <c r="B134" s="11" t="s">
        <v>557</v>
      </c>
      <c r="C134" s="17" t="s">
        <v>870</v>
      </c>
      <c r="D134" s="12" t="s">
        <v>871</v>
      </c>
      <c r="E134" s="13">
        <v>17834752.539999999</v>
      </c>
      <c r="G134" s="13">
        <f t="shared" si="10"/>
        <v>17834752.539999999</v>
      </c>
      <c r="H134" s="13">
        <v>-187218</v>
      </c>
      <c r="I134" s="13">
        <v>0</v>
      </c>
      <c r="K134" s="14">
        <f t="shared" si="11"/>
        <v>17647534.539999999</v>
      </c>
      <c r="L134" s="12"/>
      <c r="M134" s="11"/>
      <c r="O134" s="15"/>
    </row>
    <row r="135" spans="1:15" outlineLevel="2">
      <c r="A135" s="11">
        <f t="shared" si="3"/>
        <v>130</v>
      </c>
      <c r="B135" s="11" t="s">
        <v>557</v>
      </c>
      <c r="C135" s="17" t="s">
        <v>872</v>
      </c>
      <c r="D135" s="12" t="s">
        <v>873</v>
      </c>
      <c r="E135" s="13">
        <v>12472.19</v>
      </c>
      <c r="G135" s="13">
        <f t="shared" si="10"/>
        <v>12472.19</v>
      </c>
      <c r="H135" s="13">
        <v>0</v>
      </c>
      <c r="I135" s="13">
        <v>0</v>
      </c>
      <c r="K135" s="14">
        <f t="shared" si="11"/>
        <v>12472.19</v>
      </c>
      <c r="M135" s="11"/>
      <c r="O135" s="15"/>
    </row>
    <row r="136" spans="1:15" outlineLevel="2">
      <c r="A136" s="11">
        <f t="shared" ref="A136:A199" si="12">A135+1</f>
        <v>131</v>
      </c>
      <c r="B136" s="11" t="s">
        <v>557</v>
      </c>
      <c r="C136" s="17" t="s">
        <v>874</v>
      </c>
      <c r="D136" s="12" t="s">
        <v>875</v>
      </c>
      <c r="E136" s="13">
        <v>2997082.15</v>
      </c>
      <c r="G136" s="13">
        <f t="shared" si="10"/>
        <v>2997082.15</v>
      </c>
      <c r="H136" s="13">
        <v>-630455</v>
      </c>
      <c r="I136" s="13">
        <v>0</v>
      </c>
      <c r="K136" s="14">
        <f t="shared" si="11"/>
        <v>2366627.15</v>
      </c>
      <c r="L136" s="12"/>
      <c r="M136" s="11"/>
      <c r="O136" s="15"/>
    </row>
    <row r="137" spans="1:15" outlineLevel="2">
      <c r="A137" s="11">
        <f t="shared" si="12"/>
        <v>132</v>
      </c>
      <c r="B137" s="11" t="s">
        <v>557</v>
      </c>
      <c r="C137" s="17" t="s">
        <v>876</v>
      </c>
      <c r="D137" s="12" t="s">
        <v>877</v>
      </c>
      <c r="E137" s="13">
        <v>3398445.6</v>
      </c>
      <c r="G137" s="13">
        <f t="shared" si="10"/>
        <v>3398445.6</v>
      </c>
      <c r="H137" s="13">
        <v>-1226623</v>
      </c>
      <c r="I137" s="13">
        <v>0</v>
      </c>
      <c r="K137" s="14">
        <f>SUM(G137:J137)</f>
        <v>2171822.6</v>
      </c>
      <c r="L137" s="12"/>
      <c r="M137" s="11"/>
      <c r="O137" s="15"/>
    </row>
    <row r="138" spans="1:15" outlineLevel="2">
      <c r="A138" s="11">
        <f t="shared" si="12"/>
        <v>133</v>
      </c>
      <c r="B138" s="11" t="s">
        <v>557</v>
      </c>
      <c r="C138" s="17" t="s">
        <v>878</v>
      </c>
      <c r="D138" s="12" t="s">
        <v>879</v>
      </c>
      <c r="E138" s="13">
        <v>4460377.1900000004</v>
      </c>
      <c r="F138" s="13">
        <v>12445000</v>
      </c>
      <c r="G138" s="13">
        <f t="shared" si="10"/>
        <v>16905377.190000001</v>
      </c>
      <c r="H138" s="13">
        <v>0</v>
      </c>
      <c r="I138" s="13">
        <v>0</v>
      </c>
      <c r="K138" s="14">
        <f t="shared" si="11"/>
        <v>16905377.190000001</v>
      </c>
      <c r="M138" s="11"/>
      <c r="O138" s="15"/>
    </row>
    <row r="139" spans="1:15" outlineLevel="2">
      <c r="A139" s="11">
        <f t="shared" si="12"/>
        <v>134</v>
      </c>
      <c r="B139" s="11" t="s">
        <v>557</v>
      </c>
      <c r="C139" s="17" t="s">
        <v>880</v>
      </c>
      <c r="D139" s="12" t="s">
        <v>881</v>
      </c>
      <c r="E139" s="13">
        <v>0</v>
      </c>
      <c r="G139" s="13">
        <f t="shared" si="10"/>
        <v>0</v>
      </c>
      <c r="H139" s="13">
        <v>0</v>
      </c>
      <c r="I139" s="13">
        <v>0</v>
      </c>
      <c r="K139" s="14">
        <f t="shared" si="11"/>
        <v>0</v>
      </c>
      <c r="M139" s="11"/>
      <c r="O139" s="15"/>
    </row>
    <row r="140" spans="1:15" outlineLevel="2">
      <c r="A140" s="11">
        <f t="shared" si="12"/>
        <v>135</v>
      </c>
      <c r="B140" s="11" t="s">
        <v>557</v>
      </c>
      <c r="C140" s="17" t="s">
        <v>882</v>
      </c>
      <c r="D140" s="12" t="s">
        <v>883</v>
      </c>
      <c r="E140" s="13">
        <v>45210.14</v>
      </c>
      <c r="G140" s="13">
        <f t="shared" si="10"/>
        <v>45210.14</v>
      </c>
      <c r="H140" s="13">
        <v>0</v>
      </c>
      <c r="I140" s="13">
        <v>0</v>
      </c>
      <c r="K140" s="14">
        <f t="shared" si="11"/>
        <v>45210.14</v>
      </c>
      <c r="M140" s="11"/>
      <c r="O140" s="15"/>
    </row>
    <row r="141" spans="1:15" outlineLevel="2">
      <c r="A141" s="11">
        <f t="shared" si="12"/>
        <v>136</v>
      </c>
      <c r="B141" s="11" t="s">
        <v>557</v>
      </c>
      <c r="C141" s="17" t="s">
        <v>884</v>
      </c>
      <c r="D141" s="12" t="s">
        <v>885</v>
      </c>
      <c r="E141" s="13">
        <v>2463312.04</v>
      </c>
      <c r="G141" s="13">
        <f t="shared" si="10"/>
        <v>2463312.04</v>
      </c>
      <c r="H141" s="13">
        <v>0</v>
      </c>
      <c r="I141" s="13">
        <v>0</v>
      </c>
      <c r="K141" s="14">
        <f t="shared" si="11"/>
        <v>2463312.04</v>
      </c>
      <c r="M141" s="11"/>
      <c r="O141" s="15"/>
    </row>
    <row r="142" spans="1:15" outlineLevel="2">
      <c r="A142" s="11">
        <f t="shared" si="12"/>
        <v>137</v>
      </c>
      <c r="B142" s="11" t="s">
        <v>557</v>
      </c>
      <c r="C142" s="17" t="s">
        <v>886</v>
      </c>
      <c r="D142" s="12" t="s">
        <v>887</v>
      </c>
      <c r="E142" s="13">
        <v>3824593.54</v>
      </c>
      <c r="G142" s="13">
        <f t="shared" si="10"/>
        <v>3824593.54</v>
      </c>
      <c r="H142" s="13">
        <v>-1007873</v>
      </c>
      <c r="I142" s="13">
        <v>0</v>
      </c>
      <c r="K142" s="14">
        <f t="shared" si="11"/>
        <v>2816720.54</v>
      </c>
      <c r="L142" s="12"/>
      <c r="M142" s="11"/>
      <c r="O142" s="15"/>
    </row>
    <row r="143" spans="1:15" outlineLevel="2">
      <c r="A143" s="11">
        <f t="shared" si="12"/>
        <v>138</v>
      </c>
      <c r="B143" s="11" t="s">
        <v>557</v>
      </c>
      <c r="C143" s="17" t="s">
        <v>888</v>
      </c>
      <c r="D143" s="12" t="s">
        <v>889</v>
      </c>
      <c r="E143" s="13">
        <v>1376075.86</v>
      </c>
      <c r="G143" s="13">
        <f t="shared" si="10"/>
        <v>1376075.86</v>
      </c>
      <c r="H143" s="13">
        <v>0</v>
      </c>
      <c r="I143" s="13">
        <v>0</v>
      </c>
      <c r="K143" s="14">
        <f t="shared" si="11"/>
        <v>1376075.86</v>
      </c>
      <c r="L143" s="12"/>
      <c r="M143" s="11"/>
      <c r="O143" s="15"/>
    </row>
    <row r="144" spans="1:15" outlineLevel="2">
      <c r="A144" s="11">
        <f t="shared" si="12"/>
        <v>139</v>
      </c>
      <c r="B144" s="11" t="s">
        <v>557</v>
      </c>
      <c r="C144" s="17" t="s">
        <v>890</v>
      </c>
      <c r="D144" s="12" t="s">
        <v>891</v>
      </c>
      <c r="E144" s="13">
        <v>9139053.5299999993</v>
      </c>
      <c r="G144" s="13">
        <f t="shared" si="10"/>
        <v>9139053.5299999993</v>
      </c>
      <c r="H144" s="13">
        <v>-2140670</v>
      </c>
      <c r="I144" s="13">
        <v>0</v>
      </c>
      <c r="K144" s="14">
        <f>SUM(G144:J144)</f>
        <v>6998383.5299999993</v>
      </c>
      <c r="L144" s="12"/>
      <c r="M144" s="11"/>
      <c r="O144" s="15"/>
    </row>
    <row r="145" spans="1:15" outlineLevel="2">
      <c r="A145" s="11">
        <f t="shared" si="12"/>
        <v>140</v>
      </c>
      <c r="B145" s="11" t="s">
        <v>557</v>
      </c>
      <c r="C145" s="17" t="s">
        <v>892</v>
      </c>
      <c r="D145" s="12" t="s">
        <v>893</v>
      </c>
      <c r="E145" s="13">
        <v>5416037.9900000002</v>
      </c>
      <c r="G145" s="13">
        <f t="shared" si="10"/>
        <v>5416037.9900000002</v>
      </c>
      <c r="H145" s="13">
        <v>-315045</v>
      </c>
      <c r="I145" s="13">
        <v>0</v>
      </c>
      <c r="K145" s="14">
        <f t="shared" si="11"/>
        <v>5100992.99</v>
      </c>
      <c r="L145" s="12"/>
      <c r="M145" s="11"/>
      <c r="O145" s="15"/>
    </row>
    <row r="146" spans="1:15" outlineLevel="2">
      <c r="A146" s="11">
        <f t="shared" si="12"/>
        <v>141</v>
      </c>
      <c r="B146" s="11" t="s">
        <v>557</v>
      </c>
      <c r="C146" s="17" t="s">
        <v>894</v>
      </c>
      <c r="D146" s="12" t="s">
        <v>895</v>
      </c>
      <c r="E146" s="13">
        <v>8453083.7100000009</v>
      </c>
      <c r="G146" s="13">
        <f t="shared" si="10"/>
        <v>8453083.7100000009</v>
      </c>
      <c r="H146" s="13">
        <v>0</v>
      </c>
      <c r="I146" s="13">
        <v>0</v>
      </c>
      <c r="K146" s="14">
        <f t="shared" si="11"/>
        <v>8453083.7100000009</v>
      </c>
      <c r="M146" s="11"/>
      <c r="O146" s="15"/>
    </row>
    <row r="147" spans="1:15" outlineLevel="2">
      <c r="A147" s="11">
        <f t="shared" si="12"/>
        <v>142</v>
      </c>
      <c r="B147" s="11" t="s">
        <v>557</v>
      </c>
      <c r="C147" s="17" t="s">
        <v>896</v>
      </c>
      <c r="D147" s="12" t="s">
        <v>897</v>
      </c>
      <c r="E147" s="13">
        <v>12152103.119999999</v>
      </c>
      <c r="G147" s="13">
        <f t="shared" si="10"/>
        <v>12152103.119999999</v>
      </c>
      <c r="H147" s="13">
        <v>0</v>
      </c>
      <c r="I147" s="13">
        <v>0</v>
      </c>
      <c r="K147" s="14">
        <f t="shared" si="11"/>
        <v>12152103.119999999</v>
      </c>
      <c r="M147" s="11"/>
      <c r="O147" s="15"/>
    </row>
    <row r="148" spans="1:15" outlineLevel="2">
      <c r="A148" s="11">
        <f t="shared" si="12"/>
        <v>143</v>
      </c>
      <c r="B148" s="11" t="s">
        <v>557</v>
      </c>
      <c r="C148" s="17" t="s">
        <v>898</v>
      </c>
      <c r="D148" s="12" t="s">
        <v>899</v>
      </c>
      <c r="E148" s="13">
        <v>2390851.2200000002</v>
      </c>
      <c r="G148" s="13">
        <f t="shared" si="10"/>
        <v>2390851.2200000002</v>
      </c>
      <c r="H148" s="13">
        <v>0</v>
      </c>
      <c r="I148" s="13">
        <v>0</v>
      </c>
      <c r="K148" s="14">
        <f t="shared" si="11"/>
        <v>2390851.2200000002</v>
      </c>
      <c r="M148" s="11"/>
      <c r="O148" s="15"/>
    </row>
    <row r="149" spans="1:15" outlineLevel="2">
      <c r="A149" s="11">
        <f t="shared" si="12"/>
        <v>144</v>
      </c>
      <c r="B149" s="11" t="s">
        <v>557</v>
      </c>
      <c r="C149" s="17" t="s">
        <v>900</v>
      </c>
      <c r="D149" s="12" t="s">
        <v>901</v>
      </c>
      <c r="E149" s="13">
        <v>4678069.05</v>
      </c>
      <c r="G149" s="13">
        <f t="shared" si="10"/>
        <v>4678069.05</v>
      </c>
      <c r="H149" s="13">
        <v>-346142</v>
      </c>
      <c r="I149" s="13">
        <v>0</v>
      </c>
      <c r="K149" s="14">
        <f>SUM(G149:J149)</f>
        <v>4331927.05</v>
      </c>
      <c r="L149" s="12"/>
      <c r="M149" s="11"/>
      <c r="O149" s="15"/>
    </row>
    <row r="150" spans="1:15" outlineLevel="2">
      <c r="A150" s="11">
        <f t="shared" si="12"/>
        <v>145</v>
      </c>
      <c r="B150" s="11" t="s">
        <v>557</v>
      </c>
      <c r="C150" s="17" t="s">
        <v>902</v>
      </c>
      <c r="D150" s="12" t="s">
        <v>903</v>
      </c>
      <c r="E150" s="13">
        <v>1583037.73</v>
      </c>
      <c r="G150" s="13">
        <f t="shared" si="10"/>
        <v>1583037.73</v>
      </c>
      <c r="H150" s="13">
        <v>-1484722</v>
      </c>
      <c r="I150" s="13">
        <v>0</v>
      </c>
      <c r="K150" s="14">
        <f t="shared" si="11"/>
        <v>98315.729999999981</v>
      </c>
      <c r="L150" s="12"/>
      <c r="M150" s="11"/>
      <c r="O150" s="15"/>
    </row>
    <row r="151" spans="1:15" outlineLevel="2">
      <c r="A151" s="11">
        <f t="shared" si="12"/>
        <v>146</v>
      </c>
      <c r="B151" s="11" t="s">
        <v>557</v>
      </c>
      <c r="C151" s="17" t="s">
        <v>904</v>
      </c>
      <c r="D151" s="12" t="s">
        <v>905</v>
      </c>
      <c r="E151" s="13">
        <v>10478271.449999999</v>
      </c>
      <c r="G151" s="13">
        <f t="shared" si="10"/>
        <v>10478271.449999999</v>
      </c>
      <c r="H151" s="13">
        <v>-2305</v>
      </c>
      <c r="I151" s="13">
        <v>0</v>
      </c>
      <c r="K151" s="14">
        <f t="shared" si="11"/>
        <v>10475966.449999999</v>
      </c>
      <c r="L151" s="12"/>
      <c r="M151" s="11"/>
      <c r="O151" s="15"/>
    </row>
    <row r="152" spans="1:15" outlineLevel="2">
      <c r="A152" s="11">
        <f t="shared" si="12"/>
        <v>147</v>
      </c>
      <c r="B152" s="11" t="s">
        <v>557</v>
      </c>
      <c r="C152" s="17" t="s">
        <v>906</v>
      </c>
      <c r="D152" s="12" t="s">
        <v>907</v>
      </c>
      <c r="E152" s="13">
        <v>848872.14</v>
      </c>
      <c r="G152" s="13">
        <f t="shared" si="10"/>
        <v>848872.14</v>
      </c>
      <c r="H152" s="13">
        <v>-109673</v>
      </c>
      <c r="K152" s="14">
        <f t="shared" si="11"/>
        <v>739199.14</v>
      </c>
      <c r="L152" s="12"/>
      <c r="M152" s="11"/>
      <c r="O152" s="15"/>
    </row>
    <row r="153" spans="1:15" outlineLevel="2">
      <c r="A153" s="11">
        <f t="shared" si="12"/>
        <v>148</v>
      </c>
      <c r="B153" s="11" t="s">
        <v>557</v>
      </c>
      <c r="C153" s="17" t="s">
        <v>908</v>
      </c>
      <c r="D153" s="12" t="s">
        <v>909</v>
      </c>
      <c r="E153" s="13">
        <v>16188021.15</v>
      </c>
      <c r="G153" s="13">
        <f t="shared" si="10"/>
        <v>16188021.15</v>
      </c>
      <c r="H153" s="13">
        <v>-183385</v>
      </c>
      <c r="I153" s="13">
        <v>0</v>
      </c>
      <c r="K153" s="14">
        <f t="shared" si="11"/>
        <v>16004636.15</v>
      </c>
      <c r="L153" s="12"/>
      <c r="M153" s="11"/>
      <c r="O153" s="15"/>
    </row>
    <row r="154" spans="1:15" outlineLevel="2">
      <c r="A154" s="11">
        <f t="shared" si="12"/>
        <v>149</v>
      </c>
      <c r="B154" s="11" t="s">
        <v>557</v>
      </c>
      <c r="C154" s="17" t="s">
        <v>910</v>
      </c>
      <c r="D154" s="12" t="s">
        <v>911</v>
      </c>
      <c r="E154" s="13">
        <v>1602554.49</v>
      </c>
      <c r="G154" s="13">
        <f t="shared" si="10"/>
        <v>1602554.49</v>
      </c>
      <c r="H154" s="13">
        <v>-1602554</v>
      </c>
      <c r="I154" s="13">
        <v>0</v>
      </c>
      <c r="K154" s="14">
        <f t="shared" si="11"/>
        <v>0.48999999999068677</v>
      </c>
      <c r="L154" s="12"/>
      <c r="M154" s="11"/>
      <c r="O154" s="15"/>
    </row>
    <row r="155" spans="1:15" outlineLevel="2">
      <c r="A155" s="11">
        <f t="shared" si="12"/>
        <v>150</v>
      </c>
      <c r="B155" s="11" t="s">
        <v>557</v>
      </c>
      <c r="C155" s="17" t="s">
        <v>912</v>
      </c>
      <c r="D155" s="12" t="s">
        <v>913</v>
      </c>
      <c r="E155" s="13">
        <v>2918979.13</v>
      </c>
      <c r="G155" s="13">
        <f t="shared" si="10"/>
        <v>2918979.13</v>
      </c>
      <c r="H155" s="13">
        <v>-81504</v>
      </c>
      <c r="I155" s="13">
        <v>0</v>
      </c>
      <c r="K155" s="14">
        <f t="shared" si="11"/>
        <v>2837475.13</v>
      </c>
      <c r="L155" s="12"/>
      <c r="M155" s="11"/>
      <c r="O155" s="15"/>
    </row>
    <row r="156" spans="1:15" outlineLevel="2">
      <c r="A156" s="11">
        <f t="shared" si="12"/>
        <v>151</v>
      </c>
      <c r="B156" s="11" t="s">
        <v>557</v>
      </c>
      <c r="C156" s="17" t="s">
        <v>914</v>
      </c>
      <c r="D156" s="12" t="s">
        <v>915</v>
      </c>
      <c r="E156" s="13">
        <v>23704.42</v>
      </c>
      <c r="G156" s="13">
        <f t="shared" si="10"/>
        <v>23704.42</v>
      </c>
      <c r="H156" s="13">
        <v>0</v>
      </c>
      <c r="I156" s="13">
        <v>0</v>
      </c>
      <c r="K156" s="14">
        <f>SUM(G156:J156)</f>
        <v>23704.42</v>
      </c>
      <c r="L156" s="12"/>
      <c r="M156" s="11"/>
      <c r="O156" s="15"/>
    </row>
    <row r="157" spans="1:15" outlineLevel="2">
      <c r="A157" s="11">
        <f t="shared" si="12"/>
        <v>152</v>
      </c>
      <c r="B157" s="11" t="s">
        <v>557</v>
      </c>
      <c r="C157" s="17" t="s">
        <v>916</v>
      </c>
      <c r="D157" s="12" t="s">
        <v>917</v>
      </c>
      <c r="E157" s="13">
        <v>49112.160000000003</v>
      </c>
      <c r="G157" s="13">
        <f t="shared" si="10"/>
        <v>49112.160000000003</v>
      </c>
      <c r="H157" s="13">
        <v>0</v>
      </c>
      <c r="I157" s="13">
        <v>0</v>
      </c>
      <c r="K157" s="14">
        <f t="shared" si="11"/>
        <v>49112.160000000003</v>
      </c>
      <c r="L157" s="12"/>
      <c r="M157" s="11"/>
      <c r="O157" s="15"/>
    </row>
    <row r="158" spans="1:15" outlineLevel="2">
      <c r="A158" s="11">
        <f t="shared" si="12"/>
        <v>153</v>
      </c>
      <c r="B158" s="11" t="s">
        <v>557</v>
      </c>
      <c r="C158" s="17" t="s">
        <v>918</v>
      </c>
      <c r="D158" s="12" t="s">
        <v>919</v>
      </c>
      <c r="E158" s="13">
        <v>66107.63</v>
      </c>
      <c r="G158" s="13">
        <f>E158+F158</f>
        <v>66107.63</v>
      </c>
      <c r="H158" s="13">
        <v>0</v>
      </c>
      <c r="I158" s="13">
        <v>0</v>
      </c>
      <c r="K158" s="14">
        <f>SUM(G158:J158)</f>
        <v>66107.63</v>
      </c>
      <c r="L158" s="12"/>
      <c r="M158" s="11"/>
      <c r="O158" s="15"/>
    </row>
    <row r="159" spans="1:15" outlineLevel="2">
      <c r="A159" s="11">
        <f t="shared" si="12"/>
        <v>154</v>
      </c>
      <c r="B159" s="11" t="s">
        <v>557</v>
      </c>
      <c r="C159" s="17" t="s">
        <v>920</v>
      </c>
      <c r="D159" s="12" t="s">
        <v>921</v>
      </c>
      <c r="E159" s="13">
        <v>1347433.28</v>
      </c>
      <c r="F159" s="13">
        <v>2929000</v>
      </c>
      <c r="G159" s="13">
        <f t="shared" si="10"/>
        <v>4276433.28</v>
      </c>
      <c r="H159" s="13">
        <v>-351323</v>
      </c>
      <c r="I159" s="13">
        <v>0</v>
      </c>
      <c r="K159" s="14">
        <f t="shared" si="11"/>
        <v>3925110.2800000003</v>
      </c>
      <c r="L159" s="12"/>
      <c r="M159" s="11"/>
      <c r="O159" s="15"/>
    </row>
    <row r="160" spans="1:15" outlineLevel="2">
      <c r="A160" s="11">
        <f t="shared" si="12"/>
        <v>155</v>
      </c>
      <c r="B160" s="11" t="s">
        <v>557</v>
      </c>
      <c r="C160" s="17" t="s">
        <v>922</v>
      </c>
      <c r="D160" s="12" t="s">
        <v>923</v>
      </c>
      <c r="E160" s="13">
        <v>6791631.9500000002</v>
      </c>
      <c r="G160" s="13">
        <f t="shared" si="10"/>
        <v>6791631.9500000002</v>
      </c>
      <c r="H160" s="13">
        <v>-1197122</v>
      </c>
      <c r="I160" s="13">
        <v>0</v>
      </c>
      <c r="K160" s="14">
        <f t="shared" si="11"/>
        <v>5594509.9500000002</v>
      </c>
      <c r="L160" s="12"/>
      <c r="M160" s="11"/>
      <c r="O160" s="15"/>
    </row>
    <row r="161" spans="1:15" outlineLevel="2">
      <c r="A161" s="11">
        <f t="shared" si="12"/>
        <v>156</v>
      </c>
      <c r="B161" s="11" t="s">
        <v>557</v>
      </c>
      <c r="C161" s="17" t="s">
        <v>924</v>
      </c>
      <c r="D161" s="12" t="s">
        <v>925</v>
      </c>
      <c r="E161" s="13">
        <v>2099906.66</v>
      </c>
      <c r="G161" s="13">
        <f t="shared" si="10"/>
        <v>2099906.66</v>
      </c>
      <c r="H161" s="13">
        <v>-17147</v>
      </c>
      <c r="I161" s="13">
        <v>0</v>
      </c>
      <c r="K161" s="14">
        <f t="shared" si="11"/>
        <v>2082759.6600000001</v>
      </c>
      <c r="L161" s="12"/>
      <c r="M161" s="11"/>
      <c r="O161" s="15"/>
    </row>
    <row r="162" spans="1:15" outlineLevel="2">
      <c r="A162" s="11">
        <f t="shared" si="12"/>
        <v>157</v>
      </c>
      <c r="B162" s="11" t="s">
        <v>557</v>
      </c>
      <c r="C162" s="17" t="s">
        <v>926</v>
      </c>
      <c r="D162" s="12" t="s">
        <v>927</v>
      </c>
      <c r="E162" s="13">
        <v>579.42999999999995</v>
      </c>
      <c r="G162" s="13">
        <f t="shared" si="10"/>
        <v>579.42999999999995</v>
      </c>
      <c r="H162" s="13">
        <v>-579</v>
      </c>
      <c r="I162" s="13">
        <v>0</v>
      </c>
      <c r="K162" s="14">
        <f t="shared" si="11"/>
        <v>0.42999999999994998</v>
      </c>
      <c r="L162" s="12"/>
      <c r="M162" s="11"/>
      <c r="O162" s="15"/>
    </row>
    <row r="163" spans="1:15" outlineLevel="2">
      <c r="A163" s="11">
        <f t="shared" si="12"/>
        <v>158</v>
      </c>
      <c r="B163" s="11" t="s">
        <v>557</v>
      </c>
      <c r="C163" s="17" t="s">
        <v>928</v>
      </c>
      <c r="D163" s="12" t="s">
        <v>929</v>
      </c>
      <c r="E163" s="13">
        <v>3507128.62</v>
      </c>
      <c r="G163" s="13">
        <f t="shared" si="10"/>
        <v>3507128.62</v>
      </c>
      <c r="H163" s="13">
        <v>-41652</v>
      </c>
      <c r="I163" s="13">
        <v>0</v>
      </c>
      <c r="K163" s="14">
        <f t="shared" si="11"/>
        <v>3465476.62</v>
      </c>
      <c r="L163" s="12"/>
      <c r="M163" s="11"/>
      <c r="O163" s="15"/>
    </row>
    <row r="164" spans="1:15" outlineLevel="2">
      <c r="A164" s="11">
        <f t="shared" si="12"/>
        <v>159</v>
      </c>
      <c r="B164" s="11" t="s">
        <v>557</v>
      </c>
      <c r="C164" s="17" t="s">
        <v>930</v>
      </c>
      <c r="D164" s="12" t="s">
        <v>931</v>
      </c>
      <c r="E164" s="13">
        <v>749767.78</v>
      </c>
      <c r="G164" s="13">
        <f t="shared" si="10"/>
        <v>749767.78</v>
      </c>
      <c r="H164" s="13">
        <v>-247423</v>
      </c>
      <c r="I164" s="13">
        <v>0</v>
      </c>
      <c r="K164" s="14">
        <f t="shared" si="11"/>
        <v>502344.78</v>
      </c>
      <c r="M164" s="11"/>
      <c r="O164" s="15"/>
    </row>
    <row r="165" spans="1:15" outlineLevel="2">
      <c r="A165" s="11">
        <f t="shared" si="12"/>
        <v>160</v>
      </c>
      <c r="B165" s="11" t="s">
        <v>557</v>
      </c>
      <c r="C165" s="17" t="s">
        <v>932</v>
      </c>
      <c r="D165" s="12" t="s">
        <v>933</v>
      </c>
      <c r="E165" s="13">
        <v>5508745.9800000004</v>
      </c>
      <c r="G165" s="13">
        <f t="shared" si="10"/>
        <v>5508745.9800000004</v>
      </c>
      <c r="H165" s="13">
        <v>-164229</v>
      </c>
      <c r="I165" s="13">
        <v>0</v>
      </c>
      <c r="K165" s="14">
        <f>SUM(G165:J165)</f>
        <v>5344516.9800000004</v>
      </c>
      <c r="L165" s="12"/>
      <c r="M165" s="11"/>
      <c r="O165" s="15"/>
    </row>
    <row r="166" spans="1:15" outlineLevel="2">
      <c r="A166" s="11">
        <f t="shared" si="12"/>
        <v>161</v>
      </c>
      <c r="B166" s="11" t="s">
        <v>557</v>
      </c>
      <c r="C166" s="17" t="s">
        <v>934</v>
      </c>
      <c r="D166" s="12" t="s">
        <v>935</v>
      </c>
      <c r="E166" s="13">
        <v>4296872.84</v>
      </c>
      <c r="G166" s="13">
        <f t="shared" si="10"/>
        <v>4296872.84</v>
      </c>
      <c r="H166" s="13">
        <v>0</v>
      </c>
      <c r="I166" s="13">
        <v>0</v>
      </c>
      <c r="K166" s="14">
        <f t="shared" si="11"/>
        <v>4296872.84</v>
      </c>
      <c r="L166" s="12"/>
      <c r="M166" s="11"/>
      <c r="O166" s="15"/>
    </row>
    <row r="167" spans="1:15" ht="12.75" customHeight="1" outlineLevel="2">
      <c r="A167" s="11">
        <f t="shared" si="12"/>
        <v>162</v>
      </c>
      <c r="B167" s="11" t="s">
        <v>557</v>
      </c>
      <c r="C167" s="17" t="s">
        <v>936</v>
      </c>
      <c r="D167" s="12" t="s">
        <v>937</v>
      </c>
      <c r="E167" s="13">
        <v>1235034.1000000001</v>
      </c>
      <c r="G167" s="13">
        <f t="shared" si="10"/>
        <v>1235034.1000000001</v>
      </c>
      <c r="H167" s="13">
        <v>-572275</v>
      </c>
      <c r="I167" s="13">
        <v>0</v>
      </c>
      <c r="K167" s="14">
        <f t="shared" si="11"/>
        <v>662759.10000000009</v>
      </c>
      <c r="L167" s="12"/>
      <c r="M167" s="11"/>
      <c r="O167" s="15"/>
    </row>
    <row r="168" spans="1:15" outlineLevel="2">
      <c r="A168" s="11">
        <f t="shared" si="12"/>
        <v>163</v>
      </c>
      <c r="B168" s="11" t="s">
        <v>557</v>
      </c>
      <c r="C168" s="17" t="s">
        <v>938</v>
      </c>
      <c r="D168" s="12" t="s">
        <v>939</v>
      </c>
      <c r="E168" s="13">
        <v>27616496.260000002</v>
      </c>
      <c r="G168" s="13">
        <f t="shared" si="10"/>
        <v>27616496.260000002</v>
      </c>
      <c r="H168" s="13">
        <v>0</v>
      </c>
      <c r="I168" s="13">
        <v>0</v>
      </c>
      <c r="K168" s="14">
        <f t="shared" si="11"/>
        <v>27616496.260000002</v>
      </c>
      <c r="L168" s="12"/>
      <c r="M168" s="11"/>
      <c r="O168" s="15"/>
    </row>
    <row r="169" spans="1:15" outlineLevel="2">
      <c r="A169" s="11">
        <f t="shared" si="12"/>
        <v>164</v>
      </c>
      <c r="B169" s="11" t="s">
        <v>557</v>
      </c>
      <c r="C169" s="17" t="s">
        <v>940</v>
      </c>
      <c r="D169" s="12" t="s">
        <v>941</v>
      </c>
      <c r="E169" s="13">
        <v>4266040.32</v>
      </c>
      <c r="G169" s="13">
        <f t="shared" si="10"/>
        <v>4266040.32</v>
      </c>
      <c r="H169" s="13">
        <v>-40435</v>
      </c>
      <c r="I169" s="13">
        <v>0</v>
      </c>
      <c r="K169" s="14">
        <f t="shared" si="11"/>
        <v>4225605.32</v>
      </c>
      <c r="L169" s="12"/>
      <c r="M169" s="11"/>
      <c r="O169" s="15"/>
    </row>
    <row r="170" spans="1:15" outlineLevel="2">
      <c r="A170" s="11">
        <f t="shared" si="12"/>
        <v>165</v>
      </c>
      <c r="B170" s="11" t="s">
        <v>557</v>
      </c>
      <c r="C170" s="17" t="s">
        <v>942</v>
      </c>
      <c r="D170" s="12" t="s">
        <v>943</v>
      </c>
      <c r="E170" s="13">
        <v>7438834.9500000002</v>
      </c>
      <c r="G170" s="13">
        <f t="shared" si="10"/>
        <v>7438834.9500000002</v>
      </c>
      <c r="H170" s="13">
        <v>-1030790</v>
      </c>
      <c r="I170" s="13">
        <v>0</v>
      </c>
      <c r="K170" s="14">
        <f>SUM(G170:J170)</f>
        <v>6408044.9500000002</v>
      </c>
      <c r="L170" s="12"/>
      <c r="M170" s="11"/>
      <c r="O170" s="15"/>
    </row>
    <row r="171" spans="1:15" outlineLevel="2">
      <c r="A171" s="11">
        <f t="shared" si="12"/>
        <v>166</v>
      </c>
      <c r="B171" s="11" t="s">
        <v>557</v>
      </c>
      <c r="C171" s="17" t="s">
        <v>944</v>
      </c>
      <c r="D171" s="12" t="s">
        <v>945</v>
      </c>
      <c r="E171" s="13">
        <v>253710.27</v>
      </c>
      <c r="G171" s="13">
        <f t="shared" si="10"/>
        <v>253710.27</v>
      </c>
      <c r="H171" s="13">
        <v>0</v>
      </c>
      <c r="I171" s="13">
        <v>0</v>
      </c>
      <c r="K171" s="14">
        <f t="shared" si="11"/>
        <v>253710.27</v>
      </c>
      <c r="L171" s="12"/>
      <c r="M171" s="11"/>
      <c r="O171" s="15"/>
    </row>
    <row r="172" spans="1:15" outlineLevel="2">
      <c r="A172" s="11">
        <f t="shared" si="12"/>
        <v>167</v>
      </c>
      <c r="B172" s="11" t="s">
        <v>557</v>
      </c>
      <c r="C172" s="17" t="s">
        <v>946</v>
      </c>
      <c r="D172" s="12" t="s">
        <v>947</v>
      </c>
      <c r="E172" s="13">
        <v>10808617.470000001</v>
      </c>
      <c r="F172" s="13">
        <v>2102514</v>
      </c>
      <c r="G172" s="13">
        <f t="shared" si="10"/>
        <v>12911131.470000001</v>
      </c>
      <c r="H172" s="13">
        <v>0</v>
      </c>
      <c r="I172" s="13">
        <v>0</v>
      </c>
      <c r="K172" s="14">
        <f t="shared" si="11"/>
        <v>12911131.470000001</v>
      </c>
      <c r="M172" s="11"/>
      <c r="O172" s="15"/>
    </row>
    <row r="173" spans="1:15" outlineLevel="2">
      <c r="A173" s="11">
        <f t="shared" si="12"/>
        <v>168</v>
      </c>
      <c r="B173" s="11" t="s">
        <v>557</v>
      </c>
      <c r="C173" s="17" t="s">
        <v>948</v>
      </c>
      <c r="D173" s="12" t="s">
        <v>949</v>
      </c>
      <c r="E173" s="13">
        <v>17933245.260000002</v>
      </c>
      <c r="G173" s="13">
        <f t="shared" si="10"/>
        <v>17933245.260000002</v>
      </c>
      <c r="H173" s="13">
        <v>-163144</v>
      </c>
      <c r="I173" s="13">
        <v>0</v>
      </c>
      <c r="K173" s="14">
        <f t="shared" si="11"/>
        <v>17770101.260000002</v>
      </c>
      <c r="L173" s="12"/>
      <c r="M173" s="11"/>
      <c r="O173" s="15"/>
    </row>
    <row r="174" spans="1:15" outlineLevel="2">
      <c r="A174" s="11">
        <f t="shared" si="12"/>
        <v>169</v>
      </c>
      <c r="B174" s="11" t="s">
        <v>557</v>
      </c>
      <c r="C174" s="17" t="s">
        <v>950</v>
      </c>
      <c r="D174" s="12" t="s">
        <v>951</v>
      </c>
      <c r="E174" s="13">
        <v>1725310.24</v>
      </c>
      <c r="G174" s="13">
        <f t="shared" si="10"/>
        <v>1725310.24</v>
      </c>
      <c r="H174" s="13">
        <v>0</v>
      </c>
      <c r="I174" s="13">
        <v>0</v>
      </c>
      <c r="K174" s="14">
        <f t="shared" si="11"/>
        <v>1725310.24</v>
      </c>
      <c r="M174" s="11"/>
      <c r="O174" s="15"/>
    </row>
    <row r="175" spans="1:15" outlineLevel="2">
      <c r="A175" s="11">
        <f t="shared" si="12"/>
        <v>170</v>
      </c>
      <c r="B175" s="11" t="s">
        <v>557</v>
      </c>
      <c r="C175" s="17" t="s">
        <v>952</v>
      </c>
      <c r="D175" s="12" t="s">
        <v>953</v>
      </c>
      <c r="E175" s="13">
        <v>10557730.15</v>
      </c>
      <c r="F175" s="13">
        <v>2444000</v>
      </c>
      <c r="G175" s="13">
        <f t="shared" si="10"/>
        <v>13001730.15</v>
      </c>
      <c r="H175" s="13">
        <v>0</v>
      </c>
      <c r="I175" s="13">
        <v>0</v>
      </c>
      <c r="K175" s="14">
        <f t="shared" si="11"/>
        <v>13001730.15</v>
      </c>
      <c r="M175" s="11"/>
      <c r="O175" s="15"/>
    </row>
    <row r="176" spans="1:15" outlineLevel="2">
      <c r="A176" s="11">
        <f t="shared" si="12"/>
        <v>171</v>
      </c>
      <c r="B176" s="11" t="s">
        <v>557</v>
      </c>
      <c r="C176" s="17" t="s">
        <v>954</v>
      </c>
      <c r="D176" s="12" t="s">
        <v>955</v>
      </c>
      <c r="E176" s="13">
        <v>17411531.350000001</v>
      </c>
      <c r="G176" s="13">
        <f>E176+F176</f>
        <v>17411531.350000001</v>
      </c>
      <c r="H176" s="13">
        <v>0</v>
      </c>
      <c r="I176" s="13">
        <v>0</v>
      </c>
      <c r="K176" s="14">
        <f t="shared" si="11"/>
        <v>17411531.350000001</v>
      </c>
      <c r="M176" s="11"/>
      <c r="O176" s="15"/>
    </row>
    <row r="177" spans="1:15" outlineLevel="2">
      <c r="A177" s="11">
        <f t="shared" si="12"/>
        <v>172</v>
      </c>
      <c r="B177" s="11" t="s">
        <v>557</v>
      </c>
      <c r="C177" s="17" t="s">
        <v>956</v>
      </c>
      <c r="D177" s="12" t="s">
        <v>957</v>
      </c>
      <c r="E177" s="13">
        <v>12220370.609999999</v>
      </c>
      <c r="G177" s="13">
        <f t="shared" si="10"/>
        <v>12220370.609999999</v>
      </c>
      <c r="H177" s="13">
        <v>0</v>
      </c>
      <c r="I177" s="13">
        <v>0</v>
      </c>
      <c r="K177" s="14">
        <f>SUM(G177:J177)</f>
        <v>12220370.609999999</v>
      </c>
      <c r="M177" s="11"/>
      <c r="O177" s="15"/>
    </row>
    <row r="178" spans="1:15" ht="12.75" customHeight="1" outlineLevel="2">
      <c r="A178" s="11">
        <f t="shared" si="12"/>
        <v>173</v>
      </c>
      <c r="B178" s="11" t="s">
        <v>557</v>
      </c>
      <c r="C178" s="17" t="s">
        <v>958</v>
      </c>
      <c r="D178" s="12" t="s">
        <v>959</v>
      </c>
      <c r="E178" s="13">
        <v>23855781.239999998</v>
      </c>
      <c r="G178" s="13">
        <f t="shared" si="10"/>
        <v>23855781.239999998</v>
      </c>
      <c r="H178" s="13">
        <v>-2224203</v>
      </c>
      <c r="I178" s="13">
        <v>0</v>
      </c>
      <c r="K178" s="14">
        <f t="shared" si="11"/>
        <v>21631578.239999998</v>
      </c>
      <c r="L178" s="12"/>
      <c r="M178" s="11"/>
      <c r="O178" s="15"/>
    </row>
    <row r="179" spans="1:15" outlineLevel="2">
      <c r="A179" s="11">
        <f t="shared" si="12"/>
        <v>174</v>
      </c>
      <c r="B179" s="11" t="s">
        <v>557</v>
      </c>
      <c r="C179" s="17" t="s">
        <v>960</v>
      </c>
      <c r="D179" s="12" t="s">
        <v>961</v>
      </c>
      <c r="E179" s="13">
        <v>8439044.1799999997</v>
      </c>
      <c r="G179" s="13">
        <f t="shared" si="10"/>
        <v>8439044.1799999997</v>
      </c>
      <c r="H179" s="13">
        <v>0</v>
      </c>
      <c r="I179" s="13">
        <v>0</v>
      </c>
      <c r="K179" s="14">
        <f t="shared" si="11"/>
        <v>8439044.1799999997</v>
      </c>
      <c r="M179" s="11"/>
      <c r="O179" s="15"/>
    </row>
    <row r="180" spans="1:15" outlineLevel="2">
      <c r="A180" s="11">
        <f t="shared" si="12"/>
        <v>175</v>
      </c>
      <c r="B180" s="11" t="s">
        <v>557</v>
      </c>
      <c r="C180" s="17" t="s">
        <v>962</v>
      </c>
      <c r="D180" s="12" t="s">
        <v>963</v>
      </c>
      <c r="E180" s="13">
        <v>1522398.44</v>
      </c>
      <c r="G180" s="13">
        <f t="shared" si="10"/>
        <v>1522398.44</v>
      </c>
      <c r="H180" s="13">
        <v>-43752</v>
      </c>
      <c r="I180" s="13">
        <v>0</v>
      </c>
      <c r="K180" s="14">
        <f t="shared" si="11"/>
        <v>1478646.44</v>
      </c>
      <c r="L180" s="12"/>
      <c r="M180" s="11"/>
      <c r="O180" s="15"/>
    </row>
    <row r="181" spans="1:15" outlineLevel="2">
      <c r="A181" s="11">
        <f t="shared" si="12"/>
        <v>176</v>
      </c>
      <c r="B181" s="11" t="s">
        <v>557</v>
      </c>
      <c r="C181" s="17" t="s">
        <v>964</v>
      </c>
      <c r="D181" s="12" t="s">
        <v>965</v>
      </c>
      <c r="E181" s="13">
        <v>6180010.5999999996</v>
      </c>
      <c r="F181" s="13">
        <v>0</v>
      </c>
      <c r="G181" s="13">
        <f t="shared" si="10"/>
        <v>6180010.5999999996</v>
      </c>
      <c r="H181" s="13">
        <v>-326877</v>
      </c>
      <c r="I181" s="13">
        <v>0</v>
      </c>
      <c r="K181" s="14">
        <f t="shared" si="11"/>
        <v>5853133.5999999996</v>
      </c>
      <c r="L181" s="12"/>
      <c r="M181" s="11"/>
      <c r="O181" s="15"/>
    </row>
    <row r="182" spans="1:15" outlineLevel="2">
      <c r="A182" s="11">
        <f t="shared" si="12"/>
        <v>177</v>
      </c>
      <c r="B182" s="11" t="s">
        <v>557</v>
      </c>
      <c r="C182" s="17" t="s">
        <v>966</v>
      </c>
      <c r="D182" s="12" t="s">
        <v>967</v>
      </c>
      <c r="E182" s="13">
        <v>8552324.4600000009</v>
      </c>
      <c r="G182" s="13">
        <f t="shared" si="10"/>
        <v>8552324.4600000009</v>
      </c>
      <c r="H182" s="13">
        <v>0</v>
      </c>
      <c r="I182" s="13">
        <v>0</v>
      </c>
      <c r="K182" s="14">
        <f>SUM(G182:J182)</f>
        <v>8552324.4600000009</v>
      </c>
      <c r="L182" s="12"/>
      <c r="M182" s="11"/>
      <c r="O182" s="15"/>
    </row>
    <row r="183" spans="1:15" outlineLevel="2">
      <c r="A183" s="11">
        <f t="shared" si="12"/>
        <v>178</v>
      </c>
      <c r="B183" s="11" t="s">
        <v>557</v>
      </c>
      <c r="C183" s="17" t="s">
        <v>968</v>
      </c>
      <c r="D183" s="12" t="s">
        <v>969</v>
      </c>
      <c r="E183" s="13">
        <f>82518.71+16015.17</f>
        <v>98533.88</v>
      </c>
      <c r="G183" s="13">
        <f t="shared" si="10"/>
        <v>98533.88</v>
      </c>
      <c r="H183" s="13">
        <v>0</v>
      </c>
      <c r="I183" s="13">
        <v>0</v>
      </c>
      <c r="K183" s="14">
        <f t="shared" si="11"/>
        <v>98533.88</v>
      </c>
      <c r="L183" s="12"/>
      <c r="M183" s="11"/>
      <c r="O183" s="15"/>
    </row>
    <row r="184" spans="1:15" outlineLevel="2">
      <c r="A184" s="11">
        <f t="shared" si="12"/>
        <v>179</v>
      </c>
      <c r="B184" s="11" t="s">
        <v>557</v>
      </c>
      <c r="C184" s="17" t="s">
        <v>970</v>
      </c>
      <c r="D184" s="12" t="s">
        <v>971</v>
      </c>
      <c r="E184" s="13">
        <v>11862454.380000001</v>
      </c>
      <c r="G184" s="13">
        <f t="shared" si="10"/>
        <v>11862454.380000001</v>
      </c>
      <c r="H184" s="13">
        <v>-62475</v>
      </c>
      <c r="I184" s="13">
        <v>0</v>
      </c>
      <c r="K184" s="14">
        <f t="shared" si="11"/>
        <v>11799979.380000001</v>
      </c>
      <c r="L184" s="12"/>
      <c r="M184" s="11"/>
      <c r="O184" s="15"/>
    </row>
    <row r="185" spans="1:15" outlineLevel="2">
      <c r="A185" s="11">
        <f t="shared" si="12"/>
        <v>180</v>
      </c>
      <c r="B185" s="11" t="s">
        <v>557</v>
      </c>
      <c r="C185" s="17" t="s">
        <v>972</v>
      </c>
      <c r="D185" s="12" t="s">
        <v>973</v>
      </c>
      <c r="E185" s="13">
        <v>0</v>
      </c>
      <c r="G185" s="13">
        <f t="shared" si="10"/>
        <v>0</v>
      </c>
      <c r="H185" s="13">
        <v>0</v>
      </c>
      <c r="I185" s="13">
        <v>0</v>
      </c>
      <c r="K185" s="14">
        <f t="shared" si="11"/>
        <v>0</v>
      </c>
      <c r="L185" s="12"/>
      <c r="M185" s="11"/>
      <c r="O185" s="15"/>
    </row>
    <row r="186" spans="1:15" outlineLevel="2">
      <c r="A186" s="11">
        <f t="shared" si="12"/>
        <v>181</v>
      </c>
      <c r="B186" s="11" t="s">
        <v>557</v>
      </c>
      <c r="C186" s="17" t="s">
        <v>974</v>
      </c>
      <c r="D186" s="12" t="s">
        <v>975</v>
      </c>
      <c r="E186" s="13">
        <v>10832.21</v>
      </c>
      <c r="G186" s="13">
        <f t="shared" si="10"/>
        <v>10832.21</v>
      </c>
      <c r="H186" s="13">
        <v>0</v>
      </c>
      <c r="I186" s="13">
        <v>0</v>
      </c>
      <c r="K186" s="14">
        <f t="shared" si="11"/>
        <v>10832.21</v>
      </c>
      <c r="L186" s="12"/>
      <c r="M186" s="11"/>
      <c r="O186" s="15"/>
    </row>
    <row r="187" spans="1:15" outlineLevel="2">
      <c r="A187" s="11">
        <f t="shared" si="12"/>
        <v>182</v>
      </c>
      <c r="B187" s="11" t="s">
        <v>557</v>
      </c>
      <c r="C187" s="17" t="s">
        <v>976</v>
      </c>
      <c r="D187" s="12" t="s">
        <v>977</v>
      </c>
      <c r="E187" s="13">
        <v>3894019.92</v>
      </c>
      <c r="G187" s="13">
        <f t="shared" si="10"/>
        <v>3894019.92</v>
      </c>
      <c r="H187" s="13">
        <v>-143716</v>
      </c>
      <c r="I187" s="13">
        <v>0</v>
      </c>
      <c r="K187" s="14">
        <f t="shared" si="11"/>
        <v>3750303.92</v>
      </c>
      <c r="L187" s="12"/>
      <c r="M187" s="11"/>
      <c r="O187" s="15"/>
    </row>
    <row r="188" spans="1:15" outlineLevel="2">
      <c r="A188" s="11">
        <f t="shared" si="12"/>
        <v>183</v>
      </c>
      <c r="B188" s="11" t="s">
        <v>557</v>
      </c>
      <c r="C188" s="17" t="s">
        <v>978</v>
      </c>
      <c r="D188" s="12" t="s">
        <v>979</v>
      </c>
      <c r="E188" s="13">
        <v>11727890.77</v>
      </c>
      <c r="G188" s="13">
        <f t="shared" ref="G188:G193" si="13">E188+F188</f>
        <v>11727890.77</v>
      </c>
      <c r="H188" s="13">
        <v>-320531</v>
      </c>
      <c r="I188" s="13">
        <v>0</v>
      </c>
      <c r="K188" s="14">
        <f>SUM(G188:J188)</f>
        <v>11407359.77</v>
      </c>
      <c r="L188" s="12"/>
      <c r="M188" s="11"/>
      <c r="O188" s="15"/>
    </row>
    <row r="189" spans="1:15" outlineLevel="2">
      <c r="A189" s="11">
        <f t="shared" si="12"/>
        <v>184</v>
      </c>
      <c r="B189" s="11" t="s">
        <v>557</v>
      </c>
      <c r="C189" s="17" t="s">
        <v>980</v>
      </c>
      <c r="D189" s="12" t="s">
        <v>981</v>
      </c>
      <c r="E189" s="13">
        <v>23673902.399999999</v>
      </c>
      <c r="F189" s="13">
        <f>1538792+785795</f>
        <v>2324587</v>
      </c>
      <c r="G189" s="13">
        <f t="shared" si="13"/>
        <v>25998489.399999999</v>
      </c>
      <c r="H189" s="13">
        <v>-4162261</v>
      </c>
      <c r="I189" s="13">
        <v>0</v>
      </c>
      <c r="K189" s="14">
        <f>SUM(G189:J189)</f>
        <v>21836228.399999999</v>
      </c>
      <c r="L189" s="12"/>
      <c r="M189" s="11"/>
      <c r="O189" s="15"/>
    </row>
    <row r="190" spans="1:15" outlineLevel="2">
      <c r="A190" s="11">
        <f t="shared" si="12"/>
        <v>185</v>
      </c>
      <c r="B190" s="11" t="s">
        <v>557</v>
      </c>
      <c r="C190" s="17" t="s">
        <v>982</v>
      </c>
      <c r="D190" s="12" t="s">
        <v>983</v>
      </c>
      <c r="E190" s="13">
        <v>7092854.1799999997</v>
      </c>
      <c r="G190" s="13">
        <f t="shared" si="13"/>
        <v>7092854.1799999997</v>
      </c>
      <c r="H190" s="13">
        <v>-1180480</v>
      </c>
      <c r="I190" s="13">
        <v>0</v>
      </c>
      <c r="K190" s="14">
        <f t="shared" ref="K190:K193" si="14">SUM(G190:J190)</f>
        <v>5912374.1799999997</v>
      </c>
      <c r="L190" s="12"/>
      <c r="M190" s="11"/>
      <c r="O190" s="15"/>
    </row>
    <row r="191" spans="1:15" outlineLevel="2">
      <c r="A191" s="11">
        <f t="shared" si="12"/>
        <v>186</v>
      </c>
      <c r="B191" s="11" t="s">
        <v>557</v>
      </c>
      <c r="C191" s="17" t="s">
        <v>984</v>
      </c>
      <c r="D191" s="12" t="s">
        <v>985</v>
      </c>
      <c r="E191" s="13">
        <v>2837121.12</v>
      </c>
      <c r="G191" s="13">
        <f t="shared" si="13"/>
        <v>2837121.12</v>
      </c>
      <c r="H191" s="13">
        <v>-1307837</v>
      </c>
      <c r="I191" s="13">
        <v>0</v>
      </c>
      <c r="K191" s="14">
        <f t="shared" si="14"/>
        <v>1529284.12</v>
      </c>
      <c r="L191" s="12"/>
      <c r="M191" s="11"/>
      <c r="O191" s="15"/>
    </row>
    <row r="192" spans="1:15" outlineLevel="2">
      <c r="A192" s="11">
        <f t="shared" si="12"/>
        <v>187</v>
      </c>
      <c r="B192" s="11" t="s">
        <v>557</v>
      </c>
      <c r="C192" s="17" t="s">
        <v>986</v>
      </c>
      <c r="D192" s="12" t="s">
        <v>987</v>
      </c>
      <c r="E192" s="13">
        <v>3943916.72</v>
      </c>
      <c r="G192" s="13">
        <f t="shared" si="13"/>
        <v>3943916.72</v>
      </c>
      <c r="H192" s="13">
        <v>-158722</v>
      </c>
      <c r="I192" s="13">
        <v>0</v>
      </c>
      <c r="K192" s="14">
        <f t="shared" si="14"/>
        <v>3785194.72</v>
      </c>
      <c r="L192" s="12"/>
      <c r="M192" s="11"/>
      <c r="O192" s="15"/>
    </row>
    <row r="193" spans="1:15" outlineLevel="2">
      <c r="A193" s="11">
        <f t="shared" si="12"/>
        <v>188</v>
      </c>
      <c r="B193" s="11" t="s">
        <v>557</v>
      </c>
      <c r="C193" s="17" t="s">
        <v>988</v>
      </c>
      <c r="D193" s="12" t="s">
        <v>989</v>
      </c>
      <c r="E193" s="13">
        <v>11108747.65</v>
      </c>
      <c r="G193" s="13">
        <f t="shared" si="13"/>
        <v>11108747.65</v>
      </c>
      <c r="H193" s="13">
        <v>0</v>
      </c>
      <c r="I193" s="13">
        <v>0</v>
      </c>
      <c r="K193" s="14">
        <f t="shared" si="14"/>
        <v>11108747.65</v>
      </c>
      <c r="L193" s="12"/>
      <c r="M193" s="11"/>
      <c r="O193" s="15"/>
    </row>
    <row r="194" spans="1:15" outlineLevel="2">
      <c r="A194" s="11">
        <f t="shared" si="12"/>
        <v>189</v>
      </c>
      <c r="B194" s="11" t="s">
        <v>557</v>
      </c>
      <c r="C194" s="17" t="s">
        <v>990</v>
      </c>
      <c r="D194" s="12" t="s">
        <v>991</v>
      </c>
      <c r="E194" s="13">
        <v>29969.23</v>
      </c>
      <c r="G194" s="13">
        <f>E194+F194</f>
        <v>29969.23</v>
      </c>
      <c r="H194" s="13">
        <v>0</v>
      </c>
      <c r="I194" s="13">
        <v>0</v>
      </c>
      <c r="K194" s="14">
        <f t="shared" ref="K194:K200" si="15">SUM(G194:J194)</f>
        <v>29969.23</v>
      </c>
      <c r="L194" s="12"/>
      <c r="M194" s="11"/>
      <c r="O194" s="15"/>
    </row>
    <row r="195" spans="1:15" outlineLevel="2">
      <c r="A195" s="11">
        <f t="shared" si="12"/>
        <v>190</v>
      </c>
      <c r="B195" s="11" t="s">
        <v>557</v>
      </c>
      <c r="C195" s="17" t="s">
        <v>992</v>
      </c>
      <c r="D195" s="12" t="s">
        <v>993</v>
      </c>
      <c r="E195" s="13">
        <v>340848.27</v>
      </c>
      <c r="G195" s="13">
        <f t="shared" ref="G195:G213" si="16">E195+F195</f>
        <v>340848.27</v>
      </c>
      <c r="H195" s="13">
        <v>0</v>
      </c>
      <c r="I195" s="13">
        <v>0</v>
      </c>
      <c r="K195" s="14">
        <f t="shared" si="15"/>
        <v>340848.27</v>
      </c>
      <c r="L195" s="12"/>
      <c r="M195" s="11"/>
      <c r="O195" s="15"/>
    </row>
    <row r="196" spans="1:15" outlineLevel="2">
      <c r="A196" s="11">
        <f t="shared" si="12"/>
        <v>191</v>
      </c>
      <c r="B196" s="11" t="s">
        <v>557</v>
      </c>
      <c r="C196" s="17" t="s">
        <v>994</v>
      </c>
      <c r="D196" s="12" t="s">
        <v>995</v>
      </c>
      <c r="E196" s="13">
        <v>19476</v>
      </c>
      <c r="G196" s="13">
        <f t="shared" si="16"/>
        <v>19476</v>
      </c>
      <c r="H196" s="13">
        <v>0</v>
      </c>
      <c r="I196" s="13">
        <v>0</v>
      </c>
      <c r="K196" s="14">
        <f t="shared" si="15"/>
        <v>19476</v>
      </c>
      <c r="M196" s="11"/>
      <c r="O196" s="15"/>
    </row>
    <row r="197" spans="1:15" outlineLevel="2">
      <c r="A197" s="11">
        <f t="shared" si="12"/>
        <v>192</v>
      </c>
      <c r="B197" s="11" t="s">
        <v>557</v>
      </c>
      <c r="C197" s="17" t="s">
        <v>996</v>
      </c>
      <c r="D197" s="12" t="s">
        <v>997</v>
      </c>
      <c r="E197" s="13">
        <v>1829480.7</v>
      </c>
      <c r="F197" s="13">
        <v>4142000</v>
      </c>
      <c r="G197" s="13">
        <f t="shared" si="16"/>
        <v>5971480.7000000002</v>
      </c>
      <c r="H197" s="13">
        <v>-557455</v>
      </c>
      <c r="I197" s="13">
        <v>0</v>
      </c>
      <c r="K197" s="14">
        <f t="shared" si="15"/>
        <v>5414025.7000000002</v>
      </c>
      <c r="L197" s="12"/>
      <c r="M197" s="11"/>
      <c r="O197" s="15"/>
    </row>
    <row r="198" spans="1:15" outlineLevel="2">
      <c r="A198" s="11">
        <f t="shared" si="12"/>
        <v>193</v>
      </c>
      <c r="B198" s="11" t="s">
        <v>557</v>
      </c>
      <c r="C198" s="17" t="s">
        <v>998</v>
      </c>
      <c r="D198" s="12" t="s">
        <v>999</v>
      </c>
      <c r="E198" s="13">
        <v>8607538.2100000009</v>
      </c>
      <c r="G198" s="13">
        <f t="shared" si="16"/>
        <v>8607538.2100000009</v>
      </c>
      <c r="H198" s="13">
        <v>-593801</v>
      </c>
      <c r="I198" s="13">
        <v>0</v>
      </c>
      <c r="K198" s="14">
        <f t="shared" si="15"/>
        <v>8013737.2100000009</v>
      </c>
      <c r="L198" s="12"/>
      <c r="M198" s="11"/>
      <c r="O198" s="15"/>
    </row>
    <row r="199" spans="1:15" outlineLevel="2">
      <c r="A199" s="11">
        <f t="shared" si="12"/>
        <v>194</v>
      </c>
      <c r="B199" s="11" t="s">
        <v>557</v>
      </c>
      <c r="C199" s="17" t="s">
        <v>1000</v>
      </c>
      <c r="D199" s="12" t="s">
        <v>1001</v>
      </c>
      <c r="E199" s="13">
        <v>889967.31</v>
      </c>
      <c r="G199" s="13">
        <f t="shared" si="16"/>
        <v>889967.31</v>
      </c>
      <c r="H199" s="13">
        <v>-154097</v>
      </c>
      <c r="I199" s="13">
        <v>0</v>
      </c>
      <c r="K199" s="14">
        <f t="shared" si="15"/>
        <v>735870.31</v>
      </c>
      <c r="M199" s="11"/>
      <c r="O199" s="15"/>
    </row>
    <row r="200" spans="1:15" outlineLevel="2">
      <c r="A200" s="11">
        <f t="shared" ref="A200:A263" si="17">A199+1</f>
        <v>195</v>
      </c>
      <c r="B200" s="11" t="s">
        <v>557</v>
      </c>
      <c r="C200" s="17" t="s">
        <v>1002</v>
      </c>
      <c r="D200" s="12" t="s">
        <v>1003</v>
      </c>
      <c r="E200" s="13">
        <v>6839121.4900000002</v>
      </c>
      <c r="G200" s="13">
        <f t="shared" si="16"/>
        <v>6839121.4900000002</v>
      </c>
      <c r="H200" s="13">
        <v>0</v>
      </c>
      <c r="I200" s="13">
        <v>0</v>
      </c>
      <c r="K200" s="14">
        <f t="shared" si="15"/>
        <v>6839121.4900000002</v>
      </c>
      <c r="M200" s="11"/>
      <c r="O200" s="15"/>
    </row>
    <row r="201" spans="1:15" outlineLevel="2">
      <c r="A201" s="11">
        <f t="shared" si="17"/>
        <v>196</v>
      </c>
      <c r="B201" s="11" t="s">
        <v>557</v>
      </c>
      <c r="C201" s="17" t="s">
        <v>1004</v>
      </c>
      <c r="D201" s="12" t="s">
        <v>1005</v>
      </c>
      <c r="E201" s="13">
        <v>1895701.8</v>
      </c>
      <c r="G201" s="13">
        <f t="shared" si="16"/>
        <v>1895701.8</v>
      </c>
      <c r="H201" s="13">
        <v>0</v>
      </c>
      <c r="I201" s="13">
        <v>0</v>
      </c>
      <c r="K201" s="14">
        <f t="shared" ref="K201:K208" si="18">SUM(G201:J201)</f>
        <v>1895701.8</v>
      </c>
      <c r="M201" s="11"/>
      <c r="O201" s="15"/>
    </row>
    <row r="202" spans="1:15" outlineLevel="2">
      <c r="A202" s="11">
        <f t="shared" si="17"/>
        <v>197</v>
      </c>
      <c r="B202" s="11" t="s">
        <v>557</v>
      </c>
      <c r="C202" s="17" t="s">
        <v>1006</v>
      </c>
      <c r="D202" s="12" t="s">
        <v>1007</v>
      </c>
      <c r="E202" s="13">
        <f>305417.9+896681.51</f>
        <v>1202099.4100000001</v>
      </c>
      <c r="G202" s="13">
        <f t="shared" si="16"/>
        <v>1202099.4100000001</v>
      </c>
      <c r="H202" s="13">
        <v>0</v>
      </c>
      <c r="I202" s="13">
        <v>0</v>
      </c>
      <c r="K202" s="14">
        <f t="shared" si="18"/>
        <v>1202099.4100000001</v>
      </c>
      <c r="M202" s="11"/>
      <c r="O202" s="15"/>
    </row>
    <row r="203" spans="1:15" outlineLevel="2">
      <c r="A203" s="11">
        <f t="shared" si="17"/>
        <v>198</v>
      </c>
      <c r="B203" s="11" t="s">
        <v>557</v>
      </c>
      <c r="C203" s="17" t="s">
        <v>1008</v>
      </c>
      <c r="D203" s="12" t="s">
        <v>1009</v>
      </c>
      <c r="E203" s="13">
        <v>5351152.01</v>
      </c>
      <c r="G203" s="13">
        <f t="shared" si="16"/>
        <v>5351152.01</v>
      </c>
      <c r="H203" s="13">
        <v>0</v>
      </c>
      <c r="I203" s="13">
        <v>0</v>
      </c>
      <c r="K203" s="14">
        <f t="shared" si="18"/>
        <v>5351152.01</v>
      </c>
      <c r="M203" s="11"/>
      <c r="O203" s="15"/>
    </row>
    <row r="204" spans="1:15" outlineLevel="2">
      <c r="A204" s="11">
        <f t="shared" si="17"/>
        <v>199</v>
      </c>
      <c r="B204" s="11" t="s">
        <v>557</v>
      </c>
      <c r="C204" s="17" t="s">
        <v>1010</v>
      </c>
      <c r="D204" s="12" t="s">
        <v>1011</v>
      </c>
      <c r="E204" s="13">
        <v>3473709.71</v>
      </c>
      <c r="G204" s="13">
        <f t="shared" si="16"/>
        <v>3473709.71</v>
      </c>
      <c r="H204" s="13">
        <v>-586992</v>
      </c>
      <c r="I204" s="13">
        <v>0</v>
      </c>
      <c r="K204" s="14">
        <f t="shared" si="18"/>
        <v>2886717.71</v>
      </c>
      <c r="L204" s="12"/>
      <c r="M204" s="11"/>
      <c r="O204" s="15"/>
    </row>
    <row r="205" spans="1:15" outlineLevel="2">
      <c r="A205" s="11">
        <f t="shared" si="17"/>
        <v>200</v>
      </c>
      <c r="B205" s="11" t="s">
        <v>557</v>
      </c>
      <c r="C205" s="17" t="s">
        <v>1012</v>
      </c>
      <c r="D205" s="12" t="s">
        <v>1013</v>
      </c>
      <c r="E205" s="13">
        <v>7446004.7800000003</v>
      </c>
      <c r="G205" s="13">
        <f t="shared" si="16"/>
        <v>7446004.7800000003</v>
      </c>
      <c r="H205" s="13">
        <v>-1095435</v>
      </c>
      <c r="I205" s="13">
        <v>0</v>
      </c>
      <c r="K205" s="14">
        <f t="shared" si="18"/>
        <v>6350569.7800000003</v>
      </c>
      <c r="M205" s="11"/>
      <c r="O205" s="15"/>
    </row>
    <row r="206" spans="1:15" outlineLevel="2">
      <c r="A206" s="11">
        <f t="shared" si="17"/>
        <v>201</v>
      </c>
      <c r="B206" s="11" t="s">
        <v>557</v>
      </c>
      <c r="C206" s="17" t="s">
        <v>1014</v>
      </c>
      <c r="D206" s="12" t="s">
        <v>1015</v>
      </c>
      <c r="E206" s="13">
        <v>2030823.76</v>
      </c>
      <c r="F206" s="13">
        <v>2204326</v>
      </c>
      <c r="G206" s="13">
        <f t="shared" si="16"/>
        <v>4235149.76</v>
      </c>
      <c r="H206" s="13">
        <v>-139236</v>
      </c>
      <c r="I206" s="13">
        <v>0</v>
      </c>
      <c r="K206" s="14">
        <f t="shared" si="18"/>
        <v>4095913.76</v>
      </c>
      <c r="L206" s="12"/>
      <c r="M206" s="11"/>
      <c r="O206" s="15"/>
    </row>
    <row r="207" spans="1:15" outlineLevel="2">
      <c r="A207" s="11">
        <f t="shared" si="17"/>
        <v>202</v>
      </c>
      <c r="B207" s="11" t="s">
        <v>557</v>
      </c>
      <c r="C207" s="17" t="s">
        <v>63</v>
      </c>
      <c r="D207" s="12" t="s">
        <v>1016</v>
      </c>
      <c r="E207" s="13">
        <v>72367.83</v>
      </c>
      <c r="G207" s="13">
        <f t="shared" si="16"/>
        <v>72367.83</v>
      </c>
      <c r="H207" s="13">
        <v>-72368</v>
      </c>
      <c r="I207" s="13">
        <v>0</v>
      </c>
      <c r="K207" s="14">
        <f>SUM(G207:J207)</f>
        <v>-0.16999999999825377</v>
      </c>
      <c r="L207" s="12"/>
      <c r="M207" s="11"/>
      <c r="O207" s="15"/>
    </row>
    <row r="208" spans="1:15" outlineLevel="2">
      <c r="A208" s="11">
        <f t="shared" si="17"/>
        <v>203</v>
      </c>
      <c r="B208" s="11" t="s">
        <v>557</v>
      </c>
      <c r="C208" s="17" t="s">
        <v>1017</v>
      </c>
      <c r="D208" s="12" t="s">
        <v>1018</v>
      </c>
      <c r="E208" s="13">
        <v>1944816.97</v>
      </c>
      <c r="G208" s="13">
        <f t="shared" si="16"/>
        <v>1944816.97</v>
      </c>
      <c r="H208" s="13">
        <v>-33744</v>
      </c>
      <c r="I208" s="13">
        <v>0</v>
      </c>
      <c r="K208" s="14">
        <f t="shared" si="18"/>
        <v>1911072.97</v>
      </c>
      <c r="L208" s="12"/>
      <c r="M208" s="11"/>
      <c r="O208" s="15"/>
    </row>
    <row r="209" spans="1:15" ht="13.5" customHeight="1" outlineLevel="2">
      <c r="A209" s="11">
        <f t="shared" si="17"/>
        <v>204</v>
      </c>
      <c r="B209" s="11" t="s">
        <v>557</v>
      </c>
      <c r="C209" s="17" t="s">
        <v>1019</v>
      </c>
      <c r="D209" s="12" t="s">
        <v>1020</v>
      </c>
      <c r="E209" s="13">
        <v>18333139.199999999</v>
      </c>
      <c r="G209" s="13">
        <f t="shared" si="16"/>
        <v>18333139.199999999</v>
      </c>
      <c r="H209" s="13">
        <v>0</v>
      </c>
      <c r="I209" s="13">
        <v>0</v>
      </c>
      <c r="K209" s="14">
        <f>SUM(G209:J209)</f>
        <v>18333139.199999999</v>
      </c>
      <c r="M209" s="11"/>
      <c r="O209" s="15"/>
    </row>
    <row r="210" spans="1:15" outlineLevel="2">
      <c r="A210" s="11">
        <f t="shared" si="17"/>
        <v>205</v>
      </c>
      <c r="B210" s="11" t="s">
        <v>557</v>
      </c>
      <c r="C210" s="17" t="s">
        <v>1021</v>
      </c>
      <c r="D210" s="12" t="s">
        <v>1022</v>
      </c>
      <c r="E210" s="13">
        <v>4116914.47</v>
      </c>
      <c r="G210" s="13">
        <f t="shared" si="16"/>
        <v>4116914.47</v>
      </c>
      <c r="H210" s="13">
        <v>-287497</v>
      </c>
      <c r="I210" s="13">
        <v>0</v>
      </c>
      <c r="K210" s="14">
        <f t="shared" ref="K210:K219" si="19">SUM(G210:J210)</f>
        <v>3829417.47</v>
      </c>
      <c r="L210" s="12"/>
      <c r="M210" s="11"/>
      <c r="O210" s="15"/>
    </row>
    <row r="211" spans="1:15" outlineLevel="2">
      <c r="A211" s="11">
        <f t="shared" si="17"/>
        <v>206</v>
      </c>
      <c r="B211" s="11" t="s">
        <v>557</v>
      </c>
      <c r="C211" s="17" t="s">
        <v>1023</v>
      </c>
      <c r="D211" s="12" t="s">
        <v>1024</v>
      </c>
      <c r="E211" s="13">
        <v>3242234.29</v>
      </c>
      <c r="G211" s="13">
        <f t="shared" si="16"/>
        <v>3242234.29</v>
      </c>
      <c r="H211" s="13">
        <v>-58595</v>
      </c>
      <c r="I211" s="13">
        <v>0</v>
      </c>
      <c r="K211" s="14">
        <f t="shared" si="19"/>
        <v>3183639.29</v>
      </c>
      <c r="L211" s="12"/>
      <c r="M211" s="11"/>
      <c r="O211" s="15"/>
    </row>
    <row r="212" spans="1:15" outlineLevel="2">
      <c r="A212" s="11">
        <f t="shared" si="17"/>
        <v>207</v>
      </c>
      <c r="B212" s="11" t="s">
        <v>557</v>
      </c>
      <c r="C212" s="17" t="s">
        <v>1025</v>
      </c>
      <c r="D212" s="12" t="s">
        <v>1026</v>
      </c>
      <c r="E212" s="13">
        <v>180660.37</v>
      </c>
      <c r="G212" s="13">
        <f t="shared" si="16"/>
        <v>180660.37</v>
      </c>
      <c r="H212" s="13">
        <v>0</v>
      </c>
      <c r="I212" s="13">
        <v>0</v>
      </c>
      <c r="K212" s="14">
        <f t="shared" si="19"/>
        <v>180660.37</v>
      </c>
      <c r="L212" s="12"/>
      <c r="M212" s="11"/>
      <c r="O212" s="15"/>
    </row>
    <row r="213" spans="1:15" outlineLevel="2">
      <c r="A213" s="11">
        <f t="shared" si="17"/>
        <v>208</v>
      </c>
      <c r="B213" s="11" t="s">
        <v>557</v>
      </c>
      <c r="C213" s="17" t="s">
        <v>1027</v>
      </c>
      <c r="D213" s="12" t="s">
        <v>1028</v>
      </c>
      <c r="E213" s="13">
        <v>890606.75</v>
      </c>
      <c r="G213" s="13">
        <f t="shared" si="16"/>
        <v>890606.75</v>
      </c>
      <c r="H213" s="13">
        <v>-108485</v>
      </c>
      <c r="I213" s="13">
        <v>0</v>
      </c>
      <c r="K213" s="14">
        <f t="shared" si="19"/>
        <v>782121.75</v>
      </c>
      <c r="L213" s="12"/>
      <c r="M213" s="11"/>
      <c r="O213" s="15"/>
    </row>
    <row r="214" spans="1:15" outlineLevel="2">
      <c r="A214" s="11">
        <f t="shared" si="17"/>
        <v>209</v>
      </c>
      <c r="B214" s="11" t="s">
        <v>557</v>
      </c>
      <c r="C214" s="17" t="s">
        <v>1029</v>
      </c>
      <c r="D214" s="12" t="s">
        <v>1030</v>
      </c>
      <c r="E214" s="13">
        <v>2037147.6</v>
      </c>
      <c r="G214" s="13">
        <f>E214+F214</f>
        <v>2037147.6</v>
      </c>
      <c r="H214" s="13">
        <v>-209290</v>
      </c>
      <c r="I214" s="13">
        <v>0</v>
      </c>
      <c r="K214" s="14">
        <f t="shared" si="19"/>
        <v>1827857.6</v>
      </c>
      <c r="L214" s="12"/>
      <c r="M214" s="11"/>
      <c r="O214" s="15"/>
    </row>
    <row r="215" spans="1:15" outlineLevel="2">
      <c r="A215" s="11">
        <f t="shared" si="17"/>
        <v>210</v>
      </c>
      <c r="B215" s="11" t="s">
        <v>557</v>
      </c>
      <c r="C215" s="17" t="s">
        <v>1031</v>
      </c>
      <c r="D215" s="12" t="s">
        <v>1032</v>
      </c>
      <c r="E215" s="13">
        <v>4347185.0199999996</v>
      </c>
      <c r="G215" s="13">
        <f t="shared" ref="G215:G233" si="20">E215+F215</f>
        <v>4347185.0199999996</v>
      </c>
      <c r="H215" s="13">
        <v>-699890</v>
      </c>
      <c r="I215" s="13">
        <v>0</v>
      </c>
      <c r="K215" s="14">
        <f t="shared" si="19"/>
        <v>3647295.0199999996</v>
      </c>
      <c r="L215" s="12"/>
      <c r="M215" s="11"/>
      <c r="O215" s="15"/>
    </row>
    <row r="216" spans="1:15" outlineLevel="2">
      <c r="A216" s="11">
        <f t="shared" si="17"/>
        <v>211</v>
      </c>
      <c r="B216" s="11" t="s">
        <v>557</v>
      </c>
      <c r="C216" s="17" t="s">
        <v>1033</v>
      </c>
      <c r="D216" s="12" t="s">
        <v>1034</v>
      </c>
      <c r="E216" s="13">
        <v>992414.68</v>
      </c>
      <c r="G216" s="13">
        <f t="shared" si="20"/>
        <v>992414.68</v>
      </c>
      <c r="H216" s="13">
        <v>-101191</v>
      </c>
      <c r="I216" s="13">
        <v>0</v>
      </c>
      <c r="K216" s="14">
        <f>SUM(G216:J216)</f>
        <v>891223.68</v>
      </c>
      <c r="L216" s="12"/>
      <c r="M216" s="11"/>
      <c r="O216" s="15"/>
    </row>
    <row r="217" spans="1:15" outlineLevel="2">
      <c r="A217" s="11">
        <f t="shared" si="17"/>
        <v>212</v>
      </c>
      <c r="B217" s="11" t="s">
        <v>557</v>
      </c>
      <c r="C217" s="17" t="s">
        <v>1035</v>
      </c>
      <c r="D217" s="12" t="s">
        <v>1036</v>
      </c>
      <c r="E217" s="13">
        <v>250628.78</v>
      </c>
      <c r="G217" s="13">
        <f t="shared" si="20"/>
        <v>250628.78</v>
      </c>
      <c r="H217" s="13">
        <v>-250629</v>
      </c>
      <c r="I217" s="13">
        <v>0</v>
      </c>
      <c r="K217" s="14">
        <f t="shared" si="19"/>
        <v>-0.22000000000116415</v>
      </c>
      <c r="L217" s="12"/>
      <c r="M217" s="11"/>
      <c r="O217" s="15"/>
    </row>
    <row r="218" spans="1:15" outlineLevel="2">
      <c r="A218" s="11">
        <f t="shared" si="17"/>
        <v>213</v>
      </c>
      <c r="B218" s="11" t="s">
        <v>557</v>
      </c>
      <c r="C218" s="17" t="s">
        <v>1037</v>
      </c>
      <c r="D218" s="12" t="s">
        <v>1038</v>
      </c>
      <c r="E218" s="13">
        <f>5739050.59</f>
        <v>5739050.5899999999</v>
      </c>
      <c r="G218" s="13">
        <f t="shared" si="20"/>
        <v>5739050.5899999999</v>
      </c>
      <c r="H218" s="13">
        <v>-556793</v>
      </c>
      <c r="I218" s="13">
        <v>0</v>
      </c>
      <c r="K218" s="14">
        <f t="shared" si="19"/>
        <v>5182257.59</v>
      </c>
      <c r="L218" s="12"/>
      <c r="M218" s="11"/>
      <c r="O218" s="15"/>
    </row>
    <row r="219" spans="1:15" outlineLevel="2">
      <c r="A219" s="11">
        <f t="shared" si="17"/>
        <v>214</v>
      </c>
      <c r="B219" s="11" t="s">
        <v>557</v>
      </c>
      <c r="C219" s="17" t="s">
        <v>1039</v>
      </c>
      <c r="D219" s="12" t="s">
        <v>1040</v>
      </c>
      <c r="E219" s="13">
        <v>1733527.61</v>
      </c>
      <c r="G219" s="13">
        <f t="shared" si="20"/>
        <v>1733527.61</v>
      </c>
      <c r="H219" s="13">
        <v>-1733528</v>
      </c>
      <c r="I219" s="13">
        <v>0</v>
      </c>
      <c r="K219" s="14">
        <f t="shared" si="19"/>
        <v>-0.38999999989755452</v>
      </c>
      <c r="M219" s="11"/>
      <c r="O219" s="15"/>
    </row>
    <row r="220" spans="1:15" outlineLevel="2">
      <c r="A220" s="11">
        <f t="shared" si="17"/>
        <v>215</v>
      </c>
      <c r="B220" s="11" t="s">
        <v>557</v>
      </c>
      <c r="C220" s="17" t="s">
        <v>574</v>
      </c>
      <c r="D220" s="12" t="s">
        <v>1041</v>
      </c>
      <c r="E220" s="13">
        <v>0</v>
      </c>
      <c r="F220" s="13">
        <v>8761000</v>
      </c>
      <c r="G220" s="13">
        <f t="shared" si="20"/>
        <v>8761000</v>
      </c>
      <c r="H220" s="13">
        <v>0</v>
      </c>
      <c r="I220" s="13">
        <v>0</v>
      </c>
      <c r="J220" s="13">
        <v>-8761000</v>
      </c>
      <c r="K220" s="14">
        <f>SUM(G220:J220)</f>
        <v>0</v>
      </c>
      <c r="M220" s="11"/>
      <c r="O220" s="15"/>
    </row>
    <row r="221" spans="1:15" outlineLevel="2">
      <c r="A221" s="11">
        <f t="shared" si="17"/>
        <v>216</v>
      </c>
      <c r="B221" s="11" t="s">
        <v>557</v>
      </c>
      <c r="C221" s="17" t="s">
        <v>1042</v>
      </c>
      <c r="D221" s="12" t="s">
        <v>1043</v>
      </c>
      <c r="E221" s="13">
        <v>623512.97</v>
      </c>
      <c r="G221" s="13">
        <f t="shared" si="20"/>
        <v>623512.97</v>
      </c>
      <c r="H221" s="13">
        <v>0</v>
      </c>
      <c r="I221" s="13">
        <v>0</v>
      </c>
      <c r="K221" s="14">
        <f>SUM(G221:J221)</f>
        <v>623512.97</v>
      </c>
      <c r="M221" s="11"/>
      <c r="O221" s="15"/>
    </row>
    <row r="222" spans="1:15" outlineLevel="2">
      <c r="A222" s="11">
        <f t="shared" si="17"/>
        <v>217</v>
      </c>
      <c r="B222" s="11" t="s">
        <v>557</v>
      </c>
      <c r="C222" s="17" t="s">
        <v>1044</v>
      </c>
      <c r="D222" s="12" t="s">
        <v>1045</v>
      </c>
      <c r="E222" s="13">
        <v>3160305.03</v>
      </c>
      <c r="G222" s="13">
        <f t="shared" si="20"/>
        <v>3160305.03</v>
      </c>
      <c r="H222" s="13">
        <v>-1380449</v>
      </c>
      <c r="I222" s="13">
        <v>0</v>
      </c>
      <c r="K222" s="14">
        <f t="shared" ref="K222:K265" si="21">SUM(G222:J222)</f>
        <v>1779856.0299999998</v>
      </c>
      <c r="L222" s="12"/>
      <c r="M222" s="11"/>
      <c r="O222" s="15"/>
    </row>
    <row r="223" spans="1:15" outlineLevel="2">
      <c r="A223" s="11">
        <f t="shared" si="17"/>
        <v>218</v>
      </c>
      <c r="B223" s="11" t="s">
        <v>557</v>
      </c>
      <c r="C223" s="17" t="s">
        <v>1046</v>
      </c>
      <c r="D223" s="12" t="s">
        <v>1047</v>
      </c>
      <c r="E223" s="13">
        <v>8727498.1799999997</v>
      </c>
      <c r="G223" s="13">
        <f t="shared" si="20"/>
        <v>8727498.1799999997</v>
      </c>
      <c r="H223" s="13">
        <v>-570712</v>
      </c>
      <c r="I223" s="13">
        <v>0</v>
      </c>
      <c r="K223" s="14">
        <f t="shared" si="21"/>
        <v>8156786.1799999997</v>
      </c>
      <c r="L223" s="12"/>
      <c r="M223" s="11"/>
      <c r="O223" s="15"/>
    </row>
    <row r="224" spans="1:15" outlineLevel="2">
      <c r="A224" s="11">
        <f t="shared" si="17"/>
        <v>219</v>
      </c>
      <c r="B224" s="11" t="s">
        <v>557</v>
      </c>
      <c r="C224" s="17" t="s">
        <v>1048</v>
      </c>
      <c r="D224" s="12" t="s">
        <v>1049</v>
      </c>
      <c r="E224" s="13">
        <v>74402.89</v>
      </c>
      <c r="G224" s="13">
        <f t="shared" si="20"/>
        <v>74402.89</v>
      </c>
      <c r="H224" s="13">
        <v>0</v>
      </c>
      <c r="I224" s="13">
        <v>0</v>
      </c>
      <c r="K224" s="14">
        <f t="shared" si="21"/>
        <v>74402.89</v>
      </c>
      <c r="M224" s="11"/>
      <c r="O224" s="15"/>
    </row>
    <row r="225" spans="1:15" outlineLevel="2">
      <c r="A225" s="11">
        <f t="shared" si="17"/>
        <v>220</v>
      </c>
      <c r="B225" s="11" t="s">
        <v>557</v>
      </c>
      <c r="C225" s="17" t="s">
        <v>1050</v>
      </c>
      <c r="D225" s="12" t="s">
        <v>1051</v>
      </c>
      <c r="E225" s="13">
        <v>861699.29</v>
      </c>
      <c r="G225" s="13">
        <f t="shared" si="20"/>
        <v>861699.29</v>
      </c>
      <c r="H225" s="13">
        <v>-861699</v>
      </c>
      <c r="I225" s="13">
        <v>0</v>
      </c>
      <c r="K225" s="14">
        <f t="shared" si="21"/>
        <v>0.2900000000372529</v>
      </c>
      <c r="L225" s="12"/>
      <c r="M225" s="11"/>
      <c r="O225" s="15"/>
    </row>
    <row r="226" spans="1:15" outlineLevel="2">
      <c r="A226" s="11">
        <f t="shared" si="17"/>
        <v>221</v>
      </c>
      <c r="B226" s="11" t="s">
        <v>557</v>
      </c>
      <c r="C226" s="17" t="s">
        <v>1052</v>
      </c>
      <c r="D226" s="12" t="s">
        <v>1053</v>
      </c>
      <c r="E226" s="13">
        <v>5557387.7300000004</v>
      </c>
      <c r="F226" s="13">
        <v>1760000</v>
      </c>
      <c r="G226" s="13">
        <f t="shared" si="20"/>
        <v>7317387.7300000004</v>
      </c>
      <c r="H226" s="13">
        <v>-169696</v>
      </c>
      <c r="I226" s="13">
        <v>0</v>
      </c>
      <c r="K226" s="14">
        <f t="shared" si="21"/>
        <v>7147691.7300000004</v>
      </c>
      <c r="L226" s="12"/>
      <c r="M226" s="11"/>
      <c r="O226" s="15"/>
    </row>
    <row r="227" spans="1:15" outlineLevel="2">
      <c r="A227" s="11">
        <f t="shared" si="17"/>
        <v>222</v>
      </c>
      <c r="B227" s="11" t="s">
        <v>557</v>
      </c>
      <c r="C227" s="17" t="s">
        <v>1054</v>
      </c>
      <c r="D227" s="12" t="s">
        <v>1055</v>
      </c>
      <c r="E227" s="13">
        <v>22102.23</v>
      </c>
      <c r="G227" s="13">
        <f t="shared" si="20"/>
        <v>22102.23</v>
      </c>
      <c r="H227" s="13">
        <v>0</v>
      </c>
      <c r="I227" s="13">
        <v>0</v>
      </c>
      <c r="K227" s="14">
        <f t="shared" si="21"/>
        <v>22102.23</v>
      </c>
      <c r="L227" s="12"/>
      <c r="M227" s="11"/>
      <c r="O227" s="15"/>
    </row>
    <row r="228" spans="1:15" outlineLevel="2">
      <c r="A228" s="11">
        <f t="shared" si="17"/>
        <v>223</v>
      </c>
      <c r="B228" s="11" t="s">
        <v>557</v>
      </c>
      <c r="C228" s="17" t="s">
        <v>1056</v>
      </c>
      <c r="D228" s="12" t="s">
        <v>1057</v>
      </c>
      <c r="E228" s="13">
        <v>13019488.130000001</v>
      </c>
      <c r="G228" s="13">
        <f t="shared" si="20"/>
        <v>13019488.130000001</v>
      </c>
      <c r="H228" s="13">
        <v>0</v>
      </c>
      <c r="I228" s="13">
        <v>0</v>
      </c>
      <c r="K228" s="14">
        <f>SUM(G228:J228)</f>
        <v>13019488.130000001</v>
      </c>
      <c r="M228" s="11"/>
      <c r="O228" s="15"/>
    </row>
    <row r="229" spans="1:15" outlineLevel="2">
      <c r="A229" s="11">
        <f t="shared" si="17"/>
        <v>224</v>
      </c>
      <c r="B229" s="11" t="s">
        <v>557</v>
      </c>
      <c r="C229" s="17" t="s">
        <v>1058</v>
      </c>
      <c r="D229" s="12" t="s">
        <v>1059</v>
      </c>
      <c r="E229" s="13">
        <v>16760098.82</v>
      </c>
      <c r="G229" s="13">
        <f t="shared" si="20"/>
        <v>16760098.82</v>
      </c>
      <c r="H229" s="13">
        <v>0</v>
      </c>
      <c r="I229" s="13">
        <v>0</v>
      </c>
      <c r="K229" s="14">
        <f t="shared" si="21"/>
        <v>16760098.82</v>
      </c>
      <c r="M229" s="11"/>
      <c r="O229" s="15"/>
    </row>
    <row r="230" spans="1:15" outlineLevel="2">
      <c r="A230" s="11">
        <f t="shared" si="17"/>
        <v>225</v>
      </c>
      <c r="B230" s="11" t="s">
        <v>557</v>
      </c>
      <c r="C230" s="17" t="s">
        <v>1060</v>
      </c>
      <c r="D230" s="12" t="s">
        <v>1061</v>
      </c>
      <c r="E230" s="13">
        <v>14898450.880000001</v>
      </c>
      <c r="G230" s="13">
        <f t="shared" si="20"/>
        <v>14898450.880000001</v>
      </c>
      <c r="H230" s="13">
        <v>-516513</v>
      </c>
      <c r="I230" s="13">
        <v>0</v>
      </c>
      <c r="K230" s="14">
        <f t="shared" si="21"/>
        <v>14381937.880000001</v>
      </c>
      <c r="L230" s="12"/>
      <c r="M230" s="11"/>
      <c r="O230" s="15"/>
    </row>
    <row r="231" spans="1:15" outlineLevel="2">
      <c r="A231" s="11">
        <f t="shared" si="17"/>
        <v>226</v>
      </c>
      <c r="B231" s="11" t="s">
        <v>557</v>
      </c>
      <c r="C231" s="17" t="s">
        <v>1062</v>
      </c>
      <c r="D231" s="12" t="s">
        <v>1063</v>
      </c>
      <c r="E231" s="13">
        <v>8022741.1900000004</v>
      </c>
      <c r="G231" s="13">
        <f t="shared" si="20"/>
        <v>8022741.1900000004</v>
      </c>
      <c r="H231" s="13">
        <v>-245264</v>
      </c>
      <c r="I231" s="13">
        <v>0</v>
      </c>
      <c r="K231" s="14">
        <f t="shared" si="21"/>
        <v>7777477.1900000004</v>
      </c>
      <c r="M231" s="11"/>
      <c r="O231" s="15"/>
    </row>
    <row r="232" spans="1:15" outlineLevel="2">
      <c r="A232" s="11">
        <f t="shared" si="17"/>
        <v>227</v>
      </c>
      <c r="B232" s="11" t="s">
        <v>557</v>
      </c>
      <c r="C232" s="17" t="s">
        <v>1064</v>
      </c>
      <c r="D232" s="12" t="s">
        <v>1065</v>
      </c>
      <c r="E232" s="13">
        <v>49735.05</v>
      </c>
      <c r="G232" s="13">
        <f t="shared" si="20"/>
        <v>49735.05</v>
      </c>
      <c r="H232" s="13">
        <v>0</v>
      </c>
      <c r="I232" s="13">
        <v>0</v>
      </c>
      <c r="K232" s="14">
        <f t="shared" si="21"/>
        <v>49735.05</v>
      </c>
      <c r="M232" s="11"/>
      <c r="O232" s="15"/>
    </row>
    <row r="233" spans="1:15" outlineLevel="2">
      <c r="A233" s="11">
        <f t="shared" si="17"/>
        <v>228</v>
      </c>
      <c r="B233" s="11" t="s">
        <v>557</v>
      </c>
      <c r="C233" s="17" t="s">
        <v>1066</v>
      </c>
      <c r="D233" s="12" t="s">
        <v>1067</v>
      </c>
      <c r="E233" s="13">
        <v>74427.83</v>
      </c>
      <c r="G233" s="13">
        <f t="shared" si="20"/>
        <v>74427.83</v>
      </c>
      <c r="H233" s="13">
        <v>0</v>
      </c>
      <c r="I233" s="13">
        <v>0</v>
      </c>
      <c r="K233" s="14">
        <f t="shared" si="21"/>
        <v>74427.83</v>
      </c>
      <c r="M233" s="11"/>
      <c r="O233" s="15"/>
    </row>
    <row r="234" spans="1:15" outlineLevel="2">
      <c r="A234" s="11">
        <f t="shared" si="17"/>
        <v>229</v>
      </c>
      <c r="B234" s="11" t="s">
        <v>557</v>
      </c>
      <c r="C234" s="17" t="s">
        <v>1068</v>
      </c>
      <c r="D234" s="12" t="s">
        <v>1069</v>
      </c>
      <c r="E234" s="13">
        <v>2851688.75</v>
      </c>
      <c r="G234" s="13">
        <f>E234+F234</f>
        <v>2851688.75</v>
      </c>
      <c r="H234" s="13">
        <v>-373848</v>
      </c>
      <c r="I234" s="13">
        <v>0</v>
      </c>
      <c r="K234" s="14">
        <f t="shared" si="21"/>
        <v>2477840.75</v>
      </c>
      <c r="M234" s="11"/>
      <c r="O234" s="15"/>
    </row>
    <row r="235" spans="1:15" outlineLevel="2">
      <c r="A235" s="11">
        <f t="shared" si="17"/>
        <v>230</v>
      </c>
      <c r="B235" s="11" t="s">
        <v>557</v>
      </c>
      <c r="C235" s="17" t="s">
        <v>1070</v>
      </c>
      <c r="D235" s="12" t="s">
        <v>1071</v>
      </c>
      <c r="E235" s="13">
        <v>606043.92000000004</v>
      </c>
      <c r="G235" s="13">
        <f t="shared" ref="G235:G252" si="22">E235+F235</f>
        <v>606043.92000000004</v>
      </c>
      <c r="H235" s="13">
        <v>-103121</v>
      </c>
      <c r="I235" s="13">
        <v>0</v>
      </c>
      <c r="K235" s="14">
        <f>SUM(G235:J235)</f>
        <v>502922.92000000004</v>
      </c>
      <c r="M235" s="11"/>
      <c r="O235" s="15"/>
    </row>
    <row r="236" spans="1:15" outlineLevel="2">
      <c r="A236" s="11">
        <f t="shared" si="17"/>
        <v>231</v>
      </c>
      <c r="B236" s="11" t="s">
        <v>557</v>
      </c>
      <c r="C236" s="17" t="s">
        <v>1072</v>
      </c>
      <c r="D236" s="12" t="s">
        <v>1073</v>
      </c>
      <c r="E236" s="13">
        <v>166305.57999999999</v>
      </c>
      <c r="G236" s="13">
        <f t="shared" si="22"/>
        <v>166305.57999999999</v>
      </c>
      <c r="H236" s="13">
        <v>0</v>
      </c>
      <c r="I236" s="13">
        <v>0</v>
      </c>
      <c r="K236" s="14">
        <f t="shared" si="21"/>
        <v>166305.57999999999</v>
      </c>
      <c r="M236" s="11"/>
      <c r="O236" s="15"/>
    </row>
    <row r="237" spans="1:15" outlineLevel="2">
      <c r="A237" s="11">
        <f t="shared" si="17"/>
        <v>232</v>
      </c>
      <c r="B237" s="11" t="s">
        <v>557</v>
      </c>
      <c r="C237" s="17" t="s">
        <v>1074</v>
      </c>
      <c r="D237" s="12" t="s">
        <v>1075</v>
      </c>
      <c r="E237" s="13">
        <v>5204626.3499999996</v>
      </c>
      <c r="G237" s="13">
        <f t="shared" si="22"/>
        <v>5204626.3499999996</v>
      </c>
      <c r="H237" s="13">
        <v>0</v>
      </c>
      <c r="I237" s="13">
        <v>0</v>
      </c>
      <c r="K237" s="14">
        <f t="shared" si="21"/>
        <v>5204626.3499999996</v>
      </c>
      <c r="M237" s="11"/>
      <c r="O237" s="15"/>
    </row>
    <row r="238" spans="1:15" outlineLevel="2">
      <c r="A238" s="11">
        <f t="shared" si="17"/>
        <v>233</v>
      </c>
      <c r="B238" s="11" t="s">
        <v>557</v>
      </c>
      <c r="C238" s="17" t="s">
        <v>1076</v>
      </c>
      <c r="D238" s="12" t="s">
        <v>1077</v>
      </c>
      <c r="E238" s="13">
        <v>937620.96</v>
      </c>
      <c r="G238" s="13">
        <f t="shared" si="22"/>
        <v>937620.96</v>
      </c>
      <c r="H238" s="13">
        <v>-125594</v>
      </c>
      <c r="I238" s="13">
        <v>0</v>
      </c>
      <c r="K238" s="14">
        <f t="shared" si="21"/>
        <v>812026.96</v>
      </c>
      <c r="L238" s="12"/>
      <c r="M238" s="11"/>
      <c r="O238" s="15"/>
    </row>
    <row r="239" spans="1:15" outlineLevel="2">
      <c r="A239" s="11">
        <f t="shared" si="17"/>
        <v>234</v>
      </c>
      <c r="B239" s="11" t="s">
        <v>557</v>
      </c>
      <c r="C239" s="17" t="s">
        <v>1078</v>
      </c>
      <c r="D239" s="12" t="s">
        <v>1079</v>
      </c>
      <c r="E239" s="13">
        <v>12974149.65</v>
      </c>
      <c r="G239" s="13">
        <f t="shared" si="22"/>
        <v>12974149.65</v>
      </c>
      <c r="H239" s="13">
        <v>0</v>
      </c>
      <c r="I239" s="13">
        <v>0</v>
      </c>
      <c r="K239" s="14">
        <f>SUM(G239:J239)</f>
        <v>12974149.65</v>
      </c>
      <c r="M239" s="11"/>
      <c r="O239" s="15"/>
    </row>
    <row r="240" spans="1:15" outlineLevel="2">
      <c r="A240" s="11">
        <f t="shared" si="17"/>
        <v>235</v>
      </c>
      <c r="B240" s="11" t="s">
        <v>557</v>
      </c>
      <c r="C240" s="17" t="s">
        <v>1080</v>
      </c>
      <c r="D240" s="12" t="s">
        <v>1081</v>
      </c>
      <c r="E240" s="13">
        <v>12197585.33</v>
      </c>
      <c r="G240" s="13">
        <f>E240+F240</f>
        <v>12197585.33</v>
      </c>
      <c r="H240" s="13">
        <v>0</v>
      </c>
      <c r="I240" s="13">
        <v>0</v>
      </c>
      <c r="K240" s="14">
        <f t="shared" si="21"/>
        <v>12197585.33</v>
      </c>
      <c r="M240" s="11"/>
      <c r="O240" s="15"/>
    </row>
    <row r="241" spans="1:15" outlineLevel="2">
      <c r="A241" s="11">
        <f t="shared" si="17"/>
        <v>236</v>
      </c>
      <c r="B241" s="11" t="s">
        <v>557</v>
      </c>
      <c r="C241" s="17" t="s">
        <v>1082</v>
      </c>
      <c r="D241" s="12" t="s">
        <v>1083</v>
      </c>
      <c r="E241" s="13">
        <v>6819467.9199999999</v>
      </c>
      <c r="G241" s="13">
        <f t="shared" si="22"/>
        <v>6819467.9199999999</v>
      </c>
      <c r="H241" s="13">
        <v>-176541</v>
      </c>
      <c r="I241" s="13">
        <v>0</v>
      </c>
      <c r="K241" s="14">
        <f t="shared" si="21"/>
        <v>6642926.9199999999</v>
      </c>
      <c r="L241" s="12"/>
      <c r="M241" s="11"/>
      <c r="O241" s="15"/>
    </row>
    <row r="242" spans="1:15" outlineLevel="2">
      <c r="A242" s="11">
        <f t="shared" si="17"/>
        <v>237</v>
      </c>
      <c r="B242" s="11" t="s">
        <v>557</v>
      </c>
      <c r="C242" s="17" t="s">
        <v>1084</v>
      </c>
      <c r="D242" s="12" t="s">
        <v>1085</v>
      </c>
      <c r="E242" s="13">
        <v>108751.28</v>
      </c>
      <c r="G242" s="13">
        <f t="shared" si="22"/>
        <v>108751.28</v>
      </c>
      <c r="H242" s="13">
        <v>0</v>
      </c>
      <c r="I242" s="13">
        <v>0</v>
      </c>
      <c r="K242" s="14">
        <f t="shared" si="21"/>
        <v>108751.28</v>
      </c>
      <c r="M242" s="11"/>
      <c r="O242" s="15"/>
    </row>
    <row r="243" spans="1:15" outlineLevel="2">
      <c r="A243" s="11">
        <f t="shared" si="17"/>
        <v>238</v>
      </c>
      <c r="B243" s="11" t="s">
        <v>557</v>
      </c>
      <c r="C243" s="17" t="s">
        <v>1086</v>
      </c>
      <c r="D243" s="12" t="s">
        <v>1087</v>
      </c>
      <c r="E243" s="13">
        <v>232375.26</v>
      </c>
      <c r="G243" s="13">
        <f t="shared" si="22"/>
        <v>232375.26</v>
      </c>
      <c r="H243" s="13">
        <v>0</v>
      </c>
      <c r="I243" s="13">
        <v>0</v>
      </c>
      <c r="K243" s="14">
        <f t="shared" si="21"/>
        <v>232375.26</v>
      </c>
      <c r="M243" s="11"/>
      <c r="O243" s="15"/>
    </row>
    <row r="244" spans="1:15" outlineLevel="2">
      <c r="A244" s="11">
        <f t="shared" si="17"/>
        <v>239</v>
      </c>
      <c r="B244" s="11" t="s">
        <v>557</v>
      </c>
      <c r="C244" s="17" t="s">
        <v>1088</v>
      </c>
      <c r="D244" s="12" t="s">
        <v>1089</v>
      </c>
      <c r="E244" s="13">
        <v>3206763.26</v>
      </c>
      <c r="G244" s="13">
        <f t="shared" si="22"/>
        <v>3206763.26</v>
      </c>
      <c r="H244" s="13">
        <v>0</v>
      </c>
      <c r="I244" s="13">
        <v>0</v>
      </c>
      <c r="K244" s="14">
        <f t="shared" si="21"/>
        <v>3206763.26</v>
      </c>
      <c r="M244" s="11"/>
      <c r="O244" s="15"/>
    </row>
    <row r="245" spans="1:15" outlineLevel="2">
      <c r="A245" s="11">
        <f t="shared" si="17"/>
        <v>240</v>
      </c>
      <c r="B245" s="11" t="s">
        <v>557</v>
      </c>
      <c r="C245" s="17" t="s">
        <v>1090</v>
      </c>
      <c r="D245" s="12" t="s">
        <v>1091</v>
      </c>
      <c r="E245" s="13">
        <v>1571437.2</v>
      </c>
      <c r="G245" s="13">
        <f t="shared" si="22"/>
        <v>1571437.2</v>
      </c>
      <c r="H245" s="13">
        <v>-654299</v>
      </c>
      <c r="I245" s="13">
        <v>0</v>
      </c>
      <c r="K245" s="14">
        <f t="shared" si="21"/>
        <v>917138.2</v>
      </c>
      <c r="L245" s="12"/>
      <c r="M245" s="11"/>
      <c r="O245" s="15"/>
    </row>
    <row r="246" spans="1:15" outlineLevel="2">
      <c r="A246" s="11">
        <f t="shared" si="17"/>
        <v>241</v>
      </c>
      <c r="B246" s="11" t="s">
        <v>557</v>
      </c>
      <c r="C246" s="17" t="s">
        <v>1092</v>
      </c>
      <c r="D246" s="12" t="s">
        <v>2717</v>
      </c>
      <c r="E246" s="13">
        <v>0</v>
      </c>
      <c r="G246" s="13">
        <f t="shared" si="22"/>
        <v>0</v>
      </c>
      <c r="H246" s="13">
        <v>0</v>
      </c>
      <c r="I246" s="13">
        <v>0</v>
      </c>
      <c r="K246" s="14">
        <f t="shared" si="21"/>
        <v>0</v>
      </c>
      <c r="L246" s="12"/>
      <c r="M246" s="11"/>
      <c r="O246" s="15"/>
    </row>
    <row r="247" spans="1:15" outlineLevel="2">
      <c r="A247" s="11">
        <f t="shared" si="17"/>
        <v>242</v>
      </c>
      <c r="B247" s="11" t="s">
        <v>557</v>
      </c>
      <c r="C247" s="17" t="s">
        <v>1093</v>
      </c>
      <c r="D247" s="12" t="s">
        <v>1094</v>
      </c>
      <c r="E247" s="13">
        <v>3453847.29</v>
      </c>
      <c r="G247" s="13">
        <f t="shared" si="22"/>
        <v>3453847.29</v>
      </c>
      <c r="H247" s="13">
        <v>-45361</v>
      </c>
      <c r="I247" s="13">
        <v>0</v>
      </c>
      <c r="K247" s="14">
        <f>SUM(G247:J247)</f>
        <v>3408486.29</v>
      </c>
      <c r="L247" s="12"/>
      <c r="M247" s="11"/>
      <c r="O247" s="15"/>
    </row>
    <row r="248" spans="1:15" outlineLevel="2">
      <c r="A248" s="11">
        <f t="shared" si="17"/>
        <v>243</v>
      </c>
      <c r="B248" s="11" t="s">
        <v>557</v>
      </c>
      <c r="C248" s="17" t="s">
        <v>1095</v>
      </c>
      <c r="D248" s="12" t="s">
        <v>1096</v>
      </c>
      <c r="E248" s="13">
        <v>2072439.29</v>
      </c>
      <c r="G248" s="13">
        <f t="shared" si="22"/>
        <v>2072439.29</v>
      </c>
      <c r="H248" s="13">
        <v>-938020</v>
      </c>
      <c r="I248" s="13">
        <v>0</v>
      </c>
      <c r="K248" s="14">
        <f t="shared" si="21"/>
        <v>1134419.29</v>
      </c>
      <c r="L248" s="12"/>
      <c r="M248" s="11"/>
      <c r="O248" s="15"/>
    </row>
    <row r="249" spans="1:15" outlineLevel="2">
      <c r="A249" s="11">
        <f t="shared" si="17"/>
        <v>244</v>
      </c>
      <c r="B249" s="11" t="s">
        <v>557</v>
      </c>
      <c r="C249" s="17" t="s">
        <v>1097</v>
      </c>
      <c r="D249" s="12" t="s">
        <v>1098</v>
      </c>
      <c r="E249" s="13">
        <v>3223562.77</v>
      </c>
      <c r="G249" s="13">
        <f t="shared" si="22"/>
        <v>3223562.77</v>
      </c>
      <c r="H249" s="13">
        <v>0</v>
      </c>
      <c r="I249" s="13">
        <v>0</v>
      </c>
      <c r="K249" s="14">
        <f t="shared" si="21"/>
        <v>3223562.77</v>
      </c>
      <c r="M249" s="11"/>
      <c r="O249" s="15"/>
    </row>
    <row r="250" spans="1:15" outlineLevel="2">
      <c r="A250" s="11">
        <f t="shared" si="17"/>
        <v>245</v>
      </c>
      <c r="B250" s="11" t="s">
        <v>557</v>
      </c>
      <c r="C250" s="17" t="s">
        <v>1099</v>
      </c>
      <c r="D250" s="12" t="s">
        <v>1100</v>
      </c>
      <c r="E250" s="13">
        <v>11778774.810000001</v>
      </c>
      <c r="G250" s="13">
        <f t="shared" si="22"/>
        <v>11778774.810000001</v>
      </c>
      <c r="H250" s="13">
        <v>0</v>
      </c>
      <c r="I250" s="13">
        <v>0</v>
      </c>
      <c r="K250" s="14">
        <f t="shared" si="21"/>
        <v>11778774.810000001</v>
      </c>
      <c r="M250" s="11"/>
      <c r="O250" s="15"/>
    </row>
    <row r="251" spans="1:15" outlineLevel="2">
      <c r="A251" s="11">
        <f t="shared" si="17"/>
        <v>246</v>
      </c>
      <c r="B251" s="11" t="s">
        <v>557</v>
      </c>
      <c r="C251" s="17" t="s">
        <v>1101</v>
      </c>
      <c r="D251" s="12" t="s">
        <v>1102</v>
      </c>
      <c r="E251" s="13">
        <v>16150538.689999999</v>
      </c>
      <c r="F251" s="13">
        <v>1156827</v>
      </c>
      <c r="G251" s="13">
        <f t="shared" si="22"/>
        <v>17307365.689999998</v>
      </c>
      <c r="H251" s="13">
        <v>0</v>
      </c>
      <c r="I251" s="13">
        <v>0</v>
      </c>
      <c r="K251" s="14">
        <f t="shared" si="21"/>
        <v>17307365.689999998</v>
      </c>
      <c r="L251" s="12"/>
      <c r="M251" s="11"/>
      <c r="O251" s="15"/>
    </row>
    <row r="252" spans="1:15" outlineLevel="2">
      <c r="A252" s="11">
        <f t="shared" si="17"/>
        <v>247</v>
      </c>
      <c r="B252" s="11" t="s">
        <v>557</v>
      </c>
      <c r="C252" s="17" t="s">
        <v>1103</v>
      </c>
      <c r="D252" s="12" t="s">
        <v>1104</v>
      </c>
      <c r="E252" s="13">
        <v>7600293.54</v>
      </c>
      <c r="G252" s="13">
        <f t="shared" si="22"/>
        <v>7600293.54</v>
      </c>
      <c r="H252" s="13">
        <v>-108365</v>
      </c>
      <c r="I252" s="13">
        <v>0</v>
      </c>
      <c r="K252" s="14">
        <f t="shared" si="21"/>
        <v>7491928.54</v>
      </c>
      <c r="L252" s="12"/>
      <c r="M252" s="11"/>
      <c r="O252" s="15"/>
    </row>
    <row r="253" spans="1:15" outlineLevel="2">
      <c r="A253" s="11">
        <f t="shared" si="17"/>
        <v>248</v>
      </c>
      <c r="B253" s="11" t="s">
        <v>557</v>
      </c>
      <c r="C253" s="17" t="s">
        <v>1105</v>
      </c>
      <c r="D253" s="12" t="s">
        <v>1106</v>
      </c>
      <c r="E253" s="13">
        <v>5141440.25</v>
      </c>
      <c r="G253" s="13">
        <f>E253+F253</f>
        <v>5141440.25</v>
      </c>
      <c r="H253" s="13">
        <v>-181849</v>
      </c>
      <c r="I253" s="13">
        <v>0</v>
      </c>
      <c r="K253" s="14">
        <f>SUM(G253:J253)</f>
        <v>4959591.25</v>
      </c>
      <c r="L253" s="12"/>
      <c r="M253" s="11"/>
      <c r="O253" s="15"/>
    </row>
    <row r="254" spans="1:15" outlineLevel="2">
      <c r="A254" s="11">
        <f t="shared" si="17"/>
        <v>249</v>
      </c>
      <c r="B254" s="11" t="s">
        <v>557</v>
      </c>
      <c r="C254" s="17" t="s">
        <v>1107</v>
      </c>
      <c r="D254" s="12" t="s">
        <v>1108</v>
      </c>
      <c r="E254" s="13">
        <v>40859.629999999997</v>
      </c>
      <c r="G254" s="13">
        <f t="shared" ref="G254:G265" si="23">E254+F254</f>
        <v>40859.629999999997</v>
      </c>
      <c r="H254" s="13">
        <v>0</v>
      </c>
      <c r="I254" s="13">
        <v>0</v>
      </c>
      <c r="K254" s="14">
        <f t="shared" si="21"/>
        <v>40859.629999999997</v>
      </c>
      <c r="M254" s="11"/>
      <c r="O254" s="15"/>
    </row>
    <row r="255" spans="1:15" outlineLevel="2">
      <c r="A255" s="11">
        <f t="shared" si="17"/>
        <v>250</v>
      </c>
      <c r="B255" s="11" t="s">
        <v>557</v>
      </c>
      <c r="C255" s="17" t="s">
        <v>1109</v>
      </c>
      <c r="D255" s="12" t="s">
        <v>1110</v>
      </c>
      <c r="E255" s="13">
        <v>109910.18</v>
      </c>
      <c r="G255" s="13">
        <f t="shared" si="23"/>
        <v>109910.18</v>
      </c>
      <c r="H255" s="13">
        <v>-54083</v>
      </c>
      <c r="I255" s="13">
        <v>0</v>
      </c>
      <c r="K255" s="14">
        <f t="shared" si="21"/>
        <v>55827.179999999993</v>
      </c>
      <c r="L255" s="12"/>
      <c r="M255" s="11"/>
      <c r="O255" s="15"/>
    </row>
    <row r="256" spans="1:15" outlineLevel="2">
      <c r="A256" s="11">
        <f t="shared" si="17"/>
        <v>251</v>
      </c>
      <c r="B256" s="11" t="s">
        <v>557</v>
      </c>
      <c r="C256" s="17" t="s">
        <v>1111</v>
      </c>
      <c r="D256" s="12" t="s">
        <v>1112</v>
      </c>
      <c r="E256" s="13">
        <v>11235762.02</v>
      </c>
      <c r="G256" s="13">
        <f t="shared" si="23"/>
        <v>11235762.02</v>
      </c>
      <c r="H256" s="13">
        <v>0</v>
      </c>
      <c r="I256" s="13">
        <v>0</v>
      </c>
      <c r="K256" s="14">
        <f t="shared" si="21"/>
        <v>11235762.02</v>
      </c>
      <c r="M256" s="11"/>
      <c r="O256" s="15"/>
    </row>
    <row r="257" spans="1:15" outlineLevel="2">
      <c r="A257" s="11">
        <f t="shared" si="17"/>
        <v>252</v>
      </c>
      <c r="B257" s="11" t="s">
        <v>557</v>
      </c>
      <c r="C257" s="17" t="s">
        <v>1113</v>
      </c>
      <c r="D257" s="12" t="s">
        <v>1114</v>
      </c>
      <c r="E257" s="13">
        <v>831303.68000000005</v>
      </c>
      <c r="G257" s="13">
        <f t="shared" si="23"/>
        <v>831303.68000000005</v>
      </c>
      <c r="H257" s="13">
        <v>-250593</v>
      </c>
      <c r="I257" s="13">
        <v>0</v>
      </c>
      <c r="K257" s="14">
        <f t="shared" si="21"/>
        <v>580710.68000000005</v>
      </c>
      <c r="L257" s="12"/>
      <c r="M257" s="11"/>
      <c r="O257" s="15"/>
    </row>
    <row r="258" spans="1:15" outlineLevel="2">
      <c r="A258" s="11">
        <f t="shared" si="17"/>
        <v>253</v>
      </c>
      <c r="B258" s="11" t="s">
        <v>557</v>
      </c>
      <c r="C258" s="17" t="s">
        <v>1115</v>
      </c>
      <c r="D258" s="12" t="s">
        <v>1116</v>
      </c>
      <c r="E258" s="13">
        <v>15594604.08</v>
      </c>
      <c r="G258" s="13">
        <f t="shared" si="23"/>
        <v>15594604.08</v>
      </c>
      <c r="H258" s="13">
        <v>0</v>
      </c>
      <c r="I258" s="13">
        <v>0</v>
      </c>
      <c r="K258" s="14">
        <f t="shared" si="21"/>
        <v>15594604.08</v>
      </c>
      <c r="M258" s="11"/>
      <c r="O258" s="15"/>
    </row>
    <row r="259" spans="1:15" outlineLevel="2">
      <c r="A259" s="11">
        <f t="shared" si="17"/>
        <v>254</v>
      </c>
      <c r="B259" s="11" t="s">
        <v>557</v>
      </c>
      <c r="C259" s="17" t="s">
        <v>1117</v>
      </c>
      <c r="D259" s="12" t="s">
        <v>1118</v>
      </c>
      <c r="E259" s="13">
        <v>8198986.5800000001</v>
      </c>
      <c r="G259" s="13">
        <f t="shared" si="23"/>
        <v>8198986.5800000001</v>
      </c>
      <c r="H259" s="13">
        <v>-97320</v>
      </c>
      <c r="I259" s="13">
        <v>0</v>
      </c>
      <c r="K259" s="14">
        <f t="shared" si="21"/>
        <v>8101666.5800000001</v>
      </c>
      <c r="M259" s="11"/>
      <c r="O259" s="15"/>
    </row>
    <row r="260" spans="1:15" outlineLevel="2">
      <c r="A260" s="11">
        <f t="shared" si="17"/>
        <v>255</v>
      </c>
      <c r="B260" s="11" t="s">
        <v>557</v>
      </c>
      <c r="C260" s="17" t="s">
        <v>1119</v>
      </c>
      <c r="D260" s="12" t="s">
        <v>1120</v>
      </c>
      <c r="E260" s="13">
        <v>3234614.29</v>
      </c>
      <c r="G260" s="13">
        <f t="shared" si="23"/>
        <v>3234614.29</v>
      </c>
      <c r="H260" s="13">
        <v>-101869</v>
      </c>
      <c r="I260" s="13">
        <v>0</v>
      </c>
      <c r="K260" s="14">
        <f>SUM(G260:J260)</f>
        <v>3132745.29</v>
      </c>
      <c r="L260" s="12"/>
      <c r="M260" s="11"/>
      <c r="O260" s="15"/>
    </row>
    <row r="261" spans="1:15" outlineLevel="2">
      <c r="A261" s="11">
        <f t="shared" si="17"/>
        <v>256</v>
      </c>
      <c r="B261" s="11" t="s">
        <v>557</v>
      </c>
      <c r="C261" s="17" t="s">
        <v>1121</v>
      </c>
      <c r="D261" s="12" t="s">
        <v>1122</v>
      </c>
      <c r="E261" s="13">
        <v>183222.22</v>
      </c>
      <c r="G261" s="13">
        <f t="shared" si="23"/>
        <v>183222.22</v>
      </c>
      <c r="H261" s="13">
        <v>0</v>
      </c>
      <c r="I261" s="13">
        <v>0</v>
      </c>
      <c r="K261" s="14">
        <f t="shared" si="21"/>
        <v>183222.22</v>
      </c>
      <c r="L261" s="12"/>
      <c r="M261" s="11"/>
      <c r="O261" s="15"/>
    </row>
    <row r="262" spans="1:15" outlineLevel="2">
      <c r="A262" s="11">
        <f t="shared" si="17"/>
        <v>257</v>
      </c>
      <c r="B262" s="11" t="s">
        <v>557</v>
      </c>
      <c r="C262" s="17" t="s">
        <v>1123</v>
      </c>
      <c r="D262" s="12" t="s">
        <v>1124</v>
      </c>
      <c r="E262" s="13">
        <v>7279212.4699999997</v>
      </c>
      <c r="G262" s="13">
        <f t="shared" si="23"/>
        <v>7279212.4699999997</v>
      </c>
      <c r="H262" s="13">
        <v>-1346899</v>
      </c>
      <c r="I262" s="13">
        <v>0</v>
      </c>
      <c r="K262" s="14">
        <f t="shared" si="21"/>
        <v>5932313.4699999997</v>
      </c>
      <c r="L262" s="12"/>
      <c r="M262" s="11"/>
      <c r="O262" s="15"/>
    </row>
    <row r="263" spans="1:15" outlineLevel="2">
      <c r="A263" s="11">
        <f t="shared" si="17"/>
        <v>258</v>
      </c>
      <c r="B263" s="11" t="s">
        <v>557</v>
      </c>
      <c r="C263" s="17" t="s">
        <v>1125</v>
      </c>
      <c r="D263" s="12" t="s">
        <v>1126</v>
      </c>
      <c r="E263" s="13">
        <v>2775992.03</v>
      </c>
      <c r="G263" s="13">
        <f t="shared" si="23"/>
        <v>2775992.03</v>
      </c>
      <c r="H263" s="13">
        <v>-1579680</v>
      </c>
      <c r="I263" s="13">
        <v>0</v>
      </c>
      <c r="K263" s="14">
        <f>SUM(G263:J263)</f>
        <v>1196312.0299999998</v>
      </c>
      <c r="L263" s="12"/>
      <c r="M263" s="11"/>
      <c r="O263" s="15"/>
    </row>
    <row r="264" spans="1:15" outlineLevel="2">
      <c r="A264" s="11">
        <f t="shared" ref="A264:A327" si="24">A263+1</f>
        <v>259</v>
      </c>
      <c r="B264" s="11" t="s">
        <v>557</v>
      </c>
      <c r="C264" s="17" t="s">
        <v>1127</v>
      </c>
      <c r="D264" s="12" t="s">
        <v>1128</v>
      </c>
      <c r="E264" s="13">
        <v>76395.83</v>
      </c>
      <c r="G264" s="13">
        <f t="shared" si="23"/>
        <v>76395.83</v>
      </c>
      <c r="H264" s="13">
        <v>0</v>
      </c>
      <c r="I264" s="13">
        <v>0</v>
      </c>
      <c r="K264" s="14">
        <f t="shared" si="21"/>
        <v>76395.83</v>
      </c>
      <c r="L264" s="12"/>
      <c r="M264" s="11"/>
      <c r="O264" s="15"/>
    </row>
    <row r="265" spans="1:15" outlineLevel="2">
      <c r="A265" s="11">
        <f t="shared" si="24"/>
        <v>260</v>
      </c>
      <c r="B265" s="11" t="s">
        <v>557</v>
      </c>
      <c r="C265" s="17" t="s">
        <v>1129</v>
      </c>
      <c r="D265" s="12" t="s">
        <v>1130</v>
      </c>
      <c r="E265" s="13">
        <v>2935</v>
      </c>
      <c r="G265" s="13">
        <f t="shared" si="23"/>
        <v>2935</v>
      </c>
      <c r="H265" s="13">
        <v>0</v>
      </c>
      <c r="I265" s="13">
        <v>0</v>
      </c>
      <c r="K265" s="14">
        <f t="shared" si="21"/>
        <v>2935</v>
      </c>
      <c r="L265" s="12"/>
      <c r="M265" s="11"/>
      <c r="O265" s="15"/>
    </row>
    <row r="266" spans="1:15" s="6" customFormat="1" ht="13.5" outlineLevel="1" thickBot="1">
      <c r="A266" s="11">
        <f t="shared" si="24"/>
        <v>261</v>
      </c>
      <c r="B266" s="18" t="s">
        <v>1131</v>
      </c>
      <c r="C266" s="19"/>
      <c r="D266" s="20" t="s">
        <v>1132</v>
      </c>
      <c r="E266" s="21">
        <f t="shared" ref="E266:K266" si="25">SUBTOTAL(9,E123:E265)</f>
        <v>705122335.20999992</v>
      </c>
      <c r="F266" s="21">
        <f t="shared" si="25"/>
        <v>40269254</v>
      </c>
      <c r="G266" s="21">
        <f t="shared" si="25"/>
        <v>745391589.2099998</v>
      </c>
      <c r="H266" s="21">
        <f t="shared" si="25"/>
        <v>-41768595</v>
      </c>
      <c r="I266" s="21">
        <f t="shared" si="25"/>
        <v>0</v>
      </c>
      <c r="J266" s="21">
        <f t="shared" si="25"/>
        <v>-8761000</v>
      </c>
      <c r="K266" s="22">
        <f t="shared" si="25"/>
        <v>694861994.2099998</v>
      </c>
      <c r="L266" s="23"/>
      <c r="M266" s="3"/>
      <c r="N266" s="3"/>
      <c r="O266" s="8"/>
    </row>
    <row r="267" spans="1:15" ht="13.5" outlineLevel="2" thickTop="1">
      <c r="A267" s="11">
        <f t="shared" si="24"/>
        <v>262</v>
      </c>
      <c r="B267" s="11" t="s">
        <v>148</v>
      </c>
      <c r="C267" s="17" t="s">
        <v>1133</v>
      </c>
      <c r="D267" s="12" t="s">
        <v>1134</v>
      </c>
      <c r="E267" s="13">
        <v>3488667.41</v>
      </c>
      <c r="G267" s="13">
        <f>E267+F267</f>
        <v>3488667.41</v>
      </c>
      <c r="H267" s="13">
        <v>0</v>
      </c>
      <c r="I267" s="13">
        <v>0</v>
      </c>
      <c r="K267" s="14">
        <f>SUM(G267:J267)</f>
        <v>3488667.41</v>
      </c>
      <c r="M267" s="11"/>
      <c r="O267" s="15"/>
    </row>
    <row r="268" spans="1:15" outlineLevel="2">
      <c r="A268" s="11">
        <f t="shared" si="24"/>
        <v>263</v>
      </c>
      <c r="B268" s="11" t="s">
        <v>148</v>
      </c>
      <c r="C268" s="17" t="s">
        <v>1135</v>
      </c>
      <c r="D268" s="12" t="s">
        <v>1136</v>
      </c>
      <c r="E268" s="13">
        <v>9917898.5700000003</v>
      </c>
      <c r="F268" s="13">
        <v>2309980</v>
      </c>
      <c r="G268" s="13">
        <f t="shared" ref="G268:G285" si="26">E268+F268</f>
        <v>12227878.57</v>
      </c>
      <c r="H268" s="13">
        <v>0</v>
      </c>
      <c r="I268" s="13">
        <v>0</v>
      </c>
      <c r="K268" s="14">
        <f t="shared" ref="K268:K285" si="27">SUM(G268:J268)</f>
        <v>12227878.57</v>
      </c>
      <c r="M268" s="11"/>
      <c r="O268" s="15"/>
    </row>
    <row r="269" spans="1:15" outlineLevel="2">
      <c r="A269" s="11">
        <f t="shared" si="24"/>
        <v>264</v>
      </c>
      <c r="B269" s="11" t="s">
        <v>148</v>
      </c>
      <c r="C269" s="17" t="s">
        <v>1137</v>
      </c>
      <c r="D269" s="12" t="s">
        <v>1138</v>
      </c>
      <c r="E269" s="13">
        <v>6853288.5700000003</v>
      </c>
      <c r="G269" s="13">
        <f t="shared" si="26"/>
        <v>6853288.5700000003</v>
      </c>
      <c r="H269" s="13">
        <v>0</v>
      </c>
      <c r="I269" s="13">
        <v>0</v>
      </c>
      <c r="K269" s="14">
        <f t="shared" si="27"/>
        <v>6853288.5700000003</v>
      </c>
      <c r="M269" s="11"/>
      <c r="O269" s="15"/>
    </row>
    <row r="270" spans="1:15" outlineLevel="2">
      <c r="A270" s="11">
        <f t="shared" si="24"/>
        <v>265</v>
      </c>
      <c r="B270" s="11" t="s">
        <v>148</v>
      </c>
      <c r="C270" s="17" t="s">
        <v>1139</v>
      </c>
      <c r="D270" s="12" t="s">
        <v>1140</v>
      </c>
      <c r="E270" s="13">
        <v>3852063.84</v>
      </c>
      <c r="G270" s="13">
        <f t="shared" si="26"/>
        <v>3852063.84</v>
      </c>
      <c r="H270" s="13">
        <v>0</v>
      </c>
      <c r="I270" s="13">
        <v>0</v>
      </c>
      <c r="K270" s="14">
        <f t="shared" si="27"/>
        <v>3852063.84</v>
      </c>
      <c r="M270" s="11"/>
      <c r="O270" s="15"/>
    </row>
    <row r="271" spans="1:15" outlineLevel="2">
      <c r="A271" s="11">
        <f t="shared" si="24"/>
        <v>266</v>
      </c>
      <c r="B271" s="11" t="s">
        <v>148</v>
      </c>
      <c r="C271" s="17" t="s">
        <v>1141</v>
      </c>
      <c r="D271" s="12" t="s">
        <v>1142</v>
      </c>
      <c r="E271" s="13">
        <v>2104870.98</v>
      </c>
      <c r="G271" s="13">
        <f t="shared" si="26"/>
        <v>2104870.98</v>
      </c>
      <c r="H271" s="13">
        <v>0</v>
      </c>
      <c r="I271" s="13">
        <v>0</v>
      </c>
      <c r="K271" s="14">
        <f t="shared" si="27"/>
        <v>2104870.98</v>
      </c>
      <c r="M271" s="11"/>
      <c r="O271" s="15"/>
    </row>
    <row r="272" spans="1:15" outlineLevel="2">
      <c r="A272" s="11">
        <f t="shared" si="24"/>
        <v>267</v>
      </c>
      <c r="B272" s="11" t="s">
        <v>148</v>
      </c>
      <c r="C272" s="17" t="s">
        <v>1143</v>
      </c>
      <c r="D272" s="12" t="s">
        <v>1144</v>
      </c>
      <c r="E272" s="13">
        <v>794673.34</v>
      </c>
      <c r="G272" s="13">
        <f t="shared" si="26"/>
        <v>794673.34</v>
      </c>
      <c r="H272" s="13">
        <v>0</v>
      </c>
      <c r="I272" s="13">
        <v>0</v>
      </c>
      <c r="K272" s="14">
        <f t="shared" si="27"/>
        <v>794673.34</v>
      </c>
      <c r="M272" s="11"/>
      <c r="O272" s="15"/>
    </row>
    <row r="273" spans="1:15" outlineLevel="2">
      <c r="A273" s="11">
        <f t="shared" si="24"/>
        <v>268</v>
      </c>
      <c r="B273" s="11" t="s">
        <v>148</v>
      </c>
      <c r="C273" s="17" t="s">
        <v>1145</v>
      </c>
      <c r="D273" s="12" t="s">
        <v>1146</v>
      </c>
      <c r="E273" s="13">
        <v>8407258.6799999997</v>
      </c>
      <c r="G273" s="13">
        <f t="shared" si="26"/>
        <v>8407258.6799999997</v>
      </c>
      <c r="H273" s="13">
        <v>0</v>
      </c>
      <c r="I273" s="13">
        <v>0</v>
      </c>
      <c r="K273" s="14">
        <f t="shared" si="27"/>
        <v>8407258.6799999997</v>
      </c>
      <c r="M273" s="11"/>
      <c r="O273" s="15"/>
    </row>
    <row r="274" spans="1:15" outlineLevel="2">
      <c r="A274" s="11">
        <f t="shared" si="24"/>
        <v>269</v>
      </c>
      <c r="B274" s="11" t="s">
        <v>148</v>
      </c>
      <c r="C274" s="17" t="s">
        <v>1147</v>
      </c>
      <c r="D274" s="12" t="s">
        <v>1148</v>
      </c>
      <c r="E274" s="13">
        <v>2209622.59</v>
      </c>
      <c r="G274" s="13">
        <f t="shared" si="26"/>
        <v>2209622.59</v>
      </c>
      <c r="H274" s="13">
        <v>0</v>
      </c>
      <c r="I274" s="13">
        <v>0</v>
      </c>
      <c r="K274" s="14">
        <f t="shared" si="27"/>
        <v>2209622.59</v>
      </c>
      <c r="M274" s="11"/>
      <c r="O274" s="15"/>
    </row>
    <row r="275" spans="1:15" outlineLevel="2">
      <c r="A275" s="11">
        <f t="shared" si="24"/>
        <v>270</v>
      </c>
      <c r="B275" s="11" t="s">
        <v>148</v>
      </c>
      <c r="C275" s="17" t="s">
        <v>1149</v>
      </c>
      <c r="D275" s="12" t="s">
        <v>1150</v>
      </c>
      <c r="E275" s="13">
        <v>493999.14</v>
      </c>
      <c r="G275" s="13">
        <f t="shared" si="26"/>
        <v>493999.14</v>
      </c>
      <c r="H275" s="13">
        <v>0</v>
      </c>
      <c r="I275" s="13">
        <v>0</v>
      </c>
      <c r="K275" s="14">
        <f t="shared" si="27"/>
        <v>493999.14</v>
      </c>
      <c r="M275" s="11"/>
      <c r="O275" s="15"/>
    </row>
    <row r="276" spans="1:15" outlineLevel="2">
      <c r="A276" s="11">
        <f t="shared" si="24"/>
        <v>271</v>
      </c>
      <c r="B276" s="11" t="s">
        <v>148</v>
      </c>
      <c r="C276" s="17" t="s">
        <v>1151</v>
      </c>
      <c r="D276" s="12" t="s">
        <v>1152</v>
      </c>
      <c r="E276" s="13">
        <v>2709638.83</v>
      </c>
      <c r="G276" s="13">
        <f t="shared" si="26"/>
        <v>2709638.83</v>
      </c>
      <c r="H276" s="13">
        <v>0</v>
      </c>
      <c r="I276" s="13">
        <v>0</v>
      </c>
      <c r="K276" s="14">
        <f t="shared" si="27"/>
        <v>2709638.83</v>
      </c>
      <c r="M276" s="11"/>
      <c r="O276" s="15"/>
    </row>
    <row r="277" spans="1:15" outlineLevel="2">
      <c r="A277" s="11">
        <f t="shared" si="24"/>
        <v>272</v>
      </c>
      <c r="B277" s="11" t="s">
        <v>148</v>
      </c>
      <c r="C277" s="17" t="s">
        <v>1153</v>
      </c>
      <c r="D277" s="12" t="s">
        <v>1154</v>
      </c>
      <c r="E277" s="13">
        <v>3874657.35</v>
      </c>
      <c r="G277" s="13">
        <f t="shared" si="26"/>
        <v>3874657.35</v>
      </c>
      <c r="H277" s="13">
        <v>0</v>
      </c>
      <c r="I277" s="13">
        <v>0</v>
      </c>
      <c r="K277" s="14">
        <f t="shared" si="27"/>
        <v>3874657.35</v>
      </c>
      <c r="M277" s="11"/>
      <c r="O277" s="15"/>
    </row>
    <row r="278" spans="1:15" outlineLevel="2">
      <c r="A278" s="11">
        <f t="shared" si="24"/>
        <v>273</v>
      </c>
      <c r="B278" s="11" t="s">
        <v>148</v>
      </c>
      <c r="C278" s="17" t="s">
        <v>1155</v>
      </c>
      <c r="D278" s="12" t="s">
        <v>1156</v>
      </c>
      <c r="E278" s="13">
        <v>1025254.07</v>
      </c>
      <c r="G278" s="13">
        <f t="shared" si="26"/>
        <v>1025254.07</v>
      </c>
      <c r="H278" s="13">
        <v>0</v>
      </c>
      <c r="I278" s="13">
        <v>0</v>
      </c>
      <c r="K278" s="14">
        <f t="shared" si="27"/>
        <v>1025254.07</v>
      </c>
      <c r="M278" s="11"/>
      <c r="O278" s="15"/>
    </row>
    <row r="279" spans="1:15" outlineLevel="2">
      <c r="A279" s="11">
        <f t="shared" si="24"/>
        <v>274</v>
      </c>
      <c r="B279" s="11" t="s">
        <v>148</v>
      </c>
      <c r="C279" s="17" t="s">
        <v>1157</v>
      </c>
      <c r="D279" s="12" t="s">
        <v>1158</v>
      </c>
      <c r="E279" s="13">
        <v>96884.41</v>
      </c>
      <c r="G279" s="13">
        <f t="shared" si="26"/>
        <v>96884.41</v>
      </c>
      <c r="H279" s="13">
        <v>0</v>
      </c>
      <c r="I279" s="13">
        <v>0</v>
      </c>
      <c r="K279" s="14">
        <f t="shared" si="27"/>
        <v>96884.41</v>
      </c>
      <c r="M279" s="11"/>
      <c r="O279" s="15"/>
    </row>
    <row r="280" spans="1:15" outlineLevel="2">
      <c r="A280" s="11">
        <f t="shared" si="24"/>
        <v>275</v>
      </c>
      <c r="B280" s="11" t="s">
        <v>148</v>
      </c>
      <c r="C280" s="17" t="s">
        <v>1159</v>
      </c>
      <c r="D280" s="12" t="s">
        <v>1160</v>
      </c>
      <c r="E280" s="13">
        <v>1736225.96</v>
      </c>
      <c r="G280" s="13">
        <f t="shared" si="26"/>
        <v>1736225.96</v>
      </c>
      <c r="H280" s="13">
        <v>0</v>
      </c>
      <c r="I280" s="13">
        <v>0</v>
      </c>
      <c r="K280" s="14">
        <f t="shared" si="27"/>
        <v>1736225.96</v>
      </c>
      <c r="M280" s="11"/>
      <c r="O280" s="15"/>
    </row>
    <row r="281" spans="1:15" outlineLevel="2">
      <c r="A281" s="11">
        <f t="shared" si="24"/>
        <v>276</v>
      </c>
      <c r="B281" s="11" t="s">
        <v>148</v>
      </c>
      <c r="C281" s="17" t="s">
        <v>1161</v>
      </c>
      <c r="D281" s="12" t="s">
        <v>1162</v>
      </c>
      <c r="E281" s="13">
        <v>1051383.4099999999</v>
      </c>
      <c r="G281" s="13">
        <f>E281+F281</f>
        <v>1051383.4099999999</v>
      </c>
      <c r="H281" s="13">
        <v>0</v>
      </c>
      <c r="I281" s="13">
        <v>0</v>
      </c>
      <c r="K281" s="14">
        <f t="shared" si="27"/>
        <v>1051383.4099999999</v>
      </c>
      <c r="M281" s="11"/>
      <c r="O281" s="15"/>
    </row>
    <row r="282" spans="1:15" outlineLevel="2">
      <c r="A282" s="11">
        <f t="shared" si="24"/>
        <v>277</v>
      </c>
      <c r="B282" s="11" t="s">
        <v>148</v>
      </c>
      <c r="C282" s="17" t="s">
        <v>1163</v>
      </c>
      <c r="D282" s="12" t="s">
        <v>1164</v>
      </c>
      <c r="E282" s="13">
        <v>2221966.7200000002</v>
      </c>
      <c r="G282" s="13">
        <f t="shared" si="26"/>
        <v>2221966.7200000002</v>
      </c>
      <c r="H282" s="13">
        <v>0</v>
      </c>
      <c r="I282" s="13">
        <v>0</v>
      </c>
      <c r="K282" s="14">
        <f t="shared" si="27"/>
        <v>2221966.7200000002</v>
      </c>
      <c r="M282" s="11"/>
      <c r="O282" s="15"/>
    </row>
    <row r="283" spans="1:15" ht="12.75" customHeight="1" outlineLevel="2">
      <c r="A283" s="11">
        <f t="shared" si="24"/>
        <v>278</v>
      </c>
      <c r="B283" s="11" t="s">
        <v>148</v>
      </c>
      <c r="C283" s="735" t="s">
        <v>1165</v>
      </c>
      <c r="D283" s="12" t="s">
        <v>1166</v>
      </c>
      <c r="E283" s="13">
        <v>7099421.5300000003</v>
      </c>
      <c r="G283" s="13">
        <f t="shared" si="26"/>
        <v>7099421.5300000003</v>
      </c>
      <c r="H283" s="13">
        <v>0</v>
      </c>
      <c r="I283" s="13">
        <v>0</v>
      </c>
      <c r="K283" s="14">
        <f t="shared" si="27"/>
        <v>7099421.5300000003</v>
      </c>
      <c r="L283" s="12"/>
      <c r="M283" s="11"/>
      <c r="O283" s="15"/>
    </row>
    <row r="284" spans="1:15" outlineLevel="2">
      <c r="A284" s="11">
        <f t="shared" si="24"/>
        <v>279</v>
      </c>
      <c r="B284" s="11" t="s">
        <v>148</v>
      </c>
      <c r="C284" s="17" t="s">
        <v>1167</v>
      </c>
      <c r="D284" s="12" t="s">
        <v>1168</v>
      </c>
      <c r="E284" s="13">
        <v>239919.86</v>
      </c>
      <c r="G284" s="13">
        <f t="shared" si="26"/>
        <v>239919.86</v>
      </c>
      <c r="H284" s="13">
        <v>0</v>
      </c>
      <c r="I284" s="13">
        <v>0</v>
      </c>
      <c r="K284" s="14">
        <f t="shared" si="27"/>
        <v>239919.86</v>
      </c>
      <c r="L284" s="735"/>
      <c r="M284" s="11"/>
    </row>
    <row r="285" spans="1:15" outlineLevel="2">
      <c r="A285" s="11">
        <f t="shared" si="24"/>
        <v>280</v>
      </c>
      <c r="B285" s="11" t="s">
        <v>148</v>
      </c>
      <c r="C285" s="17" t="s">
        <v>1169</v>
      </c>
      <c r="D285" s="12" t="s">
        <v>1170</v>
      </c>
      <c r="E285" s="13">
        <v>7452150.5499999998</v>
      </c>
      <c r="G285" s="13">
        <f t="shared" si="26"/>
        <v>7452150.5499999998</v>
      </c>
      <c r="H285" s="13">
        <v>0</v>
      </c>
      <c r="I285" s="13">
        <v>0</v>
      </c>
      <c r="K285" s="14">
        <f t="shared" si="27"/>
        <v>7452150.5499999998</v>
      </c>
      <c r="M285" s="11"/>
      <c r="O285" s="15"/>
    </row>
    <row r="286" spans="1:15" s="6" customFormat="1" ht="13.5" outlineLevel="1" thickBot="1">
      <c r="A286" s="11">
        <f t="shared" si="24"/>
        <v>281</v>
      </c>
      <c r="B286" s="18" t="s">
        <v>1171</v>
      </c>
      <c r="C286" s="19"/>
      <c r="D286" s="20" t="s">
        <v>1172</v>
      </c>
      <c r="E286" s="21">
        <f>SUBTOTAL(9,E267:E285)</f>
        <v>65629845.809999995</v>
      </c>
      <c r="F286" s="21">
        <f>SUBTOTAL(9,F267:F285)</f>
        <v>2309980</v>
      </c>
      <c r="G286" s="21">
        <f>SUBTOTAL(9,G267:G285)</f>
        <v>67939825.810000002</v>
      </c>
      <c r="H286" s="21">
        <f>SUBTOTAL(9,H267:H285)</f>
        <v>0</v>
      </c>
      <c r="I286" s="21">
        <f>SUBTOTAL(9,I267:I285)</f>
        <v>0</v>
      </c>
      <c r="J286" s="21"/>
      <c r="K286" s="22">
        <f>SUBTOTAL(9,K267:K285)</f>
        <v>67939825.810000002</v>
      </c>
      <c r="L286" s="23"/>
      <c r="M286" s="3"/>
      <c r="N286" s="3"/>
      <c r="O286" s="8"/>
    </row>
    <row r="287" spans="1:15" ht="13.5" outlineLevel="2" thickTop="1">
      <c r="A287" s="11">
        <f t="shared" si="24"/>
        <v>282</v>
      </c>
      <c r="B287" s="11" t="s">
        <v>1173</v>
      </c>
      <c r="C287" s="17" t="s">
        <v>1174</v>
      </c>
      <c r="D287" s="1" t="s">
        <v>1175</v>
      </c>
      <c r="E287" s="13">
        <f>6006058.11</f>
        <v>6006058.1100000003</v>
      </c>
      <c r="G287" s="13">
        <f>E287+F287</f>
        <v>6006058.1100000003</v>
      </c>
      <c r="H287" s="13">
        <v>0</v>
      </c>
      <c r="I287" s="13">
        <f>'WS13-SSCDFac'!H5</f>
        <v>0</v>
      </c>
      <c r="J287" s="13">
        <v>0</v>
      </c>
      <c r="K287" s="14">
        <f>SUM(G287:J287)</f>
        <v>6006058.1100000003</v>
      </c>
      <c r="L287" s="802" t="s">
        <v>1176</v>
      </c>
      <c r="M287" s="11"/>
    </row>
    <row r="288" spans="1:15" ht="12.75" customHeight="1" outlineLevel="2">
      <c r="A288" s="11">
        <f t="shared" si="24"/>
        <v>283</v>
      </c>
      <c r="B288" s="11" t="s">
        <v>1173</v>
      </c>
      <c r="C288" s="17" t="s">
        <v>1177</v>
      </c>
      <c r="D288" s="12" t="s">
        <v>1178</v>
      </c>
      <c r="E288" s="13">
        <v>1549110.44</v>
      </c>
      <c r="G288" s="13">
        <f>E288+F288</f>
        <v>1549110.44</v>
      </c>
      <c r="H288" s="13">
        <v>0</v>
      </c>
      <c r="I288" s="13">
        <f>'WS13-SSCDFac'!H6</f>
        <v>-265347.79020000016</v>
      </c>
      <c r="J288" s="13">
        <v>0</v>
      </c>
      <c r="K288" s="14">
        <f>SUM(G288:J288)</f>
        <v>1283762.6497999998</v>
      </c>
      <c r="L288" s="803"/>
      <c r="M288" s="11"/>
      <c r="O288" s="15"/>
    </row>
    <row r="289" spans="1:15" outlineLevel="2">
      <c r="A289" s="11">
        <f t="shared" si="24"/>
        <v>284</v>
      </c>
      <c r="B289" s="11" t="s">
        <v>1173</v>
      </c>
      <c r="C289" s="17" t="s">
        <v>1179</v>
      </c>
      <c r="D289" s="12" t="s">
        <v>1180</v>
      </c>
      <c r="E289" s="13">
        <v>12069071.66</v>
      </c>
      <c r="G289" s="13">
        <f>E289+F289</f>
        <v>12069071.66</v>
      </c>
      <c r="H289" s="13">
        <v>0</v>
      </c>
      <c r="I289" s="13">
        <f>'WS13-SSCDFac'!H7</f>
        <v>-1190998.6974000018</v>
      </c>
      <c r="J289" s="13">
        <v>0</v>
      </c>
      <c r="K289" s="14">
        <f>SUM(G289:J289)</f>
        <v>10878072.962599998</v>
      </c>
      <c r="L289" s="803"/>
      <c r="M289" s="11"/>
      <c r="O289" s="15"/>
    </row>
    <row r="290" spans="1:15" s="6" customFormat="1" ht="13.5" outlineLevel="1" thickBot="1">
      <c r="A290" s="11">
        <f t="shared" si="24"/>
        <v>285</v>
      </c>
      <c r="B290" s="18" t="s">
        <v>1181</v>
      </c>
      <c r="C290" s="19"/>
      <c r="D290" s="20" t="s">
        <v>1182</v>
      </c>
      <c r="E290" s="21">
        <f t="shared" ref="E290:K290" si="28">SUBTOTAL(9,E287:E289)</f>
        <v>19624240.210000001</v>
      </c>
      <c r="F290" s="21">
        <f t="shared" si="28"/>
        <v>0</v>
      </c>
      <c r="G290" s="21">
        <f t="shared" si="28"/>
        <v>19624240.210000001</v>
      </c>
      <c r="H290" s="21">
        <f t="shared" si="28"/>
        <v>0</v>
      </c>
      <c r="I290" s="21">
        <f t="shared" si="28"/>
        <v>-1456346.487600002</v>
      </c>
      <c r="J290" s="21">
        <f t="shared" si="28"/>
        <v>0</v>
      </c>
      <c r="K290" s="22">
        <f t="shared" si="28"/>
        <v>18167893.722399998</v>
      </c>
      <c r="L290" s="24"/>
      <c r="M290" s="3"/>
      <c r="N290" s="3"/>
      <c r="O290" s="8"/>
    </row>
    <row r="291" spans="1:15" ht="13.5" outlineLevel="2" thickTop="1">
      <c r="A291" s="11">
        <f t="shared" si="24"/>
        <v>286</v>
      </c>
      <c r="B291" s="11" t="s">
        <v>1183</v>
      </c>
      <c r="C291" s="17" t="s">
        <v>1184</v>
      </c>
      <c r="D291" s="12" t="s">
        <v>1185</v>
      </c>
      <c r="E291" s="13">
        <v>69740.75</v>
      </c>
      <c r="G291" s="13">
        <f>E291+F291</f>
        <v>69740.75</v>
      </c>
      <c r="H291" s="13">
        <v>0</v>
      </c>
      <c r="I291" s="13">
        <v>0</v>
      </c>
      <c r="K291" s="14">
        <f>SUM(G291:J291)</f>
        <v>69740.75</v>
      </c>
      <c r="M291" s="11"/>
      <c r="O291" s="15"/>
    </row>
    <row r="292" spans="1:15" outlineLevel="2">
      <c r="A292" s="11">
        <f t="shared" si="24"/>
        <v>287</v>
      </c>
      <c r="B292" s="11" t="s">
        <v>1183</v>
      </c>
      <c r="C292" s="17" t="s">
        <v>1186</v>
      </c>
      <c r="D292" s="12" t="s">
        <v>1187</v>
      </c>
      <c r="E292" s="13">
        <v>213000</v>
      </c>
      <c r="G292" s="13">
        <f t="shared" ref="G292:G305" si="29">E292+F292</f>
        <v>213000</v>
      </c>
      <c r="H292" s="13">
        <v>0</v>
      </c>
      <c r="I292" s="13">
        <v>0</v>
      </c>
      <c r="K292" s="14">
        <f t="shared" ref="K292:K305" si="30">SUM(G292:J292)</f>
        <v>213000</v>
      </c>
      <c r="M292" s="11"/>
      <c r="O292" s="15"/>
    </row>
    <row r="293" spans="1:15" outlineLevel="2">
      <c r="A293" s="11">
        <f t="shared" si="24"/>
        <v>288</v>
      </c>
      <c r="B293" s="11" t="s">
        <v>1183</v>
      </c>
      <c r="C293" s="17" t="s">
        <v>1188</v>
      </c>
      <c r="D293" s="12" t="s">
        <v>1189</v>
      </c>
      <c r="E293" s="13">
        <v>218492.84</v>
      </c>
      <c r="G293" s="13">
        <f t="shared" si="29"/>
        <v>218492.84</v>
      </c>
      <c r="H293" s="13">
        <v>0</v>
      </c>
      <c r="I293" s="13">
        <v>0</v>
      </c>
      <c r="K293" s="14">
        <f t="shared" si="30"/>
        <v>218492.84</v>
      </c>
      <c r="M293" s="11"/>
      <c r="O293" s="15"/>
    </row>
    <row r="294" spans="1:15" outlineLevel="2">
      <c r="A294" s="11">
        <f t="shared" si="24"/>
        <v>289</v>
      </c>
      <c r="B294" s="11" t="s">
        <v>1183</v>
      </c>
      <c r="C294" s="17" t="s">
        <v>1190</v>
      </c>
      <c r="D294" s="12" t="s">
        <v>1191</v>
      </c>
      <c r="E294" s="13">
        <v>814665.16</v>
      </c>
      <c r="G294" s="13">
        <f t="shared" si="29"/>
        <v>814665.16</v>
      </c>
      <c r="H294" s="13">
        <v>0</v>
      </c>
      <c r="I294" s="13">
        <v>0</v>
      </c>
      <c r="K294" s="14">
        <f t="shared" si="30"/>
        <v>814665.16</v>
      </c>
      <c r="M294" s="11"/>
      <c r="O294" s="15"/>
    </row>
    <row r="295" spans="1:15" outlineLevel="2">
      <c r="A295" s="11">
        <f t="shared" si="24"/>
        <v>290</v>
      </c>
      <c r="B295" s="11" t="s">
        <v>1183</v>
      </c>
      <c r="C295" s="17" t="s">
        <v>1192</v>
      </c>
      <c r="D295" s="12" t="s">
        <v>1193</v>
      </c>
      <c r="E295" s="13">
        <f>519632.09+6569.16</f>
        <v>526201.25</v>
      </c>
      <c r="G295" s="13">
        <f t="shared" si="29"/>
        <v>526201.25</v>
      </c>
      <c r="H295" s="13">
        <v>0</v>
      </c>
      <c r="I295" s="13">
        <v>0</v>
      </c>
      <c r="K295" s="14">
        <f t="shared" si="30"/>
        <v>526201.25</v>
      </c>
      <c r="M295" s="11"/>
      <c r="O295" s="15"/>
    </row>
    <row r="296" spans="1:15" outlineLevel="2">
      <c r="A296" s="11">
        <f t="shared" si="24"/>
        <v>291</v>
      </c>
      <c r="B296" s="11" t="s">
        <v>1183</v>
      </c>
      <c r="C296" s="17" t="s">
        <v>1194</v>
      </c>
      <c r="D296" s="12" t="s">
        <v>1195</v>
      </c>
      <c r="E296" s="13">
        <v>170278</v>
      </c>
      <c r="G296" s="13">
        <f t="shared" si="29"/>
        <v>170278</v>
      </c>
      <c r="H296" s="13">
        <v>0</v>
      </c>
      <c r="I296" s="13">
        <v>0</v>
      </c>
      <c r="K296" s="14">
        <f t="shared" si="30"/>
        <v>170278</v>
      </c>
      <c r="M296" s="11"/>
      <c r="O296" s="15"/>
    </row>
    <row r="297" spans="1:15" outlineLevel="2">
      <c r="A297" s="11">
        <f t="shared" si="24"/>
        <v>292</v>
      </c>
      <c r="B297" s="11" t="s">
        <v>1183</v>
      </c>
      <c r="C297" s="17" t="s">
        <v>1196</v>
      </c>
      <c r="D297" s="12" t="s">
        <v>1197</v>
      </c>
      <c r="E297" s="13">
        <v>35070.980000000003</v>
      </c>
      <c r="G297" s="13">
        <f t="shared" si="29"/>
        <v>35070.980000000003</v>
      </c>
      <c r="H297" s="13">
        <v>0</v>
      </c>
      <c r="I297" s="13">
        <v>0</v>
      </c>
      <c r="K297" s="14">
        <f t="shared" si="30"/>
        <v>35070.980000000003</v>
      </c>
      <c r="M297" s="11"/>
      <c r="O297" s="15"/>
    </row>
    <row r="298" spans="1:15" outlineLevel="2">
      <c r="A298" s="11">
        <f t="shared" si="24"/>
        <v>293</v>
      </c>
      <c r="B298" s="11" t="s">
        <v>1183</v>
      </c>
      <c r="C298" s="17" t="s">
        <v>1198</v>
      </c>
      <c r="D298" s="12" t="s">
        <v>1199</v>
      </c>
      <c r="E298" s="13">
        <v>163694.91</v>
      </c>
      <c r="G298" s="13">
        <f t="shared" si="29"/>
        <v>163694.91</v>
      </c>
      <c r="H298" s="13">
        <v>0</v>
      </c>
      <c r="I298" s="13">
        <v>0</v>
      </c>
      <c r="K298" s="14">
        <f t="shared" si="30"/>
        <v>163694.91</v>
      </c>
      <c r="M298" s="11"/>
      <c r="O298" s="15"/>
    </row>
    <row r="299" spans="1:15" outlineLevel="2">
      <c r="A299" s="11">
        <f t="shared" si="24"/>
        <v>294</v>
      </c>
      <c r="B299" s="11" t="s">
        <v>1183</v>
      </c>
      <c r="C299" s="17" t="s">
        <v>1200</v>
      </c>
      <c r="D299" s="12" t="s">
        <v>1201</v>
      </c>
      <c r="E299" s="13">
        <v>19074.86</v>
      </c>
      <c r="G299" s="13">
        <f t="shared" si="29"/>
        <v>19074.86</v>
      </c>
      <c r="H299" s="13">
        <v>0</v>
      </c>
      <c r="I299" s="13">
        <v>0</v>
      </c>
      <c r="K299" s="14">
        <f t="shared" si="30"/>
        <v>19074.86</v>
      </c>
      <c r="M299" s="11"/>
      <c r="O299" s="15"/>
    </row>
    <row r="300" spans="1:15" outlineLevel="2">
      <c r="A300" s="11">
        <f t="shared" si="24"/>
        <v>295</v>
      </c>
      <c r="B300" s="11" t="s">
        <v>1183</v>
      </c>
      <c r="C300" s="17" t="s">
        <v>1202</v>
      </c>
      <c r="D300" s="12" t="s">
        <v>1203</v>
      </c>
      <c r="E300" s="13">
        <v>127143.62</v>
      </c>
      <c r="G300" s="13">
        <f t="shared" si="29"/>
        <v>127143.62</v>
      </c>
      <c r="H300" s="13">
        <v>0</v>
      </c>
      <c r="I300" s="13">
        <v>0</v>
      </c>
      <c r="K300" s="14">
        <f t="shared" si="30"/>
        <v>127143.62</v>
      </c>
      <c r="M300" s="11"/>
      <c r="O300" s="15"/>
    </row>
    <row r="301" spans="1:15" outlineLevel="2">
      <c r="A301" s="11">
        <f t="shared" si="24"/>
        <v>296</v>
      </c>
      <c r="B301" s="11" t="s">
        <v>1183</v>
      </c>
      <c r="C301" s="17" t="s">
        <v>1204</v>
      </c>
      <c r="D301" s="12" t="s">
        <v>1205</v>
      </c>
      <c r="E301" s="13">
        <v>404166.08</v>
      </c>
      <c r="G301" s="13">
        <f t="shared" si="29"/>
        <v>404166.08</v>
      </c>
      <c r="H301" s="13">
        <v>0</v>
      </c>
      <c r="I301" s="13">
        <v>0</v>
      </c>
      <c r="K301" s="14">
        <f t="shared" si="30"/>
        <v>404166.08</v>
      </c>
      <c r="M301" s="11"/>
      <c r="O301" s="15"/>
    </row>
    <row r="302" spans="1:15" outlineLevel="2">
      <c r="A302" s="11">
        <f t="shared" si="24"/>
        <v>297</v>
      </c>
      <c r="B302" s="11" t="s">
        <v>1183</v>
      </c>
      <c r="C302" s="17" t="s">
        <v>2678</v>
      </c>
      <c r="D302" s="12" t="s">
        <v>2679</v>
      </c>
      <c r="E302" s="13">
        <v>0</v>
      </c>
      <c r="F302" s="13">
        <v>1615988</v>
      </c>
      <c r="G302" s="13">
        <f t="shared" si="29"/>
        <v>1615988</v>
      </c>
      <c r="H302" s="13">
        <v>-1615988</v>
      </c>
      <c r="K302" s="14">
        <f t="shared" si="30"/>
        <v>0</v>
      </c>
      <c r="M302" s="11"/>
      <c r="O302" s="15"/>
    </row>
    <row r="303" spans="1:15" outlineLevel="2">
      <c r="A303" s="11">
        <f t="shared" si="24"/>
        <v>298</v>
      </c>
      <c r="B303" s="11" t="s">
        <v>1183</v>
      </c>
      <c r="C303" s="17" t="s">
        <v>1206</v>
      </c>
      <c r="D303" s="12" t="s">
        <v>1207</v>
      </c>
      <c r="E303" s="13">
        <v>192498.02</v>
      </c>
      <c r="G303" s="13">
        <f t="shared" si="29"/>
        <v>192498.02</v>
      </c>
      <c r="H303" s="13">
        <v>-192498</v>
      </c>
      <c r="I303" s="13">
        <v>0</v>
      </c>
      <c r="K303" s="14">
        <f t="shared" si="30"/>
        <v>1.9999999989522621E-2</v>
      </c>
      <c r="M303" s="11"/>
      <c r="O303" s="15"/>
    </row>
    <row r="304" spans="1:15" outlineLevel="2">
      <c r="A304" s="11">
        <f t="shared" si="24"/>
        <v>299</v>
      </c>
      <c r="B304" s="11" t="s">
        <v>1183</v>
      </c>
      <c r="C304" s="17" t="s">
        <v>1208</v>
      </c>
      <c r="D304" s="12" t="s">
        <v>1209</v>
      </c>
      <c r="E304" s="13">
        <v>71118</v>
      </c>
      <c r="G304" s="13">
        <f t="shared" si="29"/>
        <v>71118</v>
      </c>
      <c r="H304" s="13">
        <v>0</v>
      </c>
      <c r="I304" s="13">
        <v>0</v>
      </c>
      <c r="K304" s="14">
        <f t="shared" si="30"/>
        <v>71118</v>
      </c>
      <c r="M304" s="11"/>
      <c r="O304" s="15"/>
    </row>
    <row r="305" spans="1:15" outlineLevel="2">
      <c r="A305" s="11">
        <f t="shared" si="24"/>
        <v>300</v>
      </c>
      <c r="B305" s="11" t="s">
        <v>1183</v>
      </c>
      <c r="C305" s="17" t="s">
        <v>1210</v>
      </c>
      <c r="D305" s="12" t="s">
        <v>1211</v>
      </c>
      <c r="E305" s="13">
        <v>179327.81</v>
      </c>
      <c r="G305" s="13">
        <f t="shared" si="29"/>
        <v>179327.81</v>
      </c>
      <c r="H305" s="13">
        <v>0</v>
      </c>
      <c r="I305" s="13">
        <v>0</v>
      </c>
      <c r="K305" s="14">
        <f t="shared" si="30"/>
        <v>179327.81</v>
      </c>
      <c r="M305" s="11"/>
      <c r="O305" s="15"/>
    </row>
    <row r="306" spans="1:15" s="6" customFormat="1" ht="13.5" outlineLevel="1" thickBot="1">
      <c r="A306" s="11">
        <f t="shared" si="24"/>
        <v>301</v>
      </c>
      <c r="B306" s="18" t="s">
        <v>1212</v>
      </c>
      <c r="C306" s="19"/>
      <c r="D306" s="20" t="s">
        <v>1213</v>
      </c>
      <c r="E306" s="21">
        <f>SUBTOTAL(9,E291:E305)</f>
        <v>3204472.2800000003</v>
      </c>
      <c r="F306" s="21">
        <f>SUBTOTAL(9,F291:F305)</f>
        <v>1615988</v>
      </c>
      <c r="G306" s="21">
        <f>SUBTOTAL(9,G291:G305)</f>
        <v>4820460.2799999993</v>
      </c>
      <c r="H306" s="21">
        <f>SUBTOTAL(9,H291:H305)</f>
        <v>-1808486</v>
      </c>
      <c r="I306" s="21">
        <f>SUBTOTAL(9,I291:I305)</f>
        <v>0</v>
      </c>
      <c r="J306" s="21"/>
      <c r="K306" s="22">
        <f>SUBTOTAL(9,K291:K305)</f>
        <v>3011974.2800000003</v>
      </c>
      <c r="L306" s="23"/>
      <c r="M306" s="3"/>
      <c r="N306" s="3"/>
      <c r="O306" s="8"/>
    </row>
    <row r="307" spans="1:15" ht="13.5" outlineLevel="2" thickTop="1">
      <c r="A307" s="11">
        <f t="shared" si="24"/>
        <v>302</v>
      </c>
      <c r="B307" s="11" t="s">
        <v>1214</v>
      </c>
      <c r="C307" s="17" t="s">
        <v>1215</v>
      </c>
      <c r="D307" s="12" t="s">
        <v>1216</v>
      </c>
      <c r="E307" s="13">
        <v>81944</v>
      </c>
      <c r="G307" s="13">
        <f>E307+F307</f>
        <v>81944</v>
      </c>
      <c r="H307" s="13">
        <v>0</v>
      </c>
      <c r="I307" s="13">
        <v>-81944</v>
      </c>
      <c r="K307" s="14">
        <f>SUM(G307:J307)</f>
        <v>0</v>
      </c>
      <c r="L307" s="12"/>
      <c r="M307" s="11"/>
      <c r="O307" s="15"/>
    </row>
    <row r="308" spans="1:15" outlineLevel="2">
      <c r="A308" s="11">
        <f t="shared" si="24"/>
        <v>303</v>
      </c>
      <c r="B308" s="11" t="s">
        <v>1214</v>
      </c>
      <c r="C308" s="17" t="s">
        <v>1217</v>
      </c>
      <c r="D308" s="12" t="s">
        <v>1218</v>
      </c>
      <c r="E308" s="13">
        <v>64611.39</v>
      </c>
      <c r="G308" s="13">
        <f>E308+F308</f>
        <v>64611.39</v>
      </c>
      <c r="H308" s="13">
        <v>0</v>
      </c>
      <c r="I308" s="13">
        <v>-64611</v>
      </c>
      <c r="K308" s="14">
        <f>SUM(G308:J308)</f>
        <v>0.38999999999941792</v>
      </c>
      <c r="M308" s="11"/>
      <c r="O308" s="15"/>
    </row>
    <row r="309" spans="1:15" outlineLevel="2">
      <c r="A309" s="11">
        <f t="shared" si="24"/>
        <v>304</v>
      </c>
      <c r="B309" s="11" t="s">
        <v>1214</v>
      </c>
      <c r="C309" s="17" t="s">
        <v>1219</v>
      </c>
      <c r="D309" s="12" t="s">
        <v>1220</v>
      </c>
      <c r="E309" s="13">
        <v>922163.82</v>
      </c>
      <c r="G309" s="13">
        <f>E309+F309</f>
        <v>922163.82</v>
      </c>
      <c r="H309" s="13">
        <v>0</v>
      </c>
      <c r="I309" s="13">
        <v>0</v>
      </c>
      <c r="K309" s="14">
        <f>SUM(G309:J309)</f>
        <v>922163.82</v>
      </c>
      <c r="M309" s="11"/>
      <c r="O309" s="15"/>
    </row>
    <row r="310" spans="1:15" outlineLevel="2">
      <c r="A310" s="11">
        <f t="shared" si="24"/>
        <v>305</v>
      </c>
      <c r="B310" s="11" t="s">
        <v>1214</v>
      </c>
      <c r="C310" s="17" t="s">
        <v>1221</v>
      </c>
      <c r="D310" s="12" t="s">
        <v>1222</v>
      </c>
      <c r="E310" s="13">
        <v>690735.13</v>
      </c>
      <c r="G310" s="13">
        <f>E310+F310</f>
        <v>690735.13</v>
      </c>
      <c r="H310" s="13">
        <v>0</v>
      </c>
      <c r="I310" s="13">
        <v>0</v>
      </c>
      <c r="K310" s="14">
        <f>SUM(G310:J310)</f>
        <v>690735.13</v>
      </c>
      <c r="M310" s="11"/>
      <c r="O310" s="15"/>
    </row>
    <row r="311" spans="1:15" s="6" customFormat="1" ht="13.5" outlineLevel="1" thickBot="1">
      <c r="A311" s="11">
        <f t="shared" si="24"/>
        <v>306</v>
      </c>
      <c r="B311" s="18" t="s">
        <v>1223</v>
      </c>
      <c r="C311" s="19"/>
      <c r="D311" s="20" t="s">
        <v>1224</v>
      </c>
      <c r="E311" s="21">
        <f>SUBTOTAL(9,E307:E310)</f>
        <v>1759454.3399999999</v>
      </c>
      <c r="F311" s="21">
        <f>SUBTOTAL(9,F307:F310)</f>
        <v>0</v>
      </c>
      <c r="G311" s="21">
        <f>SUBTOTAL(9,G307:G310)</f>
        <v>1759454.3399999999</v>
      </c>
      <c r="H311" s="21">
        <f>SUBTOTAL(9,H307:H310)</f>
        <v>0</v>
      </c>
      <c r="I311" s="21">
        <f>SUBTOTAL(9,I307:I310)</f>
        <v>-146555</v>
      </c>
      <c r="J311" s="21"/>
      <c r="K311" s="22">
        <f>SUBTOTAL(9,K307:K310)</f>
        <v>1612899.3399999999</v>
      </c>
      <c r="L311" s="23"/>
      <c r="M311" s="3"/>
      <c r="N311" s="3"/>
      <c r="O311" s="8"/>
    </row>
    <row r="312" spans="1:15" ht="13.5" outlineLevel="2" thickTop="1">
      <c r="A312" s="11">
        <f t="shared" si="24"/>
        <v>307</v>
      </c>
      <c r="B312" s="11" t="s">
        <v>1225</v>
      </c>
      <c r="C312" s="17" t="s">
        <v>1226</v>
      </c>
      <c r="D312" s="12" t="s">
        <v>1227</v>
      </c>
      <c r="E312" s="13">
        <v>17199.41</v>
      </c>
      <c r="G312" s="13">
        <f>E312+F312</f>
        <v>17199.41</v>
      </c>
      <c r="H312" s="13">
        <v>0</v>
      </c>
      <c r="I312" s="13">
        <f t="shared" ref="I312:I317" si="31">-(G312*$L$315)</f>
        <v>-5495.2114950000005</v>
      </c>
      <c r="K312" s="14">
        <f>SUM(G312:J312)</f>
        <v>11704.198505</v>
      </c>
      <c r="L312" s="802" t="s">
        <v>1228</v>
      </c>
    </row>
    <row r="313" spans="1:15" outlineLevel="2">
      <c r="A313" s="11">
        <f t="shared" si="24"/>
        <v>308</v>
      </c>
      <c r="B313" s="11" t="s">
        <v>1225</v>
      </c>
      <c r="C313" s="17" t="s">
        <v>1229</v>
      </c>
      <c r="D313" s="12" t="s">
        <v>1230</v>
      </c>
      <c r="E313" s="13">
        <v>264163.42</v>
      </c>
      <c r="G313" s="13">
        <f t="shared" ref="G313:G381" si="32">E313+F313</f>
        <v>264163.42</v>
      </c>
      <c r="H313" s="13">
        <v>0</v>
      </c>
      <c r="I313" s="13">
        <f t="shared" si="31"/>
        <v>-84400.21269</v>
      </c>
      <c r="K313" s="14">
        <f t="shared" ref="K313:K322" si="33">SUM(G313:J313)</f>
        <v>179763.20730999997</v>
      </c>
      <c r="L313" s="803"/>
    </row>
    <row r="314" spans="1:15" outlineLevel="2">
      <c r="A314" s="11">
        <f t="shared" si="24"/>
        <v>309</v>
      </c>
      <c r="B314" s="11" t="s">
        <v>1225</v>
      </c>
      <c r="C314" s="17" t="s">
        <v>1231</v>
      </c>
      <c r="D314" s="12" t="s">
        <v>1232</v>
      </c>
      <c r="E314" s="13">
        <v>423147.1</v>
      </c>
      <c r="G314" s="13">
        <f t="shared" si="32"/>
        <v>423147.1</v>
      </c>
      <c r="H314" s="13">
        <v>0</v>
      </c>
      <c r="I314" s="13">
        <f t="shared" si="31"/>
        <v>-135195.49844999998</v>
      </c>
      <c r="K314" s="14">
        <f t="shared" si="33"/>
        <v>287951.60155000002</v>
      </c>
      <c r="L314" s="803"/>
    </row>
    <row r="315" spans="1:15" outlineLevel="2">
      <c r="A315" s="11">
        <f t="shared" si="24"/>
        <v>310</v>
      </c>
      <c r="B315" s="11" t="s">
        <v>1225</v>
      </c>
      <c r="C315" s="17" t="s">
        <v>1233</v>
      </c>
      <c r="D315" s="12" t="s">
        <v>1234</v>
      </c>
      <c r="E315" s="13">
        <v>99834.58</v>
      </c>
      <c r="G315" s="13">
        <f t="shared" si="32"/>
        <v>99834.58</v>
      </c>
      <c r="H315" s="13">
        <v>0</v>
      </c>
      <c r="I315" s="13">
        <f t="shared" si="31"/>
        <v>-31897.14831</v>
      </c>
      <c r="K315" s="14">
        <f t="shared" si="33"/>
        <v>67937.431689999998</v>
      </c>
      <c r="L315" s="25">
        <v>0.31950000000000001</v>
      </c>
      <c r="M315" s="11"/>
      <c r="O315" s="15"/>
    </row>
    <row r="316" spans="1:15" outlineLevel="2">
      <c r="A316" s="11">
        <f t="shared" si="24"/>
        <v>311</v>
      </c>
      <c r="B316" s="11" t="s">
        <v>1225</v>
      </c>
      <c r="C316" s="17" t="s">
        <v>1235</v>
      </c>
      <c r="D316" s="12" t="s">
        <v>1236</v>
      </c>
      <c r="E316" s="13">
        <v>324151.14</v>
      </c>
      <c r="G316" s="13">
        <f t="shared" si="32"/>
        <v>324151.14</v>
      </c>
      <c r="H316" s="13">
        <v>0</v>
      </c>
      <c r="I316" s="13">
        <f t="shared" si="31"/>
        <v>-103566.28923000001</v>
      </c>
      <c r="K316" s="14">
        <f>SUM(G316:J316)</f>
        <v>220584.85077000002</v>
      </c>
      <c r="M316" s="11"/>
      <c r="O316" s="15"/>
    </row>
    <row r="317" spans="1:15" outlineLevel="2">
      <c r="A317" s="11">
        <f t="shared" si="24"/>
        <v>312</v>
      </c>
      <c r="B317" s="11" t="s">
        <v>1225</v>
      </c>
      <c r="C317" s="17" t="s">
        <v>1237</v>
      </c>
      <c r="D317" s="12" t="s">
        <v>1238</v>
      </c>
      <c r="E317" s="13">
        <v>273289.77</v>
      </c>
      <c r="G317" s="13">
        <f t="shared" si="32"/>
        <v>273289.77</v>
      </c>
      <c r="H317" s="13">
        <v>0</v>
      </c>
      <c r="I317" s="13">
        <f t="shared" si="31"/>
        <v>-87316.081515000013</v>
      </c>
      <c r="K317" s="14">
        <f t="shared" si="33"/>
        <v>185973.68848499999</v>
      </c>
      <c r="M317" s="11"/>
      <c r="O317" s="15"/>
    </row>
    <row r="318" spans="1:15" outlineLevel="2">
      <c r="A318" s="11">
        <f t="shared" si="24"/>
        <v>313</v>
      </c>
      <c r="B318" s="11" t="s">
        <v>1225</v>
      </c>
      <c r="C318" s="17" t="s">
        <v>1239</v>
      </c>
      <c r="D318" s="12" t="s">
        <v>1240</v>
      </c>
      <c r="E318" s="13">
        <v>196601.21</v>
      </c>
      <c r="G318" s="13">
        <f t="shared" si="32"/>
        <v>196601.21</v>
      </c>
      <c r="H318" s="13">
        <v>0</v>
      </c>
      <c r="I318" s="13">
        <f t="shared" ref="I318:I327" si="34">-(G318*$L$315)</f>
        <v>-62814.086595000001</v>
      </c>
      <c r="K318" s="14">
        <f t="shared" si="33"/>
        <v>133787.12340499999</v>
      </c>
      <c r="M318" s="11"/>
      <c r="O318" s="15"/>
    </row>
    <row r="319" spans="1:15" outlineLevel="2">
      <c r="A319" s="11">
        <f t="shared" si="24"/>
        <v>314</v>
      </c>
      <c r="B319" s="11" t="s">
        <v>1225</v>
      </c>
      <c r="C319" s="17" t="s">
        <v>1241</v>
      </c>
      <c r="D319" s="12" t="s">
        <v>1242</v>
      </c>
      <c r="E319" s="13">
        <v>10678.65</v>
      </c>
      <c r="G319" s="13">
        <f t="shared" si="32"/>
        <v>10678.65</v>
      </c>
      <c r="H319" s="13">
        <v>0</v>
      </c>
      <c r="I319" s="13">
        <f t="shared" si="34"/>
        <v>-3411.8286749999997</v>
      </c>
      <c r="K319" s="14">
        <f>SUM(G319:J319)</f>
        <v>7266.8213249999999</v>
      </c>
      <c r="M319" s="11"/>
      <c r="O319" s="15"/>
    </row>
    <row r="320" spans="1:15" outlineLevel="2">
      <c r="A320" s="11">
        <f t="shared" si="24"/>
        <v>315</v>
      </c>
      <c r="B320" s="11" t="s">
        <v>1225</v>
      </c>
      <c r="C320" s="17" t="s">
        <v>1243</v>
      </c>
      <c r="D320" s="12" t="s">
        <v>1244</v>
      </c>
      <c r="E320" s="13">
        <v>113361.84</v>
      </c>
      <c r="G320" s="13">
        <f t="shared" si="32"/>
        <v>113361.84</v>
      </c>
      <c r="H320" s="13">
        <v>0</v>
      </c>
      <c r="I320" s="13">
        <f t="shared" si="34"/>
        <v>-36219.107880000003</v>
      </c>
      <c r="K320" s="14">
        <f t="shared" si="33"/>
        <v>77142.732120000001</v>
      </c>
      <c r="M320" s="11"/>
      <c r="O320" s="15"/>
    </row>
    <row r="321" spans="1:15" outlineLevel="2">
      <c r="A321" s="11">
        <f t="shared" si="24"/>
        <v>316</v>
      </c>
      <c r="B321" s="11" t="s">
        <v>1225</v>
      </c>
      <c r="C321" s="17" t="s">
        <v>1245</v>
      </c>
      <c r="D321" s="12" t="s">
        <v>1246</v>
      </c>
      <c r="E321" s="13">
        <v>568561.56000000006</v>
      </c>
      <c r="G321" s="13">
        <f t="shared" si="32"/>
        <v>568561.56000000006</v>
      </c>
      <c r="H321" s="13">
        <v>0</v>
      </c>
      <c r="I321" s="13">
        <f t="shared" si="34"/>
        <v>-181655.41842000003</v>
      </c>
      <c r="K321" s="14">
        <f t="shared" si="33"/>
        <v>386906.14158000005</v>
      </c>
      <c r="M321" s="11"/>
      <c r="O321" s="15"/>
    </row>
    <row r="322" spans="1:15" outlineLevel="2">
      <c r="A322" s="11">
        <f t="shared" si="24"/>
        <v>317</v>
      </c>
      <c r="B322" s="11" t="s">
        <v>1225</v>
      </c>
      <c r="C322" s="17" t="s">
        <v>1247</v>
      </c>
      <c r="D322" s="12" t="s">
        <v>1248</v>
      </c>
      <c r="E322" s="13">
        <v>158945.60000000001</v>
      </c>
      <c r="G322" s="13">
        <f t="shared" si="32"/>
        <v>158945.60000000001</v>
      </c>
      <c r="I322" s="13">
        <v>-136495</v>
      </c>
      <c r="K322" s="14">
        <f t="shared" si="33"/>
        <v>22450.600000000006</v>
      </c>
      <c r="M322" s="11"/>
      <c r="O322" s="15"/>
    </row>
    <row r="323" spans="1:15" outlineLevel="2">
      <c r="A323" s="11">
        <f t="shared" si="24"/>
        <v>318</v>
      </c>
      <c r="B323" s="11" t="s">
        <v>1225</v>
      </c>
      <c r="C323" s="17" t="s">
        <v>1249</v>
      </c>
      <c r="D323" s="12" t="s">
        <v>1250</v>
      </c>
      <c r="E323" s="13">
        <v>412803.4</v>
      </c>
      <c r="G323" s="13">
        <f t="shared" si="32"/>
        <v>412803.4</v>
      </c>
      <c r="H323" s="13">
        <v>0</v>
      </c>
      <c r="I323" s="13">
        <f t="shared" si="34"/>
        <v>-131890.6863</v>
      </c>
      <c r="K323" s="14">
        <f t="shared" ref="K323:K338" si="35">SUM(G323:J323)</f>
        <v>280912.71370000002</v>
      </c>
      <c r="M323" s="11"/>
      <c r="O323" s="15"/>
    </row>
    <row r="324" spans="1:15" outlineLevel="2">
      <c r="A324" s="11">
        <f t="shared" si="24"/>
        <v>319</v>
      </c>
      <c r="B324" s="11" t="s">
        <v>1225</v>
      </c>
      <c r="C324" s="17" t="s">
        <v>1251</v>
      </c>
      <c r="D324" s="12" t="s">
        <v>1252</v>
      </c>
      <c r="E324" s="13">
        <v>227955.26</v>
      </c>
      <c r="G324" s="13">
        <f t="shared" si="32"/>
        <v>227955.26</v>
      </c>
      <c r="H324" s="13">
        <v>0</v>
      </c>
      <c r="I324" s="13">
        <f t="shared" si="34"/>
        <v>-72831.705570000006</v>
      </c>
      <c r="K324" s="14">
        <f t="shared" si="35"/>
        <v>155123.55443000002</v>
      </c>
      <c r="M324" s="11"/>
      <c r="O324" s="15"/>
    </row>
    <row r="325" spans="1:15" outlineLevel="2">
      <c r="A325" s="11">
        <f t="shared" si="24"/>
        <v>320</v>
      </c>
      <c r="B325" s="11" t="s">
        <v>1225</v>
      </c>
      <c r="C325" s="17" t="s">
        <v>1253</v>
      </c>
      <c r="D325" s="12" t="s">
        <v>1254</v>
      </c>
      <c r="E325" s="13">
        <v>149227.87</v>
      </c>
      <c r="G325" s="13">
        <f t="shared" si="32"/>
        <v>149227.87</v>
      </c>
      <c r="H325" s="13">
        <v>0</v>
      </c>
      <c r="I325" s="13">
        <f t="shared" si="34"/>
        <v>-47678.304465000001</v>
      </c>
      <c r="K325" s="14">
        <f t="shared" si="35"/>
        <v>101549.565535</v>
      </c>
      <c r="M325" s="11"/>
      <c r="O325" s="15"/>
    </row>
    <row r="326" spans="1:15" outlineLevel="2">
      <c r="A326" s="11">
        <f t="shared" si="24"/>
        <v>321</v>
      </c>
      <c r="B326" s="11" t="s">
        <v>1225</v>
      </c>
      <c r="C326" s="17" t="s">
        <v>1255</v>
      </c>
      <c r="D326" s="12" t="s">
        <v>1256</v>
      </c>
      <c r="E326" s="13">
        <v>147129.10999999999</v>
      </c>
      <c r="G326" s="13">
        <f t="shared" si="32"/>
        <v>147129.10999999999</v>
      </c>
      <c r="H326" s="13">
        <v>0</v>
      </c>
      <c r="I326" s="13">
        <f t="shared" si="34"/>
        <v>-47007.750645</v>
      </c>
      <c r="K326" s="14">
        <f t="shared" si="35"/>
        <v>100121.35935499999</v>
      </c>
      <c r="M326" s="11"/>
      <c r="O326" s="15"/>
    </row>
    <row r="327" spans="1:15" outlineLevel="2">
      <c r="A327" s="11">
        <f t="shared" si="24"/>
        <v>322</v>
      </c>
      <c r="B327" s="11" t="s">
        <v>1225</v>
      </c>
      <c r="C327" s="17" t="s">
        <v>1257</v>
      </c>
      <c r="D327" s="12" t="s">
        <v>1258</v>
      </c>
      <c r="E327" s="13">
        <v>11441.22</v>
      </c>
      <c r="G327" s="13">
        <f t="shared" si="32"/>
        <v>11441.22</v>
      </c>
      <c r="H327" s="13">
        <v>0</v>
      </c>
      <c r="I327" s="13">
        <f t="shared" si="34"/>
        <v>-3655.4697899999996</v>
      </c>
      <c r="K327" s="14">
        <f t="shared" si="35"/>
        <v>7785.7502100000002</v>
      </c>
      <c r="M327" s="11"/>
      <c r="O327" s="15"/>
    </row>
    <row r="328" spans="1:15" outlineLevel="2">
      <c r="A328" s="11">
        <f t="shared" ref="A328:A391" si="36">A327+1</f>
        <v>323</v>
      </c>
      <c r="B328" s="11" t="s">
        <v>1225</v>
      </c>
      <c r="C328" s="17" t="s">
        <v>1259</v>
      </c>
      <c r="D328" s="12" t="s">
        <v>1260</v>
      </c>
      <c r="E328" s="13">
        <v>92595.35</v>
      </c>
      <c r="G328" s="13">
        <f t="shared" si="32"/>
        <v>92595.35</v>
      </c>
      <c r="H328" s="13">
        <v>0</v>
      </c>
      <c r="I328" s="13">
        <f>-(G328*$L$315)</f>
        <v>-29584.214325000001</v>
      </c>
      <c r="K328" s="14">
        <f t="shared" si="35"/>
        <v>63011.135675000005</v>
      </c>
      <c r="M328" s="11"/>
      <c r="O328" s="15"/>
    </row>
    <row r="329" spans="1:15" outlineLevel="2">
      <c r="A329" s="11">
        <f t="shared" si="36"/>
        <v>324</v>
      </c>
      <c r="B329" s="11" t="s">
        <v>1225</v>
      </c>
      <c r="C329" s="17" t="s">
        <v>1261</v>
      </c>
      <c r="D329" s="12" t="s">
        <v>1262</v>
      </c>
      <c r="E329" s="13">
        <v>107342.37</v>
      </c>
      <c r="G329" s="13">
        <f t="shared" si="32"/>
        <v>107342.37</v>
      </c>
      <c r="H329" s="13">
        <v>0</v>
      </c>
      <c r="I329" s="13">
        <f>-(G329*$L$315)</f>
        <v>-34295.887215000002</v>
      </c>
      <c r="K329" s="14">
        <f t="shared" si="35"/>
        <v>73046.482785</v>
      </c>
      <c r="M329" s="11"/>
      <c r="O329" s="15"/>
    </row>
    <row r="330" spans="1:15" outlineLevel="2">
      <c r="A330" s="11">
        <f t="shared" si="36"/>
        <v>325</v>
      </c>
      <c r="B330" s="11" t="s">
        <v>1225</v>
      </c>
      <c r="C330" s="17" t="s">
        <v>1263</v>
      </c>
      <c r="D330" s="12" t="s">
        <v>1264</v>
      </c>
      <c r="E330" s="13">
        <v>212380.17</v>
      </c>
      <c r="G330" s="13">
        <f t="shared" si="32"/>
        <v>212380.17</v>
      </c>
      <c r="H330" s="13">
        <v>0</v>
      </c>
      <c r="I330" s="13">
        <f>-(G330*$L$315)</f>
        <v>-67855.464315000005</v>
      </c>
      <c r="K330" s="14">
        <f t="shared" si="35"/>
        <v>144524.70568499999</v>
      </c>
      <c r="M330" s="11"/>
      <c r="O330" s="15"/>
    </row>
    <row r="331" spans="1:15" outlineLevel="2">
      <c r="A331" s="11">
        <f t="shared" si="36"/>
        <v>326</v>
      </c>
      <c r="B331" s="11" t="s">
        <v>1225</v>
      </c>
      <c r="C331" s="17" t="s">
        <v>1265</v>
      </c>
      <c r="D331" s="12" t="s">
        <v>1266</v>
      </c>
      <c r="E331" s="13">
        <v>709734.78</v>
      </c>
      <c r="G331" s="13">
        <f t="shared" si="32"/>
        <v>709734.78</v>
      </c>
      <c r="H331" s="13">
        <v>0</v>
      </c>
      <c r="I331" s="13">
        <f>-(G331*$L$315)</f>
        <v>-226760.26221000002</v>
      </c>
      <c r="K331" s="14">
        <f t="shared" si="35"/>
        <v>482974.51779000001</v>
      </c>
      <c r="M331" s="11"/>
      <c r="O331" s="15"/>
    </row>
    <row r="332" spans="1:15" ht="13.5" customHeight="1" outlineLevel="2">
      <c r="A332" s="11">
        <f t="shared" si="36"/>
        <v>327</v>
      </c>
      <c r="B332" s="11" t="s">
        <v>1225</v>
      </c>
      <c r="C332" s="17" t="s">
        <v>1267</v>
      </c>
      <c r="D332" s="12" t="s">
        <v>1268</v>
      </c>
      <c r="E332" s="13">
        <v>15666.79</v>
      </c>
      <c r="G332" s="13">
        <f t="shared" si="32"/>
        <v>15666.79</v>
      </c>
      <c r="H332" s="13">
        <v>0</v>
      </c>
      <c r="I332" s="13">
        <f>-(G332*$L$315)</f>
        <v>-5005.5394050000004</v>
      </c>
      <c r="K332" s="14">
        <f t="shared" si="35"/>
        <v>10661.250595000001</v>
      </c>
      <c r="M332" s="11"/>
      <c r="O332" s="15"/>
    </row>
    <row r="333" spans="1:15" outlineLevel="2">
      <c r="A333" s="11">
        <f t="shared" si="36"/>
        <v>328</v>
      </c>
      <c r="B333" s="11" t="s">
        <v>1225</v>
      </c>
      <c r="C333" s="17" t="s">
        <v>1269</v>
      </c>
      <c r="D333" s="12" t="s">
        <v>1270</v>
      </c>
      <c r="E333" s="13">
        <v>284048.28000000003</v>
      </c>
      <c r="G333" s="13">
        <f t="shared" si="32"/>
        <v>284048.28000000003</v>
      </c>
      <c r="H333" s="13">
        <v>0</v>
      </c>
      <c r="I333" s="13">
        <f t="shared" ref="I333:I338" si="37">-(G333*$L$315)</f>
        <v>-90753.425460000013</v>
      </c>
      <c r="K333" s="14">
        <f t="shared" si="35"/>
        <v>193294.85454000003</v>
      </c>
      <c r="M333" s="11"/>
      <c r="O333" s="15"/>
    </row>
    <row r="334" spans="1:15" outlineLevel="2">
      <c r="A334" s="11">
        <f t="shared" si="36"/>
        <v>329</v>
      </c>
      <c r="B334" s="11" t="s">
        <v>1225</v>
      </c>
      <c r="C334" s="17" t="s">
        <v>1271</v>
      </c>
      <c r="D334" s="12" t="s">
        <v>1272</v>
      </c>
      <c r="E334" s="13">
        <v>31664.16</v>
      </c>
      <c r="G334" s="13">
        <f t="shared" si="32"/>
        <v>31664.16</v>
      </c>
      <c r="H334" s="13">
        <v>0</v>
      </c>
      <c r="I334" s="13">
        <f t="shared" si="37"/>
        <v>-10116.699119999999</v>
      </c>
      <c r="K334" s="14">
        <f t="shared" si="35"/>
        <v>21547.460879999999</v>
      </c>
      <c r="M334" s="11"/>
      <c r="O334" s="15"/>
    </row>
    <row r="335" spans="1:15" outlineLevel="2">
      <c r="A335" s="11">
        <f t="shared" si="36"/>
        <v>330</v>
      </c>
      <c r="B335" s="11" t="s">
        <v>1225</v>
      </c>
      <c r="C335" s="17" t="s">
        <v>1273</v>
      </c>
      <c r="D335" s="12" t="s">
        <v>1274</v>
      </c>
      <c r="E335" s="13">
        <v>735399.34</v>
      </c>
      <c r="G335" s="13">
        <f t="shared" si="32"/>
        <v>735399.34</v>
      </c>
      <c r="H335" s="13">
        <v>0</v>
      </c>
      <c r="I335" s="13">
        <f t="shared" si="37"/>
        <v>-234960.08913000001</v>
      </c>
      <c r="K335" s="14">
        <f t="shared" si="35"/>
        <v>500439.25086999999</v>
      </c>
      <c r="M335" s="11"/>
      <c r="O335" s="15"/>
    </row>
    <row r="336" spans="1:15" outlineLevel="2">
      <c r="A336" s="11">
        <f t="shared" si="36"/>
        <v>331</v>
      </c>
      <c r="B336" s="11" t="s">
        <v>1225</v>
      </c>
      <c r="C336" s="17" t="s">
        <v>1275</v>
      </c>
      <c r="D336" s="12" t="s">
        <v>1276</v>
      </c>
      <c r="E336" s="13">
        <v>66872.3</v>
      </c>
      <c r="G336" s="13">
        <f t="shared" si="32"/>
        <v>66872.3</v>
      </c>
      <c r="H336" s="13">
        <v>0</v>
      </c>
      <c r="I336" s="13">
        <f t="shared" si="37"/>
        <v>-21365.699850000001</v>
      </c>
      <c r="K336" s="14">
        <f t="shared" si="35"/>
        <v>45506.600149999998</v>
      </c>
      <c r="M336" s="11"/>
      <c r="O336" s="15"/>
    </row>
    <row r="337" spans="1:15" outlineLevel="2">
      <c r="A337" s="11">
        <f t="shared" si="36"/>
        <v>332</v>
      </c>
      <c r="B337" s="11" t="s">
        <v>1225</v>
      </c>
      <c r="C337" s="17" t="s">
        <v>1277</v>
      </c>
      <c r="D337" s="12" t="s">
        <v>1278</v>
      </c>
      <c r="E337" s="13">
        <v>105280.95</v>
      </c>
      <c r="G337" s="13">
        <f t="shared" si="32"/>
        <v>105280.95</v>
      </c>
      <c r="H337" s="13">
        <v>0</v>
      </c>
      <c r="I337" s="13">
        <f t="shared" si="37"/>
        <v>-33637.263525000002</v>
      </c>
      <c r="K337" s="14">
        <f t="shared" si="35"/>
        <v>71643.686474999995</v>
      </c>
      <c r="M337" s="11"/>
      <c r="O337" s="15"/>
    </row>
    <row r="338" spans="1:15" outlineLevel="2">
      <c r="A338" s="11">
        <f t="shared" si="36"/>
        <v>333</v>
      </c>
      <c r="B338" s="11" t="s">
        <v>1225</v>
      </c>
      <c r="C338" s="17" t="s">
        <v>1279</v>
      </c>
      <c r="D338" s="12" t="s">
        <v>1280</v>
      </c>
      <c r="E338" s="13">
        <v>293101.19</v>
      </c>
      <c r="G338" s="13">
        <f t="shared" si="32"/>
        <v>293101.19</v>
      </c>
      <c r="H338" s="13">
        <v>0</v>
      </c>
      <c r="I338" s="13">
        <f t="shared" si="37"/>
        <v>-93645.830205000006</v>
      </c>
      <c r="K338" s="14">
        <f t="shared" si="35"/>
        <v>199455.359795</v>
      </c>
      <c r="M338" s="11"/>
      <c r="O338" s="15"/>
    </row>
    <row r="339" spans="1:15" outlineLevel="2">
      <c r="A339" s="11">
        <f t="shared" si="36"/>
        <v>334</v>
      </c>
      <c r="B339" s="11" t="s">
        <v>1225</v>
      </c>
      <c r="C339" s="17" t="s">
        <v>1281</v>
      </c>
      <c r="D339" s="12" t="s">
        <v>1282</v>
      </c>
      <c r="E339" s="13">
        <v>887626.81</v>
      </c>
      <c r="G339" s="13">
        <f>E339+F339</f>
        <v>887626.81</v>
      </c>
      <c r="H339" s="13">
        <v>0</v>
      </c>
      <c r="I339" s="13">
        <f>-(G339*$L$315)</f>
        <v>-283596.76579500001</v>
      </c>
      <c r="K339" s="14">
        <f t="shared" ref="K339:K348" si="38">SUM(G339:J339)</f>
        <v>604030.04420500004</v>
      </c>
      <c r="M339" s="11"/>
      <c r="O339" s="15"/>
    </row>
    <row r="340" spans="1:15" outlineLevel="2">
      <c r="A340" s="11">
        <f t="shared" si="36"/>
        <v>335</v>
      </c>
      <c r="B340" s="11" t="s">
        <v>1225</v>
      </c>
      <c r="C340" s="17" t="s">
        <v>1283</v>
      </c>
      <c r="D340" s="12" t="s">
        <v>1284</v>
      </c>
      <c r="E340" s="13">
        <v>1399.06</v>
      </c>
      <c r="G340" s="13">
        <f t="shared" si="32"/>
        <v>1399.06</v>
      </c>
      <c r="H340" s="13">
        <v>0</v>
      </c>
      <c r="I340" s="13">
        <f>-(G340*$L$315)</f>
        <v>-446.99966999999998</v>
      </c>
      <c r="K340" s="14">
        <f t="shared" si="38"/>
        <v>952.06033000000002</v>
      </c>
      <c r="M340" s="11"/>
    </row>
    <row r="341" spans="1:15" outlineLevel="2">
      <c r="A341" s="11">
        <f t="shared" si="36"/>
        <v>336</v>
      </c>
      <c r="B341" s="11" t="s">
        <v>1225</v>
      </c>
      <c r="C341" s="17" t="s">
        <v>1285</v>
      </c>
      <c r="D341" s="12" t="s">
        <v>1286</v>
      </c>
      <c r="E341" s="13">
        <v>11106.51</v>
      </c>
      <c r="G341" s="13">
        <f t="shared" si="32"/>
        <v>11106.51</v>
      </c>
      <c r="H341" s="13">
        <v>0</v>
      </c>
      <c r="I341" s="13">
        <f>-(G341*$L$315)</f>
        <v>-3548.5299450000002</v>
      </c>
      <c r="K341" s="14">
        <f t="shared" si="38"/>
        <v>7557.980055</v>
      </c>
      <c r="M341" s="11"/>
      <c r="O341" s="15"/>
    </row>
    <row r="342" spans="1:15" outlineLevel="2">
      <c r="A342" s="11">
        <f t="shared" si="36"/>
        <v>337</v>
      </c>
      <c r="B342" s="11" t="s">
        <v>1225</v>
      </c>
      <c r="C342" s="17" t="s">
        <v>1287</v>
      </c>
      <c r="D342" s="12" t="s">
        <v>1288</v>
      </c>
      <c r="E342" s="13">
        <v>251028.92</v>
      </c>
      <c r="G342" s="13">
        <f t="shared" si="32"/>
        <v>251028.92</v>
      </c>
      <c r="H342" s="13">
        <v>0</v>
      </c>
      <c r="I342" s="13">
        <f>-(G342*$L$315)</f>
        <v>-80203.739939999999</v>
      </c>
      <c r="K342" s="14">
        <f>SUM(G342:J342)</f>
        <v>170825.18006000001</v>
      </c>
      <c r="M342" s="11"/>
      <c r="O342" s="15"/>
    </row>
    <row r="343" spans="1:15" outlineLevel="2">
      <c r="A343" s="11">
        <f t="shared" si="36"/>
        <v>338</v>
      </c>
      <c r="B343" s="11" t="s">
        <v>1225</v>
      </c>
      <c r="C343" s="17" t="s">
        <v>1289</v>
      </c>
      <c r="D343" s="12" t="s">
        <v>1290</v>
      </c>
      <c r="E343" s="13">
        <v>52564.95</v>
      </c>
      <c r="G343" s="13">
        <f t="shared" si="32"/>
        <v>52564.95</v>
      </c>
      <c r="H343" s="13">
        <v>0</v>
      </c>
      <c r="I343" s="13">
        <f>-(G343*$L$315)</f>
        <v>-16794.501525</v>
      </c>
      <c r="K343" s="14">
        <f t="shared" si="38"/>
        <v>35770.448474999997</v>
      </c>
      <c r="M343" s="11"/>
      <c r="O343" s="15"/>
    </row>
    <row r="344" spans="1:15" outlineLevel="2">
      <c r="A344" s="11">
        <f t="shared" si="36"/>
        <v>339</v>
      </c>
      <c r="B344" s="11" t="s">
        <v>1225</v>
      </c>
      <c r="C344" s="17" t="s">
        <v>1291</v>
      </c>
      <c r="D344" s="12" t="s">
        <v>1292</v>
      </c>
      <c r="E344" s="13">
        <v>1926</v>
      </c>
      <c r="G344" s="13">
        <f t="shared" si="32"/>
        <v>1926</v>
      </c>
      <c r="H344" s="13">
        <v>0</v>
      </c>
      <c r="I344" s="13">
        <f t="shared" ref="I344:I353" si="39">-(G344*$L$315)</f>
        <v>-615.35699999999997</v>
      </c>
      <c r="K344" s="14">
        <f t="shared" si="38"/>
        <v>1310.643</v>
      </c>
      <c r="M344" s="11"/>
      <c r="O344" s="15"/>
    </row>
    <row r="345" spans="1:15" outlineLevel="2">
      <c r="A345" s="11">
        <f t="shared" si="36"/>
        <v>340</v>
      </c>
      <c r="B345" s="11" t="s">
        <v>1225</v>
      </c>
      <c r="C345" s="17" t="s">
        <v>1293</v>
      </c>
      <c r="D345" s="12" t="s">
        <v>1294</v>
      </c>
      <c r="E345" s="13">
        <v>20985.7</v>
      </c>
      <c r="G345" s="13">
        <f t="shared" si="32"/>
        <v>20985.7</v>
      </c>
      <c r="I345" s="13">
        <f t="shared" si="39"/>
        <v>-6704.9311500000003</v>
      </c>
      <c r="K345" s="14">
        <f>SUM(G345:J345)</f>
        <v>14280.76885</v>
      </c>
      <c r="M345" s="11"/>
      <c r="O345" s="15"/>
    </row>
    <row r="346" spans="1:15" outlineLevel="2">
      <c r="A346" s="11">
        <f t="shared" si="36"/>
        <v>341</v>
      </c>
      <c r="B346" s="11" t="s">
        <v>1225</v>
      </c>
      <c r="C346" s="17" t="s">
        <v>1295</v>
      </c>
      <c r="D346" s="12" t="s">
        <v>1296</v>
      </c>
      <c r="E346" s="13">
        <v>97845.21</v>
      </c>
      <c r="G346" s="13">
        <f t="shared" si="32"/>
        <v>97845.21</v>
      </c>
      <c r="H346" s="13">
        <v>0</v>
      </c>
      <c r="I346" s="13">
        <f t="shared" si="39"/>
        <v>-31261.544595000003</v>
      </c>
      <c r="K346" s="14">
        <f>SUM(G346:J346)</f>
        <v>66583.665405000007</v>
      </c>
      <c r="M346" s="11"/>
      <c r="O346" s="15"/>
    </row>
    <row r="347" spans="1:15" outlineLevel="2">
      <c r="A347" s="11">
        <f t="shared" si="36"/>
        <v>342</v>
      </c>
      <c r="B347" s="11" t="s">
        <v>1225</v>
      </c>
      <c r="C347" s="17" t="s">
        <v>1297</v>
      </c>
      <c r="D347" s="12" t="s">
        <v>1298</v>
      </c>
      <c r="E347" s="13">
        <v>63659.87</v>
      </c>
      <c r="G347" s="13">
        <f t="shared" si="32"/>
        <v>63659.87</v>
      </c>
      <c r="H347" s="13">
        <v>0</v>
      </c>
      <c r="I347" s="13">
        <f t="shared" si="39"/>
        <v>-20339.328465000002</v>
      </c>
      <c r="K347" s="14">
        <f t="shared" si="38"/>
        <v>43320.541534999997</v>
      </c>
      <c r="M347" s="11"/>
      <c r="O347" s="15"/>
    </row>
    <row r="348" spans="1:15" outlineLevel="2">
      <c r="A348" s="11">
        <f t="shared" si="36"/>
        <v>343</v>
      </c>
      <c r="B348" s="11" t="s">
        <v>1225</v>
      </c>
      <c r="C348" s="17" t="s">
        <v>1299</v>
      </c>
      <c r="D348" s="12" t="s">
        <v>1300</v>
      </c>
      <c r="E348" s="13">
        <v>273047.09999999998</v>
      </c>
      <c r="G348" s="13">
        <f t="shared" si="32"/>
        <v>273047.09999999998</v>
      </c>
      <c r="H348" s="13">
        <v>0</v>
      </c>
      <c r="I348" s="13">
        <f t="shared" si="39"/>
        <v>-87238.548449999987</v>
      </c>
      <c r="K348" s="14">
        <f t="shared" si="38"/>
        <v>185808.55154999997</v>
      </c>
      <c r="M348" s="11"/>
      <c r="O348" s="15"/>
    </row>
    <row r="349" spans="1:15" outlineLevel="2">
      <c r="A349" s="11">
        <f t="shared" si="36"/>
        <v>344</v>
      </c>
      <c r="B349" s="11" t="s">
        <v>1225</v>
      </c>
      <c r="C349" s="17" t="s">
        <v>1301</v>
      </c>
      <c r="D349" s="12" t="s">
        <v>1302</v>
      </c>
      <c r="E349" s="13">
        <v>535243.93999999994</v>
      </c>
      <c r="G349" s="13">
        <f t="shared" si="32"/>
        <v>535243.93999999994</v>
      </c>
      <c r="H349" s="13">
        <v>0</v>
      </c>
      <c r="I349" s="13">
        <f t="shared" si="39"/>
        <v>-171010.43883</v>
      </c>
      <c r="K349" s="14">
        <f>SUM(G349:J349)</f>
        <v>364233.50116999994</v>
      </c>
      <c r="M349" s="11"/>
      <c r="O349" s="15"/>
    </row>
    <row r="350" spans="1:15" outlineLevel="2">
      <c r="A350" s="11">
        <f t="shared" si="36"/>
        <v>345</v>
      </c>
      <c r="B350" s="11" t="s">
        <v>1225</v>
      </c>
      <c r="C350" s="17" t="s">
        <v>1303</v>
      </c>
      <c r="D350" s="12" t="s">
        <v>1304</v>
      </c>
      <c r="E350" s="13">
        <v>882795.2</v>
      </c>
      <c r="G350" s="13">
        <f t="shared" si="32"/>
        <v>882795.2</v>
      </c>
      <c r="H350" s="13">
        <v>0</v>
      </c>
      <c r="I350" s="13">
        <f t="shared" si="39"/>
        <v>-282053.06640000001</v>
      </c>
      <c r="K350" s="14">
        <f t="shared" ref="K350:K359" si="40">SUM(G350:J350)</f>
        <v>600742.13359999994</v>
      </c>
      <c r="M350" s="11"/>
      <c r="O350" s="15"/>
    </row>
    <row r="351" spans="1:15" outlineLevel="2">
      <c r="A351" s="11">
        <f t="shared" si="36"/>
        <v>346</v>
      </c>
      <c r="B351" s="11" t="s">
        <v>1225</v>
      </c>
      <c r="C351" s="17" t="s">
        <v>1305</v>
      </c>
      <c r="D351" s="12" t="s">
        <v>1306</v>
      </c>
      <c r="E351" s="13">
        <v>417938.87</v>
      </c>
      <c r="G351" s="13">
        <f t="shared" si="32"/>
        <v>417938.87</v>
      </c>
      <c r="H351" s="13">
        <v>0</v>
      </c>
      <c r="I351" s="13">
        <f t="shared" si="39"/>
        <v>-133531.46896500001</v>
      </c>
      <c r="K351" s="14">
        <f t="shared" si="40"/>
        <v>284407.40103499999</v>
      </c>
      <c r="M351" s="11"/>
      <c r="O351" s="15"/>
    </row>
    <row r="352" spans="1:15" outlineLevel="2">
      <c r="A352" s="11">
        <f t="shared" si="36"/>
        <v>347</v>
      </c>
      <c r="B352" s="11" t="s">
        <v>1225</v>
      </c>
      <c r="C352" s="17" t="s">
        <v>1307</v>
      </c>
      <c r="D352" s="12" t="s">
        <v>1308</v>
      </c>
      <c r="E352" s="13">
        <v>79113.22</v>
      </c>
      <c r="G352" s="13">
        <f t="shared" si="32"/>
        <v>79113.22</v>
      </c>
      <c r="H352" s="13">
        <v>0</v>
      </c>
      <c r="I352" s="13">
        <f t="shared" si="39"/>
        <v>-25276.673790000001</v>
      </c>
      <c r="K352" s="14">
        <f t="shared" si="40"/>
        <v>53836.54621</v>
      </c>
      <c r="M352" s="11"/>
      <c r="O352" s="15"/>
    </row>
    <row r="353" spans="1:15" outlineLevel="2">
      <c r="A353" s="11">
        <f t="shared" si="36"/>
        <v>348</v>
      </c>
      <c r="B353" s="11" t="s">
        <v>1225</v>
      </c>
      <c r="C353" s="17" t="s">
        <v>1309</v>
      </c>
      <c r="D353" s="12" t="s">
        <v>1310</v>
      </c>
      <c r="E353" s="13">
        <v>1821.43</v>
      </c>
      <c r="G353" s="13">
        <f t="shared" si="32"/>
        <v>1821.43</v>
      </c>
      <c r="H353" s="13">
        <v>0</v>
      </c>
      <c r="I353" s="13">
        <f t="shared" si="39"/>
        <v>-581.94688500000007</v>
      </c>
      <c r="K353" s="14">
        <f>SUM(G353:J353)</f>
        <v>1239.483115</v>
      </c>
      <c r="M353" s="11"/>
      <c r="O353" s="15"/>
    </row>
    <row r="354" spans="1:15" outlineLevel="2">
      <c r="A354" s="11">
        <f t="shared" si="36"/>
        <v>349</v>
      </c>
      <c r="B354" s="11" t="s">
        <v>1225</v>
      </c>
      <c r="C354" s="17" t="s">
        <v>1311</v>
      </c>
      <c r="D354" s="12" t="s">
        <v>1312</v>
      </c>
      <c r="E354" s="13">
        <v>91560.95</v>
      </c>
      <c r="G354" s="13">
        <f t="shared" si="32"/>
        <v>91560.95</v>
      </c>
      <c r="H354" s="13">
        <v>0</v>
      </c>
      <c r="I354" s="13">
        <f>-(G354*$L$315)</f>
        <v>-29253.723525000001</v>
      </c>
      <c r="K354" s="14">
        <f t="shared" si="40"/>
        <v>62307.226474999996</v>
      </c>
      <c r="M354" s="11"/>
      <c r="O354" s="15"/>
    </row>
    <row r="355" spans="1:15" outlineLevel="2">
      <c r="A355" s="11">
        <f t="shared" si="36"/>
        <v>350</v>
      </c>
      <c r="B355" s="11" t="s">
        <v>1225</v>
      </c>
      <c r="C355" s="17" t="s">
        <v>1313</v>
      </c>
      <c r="D355" s="12" t="s">
        <v>1314</v>
      </c>
      <c r="E355" s="13">
        <v>164500.76</v>
      </c>
      <c r="G355" s="13">
        <f t="shared" si="32"/>
        <v>164500.76</v>
      </c>
      <c r="H355" s="13">
        <v>0</v>
      </c>
      <c r="I355" s="13">
        <f>-(G355*$L$315)</f>
        <v>-52557.992820000007</v>
      </c>
      <c r="K355" s="14">
        <f t="shared" si="40"/>
        <v>111942.76718</v>
      </c>
      <c r="M355" s="11"/>
      <c r="O355" s="15"/>
    </row>
    <row r="356" spans="1:15" outlineLevel="2">
      <c r="A356" s="11">
        <f t="shared" si="36"/>
        <v>351</v>
      </c>
      <c r="B356" s="11" t="s">
        <v>1225</v>
      </c>
      <c r="C356" s="17" t="s">
        <v>1315</v>
      </c>
      <c r="D356" s="12" t="s">
        <v>1316</v>
      </c>
      <c r="E356" s="13">
        <v>231893.37</v>
      </c>
      <c r="G356" s="13">
        <f>E356+F356</f>
        <v>231893.37</v>
      </c>
      <c r="H356" s="13">
        <v>0</v>
      </c>
      <c r="I356" s="13">
        <f>-(G356*$L$315)</f>
        <v>-74089.931714999999</v>
      </c>
      <c r="K356" s="14">
        <f>SUM(G356:J356)</f>
        <v>157803.43828499998</v>
      </c>
      <c r="M356" s="11"/>
      <c r="O356" s="15"/>
    </row>
    <row r="357" spans="1:15" outlineLevel="2">
      <c r="A357" s="11">
        <f t="shared" si="36"/>
        <v>352</v>
      </c>
      <c r="B357" s="11" t="s">
        <v>1225</v>
      </c>
      <c r="C357" s="17" t="s">
        <v>1317</v>
      </c>
      <c r="D357" s="12" t="s">
        <v>1318</v>
      </c>
      <c r="E357" s="13">
        <v>208139.29</v>
      </c>
      <c r="G357" s="13">
        <f t="shared" si="32"/>
        <v>208139.29</v>
      </c>
      <c r="H357" s="13">
        <v>0</v>
      </c>
      <c r="I357" s="13">
        <f>-(G357*$L$315)</f>
        <v>-66500.503154999999</v>
      </c>
      <c r="K357" s="14">
        <f t="shared" si="40"/>
        <v>141638.786845</v>
      </c>
      <c r="M357" s="11"/>
      <c r="O357" s="15"/>
    </row>
    <row r="358" spans="1:15" outlineLevel="2">
      <c r="A358" s="11">
        <f t="shared" si="36"/>
        <v>353</v>
      </c>
      <c r="B358" s="11" t="s">
        <v>1225</v>
      </c>
      <c r="C358" s="17" t="s">
        <v>1319</v>
      </c>
      <c r="D358" s="12" t="s">
        <v>1320</v>
      </c>
      <c r="E358" s="13">
        <v>839613.98</v>
      </c>
      <c r="G358" s="13">
        <f t="shared" si="32"/>
        <v>839613.98</v>
      </c>
      <c r="H358" s="13">
        <v>0</v>
      </c>
      <c r="I358" s="13">
        <f>-(G358*$L$315)</f>
        <v>-268256.66661000001</v>
      </c>
      <c r="K358" s="14">
        <f t="shared" si="40"/>
        <v>571357.31339000002</v>
      </c>
      <c r="M358" s="11"/>
      <c r="O358" s="15"/>
    </row>
    <row r="359" spans="1:15" outlineLevel="2">
      <c r="A359" s="11">
        <f t="shared" si="36"/>
        <v>354</v>
      </c>
      <c r="B359" s="11" t="s">
        <v>1225</v>
      </c>
      <c r="C359" s="17" t="s">
        <v>1321</v>
      </c>
      <c r="D359" s="12" t="s">
        <v>1322</v>
      </c>
      <c r="E359" s="13">
        <v>229647.46</v>
      </c>
      <c r="G359" s="13">
        <f t="shared" si="32"/>
        <v>229647.46</v>
      </c>
      <c r="H359" s="13">
        <v>0</v>
      </c>
      <c r="I359" s="13">
        <f t="shared" ref="I359:I369" si="41">-(G359*$L$315)</f>
        <v>-73372.363469999997</v>
      </c>
      <c r="K359" s="14">
        <f t="shared" si="40"/>
        <v>156275.09652999998</v>
      </c>
      <c r="M359" s="11"/>
      <c r="O359" s="15"/>
    </row>
    <row r="360" spans="1:15" outlineLevel="2">
      <c r="A360" s="11">
        <f t="shared" si="36"/>
        <v>355</v>
      </c>
      <c r="B360" s="11" t="s">
        <v>1225</v>
      </c>
      <c r="C360" s="17" t="s">
        <v>1323</v>
      </c>
      <c r="D360" s="12" t="s">
        <v>1324</v>
      </c>
      <c r="E360" s="13">
        <v>99569.22</v>
      </c>
      <c r="G360" s="13">
        <f t="shared" si="32"/>
        <v>99569.22</v>
      </c>
      <c r="H360" s="13">
        <v>0</v>
      </c>
      <c r="I360" s="13">
        <f t="shared" si="41"/>
        <v>-31812.36579</v>
      </c>
      <c r="K360" s="14">
        <f t="shared" ref="K360:K367" si="42">SUM(G360:J360)</f>
        <v>67756.854210000005</v>
      </c>
      <c r="M360" s="11"/>
      <c r="O360" s="15"/>
    </row>
    <row r="361" spans="1:15" outlineLevel="2">
      <c r="A361" s="11">
        <f t="shared" si="36"/>
        <v>356</v>
      </c>
      <c r="B361" s="11" t="s">
        <v>1225</v>
      </c>
      <c r="C361" s="17" t="s">
        <v>1325</v>
      </c>
      <c r="D361" s="12" t="s">
        <v>1326</v>
      </c>
      <c r="E361" s="13">
        <v>2527</v>
      </c>
      <c r="G361" s="13">
        <f t="shared" si="32"/>
        <v>2527</v>
      </c>
      <c r="H361" s="13">
        <v>0</v>
      </c>
      <c r="I361" s="13">
        <f t="shared" si="41"/>
        <v>-807.37649999999996</v>
      </c>
      <c r="K361" s="14">
        <f t="shared" si="42"/>
        <v>1719.6235000000001</v>
      </c>
      <c r="M361" s="11"/>
      <c r="O361" s="15"/>
    </row>
    <row r="362" spans="1:15" outlineLevel="2">
      <c r="A362" s="11">
        <f t="shared" si="36"/>
        <v>357</v>
      </c>
      <c r="B362" s="11" t="s">
        <v>1225</v>
      </c>
      <c r="C362" s="17" t="s">
        <v>1327</v>
      </c>
      <c r="D362" s="12" t="s">
        <v>1328</v>
      </c>
      <c r="E362" s="13">
        <v>76407.48</v>
      </c>
      <c r="G362" s="13">
        <f t="shared" si="32"/>
        <v>76407.48</v>
      </c>
      <c r="H362" s="13">
        <v>0</v>
      </c>
      <c r="I362" s="13">
        <f t="shared" si="41"/>
        <v>-24412.189859999999</v>
      </c>
      <c r="K362" s="14">
        <f t="shared" si="42"/>
        <v>51995.290139999997</v>
      </c>
      <c r="M362" s="11"/>
      <c r="O362" s="15"/>
    </row>
    <row r="363" spans="1:15" outlineLevel="2">
      <c r="A363" s="11">
        <f t="shared" si="36"/>
        <v>358</v>
      </c>
      <c r="B363" s="11" t="s">
        <v>1225</v>
      </c>
      <c r="C363" s="17" t="s">
        <v>1329</v>
      </c>
      <c r="D363" s="12" t="s">
        <v>1330</v>
      </c>
      <c r="E363" s="13">
        <v>206549.66</v>
      </c>
      <c r="G363" s="13">
        <f t="shared" si="32"/>
        <v>206549.66</v>
      </c>
      <c r="H363" s="13">
        <v>0</v>
      </c>
      <c r="I363" s="13">
        <f t="shared" si="41"/>
        <v>-65992.616370000003</v>
      </c>
      <c r="K363" s="14">
        <f t="shared" si="42"/>
        <v>140557.04363</v>
      </c>
      <c r="M363" s="11"/>
      <c r="O363" s="15"/>
    </row>
    <row r="364" spans="1:15" outlineLevel="2">
      <c r="A364" s="11">
        <f t="shared" si="36"/>
        <v>359</v>
      </c>
      <c r="B364" s="11" t="s">
        <v>1225</v>
      </c>
      <c r="C364" s="17" t="s">
        <v>1331</v>
      </c>
      <c r="D364" s="12" t="s">
        <v>1332</v>
      </c>
      <c r="E364" s="13">
        <v>230735.37</v>
      </c>
      <c r="G364" s="13">
        <f t="shared" si="32"/>
        <v>230735.37</v>
      </c>
      <c r="H364" s="13">
        <v>0</v>
      </c>
      <c r="I364" s="13">
        <f t="shared" si="41"/>
        <v>-73719.950714999999</v>
      </c>
      <c r="K364" s="14">
        <f t="shared" si="42"/>
        <v>157015.41928500001</v>
      </c>
      <c r="M364" s="11"/>
      <c r="O364" s="15"/>
    </row>
    <row r="365" spans="1:15" outlineLevel="2">
      <c r="A365" s="11">
        <f t="shared" si="36"/>
        <v>360</v>
      </c>
      <c r="B365" s="11" t="s">
        <v>1225</v>
      </c>
      <c r="C365" s="17" t="s">
        <v>1333</v>
      </c>
      <c r="D365" s="12" t="s">
        <v>1334</v>
      </c>
      <c r="E365" s="13">
        <v>109866.21</v>
      </c>
      <c r="G365" s="13">
        <f t="shared" si="32"/>
        <v>109866.21</v>
      </c>
      <c r="I365" s="13">
        <f t="shared" si="41"/>
        <v>-35102.254095000004</v>
      </c>
      <c r="K365" s="14">
        <f t="shared" si="42"/>
        <v>74763.95590500001</v>
      </c>
      <c r="M365" s="11"/>
      <c r="O365" s="15"/>
    </row>
    <row r="366" spans="1:15" outlineLevel="2">
      <c r="A366" s="11">
        <f t="shared" si="36"/>
        <v>361</v>
      </c>
      <c r="B366" s="11" t="s">
        <v>1225</v>
      </c>
      <c r="C366" s="17" t="s">
        <v>1335</v>
      </c>
      <c r="D366" s="12" t="s">
        <v>1336</v>
      </c>
      <c r="E366" s="13">
        <v>513515.94</v>
      </c>
      <c r="G366" s="13">
        <f t="shared" si="32"/>
        <v>513515.94</v>
      </c>
      <c r="H366" s="13">
        <v>0</v>
      </c>
      <c r="I366" s="13">
        <f t="shared" si="41"/>
        <v>-164068.34283000001</v>
      </c>
      <c r="K366" s="14">
        <f t="shared" si="42"/>
        <v>349447.59716999996</v>
      </c>
      <c r="M366" s="11"/>
      <c r="O366" s="15"/>
    </row>
    <row r="367" spans="1:15" outlineLevel="2">
      <c r="A367" s="11">
        <f t="shared" si="36"/>
        <v>362</v>
      </c>
      <c r="B367" s="11" t="s">
        <v>1225</v>
      </c>
      <c r="C367" s="17" t="s">
        <v>1337</v>
      </c>
      <c r="D367" s="12" t="s">
        <v>1338</v>
      </c>
      <c r="E367" s="13">
        <v>68763.06</v>
      </c>
      <c r="G367" s="13">
        <f t="shared" si="32"/>
        <v>68763.06</v>
      </c>
      <c r="H367" s="13">
        <v>0</v>
      </c>
      <c r="I367" s="13">
        <f t="shared" si="41"/>
        <v>-21969.79767</v>
      </c>
      <c r="K367" s="14">
        <f t="shared" si="42"/>
        <v>46793.262329999998</v>
      </c>
      <c r="M367" s="11"/>
      <c r="O367" s="15"/>
    </row>
    <row r="368" spans="1:15" outlineLevel="2">
      <c r="A368" s="11">
        <f t="shared" si="36"/>
        <v>363</v>
      </c>
      <c r="B368" s="11" t="s">
        <v>1225</v>
      </c>
      <c r="C368" s="17" t="s">
        <v>1339</v>
      </c>
      <c r="D368" s="12" t="s">
        <v>1340</v>
      </c>
      <c r="E368" s="13">
        <v>70574.899999999994</v>
      </c>
      <c r="G368" s="13">
        <f t="shared" si="32"/>
        <v>70574.899999999994</v>
      </c>
      <c r="H368" s="13">
        <v>0</v>
      </c>
      <c r="I368" s="13">
        <f t="shared" si="41"/>
        <v>-22548.680549999997</v>
      </c>
      <c r="K368" s="14">
        <f t="shared" ref="K368:K376" si="43">SUM(G368:J368)</f>
        <v>48026.219449999997</v>
      </c>
      <c r="M368" s="11"/>
      <c r="O368" s="15"/>
    </row>
    <row r="369" spans="1:15" outlineLevel="2">
      <c r="A369" s="11">
        <f t="shared" si="36"/>
        <v>364</v>
      </c>
      <c r="B369" s="11" t="s">
        <v>1225</v>
      </c>
      <c r="C369" s="17" t="s">
        <v>1341</v>
      </c>
      <c r="D369" s="12" t="s">
        <v>1342</v>
      </c>
      <c r="E369" s="13">
        <v>149663.28</v>
      </c>
      <c r="G369" s="13">
        <f t="shared" si="32"/>
        <v>149663.28</v>
      </c>
      <c r="I369" s="13">
        <f t="shared" si="41"/>
        <v>-47817.417959999999</v>
      </c>
      <c r="K369" s="14">
        <f t="shared" si="43"/>
        <v>101845.86204000001</v>
      </c>
      <c r="M369" s="11"/>
      <c r="O369" s="15"/>
    </row>
    <row r="370" spans="1:15" outlineLevel="2">
      <c r="A370" s="11">
        <f t="shared" si="36"/>
        <v>365</v>
      </c>
      <c r="B370" s="11" t="s">
        <v>1225</v>
      </c>
      <c r="C370" s="17" t="s">
        <v>1343</v>
      </c>
      <c r="D370" s="12" t="s">
        <v>1344</v>
      </c>
      <c r="E370" s="13">
        <v>335094.7</v>
      </c>
      <c r="G370" s="13">
        <f t="shared" si="32"/>
        <v>335094.7</v>
      </c>
      <c r="H370" s="13">
        <v>0</v>
      </c>
      <c r="I370" s="13">
        <f t="shared" ref="I370:I375" si="44">-(G370*$L$315)</f>
        <v>-107062.75665000001</v>
      </c>
      <c r="K370" s="14">
        <f t="shared" si="43"/>
        <v>228031.94335000002</v>
      </c>
      <c r="M370" s="11"/>
      <c r="O370" s="15"/>
    </row>
    <row r="371" spans="1:15" outlineLevel="2">
      <c r="A371" s="11">
        <f t="shared" si="36"/>
        <v>366</v>
      </c>
      <c r="B371" s="11" t="s">
        <v>1225</v>
      </c>
      <c r="C371" s="17" t="s">
        <v>1345</v>
      </c>
      <c r="D371" s="12" t="s">
        <v>1346</v>
      </c>
      <c r="E371" s="13">
        <v>380212.21</v>
      </c>
      <c r="G371" s="13">
        <f t="shared" si="32"/>
        <v>380212.21</v>
      </c>
      <c r="H371" s="13">
        <v>0</v>
      </c>
      <c r="I371" s="13">
        <f t="shared" si="44"/>
        <v>-121477.801095</v>
      </c>
      <c r="K371" s="14">
        <f>SUM(G371:J371)</f>
        <v>258734.40890500002</v>
      </c>
      <c r="M371" s="11"/>
      <c r="O371" s="15"/>
    </row>
    <row r="372" spans="1:15" outlineLevel="2">
      <c r="A372" s="11">
        <f t="shared" si="36"/>
        <v>367</v>
      </c>
      <c r="B372" s="11" t="s">
        <v>1225</v>
      </c>
      <c r="C372" s="17" t="s">
        <v>1347</v>
      </c>
      <c r="D372" s="12" t="s">
        <v>1348</v>
      </c>
      <c r="E372" s="13">
        <v>127570.89</v>
      </c>
      <c r="G372" s="13">
        <f t="shared" si="32"/>
        <v>127570.89</v>
      </c>
      <c r="H372" s="13">
        <v>0</v>
      </c>
      <c r="I372" s="13">
        <f t="shared" si="44"/>
        <v>-40758.899355000001</v>
      </c>
      <c r="K372" s="14">
        <f t="shared" si="43"/>
        <v>86811.990644999998</v>
      </c>
      <c r="M372" s="11"/>
      <c r="O372" s="15"/>
    </row>
    <row r="373" spans="1:15" outlineLevel="2">
      <c r="A373" s="11">
        <f t="shared" si="36"/>
        <v>368</v>
      </c>
      <c r="B373" s="11" t="s">
        <v>1225</v>
      </c>
      <c r="C373" s="17" t="s">
        <v>1349</v>
      </c>
      <c r="D373" s="12" t="s">
        <v>1350</v>
      </c>
      <c r="E373" s="13">
        <v>785698.39</v>
      </c>
      <c r="G373" s="13">
        <f t="shared" si="32"/>
        <v>785698.39</v>
      </c>
      <c r="I373" s="13">
        <f t="shared" si="44"/>
        <v>-251030.63560500002</v>
      </c>
      <c r="K373" s="14">
        <f t="shared" si="43"/>
        <v>534667.75439499994</v>
      </c>
      <c r="M373" s="11"/>
      <c r="O373" s="15"/>
    </row>
    <row r="374" spans="1:15" outlineLevel="2">
      <c r="A374" s="11">
        <f t="shared" si="36"/>
        <v>369</v>
      </c>
      <c r="B374" s="11" t="s">
        <v>1225</v>
      </c>
      <c r="C374" s="17" t="s">
        <v>1351</v>
      </c>
      <c r="D374" s="12" t="s">
        <v>1352</v>
      </c>
      <c r="E374" s="13">
        <v>99222.88</v>
      </c>
      <c r="G374" s="13">
        <f t="shared" si="32"/>
        <v>99222.88</v>
      </c>
      <c r="H374" s="13">
        <v>0</v>
      </c>
      <c r="I374" s="13">
        <f t="shared" si="44"/>
        <v>-31701.710160000002</v>
      </c>
      <c r="K374" s="14">
        <f>SUM(G374:J374)</f>
        <v>67521.169840000002</v>
      </c>
      <c r="M374" s="11"/>
      <c r="O374" s="15"/>
    </row>
    <row r="375" spans="1:15" outlineLevel="2">
      <c r="A375" s="11">
        <f t="shared" si="36"/>
        <v>370</v>
      </c>
      <c r="B375" s="11" t="s">
        <v>1225</v>
      </c>
      <c r="C375" s="17" t="s">
        <v>1353</v>
      </c>
      <c r="D375" s="12" t="s">
        <v>1354</v>
      </c>
      <c r="E375" s="13">
        <v>301613.96999999997</v>
      </c>
      <c r="G375" s="13">
        <f t="shared" si="32"/>
        <v>301613.96999999997</v>
      </c>
      <c r="H375" s="13">
        <v>0</v>
      </c>
      <c r="I375" s="13">
        <f t="shared" si="44"/>
        <v>-96365.663414999988</v>
      </c>
      <c r="K375" s="14">
        <f t="shared" si="43"/>
        <v>205248.30658499998</v>
      </c>
      <c r="M375" s="11"/>
      <c r="O375" s="15"/>
    </row>
    <row r="376" spans="1:15" outlineLevel="2">
      <c r="A376" s="11">
        <f t="shared" si="36"/>
        <v>371</v>
      </c>
      <c r="B376" s="11" t="s">
        <v>1225</v>
      </c>
      <c r="C376" s="17" t="s">
        <v>1355</v>
      </c>
      <c r="D376" s="12" t="s">
        <v>1356</v>
      </c>
      <c r="E376" s="13">
        <v>423094</v>
      </c>
      <c r="G376" s="13">
        <f t="shared" si="32"/>
        <v>423094</v>
      </c>
      <c r="H376" s="13">
        <v>0</v>
      </c>
      <c r="I376" s="13">
        <f t="shared" ref="I376:I383" si="45">-(G376*$L$315)</f>
        <v>-135178.533</v>
      </c>
      <c r="K376" s="14">
        <f t="shared" si="43"/>
        <v>287915.467</v>
      </c>
      <c r="M376" s="11"/>
      <c r="O376" s="15"/>
    </row>
    <row r="377" spans="1:15" outlineLevel="2">
      <c r="A377" s="11">
        <f t="shared" si="36"/>
        <v>372</v>
      </c>
      <c r="B377" s="11" t="s">
        <v>1225</v>
      </c>
      <c r="C377" s="17" t="s">
        <v>1357</v>
      </c>
      <c r="D377" s="12" t="s">
        <v>1358</v>
      </c>
      <c r="E377" s="13">
        <v>61203.72</v>
      </c>
      <c r="G377" s="13">
        <f t="shared" si="32"/>
        <v>61203.72</v>
      </c>
      <c r="H377" s="13">
        <v>0</v>
      </c>
      <c r="I377" s="13">
        <f t="shared" si="45"/>
        <v>-19554.588540000001</v>
      </c>
      <c r="K377" s="14">
        <f>SUM(G377:J377)</f>
        <v>41649.131460000004</v>
      </c>
      <c r="M377" s="11"/>
      <c r="O377" s="15"/>
    </row>
    <row r="378" spans="1:15" outlineLevel="2">
      <c r="A378" s="11">
        <f t="shared" si="36"/>
        <v>373</v>
      </c>
      <c r="B378" s="11" t="s">
        <v>1225</v>
      </c>
      <c r="C378" s="17" t="s">
        <v>1359</v>
      </c>
      <c r="D378" s="12" t="s">
        <v>1360</v>
      </c>
      <c r="E378" s="13">
        <v>303953.87</v>
      </c>
      <c r="G378" s="13">
        <f t="shared" si="32"/>
        <v>303953.87</v>
      </c>
      <c r="H378" s="13">
        <v>0</v>
      </c>
      <c r="I378" s="13">
        <f t="shared" si="45"/>
        <v>-97113.261465000003</v>
      </c>
      <c r="K378" s="14">
        <f t="shared" ref="K378:K387" si="46">SUM(G378:J378)</f>
        <v>206840.60853500001</v>
      </c>
      <c r="M378" s="11"/>
      <c r="O378" s="15"/>
    </row>
    <row r="379" spans="1:15" outlineLevel="2">
      <c r="A379" s="11">
        <f t="shared" si="36"/>
        <v>374</v>
      </c>
      <c r="B379" s="11" t="s">
        <v>1225</v>
      </c>
      <c r="C379" s="17" t="s">
        <v>1361</v>
      </c>
      <c r="D379" s="12" t="s">
        <v>1362</v>
      </c>
      <c r="E379" s="13">
        <v>80798.66</v>
      </c>
      <c r="G379" s="13">
        <f t="shared" si="32"/>
        <v>80798.66</v>
      </c>
      <c r="H379" s="13">
        <v>0</v>
      </c>
      <c r="I379" s="13">
        <f t="shared" si="45"/>
        <v>-25815.171870000002</v>
      </c>
      <c r="K379" s="14">
        <f t="shared" si="46"/>
        <v>54983.488129999998</v>
      </c>
      <c r="M379" s="11"/>
      <c r="O379" s="15"/>
    </row>
    <row r="380" spans="1:15" outlineLevel="2">
      <c r="A380" s="11">
        <f t="shared" si="36"/>
        <v>375</v>
      </c>
      <c r="B380" s="11" t="s">
        <v>1225</v>
      </c>
      <c r="C380" s="17" t="s">
        <v>145</v>
      </c>
      <c r="D380" s="12" t="s">
        <v>1363</v>
      </c>
      <c r="E380" s="13">
        <v>148752.31</v>
      </c>
      <c r="G380" s="13">
        <f>E380+F380</f>
        <v>148752.31</v>
      </c>
      <c r="H380" s="13">
        <v>0</v>
      </c>
      <c r="I380" s="13">
        <f t="shared" si="45"/>
        <v>-47526.363044999998</v>
      </c>
      <c r="K380" s="14">
        <f t="shared" si="46"/>
        <v>101225.94695499999</v>
      </c>
      <c r="M380" s="11"/>
      <c r="O380" s="15"/>
    </row>
    <row r="381" spans="1:15" outlineLevel="2">
      <c r="A381" s="11">
        <f t="shared" si="36"/>
        <v>376</v>
      </c>
      <c r="B381" s="11" t="s">
        <v>1225</v>
      </c>
      <c r="C381" s="17" t="s">
        <v>1364</v>
      </c>
      <c r="D381" s="12" t="s">
        <v>1365</v>
      </c>
      <c r="E381" s="13">
        <v>315049.13</v>
      </c>
      <c r="G381" s="13">
        <f t="shared" si="32"/>
        <v>315049.13</v>
      </c>
      <c r="H381" s="13">
        <v>0</v>
      </c>
      <c r="I381" s="13">
        <f t="shared" si="45"/>
        <v>-100658.197035</v>
      </c>
      <c r="K381" s="14">
        <f>SUM(G381:J381)</f>
        <v>214390.93296499999</v>
      </c>
      <c r="M381" s="11"/>
      <c r="O381" s="15"/>
    </row>
    <row r="382" spans="1:15" outlineLevel="2">
      <c r="A382" s="11">
        <f t="shared" si="36"/>
        <v>377</v>
      </c>
      <c r="B382" s="11" t="s">
        <v>1225</v>
      </c>
      <c r="C382" s="17" t="s">
        <v>1366</v>
      </c>
      <c r="D382" s="12" t="s">
        <v>1367</v>
      </c>
      <c r="E382" s="13">
        <v>368770.93</v>
      </c>
      <c r="G382" s="13">
        <f t="shared" ref="G382:G387" si="47">E382+F382</f>
        <v>368770.93</v>
      </c>
      <c r="H382" s="13">
        <v>0</v>
      </c>
      <c r="I382" s="13">
        <f t="shared" si="45"/>
        <v>-117822.312135</v>
      </c>
      <c r="K382" s="14">
        <f t="shared" si="46"/>
        <v>250948.61786499998</v>
      </c>
      <c r="M382" s="11"/>
      <c r="O382" s="15"/>
    </row>
    <row r="383" spans="1:15" outlineLevel="2">
      <c r="A383" s="11">
        <f t="shared" si="36"/>
        <v>378</v>
      </c>
      <c r="B383" s="11" t="s">
        <v>1225</v>
      </c>
      <c r="C383" s="17" t="s">
        <v>1368</v>
      </c>
      <c r="D383" s="12" t="s">
        <v>1369</v>
      </c>
      <c r="E383" s="13">
        <v>272857.44</v>
      </c>
      <c r="G383" s="13">
        <f t="shared" si="47"/>
        <v>272857.44</v>
      </c>
      <c r="H383" s="13">
        <v>0</v>
      </c>
      <c r="I383" s="13">
        <f t="shared" si="45"/>
        <v>-87177.952080000003</v>
      </c>
      <c r="K383" s="14">
        <f t="shared" si="46"/>
        <v>185679.48791999999</v>
      </c>
      <c r="M383" s="11"/>
      <c r="O383" s="15"/>
    </row>
    <row r="384" spans="1:15" outlineLevel="2">
      <c r="A384" s="11">
        <f t="shared" si="36"/>
        <v>379</v>
      </c>
      <c r="B384" s="11" t="s">
        <v>1225</v>
      </c>
      <c r="C384" s="17" t="s">
        <v>1370</v>
      </c>
      <c r="D384" s="12" t="s">
        <v>1371</v>
      </c>
      <c r="E384" s="13">
        <v>23846.98</v>
      </c>
      <c r="G384" s="13">
        <f t="shared" si="47"/>
        <v>23846.98</v>
      </c>
      <c r="H384" s="13">
        <v>0</v>
      </c>
      <c r="I384" s="13">
        <f t="shared" ref="I384:I393" si="48">-(G384*$L$315)</f>
        <v>-7619.1101099999996</v>
      </c>
      <c r="K384" s="14">
        <f>SUM(G384:J384)</f>
        <v>16227.86989</v>
      </c>
      <c r="M384" s="11"/>
      <c r="O384" s="15"/>
    </row>
    <row r="385" spans="1:15" outlineLevel="2">
      <c r="A385" s="11">
        <f t="shared" si="36"/>
        <v>380</v>
      </c>
      <c r="B385" s="11" t="s">
        <v>1225</v>
      </c>
      <c r="C385" s="17" t="s">
        <v>1372</v>
      </c>
      <c r="D385" s="12" t="s">
        <v>1373</v>
      </c>
      <c r="E385" s="13">
        <v>736184.44</v>
      </c>
      <c r="G385" s="13">
        <f t="shared" si="47"/>
        <v>736184.44</v>
      </c>
      <c r="I385" s="13">
        <f t="shared" si="48"/>
        <v>-235210.92857999998</v>
      </c>
      <c r="K385" s="14">
        <f t="shared" si="46"/>
        <v>500973.51142</v>
      </c>
      <c r="M385" s="11"/>
      <c r="O385" s="15"/>
    </row>
    <row r="386" spans="1:15" outlineLevel="2">
      <c r="A386" s="11">
        <f t="shared" si="36"/>
        <v>381</v>
      </c>
      <c r="B386" s="11" t="s">
        <v>1225</v>
      </c>
      <c r="C386" s="17" t="s">
        <v>1374</v>
      </c>
      <c r="D386" s="12" t="s">
        <v>1375</v>
      </c>
      <c r="E386" s="13">
        <v>92486.07</v>
      </c>
      <c r="G386" s="13">
        <f t="shared" si="47"/>
        <v>92486.07</v>
      </c>
      <c r="H386" s="13">
        <v>0</v>
      </c>
      <c r="I386" s="13">
        <f t="shared" si="48"/>
        <v>-29549.299365000003</v>
      </c>
      <c r="K386" s="14">
        <f t="shared" si="46"/>
        <v>62936.770635000008</v>
      </c>
      <c r="M386" s="11"/>
      <c r="O386" s="15"/>
    </row>
    <row r="387" spans="1:15" outlineLevel="2">
      <c r="A387" s="11">
        <f t="shared" si="36"/>
        <v>382</v>
      </c>
      <c r="B387" s="11" t="s">
        <v>1225</v>
      </c>
      <c r="C387" s="17" t="s">
        <v>1376</v>
      </c>
      <c r="D387" s="12" t="s">
        <v>1377</v>
      </c>
      <c r="E387" s="13">
        <v>109706.08</v>
      </c>
      <c r="G387" s="13">
        <f t="shared" si="47"/>
        <v>109706.08</v>
      </c>
      <c r="H387" s="13">
        <v>0</v>
      </c>
      <c r="I387" s="13">
        <f t="shared" si="48"/>
        <v>-35051.092560000005</v>
      </c>
      <c r="K387" s="14">
        <f t="shared" si="46"/>
        <v>74654.987439999997</v>
      </c>
      <c r="M387" s="11"/>
      <c r="O387" s="15"/>
    </row>
    <row r="388" spans="1:15" outlineLevel="2">
      <c r="A388" s="11">
        <f t="shared" si="36"/>
        <v>383</v>
      </c>
      <c r="B388" s="11" t="s">
        <v>1225</v>
      </c>
      <c r="C388" s="17" t="s">
        <v>1378</v>
      </c>
      <c r="D388" s="12" t="s">
        <v>1379</v>
      </c>
      <c r="E388" s="13">
        <v>882588.11</v>
      </c>
      <c r="G388" s="13">
        <f>E388+F388</f>
        <v>882588.11</v>
      </c>
      <c r="H388" s="13">
        <v>0</v>
      </c>
      <c r="I388" s="13">
        <f t="shared" si="48"/>
        <v>-281986.90114500001</v>
      </c>
      <c r="K388" s="14">
        <f>SUM(G388:J388)</f>
        <v>600601.20885499998</v>
      </c>
      <c r="M388" s="11"/>
      <c r="O388" s="15"/>
    </row>
    <row r="389" spans="1:15" outlineLevel="2">
      <c r="A389" s="11">
        <f t="shared" si="36"/>
        <v>384</v>
      </c>
      <c r="B389" s="11" t="s">
        <v>1225</v>
      </c>
      <c r="C389" s="17" t="s">
        <v>1380</v>
      </c>
      <c r="D389" s="12" t="s">
        <v>1381</v>
      </c>
      <c r="E389" s="13">
        <v>68891.070000000007</v>
      </c>
      <c r="G389" s="13">
        <f t="shared" ref="G389:G404" si="49">E389+F389</f>
        <v>68891.070000000007</v>
      </c>
      <c r="H389" s="13">
        <v>0</v>
      </c>
      <c r="I389" s="13">
        <f t="shared" si="48"/>
        <v>-22010.696865000002</v>
      </c>
      <c r="K389" s="14">
        <f>SUM(G389:J389)</f>
        <v>46880.373135000002</v>
      </c>
      <c r="M389" s="11"/>
      <c r="O389" s="15"/>
    </row>
    <row r="390" spans="1:15" outlineLevel="2">
      <c r="A390" s="11">
        <f t="shared" si="36"/>
        <v>385</v>
      </c>
      <c r="B390" s="11" t="s">
        <v>1225</v>
      </c>
      <c r="C390" s="17" t="s">
        <v>1382</v>
      </c>
      <c r="D390" s="12" t="s">
        <v>1383</v>
      </c>
      <c r="E390" s="13">
        <v>302700.90999999997</v>
      </c>
      <c r="G390" s="13">
        <f t="shared" si="49"/>
        <v>302700.90999999997</v>
      </c>
      <c r="H390" s="13">
        <v>0</v>
      </c>
      <c r="I390" s="13">
        <f t="shared" si="48"/>
        <v>-96712.940745</v>
      </c>
      <c r="K390" s="14">
        <f t="shared" ref="K390:K399" si="50">SUM(G390:J390)</f>
        <v>205987.96925499997</v>
      </c>
      <c r="M390" s="11"/>
      <c r="O390" s="15"/>
    </row>
    <row r="391" spans="1:15" outlineLevel="2">
      <c r="A391" s="11">
        <f t="shared" si="36"/>
        <v>386</v>
      </c>
      <c r="B391" s="11" t="s">
        <v>1225</v>
      </c>
      <c r="C391" s="17" t="s">
        <v>1384</v>
      </c>
      <c r="D391" s="12" t="s">
        <v>1385</v>
      </c>
      <c r="E391" s="13">
        <v>22883.759999999998</v>
      </c>
      <c r="G391" s="13">
        <f t="shared" si="49"/>
        <v>22883.759999999998</v>
      </c>
      <c r="H391" s="13">
        <v>0</v>
      </c>
      <c r="I391" s="13">
        <f t="shared" si="48"/>
        <v>-7311.36132</v>
      </c>
      <c r="K391" s="14">
        <f t="shared" si="50"/>
        <v>15572.398679999998</v>
      </c>
      <c r="M391" s="11"/>
      <c r="O391" s="15"/>
    </row>
    <row r="392" spans="1:15" outlineLevel="2">
      <c r="A392" s="11">
        <f t="shared" ref="A392:A455" si="51">A391+1</f>
        <v>387</v>
      </c>
      <c r="B392" s="11" t="s">
        <v>1225</v>
      </c>
      <c r="C392" s="17" t="s">
        <v>1386</v>
      </c>
      <c r="D392" s="12" t="s">
        <v>1387</v>
      </c>
      <c r="E392" s="13">
        <v>145723.24</v>
      </c>
      <c r="G392" s="13">
        <f t="shared" si="49"/>
        <v>145723.24</v>
      </c>
      <c r="H392" s="13">
        <v>0</v>
      </c>
      <c r="I392" s="13">
        <f t="shared" si="48"/>
        <v>-46558.57518</v>
      </c>
      <c r="K392" s="14">
        <f t="shared" si="50"/>
        <v>99164.664819999991</v>
      </c>
      <c r="M392" s="11"/>
      <c r="O392" s="15"/>
    </row>
    <row r="393" spans="1:15" outlineLevel="2">
      <c r="A393" s="11">
        <f t="shared" si="51"/>
        <v>388</v>
      </c>
      <c r="B393" s="11" t="s">
        <v>1225</v>
      </c>
      <c r="C393" s="17" t="s">
        <v>1388</v>
      </c>
      <c r="D393" s="12" t="s">
        <v>1389</v>
      </c>
      <c r="E393" s="13">
        <v>22896.21</v>
      </c>
      <c r="G393" s="13">
        <f t="shared" si="49"/>
        <v>22896.21</v>
      </c>
      <c r="H393" s="13">
        <v>0</v>
      </c>
      <c r="I393" s="13">
        <f t="shared" si="48"/>
        <v>-7315.3390950000003</v>
      </c>
      <c r="K393" s="14">
        <f>SUM(G393:J393)</f>
        <v>15580.870905</v>
      </c>
      <c r="M393" s="11"/>
      <c r="O393" s="15"/>
    </row>
    <row r="394" spans="1:15" outlineLevel="2">
      <c r="A394" s="11">
        <f t="shared" si="51"/>
        <v>389</v>
      </c>
      <c r="B394" s="11" t="s">
        <v>1225</v>
      </c>
      <c r="C394" s="17" t="s">
        <v>1390</v>
      </c>
      <c r="D394" s="12" t="s">
        <v>1391</v>
      </c>
      <c r="E394" s="13">
        <v>201837.42</v>
      </c>
      <c r="G394" s="13">
        <f t="shared" si="49"/>
        <v>201837.42</v>
      </c>
      <c r="H394" s="13">
        <v>0</v>
      </c>
      <c r="I394" s="13">
        <f t="shared" ref="I394:I401" si="52">-(G394*$L$315)</f>
        <v>-64487.055690000008</v>
      </c>
      <c r="K394" s="14">
        <f t="shared" si="50"/>
        <v>137350.36431</v>
      </c>
      <c r="M394" s="11"/>
      <c r="O394" s="15"/>
    </row>
    <row r="395" spans="1:15" outlineLevel="2">
      <c r="A395" s="11">
        <f t="shared" si="51"/>
        <v>390</v>
      </c>
      <c r="B395" s="11" t="s">
        <v>1225</v>
      </c>
      <c r="C395" s="17" t="s">
        <v>1392</v>
      </c>
      <c r="D395" s="12" t="s">
        <v>1393</v>
      </c>
      <c r="E395" s="13">
        <v>85067.66</v>
      </c>
      <c r="G395" s="13">
        <f t="shared" si="49"/>
        <v>85067.66</v>
      </c>
      <c r="H395" s="13">
        <v>0</v>
      </c>
      <c r="I395" s="13">
        <f t="shared" si="52"/>
        <v>-27179.11737</v>
      </c>
      <c r="K395" s="14">
        <f t="shared" si="50"/>
        <v>57888.542630000004</v>
      </c>
      <c r="M395" s="11"/>
      <c r="O395" s="15"/>
    </row>
    <row r="396" spans="1:15" outlineLevel="2">
      <c r="A396" s="11">
        <f t="shared" si="51"/>
        <v>391</v>
      </c>
      <c r="B396" s="11" t="s">
        <v>1225</v>
      </c>
      <c r="C396" s="17" t="s">
        <v>1394</v>
      </c>
      <c r="D396" s="12" t="s">
        <v>1395</v>
      </c>
      <c r="E396" s="13">
        <v>273932.39</v>
      </c>
      <c r="G396" s="13">
        <f t="shared" si="49"/>
        <v>273932.39</v>
      </c>
      <c r="H396" s="13">
        <v>0</v>
      </c>
      <c r="I396" s="13">
        <f t="shared" si="52"/>
        <v>-87521.398605000009</v>
      </c>
      <c r="K396" s="14">
        <f>SUM(G396:J396)</f>
        <v>186410.99139500002</v>
      </c>
      <c r="M396" s="11"/>
      <c r="O396" s="15"/>
    </row>
    <row r="397" spans="1:15" outlineLevel="2">
      <c r="A397" s="11">
        <f t="shared" si="51"/>
        <v>392</v>
      </c>
      <c r="B397" s="11" t="s">
        <v>1225</v>
      </c>
      <c r="C397" s="17" t="s">
        <v>1396</v>
      </c>
      <c r="D397" s="12" t="s">
        <v>1397</v>
      </c>
      <c r="E397" s="13">
        <v>210227.06</v>
      </c>
      <c r="G397" s="13">
        <f t="shared" si="49"/>
        <v>210227.06</v>
      </c>
      <c r="H397" s="13">
        <v>0</v>
      </c>
      <c r="I397" s="13">
        <f t="shared" si="52"/>
        <v>-67167.545670000007</v>
      </c>
      <c r="K397" s="14">
        <f t="shared" si="50"/>
        <v>143059.51432999998</v>
      </c>
      <c r="M397" s="11"/>
      <c r="O397" s="15"/>
    </row>
    <row r="398" spans="1:15" outlineLevel="2">
      <c r="A398" s="11">
        <f t="shared" si="51"/>
        <v>393</v>
      </c>
      <c r="B398" s="11" t="s">
        <v>1225</v>
      </c>
      <c r="C398" s="17" t="s">
        <v>1398</v>
      </c>
      <c r="D398" s="12" t="s">
        <v>1399</v>
      </c>
      <c r="E398" s="13">
        <v>841053.15</v>
      </c>
      <c r="G398" s="13">
        <f t="shared" si="49"/>
        <v>841053.15</v>
      </c>
      <c r="H398" s="13">
        <v>0</v>
      </c>
      <c r="I398" s="13">
        <f t="shared" si="52"/>
        <v>-268716.48142500001</v>
      </c>
      <c r="K398" s="14">
        <f t="shared" si="50"/>
        <v>572336.66857500002</v>
      </c>
      <c r="M398" s="11"/>
      <c r="O398" s="15"/>
    </row>
    <row r="399" spans="1:15" outlineLevel="2">
      <c r="A399" s="11">
        <f t="shared" si="51"/>
        <v>394</v>
      </c>
      <c r="B399" s="11" t="s">
        <v>1225</v>
      </c>
      <c r="C399" s="17" t="s">
        <v>1400</v>
      </c>
      <c r="D399" s="12" t="s">
        <v>1401</v>
      </c>
      <c r="E399" s="13">
        <v>90226.7</v>
      </c>
      <c r="G399" s="13">
        <f t="shared" si="49"/>
        <v>90226.7</v>
      </c>
      <c r="H399" s="13">
        <v>0</v>
      </c>
      <c r="I399" s="13">
        <f t="shared" si="52"/>
        <v>-28827.430649999998</v>
      </c>
      <c r="K399" s="14">
        <f t="shared" si="50"/>
        <v>61399.269350000002</v>
      </c>
      <c r="M399" s="11"/>
      <c r="O399" s="15"/>
    </row>
    <row r="400" spans="1:15" outlineLevel="2">
      <c r="A400" s="11">
        <f t="shared" si="51"/>
        <v>395</v>
      </c>
      <c r="B400" s="11" t="s">
        <v>1225</v>
      </c>
      <c r="C400" s="17" t="s">
        <v>1402</v>
      </c>
      <c r="D400" s="12" t="s">
        <v>1403</v>
      </c>
      <c r="E400" s="13">
        <v>46981.39</v>
      </c>
      <c r="G400" s="13">
        <f t="shared" si="49"/>
        <v>46981.39</v>
      </c>
      <c r="H400" s="13">
        <v>0</v>
      </c>
      <c r="I400" s="13">
        <f t="shared" si="52"/>
        <v>-15010.554104999999</v>
      </c>
      <c r="K400" s="14">
        <f>SUM(G400:J400)</f>
        <v>31970.835895</v>
      </c>
      <c r="M400" s="11"/>
      <c r="O400" s="15"/>
    </row>
    <row r="401" spans="1:15" outlineLevel="2">
      <c r="A401" s="11">
        <f t="shared" si="51"/>
        <v>396</v>
      </c>
      <c r="B401" s="11" t="s">
        <v>1225</v>
      </c>
      <c r="C401" s="17" t="s">
        <v>1404</v>
      </c>
      <c r="D401" s="12" t="s">
        <v>1405</v>
      </c>
      <c r="E401" s="13">
        <v>267394.71999999997</v>
      </c>
      <c r="G401" s="13">
        <f t="shared" si="49"/>
        <v>267394.71999999997</v>
      </c>
      <c r="H401" s="13">
        <v>0</v>
      </c>
      <c r="I401" s="13">
        <f t="shared" si="52"/>
        <v>-85432.613039999997</v>
      </c>
      <c r="K401" s="14">
        <f>SUM(G401:J401)</f>
        <v>181962.10695999998</v>
      </c>
      <c r="M401" s="11"/>
      <c r="O401" s="15"/>
    </row>
    <row r="402" spans="1:15" outlineLevel="2">
      <c r="A402" s="11">
        <f t="shared" si="51"/>
        <v>397</v>
      </c>
      <c r="B402" s="11" t="s">
        <v>1225</v>
      </c>
      <c r="C402" s="17" t="s">
        <v>1406</v>
      </c>
      <c r="D402" s="12" t="s">
        <v>1407</v>
      </c>
      <c r="E402" s="13">
        <v>222022.84</v>
      </c>
      <c r="G402" s="13">
        <f t="shared" si="49"/>
        <v>222022.84</v>
      </c>
      <c r="H402" s="13">
        <v>0</v>
      </c>
      <c r="I402" s="13">
        <f t="shared" ref="I402:I410" si="53">-(G402*$L$315)</f>
        <v>-70936.297380000004</v>
      </c>
      <c r="K402" s="14">
        <f>SUM(G402:J402)</f>
        <v>151086.54261999999</v>
      </c>
      <c r="M402" s="11"/>
      <c r="O402" s="15"/>
    </row>
    <row r="403" spans="1:15" outlineLevel="2">
      <c r="A403" s="11">
        <f t="shared" si="51"/>
        <v>398</v>
      </c>
      <c r="B403" s="11" t="s">
        <v>1225</v>
      </c>
      <c r="C403" s="17" t="s">
        <v>1408</v>
      </c>
      <c r="D403" s="12" t="s">
        <v>1409</v>
      </c>
      <c r="E403" s="13">
        <v>555779.6</v>
      </c>
      <c r="G403" s="13">
        <f t="shared" si="49"/>
        <v>555779.6</v>
      </c>
      <c r="H403" s="13">
        <v>0</v>
      </c>
      <c r="I403" s="13">
        <f t="shared" si="53"/>
        <v>-177571.5822</v>
      </c>
      <c r="K403" s="14">
        <f>SUM(G403:J403)</f>
        <v>378208.01779999997</v>
      </c>
      <c r="M403" s="11"/>
      <c r="O403" s="15"/>
    </row>
    <row r="404" spans="1:15" outlineLevel="2">
      <c r="A404" s="11">
        <f t="shared" si="51"/>
        <v>399</v>
      </c>
      <c r="B404" s="11" t="s">
        <v>1225</v>
      </c>
      <c r="C404" s="17" t="s">
        <v>1410</v>
      </c>
      <c r="D404" s="12" t="s">
        <v>1411</v>
      </c>
      <c r="E404" s="13">
        <v>941913.5</v>
      </c>
      <c r="G404" s="13">
        <f t="shared" si="49"/>
        <v>941913.5</v>
      </c>
      <c r="H404" s="13">
        <v>0</v>
      </c>
      <c r="I404" s="13">
        <f t="shared" si="53"/>
        <v>-300941.36324999999</v>
      </c>
      <c r="K404" s="14">
        <f t="shared" ref="K404:K413" si="54">SUM(G404:J404)</f>
        <v>640972.13675000006</v>
      </c>
      <c r="M404" s="11"/>
      <c r="O404" s="15"/>
    </row>
    <row r="405" spans="1:15" outlineLevel="2">
      <c r="A405" s="11">
        <f t="shared" si="51"/>
        <v>400</v>
      </c>
      <c r="B405" s="11" t="s">
        <v>1225</v>
      </c>
      <c r="C405" s="17" t="s">
        <v>1412</v>
      </c>
      <c r="D405" s="12" t="s">
        <v>1413</v>
      </c>
      <c r="E405" s="13">
        <v>751512.5</v>
      </c>
      <c r="G405" s="13">
        <f>E405+F405</f>
        <v>751512.5</v>
      </c>
      <c r="H405" s="13">
        <v>0</v>
      </c>
      <c r="I405" s="13">
        <f t="shared" si="53"/>
        <v>-240108.24374999999</v>
      </c>
      <c r="K405" s="14">
        <f t="shared" si="54"/>
        <v>511404.25624999998</v>
      </c>
      <c r="M405" s="11"/>
      <c r="O405" s="15"/>
    </row>
    <row r="406" spans="1:15" outlineLevel="2">
      <c r="A406" s="11">
        <f t="shared" si="51"/>
        <v>401</v>
      </c>
      <c r="B406" s="11" t="s">
        <v>1225</v>
      </c>
      <c r="C406" s="17" t="s">
        <v>1414</v>
      </c>
      <c r="D406" s="12" t="s">
        <v>1415</v>
      </c>
      <c r="E406" s="13">
        <v>723452.46</v>
      </c>
      <c r="G406" s="13">
        <f t="shared" ref="G406:G427" si="55">E406+F406</f>
        <v>723452.46</v>
      </c>
      <c r="H406" s="13">
        <v>0</v>
      </c>
      <c r="I406" s="13">
        <f t="shared" si="53"/>
        <v>-231143.06096999999</v>
      </c>
      <c r="K406" s="14">
        <f t="shared" si="54"/>
        <v>492309.39902999997</v>
      </c>
      <c r="M406" s="11"/>
      <c r="O406" s="15"/>
    </row>
    <row r="407" spans="1:15" outlineLevel="2">
      <c r="A407" s="11">
        <f t="shared" si="51"/>
        <v>402</v>
      </c>
      <c r="B407" s="11" t="s">
        <v>1225</v>
      </c>
      <c r="C407" s="17" t="s">
        <v>1416</v>
      </c>
      <c r="D407" s="12" t="s">
        <v>1417</v>
      </c>
      <c r="E407" s="13">
        <v>48470.16</v>
      </c>
      <c r="G407" s="13">
        <f t="shared" si="55"/>
        <v>48470.16</v>
      </c>
      <c r="H407" s="13">
        <v>0</v>
      </c>
      <c r="I407" s="13">
        <f t="shared" si="53"/>
        <v>-15486.216120000001</v>
      </c>
      <c r="K407" s="14">
        <f>SUM(G407:J407)</f>
        <v>32983.943880000006</v>
      </c>
      <c r="M407" s="11"/>
      <c r="O407" s="15"/>
    </row>
    <row r="408" spans="1:15" outlineLevel="2">
      <c r="A408" s="11">
        <f t="shared" si="51"/>
        <v>403</v>
      </c>
      <c r="B408" s="11" t="s">
        <v>1225</v>
      </c>
      <c r="C408" s="17" t="s">
        <v>1418</v>
      </c>
      <c r="D408" s="12" t="s">
        <v>1419</v>
      </c>
      <c r="E408" s="13">
        <v>96865.3</v>
      </c>
      <c r="G408" s="13">
        <f t="shared" si="55"/>
        <v>96865.3</v>
      </c>
      <c r="H408" s="13">
        <v>0</v>
      </c>
      <c r="I408" s="13">
        <f t="shared" si="53"/>
        <v>-30948.463350000002</v>
      </c>
      <c r="K408" s="14">
        <f t="shared" si="54"/>
        <v>65916.836649999997</v>
      </c>
      <c r="M408" s="11"/>
      <c r="O408" s="15"/>
    </row>
    <row r="409" spans="1:15" outlineLevel="2">
      <c r="A409" s="11">
        <f t="shared" si="51"/>
        <v>404</v>
      </c>
      <c r="B409" s="11" t="s">
        <v>1225</v>
      </c>
      <c r="C409" s="17" t="s">
        <v>1420</v>
      </c>
      <c r="D409" s="12" t="s">
        <v>1421</v>
      </c>
      <c r="E409" s="13">
        <v>330604.18</v>
      </c>
      <c r="G409" s="13">
        <f t="shared" si="55"/>
        <v>330604.18</v>
      </c>
      <c r="H409" s="13">
        <v>0</v>
      </c>
      <c r="I409" s="13">
        <f t="shared" si="53"/>
        <v>-105628.03551</v>
      </c>
      <c r="K409" s="14">
        <f t="shared" si="54"/>
        <v>224976.14448999998</v>
      </c>
      <c r="M409" s="11"/>
      <c r="O409" s="15"/>
    </row>
    <row r="410" spans="1:15" outlineLevel="2">
      <c r="A410" s="11">
        <f t="shared" si="51"/>
        <v>405</v>
      </c>
      <c r="B410" s="11" t="s">
        <v>1225</v>
      </c>
      <c r="C410" s="17" t="s">
        <v>1422</v>
      </c>
      <c r="D410" s="12" t="s">
        <v>1423</v>
      </c>
      <c r="E410" s="13">
        <v>54516.4</v>
      </c>
      <c r="G410" s="13">
        <f t="shared" si="55"/>
        <v>54516.4</v>
      </c>
      <c r="H410" s="13">
        <v>0</v>
      </c>
      <c r="I410" s="13">
        <f t="shared" si="53"/>
        <v>-17417.989799999999</v>
      </c>
      <c r="K410" s="14">
        <f>SUM(G410:J410)</f>
        <v>37098.410199999998</v>
      </c>
      <c r="M410" s="11"/>
      <c r="O410" s="15"/>
    </row>
    <row r="411" spans="1:15" outlineLevel="2">
      <c r="A411" s="11">
        <f t="shared" si="51"/>
        <v>406</v>
      </c>
      <c r="B411" s="11" t="s">
        <v>1225</v>
      </c>
      <c r="C411" s="17" t="s">
        <v>1424</v>
      </c>
      <c r="D411" s="12" t="s">
        <v>1425</v>
      </c>
      <c r="E411" s="13">
        <v>32444.86</v>
      </c>
      <c r="G411" s="13">
        <f t="shared" si="55"/>
        <v>32444.86</v>
      </c>
      <c r="H411" s="13">
        <v>0</v>
      </c>
      <c r="I411" s="13">
        <f t="shared" ref="I411:I422" si="56">-(G411*$L$315)</f>
        <v>-10366.13277</v>
      </c>
      <c r="K411" s="14">
        <f t="shared" si="54"/>
        <v>22078.72723</v>
      </c>
      <c r="M411" s="11"/>
      <c r="O411" s="15"/>
    </row>
    <row r="412" spans="1:15" outlineLevel="2">
      <c r="A412" s="11">
        <f t="shared" si="51"/>
        <v>407</v>
      </c>
      <c r="B412" s="11" t="s">
        <v>1225</v>
      </c>
      <c r="C412" s="17" t="s">
        <v>1426</v>
      </c>
      <c r="D412" s="12" t="s">
        <v>1427</v>
      </c>
      <c r="E412" s="13">
        <v>811848.82</v>
      </c>
      <c r="G412" s="13">
        <f t="shared" si="55"/>
        <v>811848.82</v>
      </c>
      <c r="H412" s="13">
        <v>0</v>
      </c>
      <c r="I412" s="13">
        <f t="shared" si="56"/>
        <v>-259385.69798999999</v>
      </c>
      <c r="K412" s="14">
        <f t="shared" si="54"/>
        <v>552463.12200999993</v>
      </c>
      <c r="M412" s="11"/>
      <c r="O412" s="15"/>
    </row>
    <row r="413" spans="1:15" outlineLevel="2">
      <c r="A413" s="11">
        <f t="shared" si="51"/>
        <v>408</v>
      </c>
      <c r="B413" s="11" t="s">
        <v>1225</v>
      </c>
      <c r="C413" s="17" t="s">
        <v>1428</v>
      </c>
      <c r="D413" s="12" t="s">
        <v>1429</v>
      </c>
      <c r="E413" s="13">
        <v>69987.59</v>
      </c>
      <c r="G413" s="13">
        <f t="shared" si="55"/>
        <v>69987.59</v>
      </c>
      <c r="H413" s="13">
        <v>0</v>
      </c>
      <c r="I413" s="13">
        <f t="shared" si="56"/>
        <v>-22361.035004999998</v>
      </c>
      <c r="K413" s="14">
        <f t="shared" si="54"/>
        <v>47626.554994999999</v>
      </c>
      <c r="M413" s="11"/>
      <c r="O413" s="15"/>
    </row>
    <row r="414" spans="1:15" outlineLevel="2">
      <c r="A414" s="11">
        <f t="shared" si="51"/>
        <v>409</v>
      </c>
      <c r="B414" s="11" t="s">
        <v>1225</v>
      </c>
      <c r="C414" s="17" t="s">
        <v>1430</v>
      </c>
      <c r="D414" s="12" t="s">
        <v>1431</v>
      </c>
      <c r="E414" s="13">
        <v>172792.24</v>
      </c>
      <c r="G414" s="13">
        <f t="shared" si="55"/>
        <v>172792.24</v>
      </c>
      <c r="H414" s="13">
        <v>0</v>
      </c>
      <c r="I414" s="13">
        <f t="shared" si="56"/>
        <v>-55207.12068</v>
      </c>
      <c r="K414" s="14">
        <f>SUM(G414:J414)</f>
        <v>117585.11932</v>
      </c>
      <c r="M414" s="11"/>
      <c r="O414" s="15"/>
    </row>
    <row r="415" spans="1:15" outlineLevel="2">
      <c r="A415" s="11">
        <f t="shared" si="51"/>
        <v>410</v>
      </c>
      <c r="B415" s="11" t="s">
        <v>1225</v>
      </c>
      <c r="C415" s="17" t="s">
        <v>1432</v>
      </c>
      <c r="D415" s="12" t="s">
        <v>1433</v>
      </c>
      <c r="E415" s="13">
        <v>300728.23</v>
      </c>
      <c r="G415" s="13">
        <f t="shared" si="55"/>
        <v>300728.23</v>
      </c>
      <c r="H415" s="13">
        <v>0</v>
      </c>
      <c r="I415" s="13">
        <f t="shared" si="56"/>
        <v>-96082.669484999991</v>
      </c>
      <c r="K415" s="14">
        <f>SUM(G415:J415)</f>
        <v>204645.56051499999</v>
      </c>
      <c r="M415" s="11"/>
      <c r="O415" s="15"/>
    </row>
    <row r="416" spans="1:15" outlineLevel="2">
      <c r="A416" s="11">
        <f t="shared" si="51"/>
        <v>411</v>
      </c>
      <c r="B416" s="11" t="s">
        <v>1225</v>
      </c>
      <c r="C416" s="17" t="s">
        <v>1434</v>
      </c>
      <c r="D416" s="12" t="s">
        <v>1435</v>
      </c>
      <c r="E416" s="13">
        <v>214547.3</v>
      </c>
      <c r="G416" s="13">
        <f t="shared" si="55"/>
        <v>214547.3</v>
      </c>
      <c r="H416" s="13">
        <v>0</v>
      </c>
      <c r="I416" s="13">
        <f t="shared" si="56"/>
        <v>-68547.862349999996</v>
      </c>
      <c r="K416" s="14">
        <f>SUM(G416:J416)</f>
        <v>145999.43764999998</v>
      </c>
      <c r="M416" s="11"/>
      <c r="O416" s="15"/>
    </row>
    <row r="417" spans="1:15" outlineLevel="2">
      <c r="A417" s="11">
        <f t="shared" si="51"/>
        <v>412</v>
      </c>
      <c r="B417" s="11" t="s">
        <v>1225</v>
      </c>
      <c r="C417" s="17" t="s">
        <v>1436</v>
      </c>
      <c r="D417" s="12" t="s">
        <v>1437</v>
      </c>
      <c r="E417" s="13">
        <v>686506.93</v>
      </c>
      <c r="G417" s="13">
        <f t="shared" si="55"/>
        <v>686506.93</v>
      </c>
      <c r="H417" s="13">
        <v>0</v>
      </c>
      <c r="I417" s="13">
        <f t="shared" si="56"/>
        <v>-219338.96413500002</v>
      </c>
      <c r="K417" s="14">
        <f>SUM(G417:J417)</f>
        <v>467167.96586500003</v>
      </c>
      <c r="M417" s="11"/>
      <c r="O417" s="15"/>
    </row>
    <row r="418" spans="1:15" outlineLevel="2">
      <c r="A418" s="11">
        <f t="shared" si="51"/>
        <v>413</v>
      </c>
      <c r="B418" s="11" t="s">
        <v>1225</v>
      </c>
      <c r="C418" s="17" t="s">
        <v>1438</v>
      </c>
      <c r="D418" s="12" t="s">
        <v>1439</v>
      </c>
      <c r="E418" s="13">
        <v>15011.61</v>
      </c>
      <c r="G418" s="13">
        <f t="shared" si="55"/>
        <v>15011.61</v>
      </c>
      <c r="H418" s="13">
        <v>0</v>
      </c>
      <c r="I418" s="13">
        <f t="shared" si="56"/>
        <v>-4796.2093949999999</v>
      </c>
      <c r="K418" s="14">
        <f t="shared" ref="K418:K427" si="57">SUM(G418:J418)</f>
        <v>10215.400605000001</v>
      </c>
      <c r="M418" s="11"/>
      <c r="O418" s="15"/>
    </row>
    <row r="419" spans="1:15" outlineLevel="2">
      <c r="A419" s="11">
        <f t="shared" si="51"/>
        <v>414</v>
      </c>
      <c r="B419" s="11" t="s">
        <v>1225</v>
      </c>
      <c r="C419" s="17" t="s">
        <v>1440</v>
      </c>
      <c r="D419" s="12" t="s">
        <v>1441</v>
      </c>
      <c r="E419" s="13">
        <v>125057.06</v>
      </c>
      <c r="G419" s="13">
        <f t="shared" si="55"/>
        <v>125057.06</v>
      </c>
      <c r="H419" s="13">
        <v>0</v>
      </c>
      <c r="I419" s="13">
        <f t="shared" si="56"/>
        <v>-39955.730669999997</v>
      </c>
      <c r="K419" s="14">
        <f t="shared" si="57"/>
        <v>85101.329330000008</v>
      </c>
      <c r="M419" s="11"/>
      <c r="O419" s="15"/>
    </row>
    <row r="420" spans="1:15" outlineLevel="2">
      <c r="A420" s="11">
        <f t="shared" si="51"/>
        <v>415</v>
      </c>
      <c r="B420" s="11" t="s">
        <v>1225</v>
      </c>
      <c r="C420" s="17" t="s">
        <v>1442</v>
      </c>
      <c r="D420" s="12" t="s">
        <v>1443</v>
      </c>
      <c r="E420" s="13">
        <v>146583.04999999999</v>
      </c>
      <c r="G420" s="13">
        <f t="shared" si="55"/>
        <v>146583.04999999999</v>
      </c>
      <c r="H420" s="13">
        <v>0</v>
      </c>
      <c r="I420" s="13">
        <f t="shared" si="56"/>
        <v>-46833.284475</v>
      </c>
      <c r="K420" s="14">
        <f t="shared" si="57"/>
        <v>99749.765524999995</v>
      </c>
      <c r="M420" s="11"/>
      <c r="O420" s="15"/>
    </row>
    <row r="421" spans="1:15" outlineLevel="2">
      <c r="A421" s="11">
        <f t="shared" si="51"/>
        <v>416</v>
      </c>
      <c r="B421" s="11" t="s">
        <v>1225</v>
      </c>
      <c r="C421" s="17" t="s">
        <v>1444</v>
      </c>
      <c r="D421" s="12" t="s">
        <v>1445</v>
      </c>
      <c r="E421" s="13">
        <v>216330.02</v>
      </c>
      <c r="G421" s="13">
        <f t="shared" si="55"/>
        <v>216330.02</v>
      </c>
      <c r="H421" s="13">
        <v>0</v>
      </c>
      <c r="I421" s="13">
        <f t="shared" si="56"/>
        <v>-69117.441389999993</v>
      </c>
      <c r="K421" s="14">
        <f>SUM(G421:J421)</f>
        <v>147212.57861</v>
      </c>
      <c r="M421" s="11"/>
      <c r="O421" s="15"/>
    </row>
    <row r="422" spans="1:15" outlineLevel="2">
      <c r="A422" s="11">
        <f t="shared" si="51"/>
        <v>417</v>
      </c>
      <c r="B422" s="11" t="s">
        <v>1225</v>
      </c>
      <c r="C422" s="17" t="s">
        <v>1446</v>
      </c>
      <c r="D422" s="12" t="s">
        <v>1447</v>
      </c>
      <c r="E422" s="13">
        <v>577873.56000000006</v>
      </c>
      <c r="G422" s="13">
        <f t="shared" si="55"/>
        <v>577873.56000000006</v>
      </c>
      <c r="H422" s="13">
        <v>0</v>
      </c>
      <c r="I422" s="13">
        <f t="shared" si="56"/>
        <v>-184630.60242000001</v>
      </c>
      <c r="K422" s="14">
        <f t="shared" si="57"/>
        <v>393242.95758000005</v>
      </c>
      <c r="M422" s="11"/>
      <c r="O422" s="15"/>
    </row>
    <row r="423" spans="1:15" outlineLevel="2">
      <c r="A423" s="11">
        <f t="shared" si="51"/>
        <v>418</v>
      </c>
      <c r="B423" s="11" t="s">
        <v>1225</v>
      </c>
      <c r="C423" s="17" t="s">
        <v>1448</v>
      </c>
      <c r="D423" s="12" t="s">
        <v>1449</v>
      </c>
      <c r="E423" s="13">
        <v>367629.89</v>
      </c>
      <c r="G423" s="13">
        <f t="shared" si="55"/>
        <v>367629.89</v>
      </c>
      <c r="H423" s="13">
        <v>0</v>
      </c>
      <c r="I423" s="13">
        <f t="shared" ref="I423:I432" si="58">-(G423*$L$315)</f>
        <v>-117457.749855</v>
      </c>
      <c r="K423" s="14">
        <f t="shared" si="57"/>
        <v>250172.14014500001</v>
      </c>
      <c r="M423" s="11"/>
      <c r="O423" s="15"/>
    </row>
    <row r="424" spans="1:15" outlineLevel="2">
      <c r="A424" s="11">
        <f t="shared" si="51"/>
        <v>419</v>
      </c>
      <c r="B424" s="11" t="s">
        <v>1225</v>
      </c>
      <c r="C424" s="17" t="s">
        <v>1450</v>
      </c>
      <c r="D424" s="12" t="s">
        <v>1451</v>
      </c>
      <c r="E424" s="13">
        <v>2616985.9300000002</v>
      </c>
      <c r="G424" s="13">
        <f t="shared" si="55"/>
        <v>2616985.9300000002</v>
      </c>
      <c r="H424" s="13">
        <v>0</v>
      </c>
      <c r="I424" s="13">
        <f t="shared" si="58"/>
        <v>-836127.00463500002</v>
      </c>
      <c r="K424" s="14">
        <f>SUM(G424:J424)</f>
        <v>1780858.925365</v>
      </c>
      <c r="M424" s="11"/>
      <c r="O424" s="15"/>
    </row>
    <row r="425" spans="1:15" outlineLevel="2">
      <c r="A425" s="11">
        <f t="shared" si="51"/>
        <v>420</v>
      </c>
      <c r="B425" s="11" t="s">
        <v>1225</v>
      </c>
      <c r="C425" s="17" t="s">
        <v>1452</v>
      </c>
      <c r="D425" s="12" t="s">
        <v>1453</v>
      </c>
      <c r="E425" s="13">
        <v>16445.21</v>
      </c>
      <c r="G425" s="13">
        <f t="shared" si="55"/>
        <v>16445.21</v>
      </c>
      <c r="H425" s="13">
        <v>0</v>
      </c>
      <c r="I425" s="13">
        <f t="shared" si="58"/>
        <v>-5254.2445950000001</v>
      </c>
      <c r="K425" s="14">
        <f t="shared" si="57"/>
        <v>11190.965404999999</v>
      </c>
      <c r="M425" s="11"/>
      <c r="O425" s="15"/>
    </row>
    <row r="426" spans="1:15" outlineLevel="2">
      <c r="A426" s="11">
        <f t="shared" si="51"/>
        <v>421</v>
      </c>
      <c r="B426" s="11" t="s">
        <v>1225</v>
      </c>
      <c r="C426" s="17" t="s">
        <v>1454</v>
      </c>
      <c r="D426" s="12" t="s">
        <v>1455</v>
      </c>
      <c r="E426" s="13">
        <v>7684.53</v>
      </c>
      <c r="G426" s="13">
        <f t="shared" si="55"/>
        <v>7684.53</v>
      </c>
      <c r="H426" s="13">
        <v>0</v>
      </c>
      <c r="I426" s="13">
        <f t="shared" si="58"/>
        <v>-2455.2073350000001</v>
      </c>
      <c r="K426" s="14">
        <f t="shared" si="57"/>
        <v>5229.3226649999997</v>
      </c>
      <c r="M426" s="11"/>
      <c r="O426" s="15"/>
    </row>
    <row r="427" spans="1:15" outlineLevel="2">
      <c r="A427" s="11">
        <f t="shared" si="51"/>
        <v>422</v>
      </c>
      <c r="B427" s="11" t="s">
        <v>1225</v>
      </c>
      <c r="C427" s="17" t="s">
        <v>1456</v>
      </c>
      <c r="D427" s="12" t="s">
        <v>1457</v>
      </c>
      <c r="E427" s="13">
        <v>1646</v>
      </c>
      <c r="G427" s="13">
        <f t="shared" si="55"/>
        <v>1646</v>
      </c>
      <c r="H427" s="13">
        <v>0</v>
      </c>
      <c r="I427" s="13">
        <f t="shared" si="58"/>
        <v>-525.89700000000005</v>
      </c>
      <c r="K427" s="14">
        <f t="shared" si="57"/>
        <v>1120.1030000000001</v>
      </c>
      <c r="M427" s="11"/>
      <c r="O427" s="15"/>
    </row>
    <row r="428" spans="1:15" outlineLevel="2">
      <c r="A428" s="11">
        <f t="shared" si="51"/>
        <v>423</v>
      </c>
      <c r="B428" s="11" t="s">
        <v>1225</v>
      </c>
      <c r="C428" s="17" t="s">
        <v>1458</v>
      </c>
      <c r="D428" s="12" t="s">
        <v>1459</v>
      </c>
      <c r="E428" s="13">
        <v>107002.99</v>
      </c>
      <c r="G428" s="13">
        <f>E428+F428</f>
        <v>107002.99</v>
      </c>
      <c r="H428" s="13">
        <v>0</v>
      </c>
      <c r="I428" s="13">
        <f t="shared" si="58"/>
        <v>-34187.455305000003</v>
      </c>
      <c r="K428" s="14">
        <f t="shared" ref="K428:K434" si="59">SUM(G428:J428)</f>
        <v>72815.534695000009</v>
      </c>
      <c r="M428" s="11"/>
      <c r="O428" s="15"/>
    </row>
    <row r="429" spans="1:15" outlineLevel="2">
      <c r="A429" s="11">
        <f t="shared" si="51"/>
        <v>424</v>
      </c>
      <c r="B429" s="11" t="s">
        <v>1225</v>
      </c>
      <c r="C429" s="17" t="s">
        <v>1460</v>
      </c>
      <c r="D429" s="12" t="s">
        <v>1461</v>
      </c>
      <c r="E429" s="13">
        <v>99876.68</v>
      </c>
      <c r="G429" s="13">
        <f t="shared" ref="G429:G446" si="60">E429+F429</f>
        <v>99876.68</v>
      </c>
      <c r="H429" s="13">
        <v>0</v>
      </c>
      <c r="I429" s="13">
        <f t="shared" si="58"/>
        <v>-31910.599259999999</v>
      </c>
      <c r="K429" s="14">
        <f t="shared" si="59"/>
        <v>67966.08073999999</v>
      </c>
      <c r="M429" s="11"/>
      <c r="O429" s="15"/>
    </row>
    <row r="430" spans="1:15" outlineLevel="2">
      <c r="A430" s="11">
        <f t="shared" si="51"/>
        <v>425</v>
      </c>
      <c r="B430" s="11" t="s">
        <v>1225</v>
      </c>
      <c r="C430" s="17" t="s">
        <v>1462</v>
      </c>
      <c r="D430" s="12" t="s">
        <v>1463</v>
      </c>
      <c r="E430" s="13">
        <v>530458.91</v>
      </c>
      <c r="G430" s="13">
        <f t="shared" si="60"/>
        <v>530458.91</v>
      </c>
      <c r="H430" s="13">
        <v>0</v>
      </c>
      <c r="I430" s="13">
        <f t="shared" si="58"/>
        <v>-169481.62174500001</v>
      </c>
      <c r="K430" s="14">
        <f t="shared" si="59"/>
        <v>360977.28825500002</v>
      </c>
      <c r="M430" s="11"/>
      <c r="O430" s="15"/>
    </row>
    <row r="431" spans="1:15" outlineLevel="2">
      <c r="A431" s="11">
        <f t="shared" si="51"/>
        <v>426</v>
      </c>
      <c r="B431" s="11" t="s">
        <v>1225</v>
      </c>
      <c r="C431" s="17" t="s">
        <v>1464</v>
      </c>
      <c r="D431" s="12" t="s">
        <v>1465</v>
      </c>
      <c r="E431" s="13">
        <v>17849.39</v>
      </c>
      <c r="G431" s="13">
        <f t="shared" si="60"/>
        <v>17849.39</v>
      </c>
      <c r="I431" s="13">
        <f t="shared" si="58"/>
        <v>-5702.8801050000002</v>
      </c>
      <c r="K431" s="14">
        <f t="shared" si="59"/>
        <v>12146.509894999999</v>
      </c>
      <c r="M431" s="11"/>
      <c r="O431" s="15"/>
    </row>
    <row r="432" spans="1:15" outlineLevel="2">
      <c r="A432" s="11">
        <f t="shared" si="51"/>
        <v>427</v>
      </c>
      <c r="B432" s="11" t="s">
        <v>1225</v>
      </c>
      <c r="C432" s="17" t="s">
        <v>1466</v>
      </c>
      <c r="D432" s="12" t="s">
        <v>1467</v>
      </c>
      <c r="E432" s="13">
        <v>206656.26</v>
      </c>
      <c r="G432" s="13">
        <f t="shared" si="60"/>
        <v>206656.26</v>
      </c>
      <c r="H432" s="13">
        <v>0</v>
      </c>
      <c r="I432" s="13">
        <f t="shared" si="58"/>
        <v>-66026.675069999998</v>
      </c>
      <c r="K432" s="14">
        <f t="shared" si="59"/>
        <v>140629.58493000001</v>
      </c>
      <c r="M432" s="11"/>
      <c r="O432" s="15"/>
    </row>
    <row r="433" spans="1:15" outlineLevel="2">
      <c r="A433" s="11">
        <f t="shared" si="51"/>
        <v>428</v>
      </c>
      <c r="B433" s="11" t="s">
        <v>1225</v>
      </c>
      <c r="C433" s="17" t="s">
        <v>1468</v>
      </c>
      <c r="D433" s="12" t="s">
        <v>1469</v>
      </c>
      <c r="E433" s="13">
        <v>3758.31</v>
      </c>
      <c r="G433" s="13">
        <f t="shared" si="60"/>
        <v>3758.31</v>
      </c>
      <c r="H433" s="13">
        <v>0</v>
      </c>
      <c r="I433" s="13">
        <f>-(G433*$L$315)</f>
        <v>-1200.780045</v>
      </c>
      <c r="K433" s="14">
        <f t="shared" si="59"/>
        <v>2557.529955</v>
      </c>
      <c r="M433" s="11"/>
      <c r="O433" s="15"/>
    </row>
    <row r="434" spans="1:15" outlineLevel="2">
      <c r="A434" s="11">
        <f t="shared" si="51"/>
        <v>429</v>
      </c>
      <c r="B434" s="11" t="s">
        <v>1225</v>
      </c>
      <c r="C434" s="17" t="s">
        <v>1470</v>
      </c>
      <c r="D434" s="12" t="s">
        <v>1471</v>
      </c>
      <c r="E434" s="13">
        <v>27264.31</v>
      </c>
      <c r="G434" s="13">
        <f t="shared" si="60"/>
        <v>27264.31</v>
      </c>
      <c r="H434" s="13">
        <v>0</v>
      </c>
      <c r="I434" s="13">
        <f>-(G434*$L$315)</f>
        <v>-8710.9470450000008</v>
      </c>
      <c r="K434" s="14">
        <f t="shared" si="59"/>
        <v>18553.362955000001</v>
      </c>
      <c r="M434" s="11"/>
      <c r="O434" s="15"/>
    </row>
    <row r="435" spans="1:15" outlineLevel="2">
      <c r="A435" s="11">
        <f t="shared" si="51"/>
        <v>430</v>
      </c>
      <c r="B435" s="11" t="s">
        <v>1225</v>
      </c>
      <c r="C435" s="17" t="s">
        <v>1472</v>
      </c>
      <c r="D435" s="12" t="s">
        <v>1473</v>
      </c>
      <c r="E435" s="13">
        <v>4771.8900000000003</v>
      </c>
      <c r="G435" s="13">
        <f t="shared" si="60"/>
        <v>4771.8900000000003</v>
      </c>
      <c r="H435" s="13">
        <v>0</v>
      </c>
      <c r="I435" s="13">
        <f>-(G435*$L$315)</f>
        <v>-1524.6188550000002</v>
      </c>
      <c r="K435" s="14">
        <f t="shared" ref="K435:K444" si="61">SUM(G435:J435)</f>
        <v>3247.2711450000002</v>
      </c>
      <c r="M435" s="11"/>
      <c r="O435" s="15"/>
    </row>
    <row r="436" spans="1:15" outlineLevel="2">
      <c r="A436" s="11">
        <f t="shared" si="51"/>
        <v>431</v>
      </c>
      <c r="B436" s="11" t="s">
        <v>1225</v>
      </c>
      <c r="C436" s="17" t="s">
        <v>1474</v>
      </c>
      <c r="D436" s="12" t="s">
        <v>1475</v>
      </c>
      <c r="E436" s="13">
        <v>393067.38</v>
      </c>
      <c r="G436" s="13">
        <f t="shared" si="60"/>
        <v>393067.38</v>
      </c>
      <c r="H436" s="13">
        <v>0</v>
      </c>
      <c r="I436" s="13">
        <f>-(G436*$L$315)</f>
        <v>-125585.02791</v>
      </c>
      <c r="K436" s="14">
        <f t="shared" si="61"/>
        <v>267482.35209</v>
      </c>
      <c r="M436" s="11"/>
      <c r="O436" s="15"/>
    </row>
    <row r="437" spans="1:15" outlineLevel="2">
      <c r="A437" s="11">
        <f t="shared" si="51"/>
        <v>432</v>
      </c>
      <c r="B437" s="11" t="s">
        <v>1225</v>
      </c>
      <c r="C437" s="17" t="s">
        <v>1476</v>
      </c>
      <c r="D437" s="12" t="s">
        <v>1477</v>
      </c>
      <c r="E437" s="13">
        <v>161748.41</v>
      </c>
      <c r="G437" s="13">
        <f t="shared" si="60"/>
        <v>161748.41</v>
      </c>
      <c r="H437" s="13">
        <v>0</v>
      </c>
      <c r="I437" s="13">
        <f>-(G437*$L$315)</f>
        <v>-51678.616995000004</v>
      </c>
      <c r="K437" s="14">
        <f t="shared" si="61"/>
        <v>110069.793005</v>
      </c>
      <c r="M437" s="11"/>
      <c r="O437" s="15"/>
    </row>
    <row r="438" spans="1:15" outlineLevel="2">
      <c r="A438" s="11">
        <f t="shared" si="51"/>
        <v>433</v>
      </c>
      <c r="B438" s="11" t="s">
        <v>1225</v>
      </c>
      <c r="C438" s="17" t="s">
        <v>1478</v>
      </c>
      <c r="D438" s="12" t="s">
        <v>1479</v>
      </c>
      <c r="E438" s="13">
        <v>166315.1</v>
      </c>
      <c r="G438" s="13">
        <f t="shared" si="60"/>
        <v>166315.1</v>
      </c>
      <c r="H438" s="13">
        <v>0</v>
      </c>
      <c r="I438" s="13">
        <f t="shared" ref="I438:I443" si="62">-(G438*$L$315)</f>
        <v>-53137.674450000006</v>
      </c>
      <c r="K438" s="14">
        <f>SUM(G438:J438)</f>
        <v>113177.42555</v>
      </c>
      <c r="M438" s="11"/>
      <c r="O438" s="15"/>
    </row>
    <row r="439" spans="1:15" outlineLevel="2">
      <c r="A439" s="11">
        <f t="shared" si="51"/>
        <v>434</v>
      </c>
      <c r="B439" s="11" t="s">
        <v>1225</v>
      </c>
      <c r="C439" s="17" t="s">
        <v>1480</v>
      </c>
      <c r="D439" s="12" t="s">
        <v>1481</v>
      </c>
      <c r="E439" s="13">
        <v>267563.39</v>
      </c>
      <c r="G439" s="13">
        <f t="shared" si="60"/>
        <v>267563.39</v>
      </c>
      <c r="H439" s="13">
        <v>0</v>
      </c>
      <c r="I439" s="13">
        <f t="shared" si="62"/>
        <v>-85486.503105000011</v>
      </c>
      <c r="K439" s="14">
        <f t="shared" si="61"/>
        <v>182076.886895</v>
      </c>
      <c r="M439" s="11"/>
      <c r="O439" s="15"/>
    </row>
    <row r="440" spans="1:15" outlineLevel="2">
      <c r="A440" s="11">
        <f t="shared" si="51"/>
        <v>435</v>
      </c>
      <c r="B440" s="11" t="s">
        <v>1225</v>
      </c>
      <c r="C440" s="17" t="s">
        <v>1482</v>
      </c>
      <c r="D440" s="12" t="s">
        <v>1483</v>
      </c>
      <c r="E440" s="13">
        <v>226933.71</v>
      </c>
      <c r="G440" s="13">
        <f t="shared" si="60"/>
        <v>226933.71</v>
      </c>
      <c r="H440" s="13">
        <v>0</v>
      </c>
      <c r="I440" s="13">
        <f t="shared" si="62"/>
        <v>-72505.320345</v>
      </c>
      <c r="K440" s="14">
        <f t="shared" si="61"/>
        <v>154428.38965500001</v>
      </c>
      <c r="M440" s="11"/>
      <c r="O440" s="15"/>
    </row>
    <row r="441" spans="1:15" outlineLevel="2">
      <c r="A441" s="11">
        <f t="shared" si="51"/>
        <v>436</v>
      </c>
      <c r="B441" s="11" t="s">
        <v>1225</v>
      </c>
      <c r="C441" s="17" t="s">
        <v>1484</v>
      </c>
      <c r="D441" s="12" t="s">
        <v>1485</v>
      </c>
      <c r="E441" s="13">
        <v>172921.71</v>
      </c>
      <c r="G441" s="13">
        <f t="shared" si="60"/>
        <v>172921.71</v>
      </c>
      <c r="H441" s="13">
        <v>0</v>
      </c>
      <c r="I441" s="13">
        <f t="shared" si="62"/>
        <v>-55248.486344999998</v>
      </c>
      <c r="K441" s="14">
        <f>SUM(G441:J441)</f>
        <v>117673.22365499999</v>
      </c>
      <c r="M441" s="11"/>
      <c r="O441" s="15"/>
    </row>
    <row r="442" spans="1:15" outlineLevel="2">
      <c r="A442" s="11">
        <f t="shared" si="51"/>
        <v>437</v>
      </c>
      <c r="B442" s="11" t="s">
        <v>1225</v>
      </c>
      <c r="C442" s="17" t="s">
        <v>1486</v>
      </c>
      <c r="D442" s="12" t="s">
        <v>1487</v>
      </c>
      <c r="E442" s="13">
        <v>412994.41</v>
      </c>
      <c r="G442" s="13">
        <f t="shared" si="60"/>
        <v>412994.41</v>
      </c>
      <c r="H442" s="13">
        <v>0</v>
      </c>
      <c r="I442" s="13">
        <f t="shared" si="62"/>
        <v>-131951.713995</v>
      </c>
      <c r="K442" s="14">
        <f t="shared" si="61"/>
        <v>281042.69600499998</v>
      </c>
      <c r="M442" s="11"/>
      <c r="O442" s="15"/>
    </row>
    <row r="443" spans="1:15" outlineLevel="2">
      <c r="A443" s="11">
        <f t="shared" si="51"/>
        <v>438</v>
      </c>
      <c r="B443" s="11" t="s">
        <v>1225</v>
      </c>
      <c r="C443" s="17" t="s">
        <v>1488</v>
      </c>
      <c r="D443" s="12" t="s">
        <v>1489</v>
      </c>
      <c r="E443" s="13">
        <v>1122798.52</v>
      </c>
      <c r="G443" s="13">
        <f t="shared" si="60"/>
        <v>1122798.52</v>
      </c>
      <c r="H443" s="13">
        <v>0</v>
      </c>
      <c r="I443" s="13">
        <f t="shared" si="62"/>
        <v>-358734.12714</v>
      </c>
      <c r="K443" s="14">
        <f t="shared" si="61"/>
        <v>764064.39286000002</v>
      </c>
      <c r="M443" s="11"/>
      <c r="O443" s="15"/>
    </row>
    <row r="444" spans="1:15" outlineLevel="2">
      <c r="A444" s="11">
        <f t="shared" si="51"/>
        <v>439</v>
      </c>
      <c r="B444" s="11" t="s">
        <v>1225</v>
      </c>
      <c r="C444" s="17" t="s">
        <v>1490</v>
      </c>
      <c r="D444" s="12" t="s">
        <v>1491</v>
      </c>
      <c r="E444" s="13">
        <v>1237</v>
      </c>
      <c r="G444" s="13">
        <f t="shared" si="60"/>
        <v>1237</v>
      </c>
      <c r="H444" s="13">
        <v>0</v>
      </c>
      <c r="I444" s="13">
        <f>-(G444*$L$315)</f>
        <v>-395.22149999999999</v>
      </c>
      <c r="K444" s="14">
        <f t="shared" si="61"/>
        <v>841.77850000000001</v>
      </c>
      <c r="M444" s="11"/>
      <c r="O444" s="15"/>
    </row>
    <row r="445" spans="1:15" outlineLevel="2">
      <c r="A445" s="11">
        <f t="shared" si="51"/>
        <v>440</v>
      </c>
      <c r="B445" s="11" t="s">
        <v>1225</v>
      </c>
      <c r="C445" s="17" t="s">
        <v>1492</v>
      </c>
      <c r="D445" s="12" t="s">
        <v>1493</v>
      </c>
      <c r="E445" s="13">
        <v>105437.86</v>
      </c>
      <c r="G445" s="13">
        <f t="shared" si="60"/>
        <v>105437.86</v>
      </c>
      <c r="H445" s="13">
        <v>0</v>
      </c>
      <c r="I445" s="13">
        <f>-(G445*$L$315)</f>
        <v>-33687.396269999997</v>
      </c>
      <c r="K445" s="14">
        <f t="shared" ref="K445:K452" si="63">SUM(G445:J445)</f>
        <v>71750.463730000003</v>
      </c>
      <c r="M445" s="11"/>
      <c r="O445" s="15"/>
    </row>
    <row r="446" spans="1:15" outlineLevel="2">
      <c r="A446" s="11">
        <f t="shared" si="51"/>
        <v>441</v>
      </c>
      <c r="B446" s="11" t="s">
        <v>1225</v>
      </c>
      <c r="C446" s="17" t="s">
        <v>1494</v>
      </c>
      <c r="D446" s="12" t="s">
        <v>1495</v>
      </c>
      <c r="E446" s="13">
        <v>933274.55</v>
      </c>
      <c r="G446" s="13">
        <f t="shared" si="60"/>
        <v>933274.55</v>
      </c>
      <c r="H446" s="13">
        <v>0</v>
      </c>
      <c r="I446" s="13">
        <f>-(G446*$L$315)</f>
        <v>-298181.21872500004</v>
      </c>
      <c r="K446" s="14">
        <f t="shared" si="63"/>
        <v>635093.331275</v>
      </c>
      <c r="M446" s="11"/>
      <c r="O446" s="15"/>
    </row>
    <row r="447" spans="1:15" outlineLevel="2">
      <c r="A447" s="11">
        <f t="shared" si="51"/>
        <v>442</v>
      </c>
      <c r="B447" s="11" t="s">
        <v>1225</v>
      </c>
      <c r="C447" s="17" t="s">
        <v>1496</v>
      </c>
      <c r="D447" s="12" t="s">
        <v>1497</v>
      </c>
      <c r="E447" s="13">
        <v>427162.42</v>
      </c>
      <c r="G447" s="13">
        <f>E447+F447</f>
        <v>427162.42</v>
      </c>
      <c r="H447" s="13">
        <v>0</v>
      </c>
      <c r="I447" s="13">
        <f>-(G447*$L$315)</f>
        <v>-136478.39319</v>
      </c>
      <c r="K447" s="14">
        <f t="shared" si="63"/>
        <v>290684.02680999995</v>
      </c>
      <c r="M447" s="11"/>
      <c r="O447" s="15"/>
    </row>
    <row r="448" spans="1:15" outlineLevel="2">
      <c r="A448" s="11">
        <f t="shared" si="51"/>
        <v>443</v>
      </c>
      <c r="B448" s="11" t="s">
        <v>1225</v>
      </c>
      <c r="C448" s="17" t="s">
        <v>1498</v>
      </c>
      <c r="D448" s="12" t="s">
        <v>1499</v>
      </c>
      <c r="E448" s="13">
        <v>330717.93</v>
      </c>
      <c r="G448" s="13">
        <f t="shared" ref="G448:G462" si="64">E448+F448</f>
        <v>330717.93</v>
      </c>
      <c r="H448" s="13">
        <v>0</v>
      </c>
      <c r="I448" s="13">
        <f>-(G448*$L$315)</f>
        <v>-105664.378635</v>
      </c>
      <c r="K448" s="14">
        <f t="shared" si="63"/>
        <v>225053.55136499999</v>
      </c>
      <c r="L448" s="26"/>
      <c r="M448" s="11"/>
      <c r="O448" s="15"/>
    </row>
    <row r="449" spans="1:15" outlineLevel="2">
      <c r="A449" s="11">
        <f t="shared" si="51"/>
        <v>444</v>
      </c>
      <c r="B449" s="11" t="s">
        <v>1225</v>
      </c>
      <c r="C449" s="17" t="s">
        <v>1500</v>
      </c>
      <c r="D449" s="12" t="s">
        <v>1501</v>
      </c>
      <c r="E449" s="13">
        <v>1366</v>
      </c>
      <c r="G449" s="13">
        <f t="shared" si="64"/>
        <v>1366</v>
      </c>
      <c r="H449" s="13">
        <v>0</v>
      </c>
      <c r="I449" s="13">
        <f t="shared" ref="I449:I457" si="65">-(G449*$L$315)</f>
        <v>-436.43700000000001</v>
      </c>
      <c r="K449" s="14">
        <f t="shared" si="63"/>
        <v>929.56299999999999</v>
      </c>
      <c r="L449" s="26"/>
      <c r="M449" s="11"/>
      <c r="O449" s="15"/>
    </row>
    <row r="450" spans="1:15" outlineLevel="2">
      <c r="A450" s="11">
        <f t="shared" si="51"/>
        <v>445</v>
      </c>
      <c r="B450" s="11" t="s">
        <v>1225</v>
      </c>
      <c r="C450" s="17" t="s">
        <v>1502</v>
      </c>
      <c r="D450" s="12" t="s">
        <v>1503</v>
      </c>
      <c r="E450" s="13">
        <v>532434.87</v>
      </c>
      <c r="G450" s="13">
        <f t="shared" si="64"/>
        <v>532434.87</v>
      </c>
      <c r="H450" s="13">
        <v>0</v>
      </c>
      <c r="I450" s="13">
        <f t="shared" si="65"/>
        <v>-170112.94096500002</v>
      </c>
      <c r="K450" s="14">
        <f t="shared" si="63"/>
        <v>362321.92903499998</v>
      </c>
      <c r="L450" s="26"/>
      <c r="M450" s="11"/>
      <c r="O450" s="15"/>
    </row>
    <row r="451" spans="1:15" outlineLevel="2">
      <c r="A451" s="11">
        <f t="shared" si="51"/>
        <v>446</v>
      </c>
      <c r="B451" s="11" t="s">
        <v>1225</v>
      </c>
      <c r="C451" s="17" t="s">
        <v>1504</v>
      </c>
      <c r="D451" s="12" t="s">
        <v>1505</v>
      </c>
      <c r="E451" s="13">
        <v>549514.41</v>
      </c>
      <c r="G451" s="13">
        <f t="shared" si="64"/>
        <v>549514.41</v>
      </c>
      <c r="H451" s="13">
        <v>0</v>
      </c>
      <c r="I451" s="13">
        <f t="shared" si="65"/>
        <v>-175569.85399500001</v>
      </c>
      <c r="K451" s="14">
        <f t="shared" si="63"/>
        <v>373944.55600500002</v>
      </c>
      <c r="L451" s="26"/>
      <c r="M451" s="11"/>
      <c r="O451" s="15"/>
    </row>
    <row r="452" spans="1:15" outlineLevel="2">
      <c r="A452" s="11">
        <f t="shared" si="51"/>
        <v>447</v>
      </c>
      <c r="B452" s="11" t="s">
        <v>1225</v>
      </c>
      <c r="C452" s="17" t="s">
        <v>1506</v>
      </c>
      <c r="D452" s="12" t="s">
        <v>1507</v>
      </c>
      <c r="E452" s="13">
        <v>295982.49</v>
      </c>
      <c r="G452" s="13">
        <f t="shared" si="64"/>
        <v>295982.49</v>
      </c>
      <c r="H452" s="13">
        <v>0</v>
      </c>
      <c r="I452" s="13">
        <f t="shared" si="65"/>
        <v>-94566.405555000005</v>
      </c>
      <c r="K452" s="14">
        <f t="shared" si="63"/>
        <v>201416.08444499999</v>
      </c>
      <c r="L452" s="26"/>
      <c r="M452" s="11"/>
      <c r="O452" s="15"/>
    </row>
    <row r="453" spans="1:15" outlineLevel="2">
      <c r="A453" s="11">
        <f t="shared" si="51"/>
        <v>448</v>
      </c>
      <c r="B453" s="11" t="s">
        <v>1225</v>
      </c>
      <c r="C453" s="17" t="s">
        <v>1508</v>
      </c>
      <c r="D453" s="12" t="s">
        <v>1509</v>
      </c>
      <c r="E453" s="13">
        <v>1853</v>
      </c>
      <c r="G453" s="13">
        <f t="shared" si="64"/>
        <v>1853</v>
      </c>
      <c r="H453" s="13">
        <v>0</v>
      </c>
      <c r="I453" s="13">
        <f t="shared" si="65"/>
        <v>-592.0335</v>
      </c>
      <c r="K453" s="14">
        <f t="shared" ref="K453:K462" si="66">SUM(G453:J453)</f>
        <v>1260.9665</v>
      </c>
      <c r="L453" s="26"/>
      <c r="M453" s="11"/>
      <c r="O453" s="15"/>
    </row>
    <row r="454" spans="1:15" outlineLevel="2">
      <c r="A454" s="11">
        <f t="shared" si="51"/>
        <v>449</v>
      </c>
      <c r="B454" s="11" t="s">
        <v>1225</v>
      </c>
      <c r="C454" s="17" t="s">
        <v>1510</v>
      </c>
      <c r="D454" s="12" t="s">
        <v>1511</v>
      </c>
      <c r="E454" s="13">
        <v>50053.17</v>
      </c>
      <c r="G454" s="13">
        <f t="shared" si="64"/>
        <v>50053.17</v>
      </c>
      <c r="H454" s="13">
        <v>0</v>
      </c>
      <c r="I454" s="13">
        <f t="shared" si="65"/>
        <v>-15991.987815</v>
      </c>
      <c r="K454" s="14">
        <f t="shared" si="66"/>
        <v>34061.182184999998</v>
      </c>
      <c r="L454" s="26"/>
      <c r="M454" s="11"/>
      <c r="O454" s="15"/>
    </row>
    <row r="455" spans="1:15" outlineLevel="2">
      <c r="A455" s="11">
        <f t="shared" si="51"/>
        <v>450</v>
      </c>
      <c r="B455" s="11" t="s">
        <v>1225</v>
      </c>
      <c r="C455" s="17" t="s">
        <v>1512</v>
      </c>
      <c r="D455" s="12" t="s">
        <v>1513</v>
      </c>
      <c r="E455" s="13">
        <v>502734.43</v>
      </c>
      <c r="G455" s="13">
        <f t="shared" si="64"/>
        <v>502734.43</v>
      </c>
      <c r="H455" s="13">
        <v>0</v>
      </c>
      <c r="I455" s="13">
        <f t="shared" si="65"/>
        <v>-160623.65038500002</v>
      </c>
      <c r="K455" s="14">
        <f t="shared" si="66"/>
        <v>342110.77961500001</v>
      </c>
      <c r="L455" s="26"/>
      <c r="M455" s="11"/>
      <c r="O455" s="15"/>
    </row>
    <row r="456" spans="1:15" outlineLevel="2">
      <c r="A456" s="11">
        <f t="shared" ref="A456:A518" si="67">A455+1</f>
        <v>451</v>
      </c>
      <c r="B456" s="11" t="s">
        <v>1225</v>
      </c>
      <c r="C456" s="17" t="s">
        <v>1514</v>
      </c>
      <c r="D456" s="12" t="s">
        <v>1515</v>
      </c>
      <c r="E456" s="13">
        <v>475545.18</v>
      </c>
      <c r="G456" s="13">
        <f t="shared" si="64"/>
        <v>475545.18</v>
      </c>
      <c r="H456" s="13">
        <v>0</v>
      </c>
      <c r="I456" s="13">
        <f t="shared" si="65"/>
        <v>-151936.68500999999</v>
      </c>
      <c r="K456" s="14">
        <f>SUM(G456:J456)</f>
        <v>323608.49499000004</v>
      </c>
      <c r="L456" s="26"/>
      <c r="M456" s="11"/>
      <c r="O456" s="15"/>
    </row>
    <row r="457" spans="1:15" outlineLevel="2">
      <c r="A457" s="11">
        <f t="shared" si="67"/>
        <v>452</v>
      </c>
      <c r="B457" s="11" t="s">
        <v>1225</v>
      </c>
      <c r="C457" s="17" t="s">
        <v>1516</v>
      </c>
      <c r="D457" s="12" t="s">
        <v>1517</v>
      </c>
      <c r="E457" s="13">
        <v>8781.5400000000009</v>
      </c>
      <c r="G457" s="13">
        <f t="shared" si="64"/>
        <v>8781.5400000000009</v>
      </c>
      <c r="H457" s="13">
        <v>0</v>
      </c>
      <c r="I457" s="13">
        <f t="shared" si="65"/>
        <v>-2805.7020300000004</v>
      </c>
      <c r="K457" s="14">
        <f t="shared" si="66"/>
        <v>5975.8379700000005</v>
      </c>
      <c r="L457" s="26"/>
      <c r="M457" s="11"/>
      <c r="O457" s="15"/>
    </row>
    <row r="458" spans="1:15" outlineLevel="2">
      <c r="A458" s="11">
        <f t="shared" si="67"/>
        <v>453</v>
      </c>
      <c r="B458" s="11" t="s">
        <v>1225</v>
      </c>
      <c r="C458" s="17" t="s">
        <v>1518</v>
      </c>
      <c r="D458" s="12" t="s">
        <v>1519</v>
      </c>
      <c r="E458" s="13">
        <v>106095.81</v>
      </c>
      <c r="G458" s="13">
        <f t="shared" si="64"/>
        <v>106095.81</v>
      </c>
      <c r="H458" s="13">
        <v>0</v>
      </c>
      <c r="I458" s="13">
        <f t="shared" ref="I458:I464" si="68">-(G458*$L$315)</f>
        <v>-33897.611295000002</v>
      </c>
      <c r="K458" s="14">
        <f t="shared" si="66"/>
        <v>72198.198704999988</v>
      </c>
      <c r="L458" s="26"/>
      <c r="M458" s="11"/>
      <c r="O458" s="15"/>
    </row>
    <row r="459" spans="1:15" outlineLevel="2">
      <c r="A459" s="11">
        <f t="shared" si="67"/>
        <v>454</v>
      </c>
      <c r="B459" s="11" t="s">
        <v>1225</v>
      </c>
      <c r="C459" s="17" t="s">
        <v>1520</v>
      </c>
      <c r="D459" s="12" t="s">
        <v>1521</v>
      </c>
      <c r="E459" s="13">
        <v>216887.19</v>
      </c>
      <c r="G459" s="13">
        <f t="shared" si="64"/>
        <v>216887.19</v>
      </c>
      <c r="H459" s="13">
        <v>0</v>
      </c>
      <c r="I459" s="13">
        <f t="shared" si="68"/>
        <v>-69295.457204999999</v>
      </c>
      <c r="K459" s="14">
        <f>SUM(G459:J459)</f>
        <v>147591.73279500002</v>
      </c>
      <c r="L459" s="26"/>
      <c r="M459" s="11"/>
      <c r="O459" s="15"/>
    </row>
    <row r="460" spans="1:15" outlineLevel="2">
      <c r="A460" s="11">
        <f t="shared" si="67"/>
        <v>455</v>
      </c>
      <c r="B460" s="11" t="s">
        <v>1225</v>
      </c>
      <c r="C460" s="17" t="s">
        <v>1522</v>
      </c>
      <c r="D460" s="12" t="s">
        <v>1523</v>
      </c>
      <c r="E460" s="13">
        <v>588189.96</v>
      </c>
      <c r="G460" s="13">
        <f t="shared" si="64"/>
        <v>588189.96</v>
      </c>
      <c r="H460" s="13">
        <v>0</v>
      </c>
      <c r="I460" s="13">
        <f t="shared" si="68"/>
        <v>-187926.69222</v>
      </c>
      <c r="K460" s="14">
        <f t="shared" si="66"/>
        <v>400263.26777999999</v>
      </c>
      <c r="L460" s="26"/>
      <c r="M460" s="11"/>
      <c r="O460" s="15"/>
    </row>
    <row r="461" spans="1:15" outlineLevel="2">
      <c r="A461" s="11">
        <f t="shared" si="67"/>
        <v>456</v>
      </c>
      <c r="B461" s="11" t="s">
        <v>1225</v>
      </c>
      <c r="C461" s="17" t="s">
        <v>1524</v>
      </c>
      <c r="D461" s="12" t="s">
        <v>1525</v>
      </c>
      <c r="E461" s="13">
        <v>1256065.43</v>
      </c>
      <c r="G461" s="13">
        <f t="shared" si="64"/>
        <v>1256065.43</v>
      </c>
      <c r="H461" s="13">
        <v>0</v>
      </c>
      <c r="I461" s="13">
        <f t="shared" si="68"/>
        <v>-401312.90488499997</v>
      </c>
      <c r="K461" s="14">
        <f t="shared" si="66"/>
        <v>854752.52511499997</v>
      </c>
      <c r="L461" s="26"/>
      <c r="M461" s="11"/>
      <c r="O461" s="15"/>
    </row>
    <row r="462" spans="1:15" outlineLevel="2">
      <c r="A462" s="11">
        <f t="shared" si="67"/>
        <v>457</v>
      </c>
      <c r="B462" s="11" t="s">
        <v>1225</v>
      </c>
      <c r="C462" s="17" t="s">
        <v>1526</v>
      </c>
      <c r="D462" s="12" t="s">
        <v>1527</v>
      </c>
      <c r="E462" s="13">
        <v>110425.35</v>
      </c>
      <c r="G462" s="13">
        <f t="shared" si="64"/>
        <v>110425.35</v>
      </c>
      <c r="H462" s="13">
        <v>0</v>
      </c>
      <c r="I462" s="13">
        <f t="shared" si="68"/>
        <v>-35280.899325000006</v>
      </c>
      <c r="K462" s="14">
        <f t="shared" si="66"/>
        <v>75144.450675</v>
      </c>
      <c r="L462" s="26"/>
      <c r="M462" s="11"/>
      <c r="O462" s="15"/>
    </row>
    <row r="463" spans="1:15" outlineLevel="2">
      <c r="A463" s="11">
        <f t="shared" si="67"/>
        <v>458</v>
      </c>
      <c r="B463" s="11" t="s">
        <v>1225</v>
      </c>
      <c r="C463" s="17" t="s">
        <v>1528</v>
      </c>
      <c r="D463" s="12" t="s">
        <v>1529</v>
      </c>
      <c r="E463" s="13">
        <v>116388.36</v>
      </c>
      <c r="G463" s="13">
        <f>E463+F463</f>
        <v>116388.36</v>
      </c>
      <c r="H463" s="13">
        <v>0</v>
      </c>
      <c r="I463" s="13">
        <f t="shared" si="68"/>
        <v>-37186.081019999998</v>
      </c>
      <c r="K463" s="14">
        <f t="shared" ref="K463:K473" si="69">SUM(G463:J463)</f>
        <v>79202.278980000003</v>
      </c>
      <c r="L463" s="26"/>
      <c r="M463" s="11"/>
      <c r="O463" s="15"/>
    </row>
    <row r="464" spans="1:15" outlineLevel="2">
      <c r="A464" s="11">
        <f t="shared" si="67"/>
        <v>459</v>
      </c>
      <c r="B464" s="11" t="s">
        <v>1225</v>
      </c>
      <c r="C464" s="17" t="s">
        <v>1530</v>
      </c>
      <c r="D464" s="12" t="s">
        <v>1531</v>
      </c>
      <c r="E464" s="13">
        <v>536443.66</v>
      </c>
      <c r="G464" s="13">
        <f t="shared" ref="G464:G473" si="70">E464+F464</f>
        <v>536443.66</v>
      </c>
      <c r="H464" s="13">
        <v>0</v>
      </c>
      <c r="I464" s="13">
        <f t="shared" si="68"/>
        <v>-171393.74937000001</v>
      </c>
      <c r="K464" s="14">
        <f t="shared" si="69"/>
        <v>365049.91063000006</v>
      </c>
      <c r="L464" s="26"/>
      <c r="M464" s="11"/>
      <c r="O464" s="15"/>
    </row>
    <row r="465" spans="1:15" outlineLevel="2">
      <c r="A465" s="11">
        <f t="shared" si="67"/>
        <v>460</v>
      </c>
      <c r="B465" s="11" t="s">
        <v>1225</v>
      </c>
      <c r="C465" s="17" t="s">
        <v>1532</v>
      </c>
      <c r="D465" s="12" t="s">
        <v>1533</v>
      </c>
      <c r="E465" s="13">
        <v>721884.45</v>
      </c>
      <c r="G465" s="13">
        <f t="shared" si="70"/>
        <v>721884.45</v>
      </c>
      <c r="H465" s="13">
        <v>0</v>
      </c>
      <c r="I465" s="13">
        <f t="shared" ref="I465:I473" si="71">-(G465*$L$315)</f>
        <v>-230642.081775</v>
      </c>
      <c r="K465" s="14">
        <f t="shared" si="69"/>
        <v>491242.36822499998</v>
      </c>
      <c r="L465" s="26"/>
      <c r="M465" s="11"/>
      <c r="O465" s="15"/>
    </row>
    <row r="466" spans="1:15" outlineLevel="2">
      <c r="A466" s="11">
        <f t="shared" si="67"/>
        <v>461</v>
      </c>
      <c r="B466" s="11" t="s">
        <v>1225</v>
      </c>
      <c r="C466" s="17" t="s">
        <v>1534</v>
      </c>
      <c r="D466" s="12" t="s">
        <v>1535</v>
      </c>
      <c r="E466" s="13">
        <v>17781.11</v>
      </c>
      <c r="G466" s="13">
        <f t="shared" si="70"/>
        <v>17781.11</v>
      </c>
      <c r="H466" s="13">
        <v>0</v>
      </c>
      <c r="I466" s="13">
        <f t="shared" si="71"/>
        <v>-5681.0646450000004</v>
      </c>
      <c r="K466" s="14">
        <f t="shared" si="69"/>
        <v>12100.045355</v>
      </c>
      <c r="M466" s="11"/>
      <c r="O466" s="15"/>
    </row>
    <row r="467" spans="1:15" outlineLevel="2">
      <c r="A467" s="11">
        <f t="shared" si="67"/>
        <v>462</v>
      </c>
      <c r="B467" s="11" t="s">
        <v>1225</v>
      </c>
      <c r="C467" s="17" t="s">
        <v>1536</v>
      </c>
      <c r="D467" s="12" t="s">
        <v>1537</v>
      </c>
      <c r="E467" s="13">
        <v>682468.71</v>
      </c>
      <c r="G467" s="13">
        <f t="shared" si="70"/>
        <v>682468.71</v>
      </c>
      <c r="H467" s="13">
        <v>0</v>
      </c>
      <c r="I467" s="13">
        <f t="shared" si="71"/>
        <v>-218048.75284499998</v>
      </c>
      <c r="K467" s="14">
        <f t="shared" si="69"/>
        <v>464419.95715499995</v>
      </c>
      <c r="M467" s="11"/>
      <c r="O467" s="15"/>
    </row>
    <row r="468" spans="1:15" outlineLevel="2">
      <c r="A468" s="11">
        <f t="shared" si="67"/>
        <v>463</v>
      </c>
      <c r="B468" s="11" t="s">
        <v>1225</v>
      </c>
      <c r="C468" s="17" t="s">
        <v>1538</v>
      </c>
      <c r="D468" s="12" t="s">
        <v>1539</v>
      </c>
      <c r="E468" s="13">
        <v>19002.97</v>
      </c>
      <c r="G468" s="13">
        <f t="shared" si="70"/>
        <v>19002.97</v>
      </c>
      <c r="H468" s="13">
        <v>0</v>
      </c>
      <c r="I468" s="13">
        <f t="shared" si="71"/>
        <v>-6071.4489150000009</v>
      </c>
      <c r="K468" s="14">
        <f t="shared" si="69"/>
        <v>12931.521085</v>
      </c>
      <c r="M468" s="11"/>
      <c r="O468" s="15"/>
    </row>
    <row r="469" spans="1:15" outlineLevel="2">
      <c r="A469" s="11">
        <f t="shared" si="67"/>
        <v>464</v>
      </c>
      <c r="B469" s="11" t="s">
        <v>1225</v>
      </c>
      <c r="C469" s="17" t="s">
        <v>1540</v>
      </c>
      <c r="D469" s="12" t="s">
        <v>1541</v>
      </c>
      <c r="E469" s="13">
        <v>91987.25</v>
      </c>
      <c r="G469" s="13">
        <f t="shared" si="70"/>
        <v>91987.25</v>
      </c>
      <c r="H469" s="13">
        <v>0</v>
      </c>
      <c r="I469" s="13">
        <f t="shared" si="71"/>
        <v>-29389.926374999999</v>
      </c>
      <c r="K469" s="14">
        <f t="shared" si="69"/>
        <v>62597.323625000005</v>
      </c>
      <c r="L469" s="14"/>
      <c r="M469" s="14"/>
      <c r="N469" s="14"/>
      <c r="O469" s="14"/>
    </row>
    <row r="470" spans="1:15" outlineLevel="2">
      <c r="A470" s="11">
        <f t="shared" si="67"/>
        <v>465</v>
      </c>
      <c r="B470" s="11" t="s">
        <v>1225</v>
      </c>
      <c r="C470" s="17" t="s">
        <v>1542</v>
      </c>
      <c r="D470" s="12" t="s">
        <v>1543</v>
      </c>
      <c r="E470" s="13">
        <v>165594.23999999999</v>
      </c>
      <c r="G470" s="13">
        <f t="shared" si="70"/>
        <v>165594.23999999999</v>
      </c>
      <c r="H470" s="13">
        <v>0</v>
      </c>
      <c r="I470" s="13">
        <f t="shared" si="71"/>
        <v>-52907.359680000001</v>
      </c>
      <c r="K470" s="14">
        <f t="shared" si="69"/>
        <v>112686.88032</v>
      </c>
      <c r="L470" s="12"/>
      <c r="M470" s="11"/>
      <c r="O470" s="15"/>
    </row>
    <row r="471" spans="1:15" outlineLevel="2">
      <c r="A471" s="11">
        <f t="shared" si="67"/>
        <v>466</v>
      </c>
      <c r="B471" s="11" t="s">
        <v>1225</v>
      </c>
      <c r="C471" s="17" t="s">
        <v>1544</v>
      </c>
      <c r="D471" s="12" t="s">
        <v>1545</v>
      </c>
      <c r="E471" s="13">
        <v>19230</v>
      </c>
      <c r="G471" s="13">
        <f t="shared" si="70"/>
        <v>19230</v>
      </c>
      <c r="I471" s="13">
        <f t="shared" si="71"/>
        <v>-6143.9849999999997</v>
      </c>
      <c r="K471" s="14">
        <f t="shared" si="69"/>
        <v>13086.014999999999</v>
      </c>
      <c r="L471" s="12"/>
      <c r="M471" s="11"/>
      <c r="O471" s="15"/>
    </row>
    <row r="472" spans="1:15" outlineLevel="2">
      <c r="A472" s="11">
        <f t="shared" si="67"/>
        <v>467</v>
      </c>
      <c r="B472" s="11" t="s">
        <v>1225</v>
      </c>
      <c r="C472" s="17" t="s">
        <v>1546</v>
      </c>
      <c r="D472" s="12" t="s">
        <v>1547</v>
      </c>
      <c r="E472" s="13">
        <v>28279.89</v>
      </c>
      <c r="G472" s="13">
        <f t="shared" si="70"/>
        <v>28279.89</v>
      </c>
      <c r="H472" s="13">
        <v>0</v>
      </c>
      <c r="I472" s="13">
        <f t="shared" si="71"/>
        <v>-9035.4248549999993</v>
      </c>
      <c r="K472" s="14">
        <f t="shared" si="69"/>
        <v>19244.465145000002</v>
      </c>
      <c r="L472" s="12"/>
      <c r="M472" s="11"/>
    </row>
    <row r="473" spans="1:15" outlineLevel="2">
      <c r="A473" s="11">
        <f t="shared" si="67"/>
        <v>468</v>
      </c>
      <c r="B473" s="11" t="s">
        <v>1225</v>
      </c>
      <c r="C473" s="12" t="s">
        <v>1548</v>
      </c>
      <c r="D473" s="12" t="s">
        <v>1549</v>
      </c>
      <c r="E473" s="13">
        <f>72507.65+150859.01</f>
        <v>223366.66</v>
      </c>
      <c r="G473" s="13">
        <f t="shared" si="70"/>
        <v>223366.66</v>
      </c>
      <c r="H473" s="13">
        <v>0</v>
      </c>
      <c r="I473" s="13">
        <f t="shared" si="71"/>
        <v>-71365.647870000001</v>
      </c>
      <c r="K473" s="14">
        <f t="shared" si="69"/>
        <v>152001.01212999999</v>
      </c>
      <c r="L473" s="12"/>
      <c r="M473" s="11"/>
      <c r="O473" s="15"/>
    </row>
    <row r="474" spans="1:15" s="6" customFormat="1" ht="13.5" outlineLevel="1" thickBot="1">
      <c r="A474" s="11">
        <f t="shared" si="67"/>
        <v>469</v>
      </c>
      <c r="B474" s="18" t="s">
        <v>1550</v>
      </c>
      <c r="C474" s="20"/>
      <c r="D474" s="20" t="s">
        <v>1551</v>
      </c>
      <c r="E474" s="21">
        <f>SUBTOTAL(9,E312:E473)</f>
        <v>44496135.029999994</v>
      </c>
      <c r="F474" s="21">
        <f>SUBTOTAL(9,F312:F473)</f>
        <v>0</v>
      </c>
      <c r="G474" s="21">
        <f>SUBTOTAL(9,G312:G473)</f>
        <v>44496135.029999994</v>
      </c>
      <c r="H474" s="21">
        <f>SUBTOTAL(9,H312:H473)</f>
        <v>0</v>
      </c>
      <c r="I474" s="21">
        <f>SUBTOTAL(9,I312:I473)</f>
        <v>-14302227.022885006</v>
      </c>
      <c r="J474" s="21"/>
      <c r="K474" s="22">
        <f>SUBTOTAL(9,K312:K473)</f>
        <v>30193908.007115003</v>
      </c>
      <c r="M474" s="3"/>
      <c r="N474" s="3"/>
      <c r="O474" s="8"/>
    </row>
    <row r="475" spans="1:15" ht="13.5" outlineLevel="2" thickTop="1">
      <c r="A475" s="11">
        <f t="shared" si="67"/>
        <v>470</v>
      </c>
      <c r="B475" s="11" t="s">
        <v>1552</v>
      </c>
      <c r="C475" s="17" t="s">
        <v>1553</v>
      </c>
      <c r="D475" s="12" t="s">
        <v>1554</v>
      </c>
      <c r="E475" s="13">
        <v>19890751.77</v>
      </c>
      <c r="G475" s="13">
        <f>E475+F475</f>
        <v>19890751.77</v>
      </c>
      <c r="H475" s="13">
        <v>0</v>
      </c>
      <c r="I475" s="13">
        <v>0</v>
      </c>
      <c r="K475" s="14">
        <f>SUM(G475:J475)</f>
        <v>19890751.77</v>
      </c>
      <c r="L475" s="12"/>
      <c r="M475" s="11"/>
      <c r="O475" s="15"/>
    </row>
    <row r="476" spans="1:15" outlineLevel="2">
      <c r="A476" s="11">
        <f t="shared" si="67"/>
        <v>471</v>
      </c>
      <c r="B476" s="11" t="s">
        <v>1552</v>
      </c>
      <c r="C476" s="735" t="s">
        <v>1553</v>
      </c>
      <c r="D476" s="12" t="s">
        <v>1555</v>
      </c>
      <c r="E476" s="13">
        <v>3680368.76</v>
      </c>
      <c r="G476" s="13">
        <f>E476+F476</f>
        <v>3680368.76</v>
      </c>
      <c r="H476" s="13">
        <v>0</v>
      </c>
      <c r="I476" s="13">
        <v>0</v>
      </c>
      <c r="K476" s="14">
        <f>SUM(G476:J476)</f>
        <v>3680368.76</v>
      </c>
      <c r="L476" s="12"/>
      <c r="M476" s="11"/>
      <c r="O476" s="15"/>
    </row>
    <row r="477" spans="1:15" s="6" customFormat="1" ht="13.5" outlineLevel="1" thickBot="1">
      <c r="A477" s="11">
        <f t="shared" si="67"/>
        <v>472</v>
      </c>
      <c r="B477" s="18" t="s">
        <v>1556</v>
      </c>
      <c r="C477" s="27"/>
      <c r="D477" s="20" t="s">
        <v>1557</v>
      </c>
      <c r="E477" s="21">
        <f>SUBTOTAL(9,E475:E476)</f>
        <v>23571120.530000001</v>
      </c>
      <c r="F477" s="21">
        <f>SUBTOTAL(9,F475:F476)</f>
        <v>0</v>
      </c>
      <c r="G477" s="21">
        <f>SUBTOTAL(9,G475:G476)</f>
        <v>23571120.530000001</v>
      </c>
      <c r="H477" s="21">
        <f>SUBTOTAL(9,H475:H476)</f>
        <v>0</v>
      </c>
      <c r="I477" s="21">
        <f>SUBTOTAL(9,I475:I476)</f>
        <v>0</v>
      </c>
      <c r="J477" s="21"/>
      <c r="K477" s="22">
        <f>SUBTOTAL(9,K475:K476)</f>
        <v>23571120.530000001</v>
      </c>
      <c r="M477" s="3"/>
      <c r="N477" s="3"/>
      <c r="O477" s="8"/>
    </row>
    <row r="478" spans="1:15" ht="13.5" outlineLevel="2" thickTop="1">
      <c r="A478" s="11">
        <f t="shared" si="67"/>
        <v>473</v>
      </c>
      <c r="B478" s="11" t="s">
        <v>1558</v>
      </c>
      <c r="C478" s="17" t="s">
        <v>1559</v>
      </c>
      <c r="D478" s="12" t="s">
        <v>1560</v>
      </c>
      <c r="E478" s="13">
        <v>650000.85</v>
      </c>
      <c r="G478" s="13">
        <f>E478+F478</f>
        <v>650000.85</v>
      </c>
      <c r="H478" s="13">
        <v>-650001</v>
      </c>
      <c r="I478" s="13">
        <v>0</v>
      </c>
      <c r="K478" s="14">
        <f>SUM(G478:J478)</f>
        <v>-0.15000000002328306</v>
      </c>
      <c r="L478" s="802"/>
      <c r="M478" s="11"/>
      <c r="O478" s="15"/>
    </row>
    <row r="479" spans="1:15" outlineLevel="2">
      <c r="A479" s="11">
        <f t="shared" si="67"/>
        <v>474</v>
      </c>
      <c r="B479" s="11" t="s">
        <v>1558</v>
      </c>
      <c r="C479" s="17" t="s">
        <v>1561</v>
      </c>
      <c r="D479" s="12" t="s">
        <v>1562</v>
      </c>
      <c r="E479" s="13">
        <v>184827.19</v>
      </c>
      <c r="G479" s="13">
        <f t="shared" ref="G479:G494" si="72">E479+F479</f>
        <v>184827.19</v>
      </c>
      <c r="H479" s="13">
        <v>-184827</v>
      </c>
      <c r="I479" s="13">
        <v>0</v>
      </c>
      <c r="K479" s="14">
        <f t="shared" ref="K479:K494" si="73">SUM(G479:J479)</f>
        <v>0.19000000000232831</v>
      </c>
      <c r="L479" s="803"/>
      <c r="M479" s="11"/>
      <c r="O479" s="15"/>
    </row>
    <row r="480" spans="1:15" outlineLevel="2">
      <c r="A480" s="11">
        <f t="shared" si="67"/>
        <v>475</v>
      </c>
      <c r="B480" s="11" t="s">
        <v>1558</v>
      </c>
      <c r="C480" s="17" t="s">
        <v>1563</v>
      </c>
      <c r="D480" s="12" t="s">
        <v>1564</v>
      </c>
      <c r="E480" s="13">
        <v>223594.2</v>
      </c>
      <c r="G480" s="13">
        <f t="shared" si="72"/>
        <v>223594.2</v>
      </c>
      <c r="H480" s="13">
        <v>-223594</v>
      </c>
      <c r="I480" s="13">
        <v>0</v>
      </c>
      <c r="K480" s="14">
        <f t="shared" si="73"/>
        <v>0.20000000001164153</v>
      </c>
      <c r="L480" s="803"/>
      <c r="M480" s="11"/>
      <c r="O480" s="15"/>
    </row>
    <row r="481" spans="1:15" outlineLevel="2">
      <c r="A481" s="11">
        <f t="shared" si="67"/>
        <v>476</v>
      </c>
      <c r="B481" s="11" t="s">
        <v>1558</v>
      </c>
      <c r="C481" s="17" t="s">
        <v>1565</v>
      </c>
      <c r="D481" s="12" t="s">
        <v>1566</v>
      </c>
      <c r="E481" s="13">
        <v>171256.71</v>
      </c>
      <c r="G481" s="13">
        <f t="shared" si="72"/>
        <v>171256.71</v>
      </c>
      <c r="H481" s="13">
        <v>-171257</v>
      </c>
      <c r="I481" s="13">
        <v>0</v>
      </c>
      <c r="K481" s="14">
        <f t="shared" si="73"/>
        <v>-0.29000000000814907</v>
      </c>
      <c r="M481" s="11"/>
      <c r="O481" s="15"/>
    </row>
    <row r="482" spans="1:15" outlineLevel="2">
      <c r="A482" s="11">
        <f t="shared" si="67"/>
        <v>477</v>
      </c>
      <c r="B482" s="11" t="s">
        <v>1558</v>
      </c>
      <c r="C482" s="17" t="s">
        <v>1567</v>
      </c>
      <c r="D482" s="12" t="s">
        <v>1568</v>
      </c>
      <c r="E482" s="13">
        <v>25505.599999999999</v>
      </c>
      <c r="G482" s="13">
        <f t="shared" si="72"/>
        <v>25505.599999999999</v>
      </c>
      <c r="H482" s="13">
        <v>-25506</v>
      </c>
      <c r="I482" s="13">
        <v>0</v>
      </c>
      <c r="K482" s="14">
        <f t="shared" si="73"/>
        <v>-0.40000000000145519</v>
      </c>
      <c r="M482" s="11"/>
      <c r="O482" s="15"/>
    </row>
    <row r="483" spans="1:15" outlineLevel="2">
      <c r="A483" s="11">
        <f t="shared" si="67"/>
        <v>478</v>
      </c>
      <c r="B483" s="11" t="s">
        <v>1558</v>
      </c>
      <c r="C483" s="17" t="s">
        <v>1569</v>
      </c>
      <c r="D483" s="12" t="s">
        <v>1570</v>
      </c>
      <c r="E483" s="13">
        <v>295238.34999999998</v>
      </c>
      <c r="G483" s="13">
        <f t="shared" si="72"/>
        <v>295238.34999999998</v>
      </c>
      <c r="H483" s="13">
        <v>-295238</v>
      </c>
      <c r="I483" s="13">
        <v>0</v>
      </c>
      <c r="K483" s="14">
        <f t="shared" si="73"/>
        <v>0.34999999997671694</v>
      </c>
      <c r="M483" s="11"/>
      <c r="O483" s="15"/>
    </row>
    <row r="484" spans="1:15" outlineLevel="2">
      <c r="A484" s="11">
        <f t="shared" si="67"/>
        <v>479</v>
      </c>
      <c r="B484" s="11" t="s">
        <v>1558</v>
      </c>
      <c r="C484" s="17" t="s">
        <v>1571</v>
      </c>
      <c r="D484" s="12" t="s">
        <v>1572</v>
      </c>
      <c r="E484" s="13">
        <v>253597.44</v>
      </c>
      <c r="G484" s="13">
        <f t="shared" si="72"/>
        <v>253597.44</v>
      </c>
      <c r="H484" s="13">
        <v>-253597</v>
      </c>
      <c r="I484" s="13">
        <v>0</v>
      </c>
      <c r="K484" s="14">
        <f t="shared" si="73"/>
        <v>0.44000000000232831</v>
      </c>
      <c r="M484" s="11"/>
      <c r="O484" s="15"/>
    </row>
    <row r="485" spans="1:15" outlineLevel="2">
      <c r="A485" s="11">
        <f t="shared" si="67"/>
        <v>480</v>
      </c>
      <c r="B485" s="11" t="s">
        <v>1558</v>
      </c>
      <c r="C485" s="17" t="s">
        <v>1573</v>
      </c>
      <c r="D485" s="12" t="s">
        <v>1574</v>
      </c>
      <c r="E485" s="13">
        <v>1079091.51</v>
      </c>
      <c r="G485" s="13">
        <f t="shared" si="72"/>
        <v>1079091.51</v>
      </c>
      <c r="H485" s="13">
        <v>-1079092</v>
      </c>
      <c r="I485" s="13">
        <v>0</v>
      </c>
      <c r="K485" s="14">
        <f t="shared" si="73"/>
        <v>-0.48999999999068677</v>
      </c>
      <c r="M485" s="11"/>
      <c r="O485" s="15"/>
    </row>
    <row r="486" spans="1:15" outlineLevel="2">
      <c r="A486" s="11">
        <f t="shared" si="67"/>
        <v>481</v>
      </c>
      <c r="B486" s="11" t="s">
        <v>1558</v>
      </c>
      <c r="C486" s="17" t="s">
        <v>1575</v>
      </c>
      <c r="D486" s="12" t="s">
        <v>1576</v>
      </c>
      <c r="E486" s="13">
        <v>425706.26</v>
      </c>
      <c r="G486" s="13">
        <f t="shared" si="72"/>
        <v>425706.26</v>
      </c>
      <c r="H486" s="13">
        <v>-425706</v>
      </c>
      <c r="I486" s="13">
        <v>0</v>
      </c>
      <c r="K486" s="14">
        <f t="shared" si="73"/>
        <v>0.26000000000931323</v>
      </c>
      <c r="M486" s="11"/>
      <c r="O486" s="15"/>
    </row>
    <row r="487" spans="1:15" outlineLevel="2">
      <c r="A487" s="11">
        <f t="shared" si="67"/>
        <v>482</v>
      </c>
      <c r="B487" s="11" t="s">
        <v>1558</v>
      </c>
      <c r="C487" s="17" t="s">
        <v>1577</v>
      </c>
      <c r="D487" s="12" t="s">
        <v>1578</v>
      </c>
      <c r="E487" s="13">
        <v>108040.31</v>
      </c>
      <c r="G487" s="13">
        <f t="shared" si="72"/>
        <v>108040.31</v>
      </c>
      <c r="H487" s="13">
        <v>-108040</v>
      </c>
      <c r="I487" s="13">
        <v>0</v>
      </c>
      <c r="K487" s="14">
        <f t="shared" si="73"/>
        <v>0.30999999999767169</v>
      </c>
      <c r="M487" s="11"/>
      <c r="O487" s="15"/>
    </row>
    <row r="488" spans="1:15" outlineLevel="2">
      <c r="A488" s="11">
        <f t="shared" si="67"/>
        <v>483</v>
      </c>
      <c r="B488" s="11" t="s">
        <v>1558</v>
      </c>
      <c r="C488" s="17" t="s">
        <v>1579</v>
      </c>
      <c r="D488" s="12" t="s">
        <v>1580</v>
      </c>
      <c r="E488" s="13">
        <v>6494</v>
      </c>
      <c r="G488" s="13">
        <f t="shared" si="72"/>
        <v>6494</v>
      </c>
      <c r="H488" s="13">
        <v>-6494</v>
      </c>
      <c r="I488" s="13">
        <v>0</v>
      </c>
      <c r="K488" s="14">
        <f t="shared" si="73"/>
        <v>0</v>
      </c>
      <c r="M488" s="11"/>
      <c r="O488" s="15"/>
    </row>
    <row r="489" spans="1:15" outlineLevel="2">
      <c r="A489" s="11">
        <f t="shared" si="67"/>
        <v>484</v>
      </c>
      <c r="B489" s="11" t="s">
        <v>1558</v>
      </c>
      <c r="C489" s="17" t="s">
        <v>1581</v>
      </c>
      <c r="D489" s="12" t="s">
        <v>1582</v>
      </c>
      <c r="E489" s="13">
        <v>102282.9</v>
      </c>
      <c r="G489" s="13">
        <f t="shared" si="72"/>
        <v>102282.9</v>
      </c>
      <c r="H489" s="13">
        <v>-102283</v>
      </c>
      <c r="I489" s="13">
        <v>0</v>
      </c>
      <c r="K489" s="14">
        <f t="shared" si="73"/>
        <v>-0.10000000000582077</v>
      </c>
      <c r="M489" s="11"/>
      <c r="O489" s="15"/>
    </row>
    <row r="490" spans="1:15" outlineLevel="2">
      <c r="A490" s="11">
        <f t="shared" si="67"/>
        <v>485</v>
      </c>
      <c r="B490" s="11" t="s">
        <v>1558</v>
      </c>
      <c r="C490" s="17" t="s">
        <v>1583</v>
      </c>
      <c r="D490" s="12" t="s">
        <v>1584</v>
      </c>
      <c r="E490" s="13">
        <v>1237730.0900000001</v>
      </c>
      <c r="G490" s="13">
        <f t="shared" si="72"/>
        <v>1237730.0900000001</v>
      </c>
      <c r="H490" s="13">
        <v>-1237730</v>
      </c>
      <c r="I490" s="13">
        <v>0</v>
      </c>
      <c r="K490" s="14">
        <f t="shared" si="73"/>
        <v>9.0000000083819032E-2</v>
      </c>
      <c r="M490" s="11"/>
      <c r="O490" s="15"/>
    </row>
    <row r="491" spans="1:15" outlineLevel="2">
      <c r="A491" s="11">
        <f t="shared" si="67"/>
        <v>486</v>
      </c>
      <c r="B491" s="11" t="s">
        <v>1558</v>
      </c>
      <c r="C491" s="17" t="s">
        <v>1585</v>
      </c>
      <c r="D491" s="12" t="s">
        <v>1586</v>
      </c>
      <c r="E491" s="13">
        <v>920941.25</v>
      </c>
      <c r="G491" s="13">
        <f t="shared" si="72"/>
        <v>920941.25</v>
      </c>
      <c r="H491" s="13">
        <v>-920941</v>
      </c>
      <c r="I491" s="13">
        <v>0</v>
      </c>
      <c r="K491" s="14">
        <f t="shared" si="73"/>
        <v>0.25</v>
      </c>
      <c r="M491" s="11"/>
      <c r="O491" s="15"/>
    </row>
    <row r="492" spans="1:15" ht="12.75" customHeight="1" outlineLevel="2">
      <c r="A492" s="11">
        <f t="shared" si="67"/>
        <v>487</v>
      </c>
      <c r="B492" s="11" t="s">
        <v>1558</v>
      </c>
      <c r="C492" s="17" t="s">
        <v>142</v>
      </c>
      <c r="D492" s="12" t="s">
        <v>1587</v>
      </c>
      <c r="E492" s="13">
        <v>474403.84000000003</v>
      </c>
      <c r="G492" s="13">
        <f t="shared" si="72"/>
        <v>474403.84000000003</v>
      </c>
      <c r="H492" s="13">
        <v>-474404</v>
      </c>
      <c r="I492" s="13">
        <v>0</v>
      </c>
      <c r="K492" s="14">
        <f t="shared" si="73"/>
        <v>-0.15999999997438863</v>
      </c>
      <c r="L492" s="12"/>
      <c r="M492" s="11"/>
      <c r="O492" s="15"/>
    </row>
    <row r="493" spans="1:15" outlineLevel="2">
      <c r="A493" s="11">
        <f t="shared" si="67"/>
        <v>488</v>
      </c>
      <c r="B493" s="11" t="s">
        <v>1558</v>
      </c>
      <c r="C493" s="17" t="s">
        <v>1588</v>
      </c>
      <c r="D493" s="12" t="s">
        <v>1589</v>
      </c>
      <c r="E493" s="13">
        <v>659368.23</v>
      </c>
      <c r="G493" s="13">
        <f t="shared" si="72"/>
        <v>659368.23</v>
      </c>
      <c r="H493" s="13">
        <v>-659368</v>
      </c>
      <c r="I493" s="13">
        <v>0</v>
      </c>
      <c r="K493" s="14">
        <f t="shared" si="73"/>
        <v>0.22999999998137355</v>
      </c>
      <c r="L493" s="735"/>
      <c r="M493" s="11"/>
      <c r="O493" s="15"/>
    </row>
    <row r="494" spans="1:15" outlineLevel="2">
      <c r="A494" s="11">
        <f t="shared" si="67"/>
        <v>489</v>
      </c>
      <c r="B494" s="11" t="s">
        <v>1558</v>
      </c>
      <c r="C494" s="12" t="s">
        <v>1590</v>
      </c>
      <c r="D494" s="12" t="s">
        <v>1591</v>
      </c>
      <c r="E494" s="13">
        <v>216162.68</v>
      </c>
      <c r="G494" s="13">
        <f t="shared" si="72"/>
        <v>216162.68</v>
      </c>
      <c r="H494" s="13">
        <v>-216163</v>
      </c>
      <c r="I494" s="13">
        <v>0</v>
      </c>
      <c r="K494" s="14">
        <f t="shared" si="73"/>
        <v>-0.32000000000698492</v>
      </c>
      <c r="M494" s="11"/>
      <c r="O494" s="15"/>
    </row>
    <row r="495" spans="1:15" s="6" customFormat="1" ht="13.5" outlineLevel="1" thickBot="1">
      <c r="A495" s="11">
        <f t="shared" si="67"/>
        <v>490</v>
      </c>
      <c r="B495" s="18" t="s">
        <v>1592</v>
      </c>
      <c r="C495" s="20"/>
      <c r="D495" s="20" t="s">
        <v>1593</v>
      </c>
      <c r="E495" s="21">
        <f>SUBTOTAL(9,E478:E494)</f>
        <v>7034241.4099999983</v>
      </c>
      <c r="F495" s="21">
        <f>SUBTOTAL(9,F478:F494)</f>
        <v>0</v>
      </c>
      <c r="G495" s="21">
        <f>SUBTOTAL(9,G478:G494)</f>
        <v>7034241.4099999983</v>
      </c>
      <c r="H495" s="21">
        <f>SUBTOTAL(9,H478:H494)</f>
        <v>-7034241</v>
      </c>
      <c r="I495" s="21">
        <f>SUBTOTAL(9,I478:I494)</f>
        <v>0</v>
      </c>
      <c r="J495" s="21"/>
      <c r="K495" s="22">
        <f>SUBTOTAL(9,K478:K494)</f>
        <v>0.41000000005442416</v>
      </c>
      <c r="L495" s="23"/>
      <c r="M495" s="3"/>
      <c r="N495" s="3"/>
      <c r="O495" s="8"/>
    </row>
    <row r="496" spans="1:15" ht="13.5" customHeight="1" outlineLevel="2" thickTop="1">
      <c r="A496" s="11">
        <f t="shared" si="67"/>
        <v>491</v>
      </c>
      <c r="B496" s="11" t="s">
        <v>1594</v>
      </c>
      <c r="C496" s="371" t="s">
        <v>1595</v>
      </c>
      <c r="D496" s="1" t="s">
        <v>1596</v>
      </c>
      <c r="E496" s="13">
        <v>287835</v>
      </c>
      <c r="G496" s="13">
        <f>E496+F496</f>
        <v>287835</v>
      </c>
      <c r="H496" s="13">
        <v>0</v>
      </c>
      <c r="I496" s="13">
        <v>0</v>
      </c>
      <c r="K496" s="14">
        <f>SUM(G496:J496)</f>
        <v>287835</v>
      </c>
      <c r="L496" s="804"/>
      <c r="M496" s="11"/>
      <c r="O496" s="15"/>
    </row>
    <row r="497" spans="1:15" s="11" customFormat="1" ht="13.5" customHeight="1" outlineLevel="2">
      <c r="A497" s="11">
        <f t="shared" si="67"/>
        <v>492</v>
      </c>
      <c r="B497" s="11" t="s">
        <v>1594</v>
      </c>
      <c r="C497" s="371" t="s">
        <v>1597</v>
      </c>
      <c r="D497" s="12" t="s">
        <v>1598</v>
      </c>
      <c r="E497" s="13">
        <v>12325567.640000001</v>
      </c>
      <c r="F497" s="13"/>
      <c r="G497" s="13">
        <f t="shared" ref="G497:G503" si="74">E497+F497</f>
        <v>12325567.640000001</v>
      </c>
      <c r="H497" s="13">
        <v>-8728156</v>
      </c>
      <c r="I497" s="13">
        <v>0</v>
      </c>
      <c r="J497" s="13"/>
      <c r="K497" s="14">
        <f t="shared" ref="K497:K503" si="75">SUM(G497:J497)</f>
        <v>3597411.6400000006</v>
      </c>
      <c r="L497" s="805"/>
      <c r="O497" s="15"/>
    </row>
    <row r="498" spans="1:15" s="11" customFormat="1" outlineLevel="2">
      <c r="A498" s="11">
        <f t="shared" si="67"/>
        <v>493</v>
      </c>
      <c r="B498" s="11" t="s">
        <v>1594</v>
      </c>
      <c r="C498" s="371" t="s">
        <v>1599</v>
      </c>
      <c r="D498" s="12" t="s">
        <v>1600</v>
      </c>
      <c r="E498" s="13">
        <v>2978205</v>
      </c>
      <c r="F498" s="13"/>
      <c r="G498" s="13">
        <f t="shared" si="74"/>
        <v>2978205</v>
      </c>
      <c r="H498" s="13">
        <v>0</v>
      </c>
      <c r="I498" s="13">
        <v>0</v>
      </c>
      <c r="J498" s="13"/>
      <c r="K498" s="14">
        <f t="shared" si="75"/>
        <v>2978205</v>
      </c>
      <c r="L498" s="805"/>
      <c r="O498" s="15"/>
    </row>
    <row r="499" spans="1:15" s="11" customFormat="1" outlineLevel="2">
      <c r="A499" s="11">
        <f t="shared" si="67"/>
        <v>494</v>
      </c>
      <c r="B499" s="11" t="s">
        <v>1594</v>
      </c>
      <c r="C499" s="371" t="s">
        <v>1601</v>
      </c>
      <c r="D499" s="12" t="s">
        <v>1535</v>
      </c>
      <c r="E499" s="13">
        <v>237296</v>
      </c>
      <c r="F499" s="13"/>
      <c r="G499" s="13">
        <f t="shared" si="74"/>
        <v>237296</v>
      </c>
      <c r="H499" s="13"/>
      <c r="I499" s="13"/>
      <c r="J499" s="13"/>
      <c r="K499" s="14">
        <f t="shared" si="75"/>
        <v>237296</v>
      </c>
      <c r="L499" s="805"/>
      <c r="O499" s="15"/>
    </row>
    <row r="500" spans="1:15" s="11" customFormat="1" outlineLevel="2">
      <c r="A500" s="11">
        <f t="shared" si="67"/>
        <v>495</v>
      </c>
      <c r="B500" s="11" t="s">
        <v>1594</v>
      </c>
      <c r="C500" s="371" t="s">
        <v>1602</v>
      </c>
      <c r="D500" s="12" t="s">
        <v>1603</v>
      </c>
      <c r="E500" s="13">
        <v>121495</v>
      </c>
      <c r="F500" s="13"/>
      <c r="G500" s="13">
        <f t="shared" si="74"/>
        <v>121495</v>
      </c>
      <c r="H500" s="13">
        <f>-(E500*0.75)</f>
        <v>-91121.25</v>
      </c>
      <c r="I500" s="13"/>
      <c r="J500" s="13"/>
      <c r="K500" s="14">
        <f t="shared" si="75"/>
        <v>30373.75</v>
      </c>
      <c r="L500" s="805"/>
      <c r="O500" s="15"/>
    </row>
    <row r="501" spans="1:15" s="11" customFormat="1" outlineLevel="2">
      <c r="A501" s="11">
        <f t="shared" si="67"/>
        <v>496</v>
      </c>
      <c r="B501" s="11" t="s">
        <v>1594</v>
      </c>
      <c r="C501" s="371" t="s">
        <v>1604</v>
      </c>
      <c r="D501" s="12" t="s">
        <v>1605</v>
      </c>
      <c r="E501" s="13">
        <v>692335</v>
      </c>
      <c r="F501" s="13"/>
      <c r="G501" s="13">
        <f t="shared" si="74"/>
        <v>692335</v>
      </c>
      <c r="H501" s="13">
        <f>-(E501*0.75)</f>
        <v>-519251.25</v>
      </c>
      <c r="I501" s="13"/>
      <c r="J501" s="13"/>
      <c r="K501" s="14">
        <f t="shared" si="75"/>
        <v>173083.75</v>
      </c>
      <c r="L501" s="805"/>
      <c r="O501" s="15"/>
    </row>
    <row r="502" spans="1:15" s="11" customFormat="1" outlineLevel="2">
      <c r="A502" s="11">
        <f t="shared" si="67"/>
        <v>497</v>
      </c>
      <c r="B502" s="11" t="s">
        <v>1594</v>
      </c>
      <c r="C502" s="371" t="s">
        <v>1548</v>
      </c>
      <c r="D502" s="12" t="s">
        <v>1606</v>
      </c>
      <c r="E502" s="13">
        <v>13211287.779999999</v>
      </c>
      <c r="F502" s="13"/>
      <c r="G502" s="13">
        <f t="shared" si="74"/>
        <v>13211287.779999999</v>
      </c>
      <c r="H502" s="13">
        <f>-(E502*0.75)</f>
        <v>-9908465.834999999</v>
      </c>
      <c r="I502" s="13">
        <v>0</v>
      </c>
      <c r="J502" s="13"/>
      <c r="K502" s="14">
        <f t="shared" si="75"/>
        <v>3302821.9450000003</v>
      </c>
      <c r="L502" s="805"/>
      <c r="O502" s="15"/>
    </row>
    <row r="503" spans="1:15" s="11" customFormat="1" outlineLevel="2">
      <c r="A503" s="11">
        <f t="shared" si="67"/>
        <v>498</v>
      </c>
      <c r="B503" s="11" t="s">
        <v>1594</v>
      </c>
      <c r="C503" s="371" t="s">
        <v>1607</v>
      </c>
      <c r="D503" s="12" t="s">
        <v>1608</v>
      </c>
      <c r="E503" s="13">
        <v>143380.49</v>
      </c>
      <c r="F503" s="13"/>
      <c r="G503" s="13">
        <f t="shared" si="74"/>
        <v>143380.49</v>
      </c>
      <c r="H503" s="13"/>
      <c r="I503" s="13"/>
      <c r="J503" s="13"/>
      <c r="K503" s="14">
        <f t="shared" si="75"/>
        <v>143380.49</v>
      </c>
      <c r="L503" s="737"/>
      <c r="O503" s="15"/>
    </row>
    <row r="504" spans="1:15" s="3" customFormat="1" ht="13.5" outlineLevel="1" thickBot="1">
      <c r="A504" s="11">
        <f t="shared" si="67"/>
        <v>499</v>
      </c>
      <c r="B504" s="18" t="s">
        <v>1609</v>
      </c>
      <c r="C504" s="28"/>
      <c r="D504" s="20" t="s">
        <v>1610</v>
      </c>
      <c r="E504" s="21">
        <f>SUBTOTAL(9,E496:E503)</f>
        <v>29997401.91</v>
      </c>
      <c r="F504" s="21">
        <f>SUBTOTAL(9,F496:F502)</f>
        <v>0</v>
      </c>
      <c r="G504" s="21">
        <f>SUBTOTAL(9,G496:G503)</f>
        <v>29997401.91</v>
      </c>
      <c r="H504" s="21">
        <f>SUBTOTAL(9,H496:H502)</f>
        <v>-19246994.335000001</v>
      </c>
      <c r="I504" s="21">
        <f>SUBTOTAL(9,I496:I502)</f>
        <v>0</v>
      </c>
      <c r="J504" s="21"/>
      <c r="K504" s="22">
        <f>SUBTOTAL(9,K496:K503)</f>
        <v>10750407.575000001</v>
      </c>
      <c r="L504" s="29"/>
      <c r="O504" s="8"/>
    </row>
    <row r="505" spans="1:15" s="11" customFormat="1" ht="13.5" outlineLevel="2" thickTop="1">
      <c r="A505" s="11">
        <f t="shared" si="67"/>
        <v>500</v>
      </c>
      <c r="B505" s="11" t="s">
        <v>394</v>
      </c>
      <c r="C505" s="15"/>
      <c r="D505" s="12" t="s">
        <v>1244</v>
      </c>
      <c r="E505" s="13">
        <v>2370872.7999999998</v>
      </c>
      <c r="F505" s="13"/>
      <c r="G505" s="13">
        <f t="shared" ref="G505:G510" si="76">E505+F505</f>
        <v>2370872.7999999998</v>
      </c>
      <c r="H505" s="13">
        <v>-1772523</v>
      </c>
      <c r="I505" s="13"/>
      <c r="J505" s="13"/>
      <c r="K505" s="14">
        <f t="shared" ref="K505:K510" si="77">SUM(G505:J505)</f>
        <v>598349.79999999981</v>
      </c>
      <c r="O505" s="15"/>
    </row>
    <row r="506" spans="1:15" s="11" customFormat="1" outlineLevel="2">
      <c r="A506" s="11">
        <f t="shared" si="67"/>
        <v>501</v>
      </c>
      <c r="B506" s="11" t="s">
        <v>394</v>
      </c>
      <c r="C506" s="15"/>
      <c r="D506" s="12" t="s">
        <v>1611</v>
      </c>
      <c r="E506" s="13">
        <v>6346402.8600000003</v>
      </c>
      <c r="F506" s="13">
        <v>844900</v>
      </c>
      <c r="G506" s="13">
        <f t="shared" si="76"/>
        <v>7191302.8600000003</v>
      </c>
      <c r="H506" s="13">
        <v>-933623</v>
      </c>
      <c r="I506" s="13"/>
      <c r="J506" s="13"/>
      <c r="K506" s="14">
        <f t="shared" si="77"/>
        <v>6257679.8600000003</v>
      </c>
      <c r="O506" s="15"/>
    </row>
    <row r="507" spans="1:15" s="11" customFormat="1" outlineLevel="2">
      <c r="A507" s="11">
        <f t="shared" si="67"/>
        <v>502</v>
      </c>
      <c r="B507" s="11" t="s">
        <v>394</v>
      </c>
      <c r="C507" s="15"/>
      <c r="D507" s="12" t="s">
        <v>945</v>
      </c>
      <c r="E507" s="13">
        <v>24411946.370000001</v>
      </c>
      <c r="F507" s="13">
        <v>1490300</v>
      </c>
      <c r="G507" s="13">
        <f t="shared" si="76"/>
        <v>25902246.370000001</v>
      </c>
      <c r="H507" s="13">
        <v>-2565236</v>
      </c>
      <c r="I507" s="13"/>
      <c r="J507" s="13"/>
      <c r="K507" s="14">
        <f t="shared" si="77"/>
        <v>23337010.370000001</v>
      </c>
      <c r="O507" s="15"/>
    </row>
    <row r="508" spans="1:15" s="11" customFormat="1" outlineLevel="2">
      <c r="A508" s="11">
        <f t="shared" si="67"/>
        <v>503</v>
      </c>
      <c r="B508" s="11" t="s">
        <v>394</v>
      </c>
      <c r="C508" s="15"/>
      <c r="D508" s="12" t="s">
        <v>1360</v>
      </c>
      <c r="E508" s="13">
        <v>85572618.120000005</v>
      </c>
      <c r="F508" s="13">
        <v>3464000</v>
      </c>
      <c r="G508" s="13">
        <f t="shared" si="76"/>
        <v>89036618.120000005</v>
      </c>
      <c r="H508" s="13">
        <v>-42372683</v>
      </c>
      <c r="I508" s="13"/>
      <c r="J508" s="13"/>
      <c r="K508" s="14">
        <f t="shared" si="77"/>
        <v>46663935.120000005</v>
      </c>
      <c r="O508" s="15"/>
    </row>
    <row r="509" spans="1:15" s="11" customFormat="1" outlineLevel="2">
      <c r="A509" s="11">
        <f t="shared" si="67"/>
        <v>504</v>
      </c>
      <c r="B509" s="11" t="s">
        <v>394</v>
      </c>
      <c r="C509" s="15"/>
      <c r="D509" s="12" t="s">
        <v>1612</v>
      </c>
      <c r="E509" s="13">
        <v>10079122.77</v>
      </c>
      <c r="F509" s="13">
        <v>0</v>
      </c>
      <c r="G509" s="13">
        <f t="shared" si="76"/>
        <v>10079122.77</v>
      </c>
      <c r="H509" s="13">
        <v>-7015929</v>
      </c>
      <c r="I509" s="13"/>
      <c r="J509" s="13"/>
      <c r="K509" s="14">
        <f t="shared" si="77"/>
        <v>3063193.7699999996</v>
      </c>
      <c r="O509" s="15"/>
    </row>
    <row r="510" spans="1:15" s="11" customFormat="1" outlineLevel="2">
      <c r="A510" s="11">
        <f t="shared" si="67"/>
        <v>505</v>
      </c>
      <c r="B510" s="11" t="s">
        <v>394</v>
      </c>
      <c r="C510" s="15"/>
      <c r="D510" s="12" t="s">
        <v>1447</v>
      </c>
      <c r="E510" s="13">
        <v>20141772.77</v>
      </c>
      <c r="F510" s="13">
        <v>8292000</v>
      </c>
      <c r="G510" s="13">
        <f t="shared" si="76"/>
        <v>28433772.77</v>
      </c>
      <c r="H510" s="13">
        <v>-3344088</v>
      </c>
      <c r="I510" s="13"/>
      <c r="J510" s="13"/>
      <c r="K510" s="14">
        <f t="shared" si="77"/>
        <v>25089684.77</v>
      </c>
      <c r="O510" s="15"/>
    </row>
    <row r="511" spans="1:15" s="3" customFormat="1" ht="13.5" outlineLevel="1" thickBot="1">
      <c r="A511" s="11">
        <f t="shared" si="67"/>
        <v>506</v>
      </c>
      <c r="B511" s="18" t="s">
        <v>1613</v>
      </c>
      <c r="C511" s="20"/>
      <c r="D511" s="20" t="s">
        <v>1614</v>
      </c>
      <c r="E511" s="30">
        <f>SUBTOTAL(9,E505:E510)</f>
        <v>148922735.69</v>
      </c>
      <c r="F511" s="30">
        <f>SUBTOTAL(9,F505:F510)</f>
        <v>14091200</v>
      </c>
      <c r="G511" s="30">
        <f>SUBTOTAL(9,G505:G510)</f>
        <v>163013935.69000003</v>
      </c>
      <c r="H511" s="30">
        <f>SUBTOTAL(9,H505:H510)</f>
        <v>-58004082</v>
      </c>
      <c r="I511" s="30">
        <f>SUBTOTAL(9,I505:I510)</f>
        <v>0</v>
      </c>
      <c r="J511" s="30"/>
      <c r="K511" s="30">
        <f>SUBTOTAL(9,K505:K510)</f>
        <v>105009853.69</v>
      </c>
      <c r="L511" s="8"/>
    </row>
    <row r="512" spans="1:15" s="3" customFormat="1" ht="14" thickTop="1" thickBot="1">
      <c r="A512" s="11">
        <f t="shared" si="67"/>
        <v>507</v>
      </c>
      <c r="B512" s="372" t="s">
        <v>1615</v>
      </c>
      <c r="C512" s="373"/>
      <c r="D512" s="373" t="s">
        <v>1616</v>
      </c>
      <c r="E512" s="374">
        <f t="shared" ref="E512:K512" si="78">SUBTOTAL(9,E5:E510)</f>
        <v>1632392171.5900011</v>
      </c>
      <c r="F512" s="374">
        <f t="shared" si="78"/>
        <v>67391500</v>
      </c>
      <c r="G512" s="374">
        <f t="shared" si="78"/>
        <v>1699783671.5900006</v>
      </c>
      <c r="H512" s="374">
        <f t="shared" si="78"/>
        <v>-128438488.33499999</v>
      </c>
      <c r="I512" s="374">
        <f t="shared" si="78"/>
        <v>-15905128.510485012</v>
      </c>
      <c r="J512" s="374">
        <f t="shared" si="78"/>
        <v>-8897000</v>
      </c>
      <c r="K512" s="374">
        <f t="shared" si="78"/>
        <v>1546543054.7445149</v>
      </c>
      <c r="L512" s="8"/>
    </row>
    <row r="513" spans="1:18" s="11" customFormat="1" ht="13.5" thickTop="1">
      <c r="A513" s="11">
        <f t="shared" si="67"/>
        <v>508</v>
      </c>
      <c r="C513" s="15"/>
      <c r="D513" s="1" t="s">
        <v>1617</v>
      </c>
      <c r="E513" s="31">
        <f>E512-E511-E504</f>
        <v>1453472033.990001</v>
      </c>
      <c r="F513" s="31">
        <f>F512-F511-F504</f>
        <v>53300300</v>
      </c>
      <c r="G513" s="31">
        <f>G512-G511-G504</f>
        <v>1506772333.9900005</v>
      </c>
      <c r="H513" s="31">
        <f>H512-H511-H504</f>
        <v>-51187411.999999993</v>
      </c>
      <c r="I513" s="32">
        <f>(I512-I511)*-1</f>
        <v>15905128.510485012</v>
      </c>
      <c r="J513" s="32">
        <f>(J512-J511)*-1</f>
        <v>8897000</v>
      </c>
      <c r="K513" s="14">
        <f>K512-K504-K511</f>
        <v>1430782793.4795148</v>
      </c>
      <c r="L513" s="12"/>
      <c r="P513" s="12"/>
      <c r="Q513" s="12"/>
    </row>
    <row r="514" spans="1:18" s="11" customFormat="1">
      <c r="A514" s="11">
        <f t="shared" si="67"/>
        <v>509</v>
      </c>
      <c r="D514" s="783" t="s">
        <v>2727</v>
      </c>
      <c r="E514" s="31"/>
      <c r="F514" s="31"/>
      <c r="G514" s="31"/>
      <c r="H514" s="31">
        <f>-(H513+H511)</f>
        <v>109191494</v>
      </c>
      <c r="I514" s="32"/>
      <c r="J514" s="32"/>
      <c r="K514" s="14">
        <f>K513+K511+K496+K497+K498</f>
        <v>1542656098.809515</v>
      </c>
      <c r="L514" s="12"/>
      <c r="P514" s="12"/>
      <c r="Q514" s="12"/>
    </row>
    <row r="515" spans="1:18" s="11" customFormat="1">
      <c r="A515" s="11">
        <f t="shared" si="67"/>
        <v>510</v>
      </c>
      <c r="B515" s="744" t="s">
        <v>2668</v>
      </c>
      <c r="C515" s="15"/>
      <c r="D515" s="1"/>
      <c r="E515" s="31"/>
      <c r="F515" s="31"/>
      <c r="G515" s="31"/>
      <c r="H515" s="31"/>
      <c r="I515" s="32"/>
      <c r="J515" s="32"/>
      <c r="K515" s="14"/>
      <c r="L515" s="12"/>
      <c r="P515" s="12"/>
      <c r="Q515" s="12"/>
    </row>
    <row r="516" spans="1:18" s="11" customFormat="1">
      <c r="A516" s="11">
        <f t="shared" si="67"/>
        <v>511</v>
      </c>
      <c r="B516" s="744" t="s">
        <v>2669</v>
      </c>
      <c r="C516" s="15"/>
      <c r="D516" s="1"/>
      <c r="E516" s="31"/>
      <c r="F516" s="31"/>
      <c r="G516" s="31"/>
      <c r="H516" s="31"/>
      <c r="I516" s="32"/>
      <c r="J516" s="32"/>
      <c r="K516" s="14"/>
      <c r="L516" s="12"/>
      <c r="P516" s="12"/>
      <c r="Q516" s="12"/>
    </row>
    <row r="517" spans="1:18" s="11" customFormat="1">
      <c r="A517" s="11">
        <f>A516+1</f>
        <v>512</v>
      </c>
      <c r="B517" s="744" t="s">
        <v>2712</v>
      </c>
      <c r="C517" s="15"/>
      <c r="D517" s="1"/>
      <c r="E517" s="31"/>
      <c r="F517" s="31"/>
      <c r="G517" s="31"/>
      <c r="H517" s="31"/>
      <c r="I517" s="32"/>
      <c r="J517" s="32"/>
      <c r="K517" s="14"/>
      <c r="L517" s="12"/>
      <c r="P517" s="12"/>
      <c r="Q517" s="12"/>
    </row>
    <row r="518" spans="1:18" s="11" customFormat="1">
      <c r="A518" s="11">
        <f t="shared" si="67"/>
        <v>513</v>
      </c>
      <c r="B518" s="744" t="s">
        <v>2713</v>
      </c>
      <c r="C518" s="15"/>
      <c r="D518" s="1"/>
      <c r="E518" s="31"/>
      <c r="F518" s="31"/>
      <c r="G518" s="31"/>
      <c r="H518" s="31"/>
      <c r="I518" s="32"/>
      <c r="J518" s="32"/>
      <c r="K518" s="14"/>
      <c r="L518" s="12"/>
      <c r="P518" s="12"/>
      <c r="Q518" s="12"/>
    </row>
    <row r="519" spans="1:18" s="11" customFormat="1">
      <c r="A519" s="11">
        <f>A518+1</f>
        <v>514</v>
      </c>
      <c r="B519" s="744" t="s">
        <v>2718</v>
      </c>
      <c r="C519" s="15"/>
      <c r="D519" s="1"/>
      <c r="E519" s="31"/>
      <c r="F519" s="31"/>
      <c r="G519" s="31"/>
      <c r="I519" s="31"/>
      <c r="J519" s="31"/>
      <c r="L519" s="12"/>
      <c r="P519" s="12"/>
      <c r="Q519" s="12"/>
    </row>
    <row r="520" spans="1:18" s="11" customFormat="1">
      <c r="A520" s="11">
        <f>A519+1</f>
        <v>515</v>
      </c>
      <c r="B520" s="782" t="s">
        <v>2728</v>
      </c>
      <c r="C520" s="15"/>
      <c r="D520" s="1"/>
      <c r="E520" s="32"/>
      <c r="F520" s="32"/>
      <c r="G520" s="32"/>
      <c r="H520" s="31"/>
      <c r="I520" s="31"/>
      <c r="J520" s="31"/>
      <c r="K520" s="14"/>
      <c r="L520" s="12"/>
      <c r="P520" s="12"/>
      <c r="Q520" s="12"/>
    </row>
    <row r="521" spans="1:18">
      <c r="B521" s="782"/>
      <c r="C521" s="15"/>
      <c r="D521" s="1"/>
      <c r="E521" s="32"/>
      <c r="F521" s="32"/>
      <c r="G521" s="32"/>
      <c r="H521" s="31"/>
      <c r="L521" s="12"/>
      <c r="M521" s="11"/>
    </row>
    <row r="522" spans="1:18">
      <c r="C522" s="12"/>
      <c r="D522" s="1"/>
      <c r="E522" s="497"/>
      <c r="F522" s="497"/>
      <c r="G522" s="497"/>
      <c r="H522" s="497"/>
      <c r="I522" s="497"/>
      <c r="J522" s="497"/>
      <c r="K522" s="497"/>
      <c r="L522" s="1"/>
      <c r="M522" s="11"/>
      <c r="R522" s="13"/>
    </row>
    <row r="523" spans="1:18">
      <c r="C523" s="12"/>
      <c r="D523" s="1"/>
      <c r="E523" s="497"/>
      <c r="F523" s="497"/>
      <c r="G523" s="497"/>
      <c r="H523" s="497"/>
      <c r="I523" s="497"/>
      <c r="J523" s="497"/>
      <c r="K523" s="497"/>
      <c r="L523" s="1"/>
      <c r="M523" s="11"/>
    </row>
    <row r="524" spans="1:18">
      <c r="C524" s="12"/>
      <c r="E524" s="14"/>
      <c r="F524" s="14"/>
      <c r="G524" s="14"/>
      <c r="H524" s="14"/>
      <c r="I524" s="14"/>
      <c r="J524" s="14"/>
      <c r="L524" s="12"/>
      <c r="M524" s="11"/>
    </row>
    <row r="525" spans="1:18">
      <c r="C525" s="12"/>
      <c r="E525" s="14"/>
      <c r="F525" s="14"/>
      <c r="G525" s="14"/>
      <c r="H525" s="14"/>
      <c r="I525" s="14"/>
      <c r="J525" s="14"/>
      <c r="L525" s="12"/>
      <c r="M525" s="11"/>
    </row>
    <row r="526" spans="1:18">
      <c r="C526" s="12"/>
      <c r="E526" s="14"/>
      <c r="F526" s="14"/>
      <c r="G526" s="14"/>
      <c r="H526" s="14"/>
      <c r="I526" s="14"/>
      <c r="J526" s="14"/>
      <c r="L526" s="12"/>
      <c r="M526" s="11"/>
    </row>
    <row r="527" spans="1:18">
      <c r="C527" s="12"/>
      <c r="E527" s="14"/>
      <c r="F527" s="14"/>
      <c r="G527" s="14"/>
      <c r="H527" s="14"/>
      <c r="I527" s="14"/>
      <c r="J527" s="14"/>
      <c r="L527" s="12"/>
      <c r="M527" s="11"/>
    </row>
    <row r="528" spans="1:18">
      <c r="C528" s="12"/>
      <c r="E528" s="14"/>
      <c r="F528" s="14"/>
      <c r="G528" s="14"/>
      <c r="H528" s="14"/>
      <c r="I528" s="14"/>
      <c r="J528" s="14"/>
      <c r="L528" s="12"/>
      <c r="M528" s="11"/>
    </row>
    <row r="529" spans="3:18">
      <c r="C529" s="12"/>
      <c r="E529" s="14"/>
      <c r="F529" s="14"/>
      <c r="G529" s="14"/>
      <c r="H529" s="14"/>
      <c r="I529" s="14"/>
      <c r="J529" s="14"/>
      <c r="L529" s="12"/>
      <c r="M529" s="11"/>
    </row>
    <row r="530" spans="3:18">
      <c r="C530" s="12"/>
      <c r="E530" s="14"/>
      <c r="F530" s="14"/>
      <c r="G530" s="14"/>
      <c r="H530" s="14"/>
      <c r="I530" s="14"/>
      <c r="J530" s="14"/>
      <c r="L530" s="12"/>
      <c r="M530" s="11"/>
    </row>
    <row r="531" spans="3:18">
      <c r="C531" s="12"/>
      <c r="E531" s="14"/>
      <c r="F531" s="14"/>
      <c r="G531" s="14"/>
      <c r="H531" s="14"/>
      <c r="I531" s="14"/>
      <c r="J531" s="14"/>
      <c r="L531" s="12"/>
      <c r="M531" s="11"/>
    </row>
    <row r="532" spans="3:18">
      <c r="C532" s="12"/>
      <c r="E532" s="14"/>
      <c r="F532" s="14"/>
      <c r="G532" s="14"/>
      <c r="H532" s="14"/>
      <c r="I532" s="14"/>
      <c r="J532" s="14"/>
      <c r="L532" s="12"/>
      <c r="M532" s="11"/>
    </row>
    <row r="533" spans="3:18">
      <c r="C533" s="12"/>
      <c r="E533" s="14"/>
      <c r="F533" s="14"/>
      <c r="G533" s="14"/>
      <c r="H533" s="14"/>
      <c r="I533" s="14"/>
      <c r="J533" s="14"/>
      <c r="L533" s="12"/>
      <c r="M533" s="11"/>
    </row>
    <row r="534" spans="3:18">
      <c r="C534" s="12"/>
      <c r="E534" s="14"/>
      <c r="F534" s="14"/>
      <c r="G534" s="14"/>
      <c r="H534" s="14"/>
      <c r="I534" s="14"/>
      <c r="J534" s="14"/>
      <c r="L534" s="12"/>
      <c r="M534" s="11"/>
    </row>
    <row r="535" spans="3:18" s="11" customFormat="1">
      <c r="C535" s="12"/>
      <c r="D535" s="12"/>
      <c r="E535" s="13"/>
      <c r="F535" s="13"/>
      <c r="G535" s="13"/>
      <c r="H535" s="13"/>
      <c r="I535" s="13"/>
      <c r="J535" s="13"/>
      <c r="K535" s="14"/>
      <c r="L535" s="12"/>
      <c r="P535" s="12"/>
      <c r="Q535" s="12"/>
      <c r="R535" s="12"/>
    </row>
    <row r="536" spans="3:18" s="11" customFormat="1">
      <c r="C536" s="12"/>
      <c r="D536" s="12"/>
      <c r="E536" s="13"/>
      <c r="F536" s="13"/>
      <c r="G536" s="13"/>
      <c r="H536" s="13"/>
      <c r="I536" s="13"/>
      <c r="J536" s="13"/>
      <c r="K536" s="14"/>
      <c r="L536" s="12"/>
      <c r="P536" s="12"/>
      <c r="Q536" s="12"/>
      <c r="R536" s="12"/>
    </row>
    <row r="537" spans="3:18" s="11" customFormat="1">
      <c r="C537" s="12"/>
      <c r="D537" s="12"/>
      <c r="E537" s="13"/>
      <c r="F537" s="13"/>
      <c r="G537" s="13"/>
      <c r="H537" s="13"/>
      <c r="I537" s="13"/>
      <c r="J537" s="13"/>
      <c r="K537" s="14"/>
      <c r="L537" s="12"/>
      <c r="P537" s="12"/>
      <c r="Q537" s="12"/>
      <c r="R537" s="12"/>
    </row>
    <row r="538" spans="3:18" s="11" customFormat="1">
      <c r="C538" s="12"/>
      <c r="D538" s="12"/>
      <c r="E538" s="13"/>
      <c r="F538" s="13"/>
      <c r="G538" s="13"/>
      <c r="H538" s="13"/>
      <c r="I538" s="13"/>
      <c r="J538" s="13"/>
      <c r="K538" s="14"/>
      <c r="L538" s="12"/>
      <c r="P538" s="12"/>
      <c r="Q538" s="12"/>
      <c r="R538" s="12"/>
    </row>
    <row r="539" spans="3:18" s="11" customFormat="1">
      <c r="C539" s="12"/>
      <c r="D539" s="12"/>
      <c r="E539" s="13"/>
      <c r="F539" s="13"/>
      <c r="G539" s="13"/>
      <c r="H539" s="13"/>
      <c r="I539" s="13"/>
      <c r="J539" s="13"/>
      <c r="K539" s="14"/>
      <c r="L539" s="12"/>
      <c r="P539" s="12"/>
      <c r="Q539" s="12"/>
      <c r="R539" s="12"/>
    </row>
    <row r="540" spans="3:18" s="11" customFormat="1">
      <c r="C540" s="12"/>
      <c r="D540" s="12"/>
      <c r="E540" s="13"/>
      <c r="F540" s="13"/>
      <c r="G540" s="13"/>
      <c r="H540" s="13"/>
      <c r="I540" s="13"/>
      <c r="J540" s="13"/>
      <c r="K540" s="14"/>
      <c r="L540" s="12"/>
      <c r="P540" s="12"/>
      <c r="Q540" s="12"/>
      <c r="R540" s="12"/>
    </row>
    <row r="541" spans="3:18" s="11" customFormat="1">
      <c r="C541" s="12"/>
      <c r="D541" s="12"/>
      <c r="E541" s="13"/>
      <c r="F541" s="13"/>
      <c r="G541" s="13"/>
      <c r="H541" s="13"/>
      <c r="I541" s="13"/>
      <c r="J541" s="13"/>
      <c r="K541" s="14"/>
      <c r="L541" s="12"/>
      <c r="P541" s="12"/>
      <c r="Q541" s="12"/>
      <c r="R541" s="12"/>
    </row>
    <row r="542" spans="3:18" s="11" customFormat="1">
      <c r="C542" s="12"/>
      <c r="D542" s="12"/>
      <c r="E542" s="13"/>
      <c r="F542" s="13"/>
      <c r="G542" s="13"/>
      <c r="H542" s="13"/>
      <c r="I542" s="13"/>
      <c r="J542" s="13"/>
      <c r="K542" s="14"/>
      <c r="L542" s="12"/>
      <c r="P542" s="12"/>
      <c r="Q542" s="12"/>
      <c r="R542" s="12"/>
    </row>
    <row r="543" spans="3:18" s="11" customFormat="1">
      <c r="C543" s="12"/>
      <c r="D543" s="12"/>
      <c r="E543" s="13"/>
      <c r="F543" s="13"/>
      <c r="G543" s="13"/>
      <c r="H543" s="13"/>
      <c r="I543" s="13"/>
      <c r="J543" s="13"/>
      <c r="K543" s="14"/>
      <c r="L543" s="12"/>
      <c r="P543" s="12"/>
      <c r="Q543" s="12"/>
      <c r="R543" s="12"/>
    </row>
    <row r="544" spans="3:18" s="11" customFormat="1">
      <c r="C544" s="12"/>
      <c r="D544" s="12"/>
      <c r="E544" s="13"/>
      <c r="F544" s="13"/>
      <c r="G544" s="13"/>
      <c r="H544" s="13"/>
      <c r="I544" s="13"/>
      <c r="J544" s="13"/>
      <c r="K544" s="14"/>
      <c r="L544" s="12"/>
      <c r="P544" s="12"/>
      <c r="Q544" s="12"/>
      <c r="R544" s="12"/>
    </row>
    <row r="545" spans="3:18" s="11" customFormat="1">
      <c r="C545" s="12"/>
      <c r="D545" s="12"/>
      <c r="E545" s="13"/>
      <c r="F545" s="13"/>
      <c r="G545" s="13"/>
      <c r="H545" s="13"/>
      <c r="I545" s="13"/>
      <c r="J545" s="13"/>
      <c r="K545" s="14"/>
      <c r="L545" s="12"/>
      <c r="P545" s="12"/>
      <c r="Q545" s="12"/>
      <c r="R545" s="12"/>
    </row>
    <row r="546" spans="3:18" s="11" customFormat="1">
      <c r="C546" s="12"/>
      <c r="D546" s="12"/>
      <c r="E546" s="13"/>
      <c r="F546" s="13"/>
      <c r="G546" s="13"/>
      <c r="H546" s="13"/>
      <c r="I546" s="13"/>
      <c r="J546" s="13"/>
      <c r="K546" s="14"/>
      <c r="L546" s="12"/>
      <c r="P546" s="12"/>
      <c r="Q546" s="12"/>
      <c r="R546" s="12"/>
    </row>
    <row r="547" spans="3:18" s="11" customFormat="1">
      <c r="C547" s="12"/>
      <c r="D547" s="12"/>
      <c r="E547" s="13"/>
      <c r="F547" s="13"/>
      <c r="G547" s="13"/>
      <c r="H547" s="13"/>
      <c r="I547" s="13"/>
      <c r="J547" s="13"/>
      <c r="K547" s="14"/>
      <c r="L547" s="12"/>
      <c r="P547" s="12"/>
      <c r="Q547" s="12"/>
      <c r="R547" s="12"/>
    </row>
    <row r="548" spans="3:18" s="11" customFormat="1">
      <c r="C548" s="12"/>
      <c r="D548" s="12"/>
      <c r="E548" s="13"/>
      <c r="F548" s="13"/>
      <c r="G548" s="13"/>
      <c r="H548" s="13"/>
      <c r="I548" s="13"/>
      <c r="J548" s="13"/>
      <c r="K548" s="14"/>
      <c r="L548" s="12"/>
      <c r="P548" s="12"/>
      <c r="Q548" s="12"/>
      <c r="R548" s="12"/>
    </row>
    <row r="549" spans="3:18" s="11" customFormat="1">
      <c r="C549" s="12"/>
      <c r="D549" s="12"/>
      <c r="E549" s="13"/>
      <c r="F549" s="13"/>
      <c r="G549" s="13"/>
      <c r="H549" s="13"/>
      <c r="I549" s="13"/>
      <c r="J549" s="13"/>
      <c r="K549" s="14"/>
      <c r="L549" s="12"/>
      <c r="P549" s="12"/>
      <c r="Q549" s="12"/>
      <c r="R549" s="12"/>
    </row>
    <row r="550" spans="3:18" s="11" customFormat="1">
      <c r="C550" s="12"/>
      <c r="D550" s="12"/>
      <c r="E550" s="13"/>
      <c r="F550" s="13"/>
      <c r="G550" s="13"/>
      <c r="H550" s="13"/>
      <c r="I550" s="13"/>
      <c r="J550" s="13"/>
      <c r="K550" s="14"/>
      <c r="L550" s="12"/>
      <c r="P550" s="12"/>
      <c r="Q550" s="12"/>
      <c r="R550" s="12"/>
    </row>
    <row r="551" spans="3:18" s="11" customFormat="1">
      <c r="C551" s="12"/>
      <c r="D551" s="12"/>
      <c r="E551" s="13"/>
      <c r="F551" s="13"/>
      <c r="G551" s="13"/>
      <c r="H551" s="13"/>
      <c r="I551" s="13"/>
      <c r="J551" s="13"/>
      <c r="K551" s="14"/>
      <c r="L551" s="12"/>
      <c r="P551" s="12"/>
      <c r="Q551" s="12"/>
      <c r="R551" s="12"/>
    </row>
    <row r="552" spans="3:18" s="11" customFormat="1">
      <c r="C552" s="12"/>
      <c r="D552" s="12"/>
      <c r="E552" s="13"/>
      <c r="F552" s="13"/>
      <c r="G552" s="13"/>
      <c r="H552" s="13"/>
      <c r="I552" s="13"/>
      <c r="J552" s="13"/>
      <c r="K552" s="14"/>
      <c r="L552" s="12"/>
      <c r="P552" s="12"/>
      <c r="Q552" s="12"/>
      <c r="R552" s="12"/>
    </row>
    <row r="553" spans="3:18" s="11" customFormat="1">
      <c r="C553" s="12"/>
      <c r="D553" s="12"/>
      <c r="E553" s="13"/>
      <c r="F553" s="13"/>
      <c r="G553" s="13"/>
      <c r="H553" s="13"/>
      <c r="I553" s="13"/>
      <c r="J553" s="13"/>
      <c r="K553" s="14"/>
      <c r="L553" s="12"/>
      <c r="P553" s="12"/>
      <c r="Q553" s="12"/>
      <c r="R553" s="12"/>
    </row>
    <row r="554" spans="3:18" s="11" customFormat="1">
      <c r="C554" s="12"/>
      <c r="D554" s="12"/>
      <c r="E554" s="13"/>
      <c r="F554" s="13"/>
      <c r="G554" s="13"/>
      <c r="H554" s="13"/>
      <c r="I554" s="13"/>
      <c r="J554" s="13"/>
      <c r="K554" s="14"/>
      <c r="L554" s="12"/>
      <c r="P554" s="12"/>
      <c r="Q554" s="12"/>
      <c r="R554" s="12"/>
    </row>
    <row r="555" spans="3:18" s="11" customFormat="1">
      <c r="C555" s="12"/>
      <c r="D555" s="12"/>
      <c r="E555" s="13"/>
      <c r="F555" s="13"/>
      <c r="G555" s="13"/>
      <c r="H555" s="13"/>
      <c r="I555" s="13"/>
      <c r="J555" s="13"/>
      <c r="K555" s="14"/>
      <c r="L555" s="12"/>
      <c r="P555" s="12"/>
      <c r="Q555" s="12"/>
      <c r="R555" s="12"/>
    </row>
    <row r="556" spans="3:18" s="11" customFormat="1">
      <c r="C556" s="12"/>
      <c r="D556" s="12"/>
      <c r="E556" s="13"/>
      <c r="F556" s="13"/>
      <c r="G556" s="13"/>
      <c r="H556" s="13"/>
      <c r="I556" s="13"/>
      <c r="J556" s="13"/>
      <c r="K556" s="14"/>
      <c r="L556" s="12"/>
      <c r="P556" s="12"/>
      <c r="Q556" s="12"/>
      <c r="R556" s="12"/>
    </row>
    <row r="557" spans="3:18" s="11" customFormat="1">
      <c r="C557" s="12"/>
      <c r="D557" s="12"/>
      <c r="E557" s="13"/>
      <c r="F557" s="13"/>
      <c r="G557" s="13"/>
      <c r="H557" s="13"/>
      <c r="I557" s="13"/>
      <c r="J557" s="13"/>
      <c r="K557" s="14"/>
      <c r="L557" s="12"/>
      <c r="P557" s="12"/>
      <c r="Q557" s="12"/>
      <c r="R557" s="12"/>
    </row>
    <row r="558" spans="3:18" s="11" customFormat="1">
      <c r="C558" s="12"/>
      <c r="D558" s="12"/>
      <c r="E558" s="13"/>
      <c r="F558" s="13"/>
      <c r="G558" s="13"/>
      <c r="H558" s="13"/>
      <c r="I558" s="13"/>
      <c r="J558" s="13"/>
      <c r="K558" s="14"/>
      <c r="L558" s="12"/>
      <c r="P558" s="12"/>
      <c r="Q558" s="12"/>
      <c r="R558" s="12"/>
    </row>
    <row r="559" spans="3:18" s="11" customFormat="1">
      <c r="C559" s="12"/>
      <c r="D559" s="12"/>
      <c r="E559" s="13"/>
      <c r="F559" s="13"/>
      <c r="G559" s="13"/>
      <c r="H559" s="13"/>
      <c r="I559" s="13"/>
      <c r="J559" s="13"/>
      <c r="K559" s="14"/>
      <c r="L559" s="12"/>
      <c r="P559" s="12"/>
      <c r="Q559" s="12"/>
      <c r="R559" s="12"/>
    </row>
    <row r="560" spans="3:18" s="11" customFormat="1">
      <c r="C560" s="12"/>
      <c r="D560" s="12"/>
      <c r="E560" s="13"/>
      <c r="F560" s="13"/>
      <c r="G560" s="13"/>
      <c r="H560" s="13"/>
      <c r="I560" s="13"/>
      <c r="J560" s="13"/>
      <c r="K560" s="14"/>
      <c r="L560" s="12"/>
      <c r="P560" s="12"/>
      <c r="Q560" s="12"/>
      <c r="R560" s="12"/>
    </row>
    <row r="561" spans="3:18" s="11" customFormat="1">
      <c r="C561" s="12"/>
      <c r="D561" s="12"/>
      <c r="E561" s="13"/>
      <c r="F561" s="13"/>
      <c r="G561" s="13"/>
      <c r="H561" s="13"/>
      <c r="I561" s="13"/>
      <c r="J561" s="13"/>
      <c r="K561" s="14"/>
      <c r="L561" s="12"/>
      <c r="P561" s="12"/>
      <c r="Q561" s="12"/>
      <c r="R561" s="12"/>
    </row>
    <row r="562" spans="3:18" s="11" customFormat="1">
      <c r="C562" s="12"/>
      <c r="D562" s="12"/>
      <c r="E562" s="13"/>
      <c r="F562" s="13"/>
      <c r="G562" s="13"/>
      <c r="H562" s="13"/>
      <c r="I562" s="13"/>
      <c r="J562" s="13"/>
      <c r="K562" s="14"/>
      <c r="L562" s="12"/>
      <c r="P562" s="12"/>
      <c r="Q562" s="12"/>
      <c r="R562" s="12"/>
    </row>
    <row r="563" spans="3:18" s="11" customFormat="1">
      <c r="C563" s="12"/>
      <c r="D563" s="12"/>
      <c r="E563" s="13"/>
      <c r="F563" s="13"/>
      <c r="G563" s="13"/>
      <c r="H563" s="13"/>
      <c r="I563" s="13"/>
      <c r="J563" s="13"/>
      <c r="K563" s="14"/>
      <c r="L563" s="12"/>
      <c r="P563" s="12"/>
      <c r="Q563" s="12"/>
      <c r="R563" s="12"/>
    </row>
    <row r="564" spans="3:18" s="11" customFormat="1">
      <c r="C564" s="12"/>
      <c r="D564" s="12"/>
      <c r="E564" s="13"/>
      <c r="F564" s="13"/>
      <c r="G564" s="13"/>
      <c r="H564" s="13"/>
      <c r="I564" s="13"/>
      <c r="J564" s="13"/>
      <c r="K564" s="14"/>
      <c r="L564" s="12"/>
      <c r="P564" s="12"/>
      <c r="Q564" s="12"/>
      <c r="R564" s="12"/>
    </row>
    <row r="565" spans="3:18" s="11" customFormat="1">
      <c r="C565" s="12"/>
      <c r="D565" s="12"/>
      <c r="E565" s="13"/>
      <c r="F565" s="13"/>
      <c r="G565" s="13"/>
      <c r="H565" s="13"/>
      <c r="I565" s="13"/>
      <c r="J565" s="13"/>
      <c r="K565" s="14"/>
      <c r="L565" s="12"/>
      <c r="P565" s="12"/>
      <c r="Q565" s="12"/>
      <c r="R565" s="12"/>
    </row>
    <row r="566" spans="3:18" s="11" customFormat="1">
      <c r="C566" s="12"/>
      <c r="D566" s="12"/>
      <c r="E566" s="13"/>
      <c r="F566" s="13"/>
      <c r="G566" s="13"/>
      <c r="H566" s="13"/>
      <c r="I566" s="13"/>
      <c r="J566" s="13"/>
      <c r="K566" s="14"/>
      <c r="L566" s="12"/>
      <c r="P566" s="12"/>
      <c r="Q566" s="12"/>
      <c r="R566" s="12"/>
    </row>
    <row r="567" spans="3:18" s="11" customFormat="1">
      <c r="C567" s="12"/>
      <c r="D567" s="12"/>
      <c r="E567" s="13"/>
      <c r="F567" s="13"/>
      <c r="G567" s="13"/>
      <c r="H567" s="13"/>
      <c r="I567" s="13"/>
      <c r="J567" s="13"/>
      <c r="K567" s="14"/>
      <c r="L567" s="12"/>
      <c r="P567" s="12"/>
      <c r="Q567" s="12"/>
      <c r="R567" s="12"/>
    </row>
    <row r="568" spans="3:18" s="11" customFormat="1">
      <c r="C568" s="12"/>
      <c r="D568" s="12"/>
      <c r="E568" s="13"/>
      <c r="F568" s="13"/>
      <c r="G568" s="13"/>
      <c r="H568" s="13"/>
      <c r="I568" s="13"/>
      <c r="J568" s="13"/>
      <c r="K568" s="14"/>
      <c r="L568" s="12"/>
      <c r="P568" s="12"/>
      <c r="Q568" s="12"/>
      <c r="R568" s="12"/>
    </row>
    <row r="569" spans="3:18" s="11" customFormat="1">
      <c r="C569" s="12"/>
      <c r="D569" s="12"/>
      <c r="E569" s="13"/>
      <c r="F569" s="13"/>
      <c r="G569" s="13"/>
      <c r="H569" s="13"/>
      <c r="I569" s="13"/>
      <c r="J569" s="13"/>
      <c r="K569" s="14"/>
      <c r="L569" s="12"/>
      <c r="P569" s="12"/>
      <c r="Q569" s="12"/>
      <c r="R569" s="12"/>
    </row>
    <row r="570" spans="3:18" s="11" customFormat="1">
      <c r="C570" s="12"/>
      <c r="D570" s="12"/>
      <c r="E570" s="13"/>
      <c r="F570" s="13"/>
      <c r="G570" s="13"/>
      <c r="H570" s="13"/>
      <c r="I570" s="13"/>
      <c r="J570" s="13"/>
      <c r="K570" s="14"/>
      <c r="L570" s="12"/>
      <c r="P570" s="12"/>
      <c r="Q570" s="12"/>
      <c r="R570" s="12"/>
    </row>
    <row r="571" spans="3:18" s="11" customFormat="1">
      <c r="C571" s="12"/>
      <c r="D571" s="12"/>
      <c r="E571" s="13"/>
      <c r="F571" s="13"/>
      <c r="G571" s="13"/>
      <c r="H571" s="13"/>
      <c r="I571" s="13"/>
      <c r="J571" s="13"/>
      <c r="K571" s="14"/>
      <c r="L571" s="12"/>
      <c r="P571" s="12"/>
      <c r="Q571" s="12"/>
      <c r="R571" s="12"/>
    </row>
    <row r="572" spans="3:18" s="11" customFormat="1">
      <c r="C572" s="12"/>
      <c r="D572" s="12"/>
      <c r="E572" s="13"/>
      <c r="F572" s="13"/>
      <c r="G572" s="13"/>
      <c r="H572" s="13"/>
      <c r="I572" s="13"/>
      <c r="J572" s="13"/>
      <c r="K572" s="14"/>
      <c r="L572" s="12"/>
      <c r="P572" s="12"/>
      <c r="Q572" s="12"/>
      <c r="R572" s="12"/>
    </row>
    <row r="573" spans="3:18" s="11" customFormat="1">
      <c r="C573" s="12"/>
      <c r="D573" s="12"/>
      <c r="E573" s="13"/>
      <c r="F573" s="13"/>
      <c r="G573" s="13"/>
      <c r="H573" s="13"/>
      <c r="I573" s="13"/>
      <c r="J573" s="13"/>
      <c r="K573" s="14"/>
      <c r="L573" s="12"/>
      <c r="P573" s="12"/>
      <c r="Q573" s="12"/>
      <c r="R573" s="12"/>
    </row>
    <row r="574" spans="3:18" s="11" customFormat="1">
      <c r="C574" s="12"/>
      <c r="D574" s="12"/>
      <c r="E574" s="13"/>
      <c r="F574" s="13"/>
      <c r="G574" s="13"/>
      <c r="H574" s="13"/>
      <c r="I574" s="13"/>
      <c r="J574" s="13"/>
      <c r="K574" s="14"/>
      <c r="L574" s="12"/>
      <c r="P574" s="12"/>
      <c r="Q574" s="12"/>
      <c r="R574" s="12"/>
    </row>
    <row r="575" spans="3:18" s="11" customFormat="1">
      <c r="C575" s="12"/>
      <c r="D575" s="12"/>
      <c r="E575" s="13"/>
      <c r="F575" s="13"/>
      <c r="G575" s="13"/>
      <c r="H575" s="13"/>
      <c r="I575" s="13"/>
      <c r="J575" s="13"/>
      <c r="K575" s="14"/>
      <c r="L575" s="12"/>
      <c r="P575" s="12"/>
      <c r="Q575" s="12"/>
      <c r="R575" s="12"/>
    </row>
    <row r="576" spans="3:18" s="11" customFormat="1">
      <c r="C576" s="12"/>
      <c r="D576" s="12"/>
      <c r="E576" s="13"/>
      <c r="F576" s="13"/>
      <c r="G576" s="13"/>
      <c r="H576" s="13"/>
      <c r="I576" s="13"/>
      <c r="J576" s="13"/>
      <c r="K576" s="14"/>
      <c r="L576" s="12"/>
      <c r="P576" s="12"/>
      <c r="Q576" s="12"/>
      <c r="R576" s="12"/>
    </row>
    <row r="577" spans="3:18" s="11" customFormat="1">
      <c r="C577" s="12"/>
      <c r="D577" s="12"/>
      <c r="E577" s="13"/>
      <c r="F577" s="13"/>
      <c r="G577" s="13"/>
      <c r="H577" s="13"/>
      <c r="I577" s="13"/>
      <c r="J577" s="13"/>
      <c r="K577" s="14"/>
      <c r="L577" s="12"/>
      <c r="P577" s="12"/>
      <c r="Q577" s="12"/>
      <c r="R577" s="12"/>
    </row>
    <row r="578" spans="3:18" s="11" customFormat="1">
      <c r="C578" s="12"/>
      <c r="D578" s="12"/>
      <c r="E578" s="13"/>
      <c r="F578" s="13"/>
      <c r="G578" s="13"/>
      <c r="H578" s="13"/>
      <c r="I578" s="13"/>
      <c r="J578" s="13"/>
      <c r="K578" s="14"/>
      <c r="L578" s="12"/>
      <c r="P578" s="12"/>
      <c r="Q578" s="12"/>
      <c r="R578" s="12"/>
    </row>
    <row r="579" spans="3:18" s="11" customFormat="1">
      <c r="C579" s="12"/>
      <c r="D579" s="12"/>
      <c r="E579" s="13"/>
      <c r="F579" s="13"/>
      <c r="G579" s="13"/>
      <c r="H579" s="13"/>
      <c r="I579" s="13"/>
      <c r="J579" s="13"/>
      <c r="K579" s="14"/>
      <c r="L579" s="12"/>
      <c r="P579" s="12"/>
      <c r="Q579" s="12"/>
      <c r="R579" s="12"/>
    </row>
    <row r="580" spans="3:18" s="11" customFormat="1">
      <c r="C580" s="12"/>
      <c r="D580" s="12"/>
      <c r="E580" s="13"/>
      <c r="F580" s="13"/>
      <c r="G580" s="13"/>
      <c r="H580" s="13"/>
      <c r="I580" s="13"/>
      <c r="J580" s="13"/>
      <c r="K580" s="14"/>
      <c r="L580" s="12"/>
      <c r="P580" s="12"/>
      <c r="Q580" s="12"/>
      <c r="R580" s="12"/>
    </row>
    <row r="581" spans="3:18" s="11" customFormat="1">
      <c r="C581" s="12"/>
      <c r="D581" s="12"/>
      <c r="E581" s="13"/>
      <c r="F581" s="13"/>
      <c r="G581" s="13"/>
      <c r="H581" s="13"/>
      <c r="I581" s="13"/>
      <c r="J581" s="13"/>
      <c r="K581" s="14"/>
      <c r="L581" s="12"/>
      <c r="P581" s="12"/>
      <c r="Q581" s="12"/>
      <c r="R581" s="12"/>
    </row>
    <row r="582" spans="3:18" s="11" customFormat="1">
      <c r="C582" s="12"/>
      <c r="D582" s="12"/>
      <c r="E582" s="13"/>
      <c r="F582" s="13"/>
      <c r="G582" s="13"/>
      <c r="H582" s="13"/>
      <c r="I582" s="13"/>
      <c r="J582" s="13"/>
      <c r="K582" s="14"/>
      <c r="L582" s="12"/>
      <c r="P582" s="12"/>
      <c r="Q582" s="12"/>
      <c r="R582" s="12"/>
    </row>
    <row r="583" spans="3:18" s="11" customFormat="1">
      <c r="C583" s="12"/>
      <c r="D583" s="12"/>
      <c r="E583" s="13"/>
      <c r="F583" s="13"/>
      <c r="G583" s="13"/>
      <c r="H583" s="13"/>
      <c r="I583" s="13"/>
      <c r="J583" s="13"/>
      <c r="K583" s="14"/>
      <c r="L583" s="12"/>
      <c r="P583" s="12"/>
      <c r="Q583" s="12"/>
      <c r="R583" s="12"/>
    </row>
    <row r="584" spans="3:18" s="11" customFormat="1">
      <c r="C584" s="12"/>
      <c r="D584" s="12"/>
      <c r="E584" s="13"/>
      <c r="F584" s="13"/>
      <c r="G584" s="13"/>
      <c r="H584" s="13"/>
      <c r="I584" s="13"/>
      <c r="J584" s="13"/>
      <c r="K584" s="14"/>
      <c r="L584" s="12"/>
      <c r="P584" s="12"/>
      <c r="Q584" s="12"/>
      <c r="R584" s="12"/>
    </row>
    <row r="585" spans="3:18" s="11" customFormat="1">
      <c r="C585" s="12"/>
      <c r="D585" s="12"/>
      <c r="E585" s="13"/>
      <c r="F585" s="13"/>
      <c r="G585" s="13"/>
      <c r="H585" s="13"/>
      <c r="I585" s="13"/>
      <c r="J585" s="13"/>
      <c r="K585" s="14"/>
      <c r="L585" s="12"/>
      <c r="P585" s="12"/>
      <c r="Q585" s="12"/>
      <c r="R585" s="12"/>
    </row>
    <row r="586" spans="3:18" s="11" customFormat="1">
      <c r="C586" s="12"/>
      <c r="D586" s="12"/>
      <c r="E586" s="13"/>
      <c r="F586" s="13"/>
      <c r="G586" s="13"/>
      <c r="H586" s="13"/>
      <c r="I586" s="13"/>
      <c r="J586" s="13"/>
      <c r="K586" s="14"/>
      <c r="L586" s="12"/>
      <c r="P586" s="12"/>
      <c r="Q586" s="12"/>
      <c r="R586" s="12"/>
    </row>
    <row r="587" spans="3:18" s="11" customFormat="1">
      <c r="C587" s="12"/>
      <c r="D587" s="12"/>
      <c r="E587" s="13"/>
      <c r="F587" s="13"/>
      <c r="G587" s="13"/>
      <c r="H587" s="13"/>
      <c r="I587" s="13"/>
      <c r="J587" s="13"/>
      <c r="K587" s="14"/>
      <c r="L587" s="12"/>
      <c r="P587" s="12"/>
      <c r="Q587" s="12"/>
      <c r="R587" s="12"/>
    </row>
    <row r="588" spans="3:18" s="11" customFormat="1">
      <c r="C588" s="12"/>
      <c r="D588" s="12"/>
      <c r="E588" s="13"/>
      <c r="F588" s="13"/>
      <c r="G588" s="13"/>
      <c r="H588" s="13"/>
      <c r="I588" s="13"/>
      <c r="J588" s="13"/>
      <c r="K588" s="14"/>
      <c r="L588" s="12"/>
      <c r="P588" s="12"/>
      <c r="Q588" s="12"/>
      <c r="R588" s="12"/>
    </row>
    <row r="589" spans="3:18" s="11" customFormat="1">
      <c r="C589" s="12"/>
      <c r="D589" s="12"/>
      <c r="E589" s="13"/>
      <c r="F589" s="13"/>
      <c r="G589" s="13"/>
      <c r="H589" s="13"/>
      <c r="I589" s="13"/>
      <c r="J589" s="13"/>
      <c r="K589" s="14"/>
      <c r="L589" s="12"/>
      <c r="P589" s="12"/>
      <c r="Q589" s="12"/>
      <c r="R589" s="12"/>
    </row>
    <row r="590" spans="3:18" s="11" customFormat="1">
      <c r="C590" s="12"/>
      <c r="D590" s="12"/>
      <c r="E590" s="13"/>
      <c r="F590" s="13"/>
      <c r="G590" s="13"/>
      <c r="H590" s="13"/>
      <c r="I590" s="13"/>
      <c r="J590" s="13"/>
      <c r="K590" s="14"/>
      <c r="L590" s="12"/>
      <c r="P590" s="12"/>
      <c r="Q590" s="12"/>
      <c r="R590" s="12"/>
    </row>
    <row r="591" spans="3:18" s="11" customFormat="1">
      <c r="C591" s="12"/>
      <c r="D591" s="12"/>
      <c r="E591" s="13"/>
      <c r="F591" s="13"/>
      <c r="G591" s="13"/>
      <c r="H591" s="13"/>
      <c r="I591" s="13"/>
      <c r="J591" s="13"/>
      <c r="K591" s="14"/>
      <c r="L591" s="12"/>
      <c r="P591" s="12"/>
      <c r="Q591" s="12"/>
      <c r="R591" s="12"/>
    </row>
    <row r="592" spans="3:18" s="11" customFormat="1">
      <c r="C592" s="12"/>
      <c r="D592" s="12"/>
      <c r="E592" s="13"/>
      <c r="F592" s="13"/>
      <c r="G592" s="13"/>
      <c r="H592" s="13"/>
      <c r="I592" s="13"/>
      <c r="J592" s="13"/>
      <c r="K592" s="14"/>
      <c r="L592" s="12"/>
      <c r="P592" s="12"/>
      <c r="Q592" s="12"/>
      <c r="R592" s="12"/>
    </row>
    <row r="593" spans="3:18" s="11" customFormat="1">
      <c r="C593" s="12"/>
      <c r="D593" s="12"/>
      <c r="E593" s="13"/>
      <c r="F593" s="13"/>
      <c r="G593" s="13"/>
      <c r="H593" s="13"/>
      <c r="I593" s="13"/>
      <c r="J593" s="13"/>
      <c r="K593" s="14"/>
      <c r="L593" s="12"/>
      <c r="P593" s="12"/>
      <c r="Q593" s="12"/>
      <c r="R593" s="12"/>
    </row>
    <row r="594" spans="3:18" s="11" customFormat="1">
      <c r="C594" s="12"/>
      <c r="D594" s="12"/>
      <c r="E594" s="13"/>
      <c r="F594" s="13"/>
      <c r="G594" s="13"/>
      <c r="H594" s="13"/>
      <c r="I594" s="13"/>
      <c r="J594" s="13"/>
      <c r="K594" s="14"/>
      <c r="L594" s="12"/>
      <c r="P594" s="12"/>
      <c r="Q594" s="12"/>
      <c r="R594" s="12"/>
    </row>
    <row r="595" spans="3:18" s="11" customFormat="1">
      <c r="C595" s="12"/>
      <c r="D595" s="12"/>
      <c r="E595" s="13"/>
      <c r="F595" s="13"/>
      <c r="G595" s="13"/>
      <c r="H595" s="13"/>
      <c r="I595" s="13"/>
      <c r="J595" s="13"/>
      <c r="K595" s="14"/>
      <c r="L595" s="12"/>
      <c r="P595" s="12"/>
      <c r="Q595" s="12"/>
      <c r="R595" s="12"/>
    </row>
    <row r="596" spans="3:18" s="11" customFormat="1">
      <c r="C596" s="12"/>
      <c r="D596" s="12"/>
      <c r="E596" s="13"/>
      <c r="F596" s="13"/>
      <c r="G596" s="13"/>
      <c r="H596" s="13"/>
      <c r="I596" s="13"/>
      <c r="J596" s="13"/>
      <c r="K596" s="14"/>
      <c r="L596" s="12"/>
      <c r="P596" s="12"/>
      <c r="Q596" s="12"/>
      <c r="R596" s="12"/>
    </row>
    <row r="597" spans="3:18" s="11" customFormat="1">
      <c r="C597" s="12"/>
      <c r="D597" s="12"/>
      <c r="E597" s="13"/>
      <c r="F597" s="13"/>
      <c r="G597" s="13"/>
      <c r="H597" s="13"/>
      <c r="I597" s="13"/>
      <c r="J597" s="13"/>
      <c r="K597" s="14"/>
      <c r="L597" s="12"/>
      <c r="P597" s="12"/>
      <c r="Q597" s="12"/>
      <c r="R597" s="12"/>
    </row>
    <row r="598" spans="3:18" s="11" customFormat="1">
      <c r="C598" s="12"/>
      <c r="D598" s="12"/>
      <c r="E598" s="13"/>
      <c r="F598" s="13"/>
      <c r="G598" s="13"/>
      <c r="H598" s="13"/>
      <c r="I598" s="13"/>
      <c r="J598" s="13"/>
      <c r="K598" s="14"/>
      <c r="L598" s="12"/>
      <c r="P598" s="12"/>
      <c r="Q598" s="12"/>
      <c r="R598" s="12"/>
    </row>
    <row r="599" spans="3:18" s="11" customFormat="1">
      <c r="C599" s="12"/>
      <c r="D599" s="12"/>
      <c r="E599" s="13"/>
      <c r="F599" s="13"/>
      <c r="G599" s="13"/>
      <c r="H599" s="13"/>
      <c r="I599" s="13"/>
      <c r="J599" s="13"/>
      <c r="K599" s="14"/>
      <c r="L599" s="17"/>
      <c r="P599" s="12"/>
      <c r="Q599" s="12"/>
      <c r="R599" s="12"/>
    </row>
    <row r="600" spans="3:18" s="11" customFormat="1">
      <c r="C600" s="12"/>
      <c r="D600" s="12"/>
      <c r="E600" s="13"/>
      <c r="F600" s="13"/>
      <c r="G600" s="13"/>
      <c r="H600" s="13"/>
      <c r="I600" s="13"/>
      <c r="J600" s="13"/>
      <c r="K600" s="14"/>
      <c r="L600" s="17"/>
      <c r="P600" s="12"/>
      <c r="Q600" s="12"/>
      <c r="R600" s="12"/>
    </row>
    <row r="601" spans="3:18" s="11" customFormat="1">
      <c r="C601" s="12"/>
      <c r="D601" s="12"/>
      <c r="E601" s="13"/>
      <c r="F601" s="13"/>
      <c r="G601" s="13"/>
      <c r="H601" s="13"/>
      <c r="I601" s="13"/>
      <c r="J601" s="13"/>
      <c r="K601" s="14"/>
      <c r="L601" s="17"/>
      <c r="P601" s="12"/>
      <c r="Q601" s="12"/>
      <c r="R601" s="12"/>
    </row>
    <row r="602" spans="3:18" s="11" customFormat="1">
      <c r="C602" s="12"/>
      <c r="D602" s="12"/>
      <c r="E602" s="13"/>
      <c r="F602" s="13"/>
      <c r="G602" s="13"/>
      <c r="H602" s="13"/>
      <c r="I602" s="13"/>
      <c r="J602" s="13"/>
      <c r="K602" s="14"/>
      <c r="L602" s="17"/>
      <c r="P602" s="12"/>
      <c r="Q602" s="12"/>
      <c r="R602" s="12"/>
    </row>
    <row r="603" spans="3:18" s="11" customFormat="1">
      <c r="C603" s="17"/>
      <c r="D603" s="12"/>
      <c r="E603" s="13"/>
      <c r="F603" s="13"/>
      <c r="G603" s="13"/>
      <c r="H603" s="13"/>
      <c r="I603" s="13"/>
      <c r="J603" s="13"/>
      <c r="K603" s="14"/>
      <c r="L603" s="17"/>
      <c r="P603" s="12"/>
      <c r="Q603" s="12"/>
      <c r="R603" s="12"/>
    </row>
  </sheetData>
  <mergeCells count="4">
    <mergeCell ref="L287:L289"/>
    <mergeCell ref="L312:L314"/>
    <mergeCell ref="L478:L480"/>
    <mergeCell ref="L496:L502"/>
  </mergeCells>
  <hyperlinks>
    <hyperlink ref="L1" location="'Cover Sheets'!A16" display="(Back to Worksheet Links)" xr:uid="{00000000-0004-0000-0800-000000000000}"/>
  </hyperlinks>
  <printOptions horizontalCentered="1"/>
  <pageMargins left="0.75" right="0.75" top="0.75" bottom="0.75" header="0.5" footer="0.5"/>
  <pageSetup scale="71" fitToHeight="14" orientation="landscape" r:id="rId1"/>
  <headerFooter alignWithMargins="0">
    <oddFooter>&amp;R&amp;A</oddFooter>
  </headerFooter>
  <rowBreaks count="6" manualBreakCount="6">
    <brk id="198" max="10" man="1"/>
    <brk id="249" max="10" man="1"/>
    <brk id="290" max="10" man="1"/>
    <brk id="418" max="10" man="1"/>
    <brk id="462" max="10" man="1"/>
    <brk id="49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4"/>
  <sheetViews>
    <sheetView view="pageBreakPreview" zoomScale="80" zoomScaleNormal="100" zoomScaleSheetLayoutView="80" workbookViewId="0"/>
  </sheetViews>
  <sheetFormatPr defaultColWidth="8.7265625" defaultRowHeight="14.5"/>
  <cols>
    <col min="1" max="2" width="6.7265625" style="486" customWidth="1"/>
    <col min="3" max="3" width="25.7265625" style="456" customWidth="1"/>
    <col min="4" max="4" width="63.7265625" style="480" customWidth="1"/>
    <col min="5" max="5" width="9.7265625" style="458" hidden="1" customWidth="1"/>
    <col min="6" max="6" width="19.26953125" style="464" hidden="1" customWidth="1"/>
    <col min="7" max="13" width="4.453125" style="480" customWidth="1"/>
    <col min="14" max="14" width="69.26953125" style="480" customWidth="1"/>
    <col min="15" max="15" width="23" style="480" customWidth="1"/>
    <col min="16" max="16384" width="8.7265625" style="480"/>
  </cols>
  <sheetData>
    <row r="1" spans="1:15">
      <c r="A1" s="648" t="str">
        <f>'Cover Sheets'!A10:B10</f>
        <v>WAPA-UGP 2021 Rate Estimate Calculation</v>
      </c>
      <c r="B1" s="665"/>
      <c r="C1" s="649"/>
      <c r="D1" s="650"/>
      <c r="E1" s="651"/>
      <c r="F1" s="652"/>
      <c r="G1" s="650"/>
      <c r="H1" s="650"/>
      <c r="I1" s="650"/>
      <c r="J1" s="650"/>
      <c r="K1" s="650"/>
      <c r="L1" s="650"/>
      <c r="M1" s="650"/>
      <c r="N1" s="653"/>
      <c r="O1" s="578" t="s">
        <v>42</v>
      </c>
    </row>
    <row r="2" spans="1:15">
      <c r="A2" s="666" t="s">
        <v>1618</v>
      </c>
      <c r="B2" s="654"/>
      <c r="C2" s="655"/>
      <c r="D2" s="519"/>
      <c r="E2" s="656"/>
      <c r="F2" s="657"/>
      <c r="G2" s="519"/>
      <c r="H2" s="519"/>
      <c r="I2" s="519"/>
      <c r="J2" s="519"/>
      <c r="K2" s="519"/>
      <c r="L2" s="519"/>
      <c r="M2" s="519"/>
      <c r="N2" s="658"/>
    </row>
    <row r="3" spans="1:15">
      <c r="A3" s="666" t="str">
        <f>'WS1-RateBase'!A4</f>
        <v>12 Months Ending 09/30/2021 ESTIMATE</v>
      </c>
      <c r="B3" s="654"/>
      <c r="C3" s="655"/>
      <c r="D3" s="519"/>
      <c r="E3" s="656"/>
      <c r="F3" s="657"/>
      <c r="G3" s="519"/>
      <c r="H3" s="519"/>
      <c r="I3" s="519"/>
      <c r="J3" s="519"/>
      <c r="K3" s="519"/>
      <c r="L3" s="519"/>
      <c r="M3" s="519"/>
      <c r="N3" s="658"/>
    </row>
    <row r="4" spans="1:15" ht="15" thickBot="1">
      <c r="A4" s="675"/>
      <c r="B4" s="676"/>
      <c r="C4" s="671"/>
      <c r="D4" s="672"/>
      <c r="E4" s="673"/>
      <c r="F4" s="674"/>
      <c r="G4" s="806" t="s">
        <v>1619</v>
      </c>
      <c r="H4" s="806"/>
      <c r="I4" s="806"/>
      <c r="J4" s="806"/>
      <c r="K4" s="806"/>
      <c r="L4" s="806"/>
      <c r="M4" s="806"/>
      <c r="N4" s="683"/>
    </row>
    <row r="5" spans="1:15" s="447" customFormat="1" ht="29">
      <c r="A5" s="677" t="s">
        <v>397</v>
      </c>
      <c r="B5" s="678" t="s">
        <v>566</v>
      </c>
      <c r="C5" s="679" t="s">
        <v>1620</v>
      </c>
      <c r="D5" s="678" t="s">
        <v>1621</v>
      </c>
      <c r="E5" s="678" t="s">
        <v>1622</v>
      </c>
      <c r="F5" s="680" t="s">
        <v>1623</v>
      </c>
      <c r="G5" s="681" t="s">
        <v>1624</v>
      </c>
      <c r="H5" s="681" t="s">
        <v>1625</v>
      </c>
      <c r="I5" s="681" t="s">
        <v>1626</v>
      </c>
      <c r="J5" s="681" t="s">
        <v>1627</v>
      </c>
      <c r="K5" s="681" t="s">
        <v>1628</v>
      </c>
      <c r="L5" s="681" t="s">
        <v>1629</v>
      </c>
      <c r="M5" s="681" t="s">
        <v>1630</v>
      </c>
      <c r="N5" s="682" t="s">
        <v>1631</v>
      </c>
    </row>
    <row r="6" spans="1:15" s="499" customFormat="1">
      <c r="A6" s="667"/>
      <c r="B6" s="659"/>
      <c r="C6" s="448" t="s">
        <v>1632</v>
      </c>
      <c r="D6" s="449"/>
      <c r="E6" s="450"/>
      <c r="F6" s="451"/>
      <c r="G6" s="452"/>
      <c r="H6" s="452"/>
      <c r="I6" s="453"/>
      <c r="J6" s="453"/>
      <c r="K6" s="454"/>
      <c r="L6" s="453"/>
      <c r="M6" s="453"/>
      <c r="N6" s="455"/>
    </row>
    <row r="7" spans="1:15">
      <c r="A7" s="446">
        <v>1</v>
      </c>
      <c r="B7" s="659" t="s">
        <v>850</v>
      </c>
      <c r="C7" s="456" t="s">
        <v>1633</v>
      </c>
      <c r="D7" s="457" t="s">
        <v>1634</v>
      </c>
      <c r="E7" s="458" t="s">
        <v>279</v>
      </c>
      <c r="F7" s="459">
        <v>5878984</v>
      </c>
      <c r="G7" s="460" t="s">
        <v>1635</v>
      </c>
      <c r="H7" s="461"/>
      <c r="I7" s="461"/>
      <c r="J7" s="461"/>
      <c r="K7" s="462"/>
      <c r="L7" s="461"/>
      <c r="M7" s="461"/>
      <c r="N7" s="463"/>
    </row>
    <row r="8" spans="1:15">
      <c r="A8" s="446">
        <f t="shared" ref="A8:A13" si="0">A7+1</f>
        <v>2</v>
      </c>
      <c r="B8" s="659"/>
      <c r="D8" s="457" t="s">
        <v>1636</v>
      </c>
      <c r="E8" s="458" t="s">
        <v>279</v>
      </c>
      <c r="G8" s="460" t="s">
        <v>1635</v>
      </c>
      <c r="H8" s="461"/>
      <c r="I8" s="461"/>
      <c r="J8" s="461"/>
      <c r="K8" s="462"/>
      <c r="L8" s="461"/>
      <c r="M8" s="461"/>
      <c r="N8" s="463"/>
    </row>
    <row r="9" spans="1:15">
      <c r="A9" s="446">
        <f t="shared" si="0"/>
        <v>3</v>
      </c>
      <c r="B9" s="659" t="s">
        <v>852</v>
      </c>
      <c r="C9" s="456" t="s">
        <v>1637</v>
      </c>
      <c r="D9" s="457" t="s">
        <v>1638</v>
      </c>
      <c r="E9" s="458" t="s">
        <v>279</v>
      </c>
      <c r="F9" s="464">
        <v>1117933</v>
      </c>
      <c r="G9" s="461" t="s">
        <v>1635</v>
      </c>
      <c r="H9" s="461"/>
      <c r="I9" s="461"/>
      <c r="J9" s="461"/>
      <c r="K9" s="462"/>
      <c r="L9" s="461"/>
      <c r="M9" s="461"/>
      <c r="N9" s="463"/>
    </row>
    <row r="10" spans="1:15">
      <c r="A10" s="446">
        <f t="shared" si="0"/>
        <v>4</v>
      </c>
      <c r="B10" s="659"/>
      <c r="D10" s="457" t="s">
        <v>1639</v>
      </c>
      <c r="E10" s="458" t="s">
        <v>279</v>
      </c>
      <c r="G10" s="461" t="s">
        <v>1635</v>
      </c>
      <c r="H10" s="461"/>
      <c r="I10" s="461"/>
      <c r="J10" s="461"/>
      <c r="K10" s="462"/>
      <c r="L10" s="461"/>
      <c r="M10" s="461"/>
      <c r="N10" s="463" t="s">
        <v>1640</v>
      </c>
    </row>
    <row r="11" spans="1:15">
      <c r="A11" s="446">
        <f t="shared" si="0"/>
        <v>5</v>
      </c>
      <c r="B11" s="659"/>
      <c r="D11" s="457" t="s">
        <v>1641</v>
      </c>
      <c r="E11" s="458" t="s">
        <v>279</v>
      </c>
      <c r="G11" s="461" t="s">
        <v>1635</v>
      </c>
      <c r="H11" s="461"/>
      <c r="I11" s="461"/>
      <c r="J11" s="461"/>
      <c r="K11" s="462"/>
      <c r="L11" s="461"/>
      <c r="M11" s="461"/>
      <c r="N11" s="463"/>
    </row>
    <row r="12" spans="1:15" ht="29">
      <c r="A12" s="446">
        <f t="shared" si="0"/>
        <v>6</v>
      </c>
      <c r="B12" s="659"/>
      <c r="D12" s="457" t="s">
        <v>1642</v>
      </c>
      <c r="E12" s="458" t="s">
        <v>279</v>
      </c>
      <c r="G12" s="461"/>
      <c r="H12" s="461" t="s">
        <v>1635</v>
      </c>
      <c r="I12" s="461"/>
      <c r="J12" s="461"/>
      <c r="K12" s="462"/>
      <c r="L12" s="461"/>
      <c r="M12" s="461"/>
      <c r="N12" s="465" t="s">
        <v>1643</v>
      </c>
    </row>
    <row r="13" spans="1:15" ht="19.5" customHeight="1">
      <c r="A13" s="446">
        <f t="shared" si="0"/>
        <v>7</v>
      </c>
      <c r="B13" s="659"/>
      <c r="D13" s="457" t="s">
        <v>1644</v>
      </c>
      <c r="E13" s="458" t="s">
        <v>279</v>
      </c>
      <c r="G13" s="461"/>
      <c r="H13" s="461" t="s">
        <v>1635</v>
      </c>
      <c r="I13" s="461"/>
      <c r="J13" s="461"/>
      <c r="K13" s="462"/>
      <c r="L13" s="461"/>
      <c r="M13" s="461"/>
      <c r="N13" s="465" t="s">
        <v>1645</v>
      </c>
    </row>
    <row r="14" spans="1:15">
      <c r="A14" s="446">
        <f t="shared" ref="A14:A76" si="1">A13+1</f>
        <v>8</v>
      </c>
      <c r="B14" s="659" t="s">
        <v>1646</v>
      </c>
      <c r="C14" s="456" t="s">
        <v>1647</v>
      </c>
      <c r="D14" s="457" t="s">
        <v>1648</v>
      </c>
      <c r="E14" s="458" t="s">
        <v>279</v>
      </c>
      <c r="F14" s="464">
        <v>63325</v>
      </c>
      <c r="G14" s="460" t="s">
        <v>1635</v>
      </c>
      <c r="H14" s="460"/>
      <c r="I14" s="461"/>
      <c r="J14" s="461"/>
      <c r="K14" s="462"/>
      <c r="L14" s="461"/>
      <c r="M14" s="461"/>
      <c r="N14" s="463"/>
    </row>
    <row r="15" spans="1:15">
      <c r="A15" s="446">
        <f t="shared" si="1"/>
        <v>9</v>
      </c>
      <c r="B15" s="659" t="s">
        <v>858</v>
      </c>
      <c r="C15" s="456" t="s">
        <v>1649</v>
      </c>
      <c r="D15" s="457" t="s">
        <v>1650</v>
      </c>
      <c r="E15" s="458" t="s">
        <v>279</v>
      </c>
      <c r="F15" s="464">
        <v>2775537</v>
      </c>
      <c r="G15" s="461" t="s">
        <v>1635</v>
      </c>
      <c r="H15" s="461"/>
      <c r="I15" s="461"/>
      <c r="J15" s="461"/>
      <c r="K15" s="462"/>
      <c r="L15" s="461"/>
      <c r="M15" s="461"/>
      <c r="N15" s="463"/>
    </row>
    <row r="16" spans="1:15">
      <c r="A16" s="446">
        <f t="shared" si="1"/>
        <v>10</v>
      </c>
      <c r="B16" s="659"/>
      <c r="D16" s="457" t="s">
        <v>1651</v>
      </c>
      <c r="E16" s="458" t="s">
        <v>279</v>
      </c>
      <c r="G16" s="461" t="s">
        <v>1635</v>
      </c>
      <c r="H16" s="461"/>
      <c r="I16" s="461"/>
      <c r="J16" s="461"/>
      <c r="K16" s="462"/>
      <c r="L16" s="461"/>
      <c r="M16" s="461"/>
      <c r="N16" s="463"/>
    </row>
    <row r="17" spans="1:14">
      <c r="A17" s="446">
        <f t="shared" si="1"/>
        <v>11</v>
      </c>
      <c r="B17" s="659"/>
      <c r="D17" s="457" t="s">
        <v>1652</v>
      </c>
      <c r="E17" s="458" t="s">
        <v>279</v>
      </c>
      <c r="G17" s="461" t="s">
        <v>1635</v>
      </c>
      <c r="H17" s="461"/>
      <c r="I17" s="461"/>
      <c r="J17" s="461"/>
      <c r="K17" s="462"/>
      <c r="L17" s="461"/>
      <c r="M17" s="461"/>
      <c r="N17" s="463"/>
    </row>
    <row r="18" spans="1:14">
      <c r="A18" s="446">
        <f t="shared" si="1"/>
        <v>12</v>
      </c>
      <c r="B18" s="659" t="s">
        <v>862</v>
      </c>
      <c r="C18" s="456" t="s">
        <v>1653</v>
      </c>
      <c r="D18" s="457" t="s">
        <v>1654</v>
      </c>
      <c r="E18" s="458" t="s">
        <v>279</v>
      </c>
      <c r="F18" s="464">
        <v>164986</v>
      </c>
      <c r="G18" s="461" t="s">
        <v>1635</v>
      </c>
      <c r="H18" s="461"/>
      <c r="I18" s="461"/>
      <c r="J18" s="461"/>
      <c r="K18" s="462"/>
      <c r="L18" s="461"/>
      <c r="M18" s="461"/>
      <c r="N18" s="463"/>
    </row>
    <row r="19" spans="1:14">
      <c r="A19" s="446">
        <f t="shared" si="1"/>
        <v>13</v>
      </c>
      <c r="B19" s="659" t="s">
        <v>864</v>
      </c>
      <c r="C19" s="456" t="s">
        <v>1655</v>
      </c>
      <c r="D19" s="457" t="s">
        <v>1656</v>
      </c>
      <c r="E19" s="458" t="s">
        <v>279</v>
      </c>
      <c r="F19" s="464">
        <v>13937668</v>
      </c>
      <c r="G19" s="461" t="s">
        <v>1635</v>
      </c>
      <c r="H19" s="461"/>
      <c r="I19" s="461"/>
      <c r="J19" s="461"/>
      <c r="K19" s="462"/>
      <c r="L19" s="461"/>
      <c r="M19" s="461"/>
      <c r="N19" s="463"/>
    </row>
    <row r="20" spans="1:14">
      <c r="A20" s="446">
        <f t="shared" si="1"/>
        <v>14</v>
      </c>
      <c r="B20" s="659"/>
      <c r="D20" s="457" t="s">
        <v>1657</v>
      </c>
      <c r="E20" s="458" t="s">
        <v>279</v>
      </c>
      <c r="G20" s="461" t="s">
        <v>1635</v>
      </c>
      <c r="H20" s="461"/>
      <c r="I20" s="461"/>
      <c r="J20" s="461"/>
      <c r="K20" s="462"/>
      <c r="L20" s="461"/>
      <c r="M20" s="461"/>
      <c r="N20" s="463"/>
    </row>
    <row r="21" spans="1:14">
      <c r="A21" s="446">
        <f t="shared" si="1"/>
        <v>15</v>
      </c>
      <c r="B21" s="659"/>
      <c r="D21" s="457" t="s">
        <v>1658</v>
      </c>
      <c r="E21" s="458" t="s">
        <v>279</v>
      </c>
      <c r="G21" s="461" t="s">
        <v>1635</v>
      </c>
      <c r="H21" s="461"/>
      <c r="I21" s="461"/>
      <c r="J21" s="461"/>
      <c r="K21" s="462"/>
      <c r="L21" s="461"/>
      <c r="M21" s="461"/>
      <c r="N21" s="463"/>
    </row>
    <row r="22" spans="1:14">
      <c r="A22" s="446">
        <f t="shared" si="1"/>
        <v>16</v>
      </c>
      <c r="B22" s="659"/>
      <c r="D22" s="457" t="s">
        <v>1659</v>
      </c>
      <c r="E22" s="458" t="s">
        <v>279</v>
      </c>
      <c r="G22" s="461" t="s">
        <v>1635</v>
      </c>
      <c r="H22" s="461"/>
      <c r="I22" s="461"/>
      <c r="J22" s="461"/>
      <c r="K22" s="461"/>
      <c r="L22" s="461"/>
      <c r="M22" s="461"/>
      <c r="N22" s="463"/>
    </row>
    <row r="23" spans="1:14">
      <c r="A23" s="446">
        <f t="shared" si="1"/>
        <v>17</v>
      </c>
      <c r="B23" s="659"/>
      <c r="D23" s="457" t="s">
        <v>1660</v>
      </c>
      <c r="E23" s="458" t="s">
        <v>279</v>
      </c>
      <c r="G23" s="461" t="s">
        <v>1635</v>
      </c>
      <c r="H23" s="461"/>
      <c r="I23" s="461"/>
      <c r="J23" s="461"/>
      <c r="K23" s="461"/>
      <c r="L23" s="461"/>
      <c r="M23" s="461"/>
      <c r="N23" s="463"/>
    </row>
    <row r="24" spans="1:14">
      <c r="A24" s="446">
        <f t="shared" si="1"/>
        <v>18</v>
      </c>
      <c r="B24" s="659" t="s">
        <v>866</v>
      </c>
      <c r="C24" s="456" t="s">
        <v>1661</v>
      </c>
      <c r="D24" s="457" t="s">
        <v>1662</v>
      </c>
      <c r="E24" s="458" t="s">
        <v>279</v>
      </c>
      <c r="F24" s="464">
        <v>3901175</v>
      </c>
      <c r="G24" s="461" t="s">
        <v>1635</v>
      </c>
      <c r="H24" s="461"/>
      <c r="I24" s="461"/>
      <c r="J24" s="461"/>
      <c r="K24" s="461"/>
      <c r="L24" s="461"/>
      <c r="M24" s="461"/>
      <c r="N24" s="463"/>
    </row>
    <row r="25" spans="1:14">
      <c r="A25" s="446">
        <f t="shared" si="1"/>
        <v>19</v>
      </c>
      <c r="B25" s="659"/>
      <c r="D25" s="457" t="s">
        <v>1663</v>
      </c>
      <c r="E25" s="458" t="s">
        <v>279</v>
      </c>
      <c r="G25" s="461" t="s">
        <v>1635</v>
      </c>
      <c r="H25" s="461"/>
      <c r="I25" s="461"/>
      <c r="J25" s="461"/>
      <c r="K25" s="461"/>
      <c r="L25" s="461"/>
      <c r="M25" s="461"/>
      <c r="N25" s="463"/>
    </row>
    <row r="26" spans="1:14">
      <c r="A26" s="446">
        <f t="shared" si="1"/>
        <v>20</v>
      </c>
      <c r="B26" s="659"/>
      <c r="D26" s="457" t="s">
        <v>1664</v>
      </c>
      <c r="E26" s="458" t="s">
        <v>279</v>
      </c>
      <c r="G26" s="461" t="s">
        <v>1635</v>
      </c>
      <c r="H26" s="461"/>
      <c r="I26" s="461"/>
      <c r="J26" s="461"/>
      <c r="K26" s="461"/>
      <c r="L26" s="461"/>
      <c r="M26" s="461"/>
      <c r="N26" s="463"/>
    </row>
    <row r="27" spans="1:14" ht="16.5" customHeight="1">
      <c r="A27" s="446">
        <f t="shared" si="1"/>
        <v>21</v>
      </c>
      <c r="B27" s="659"/>
      <c r="D27" s="457" t="s">
        <v>1665</v>
      </c>
      <c r="E27" s="458" t="s">
        <v>279</v>
      </c>
      <c r="G27" s="461"/>
      <c r="H27" s="461" t="s">
        <v>1635</v>
      </c>
      <c r="I27" s="461"/>
      <c r="J27" s="461"/>
      <c r="K27" s="461"/>
      <c r="L27" s="461"/>
      <c r="M27" s="461"/>
      <c r="N27" s="465" t="s">
        <v>1666</v>
      </c>
    </row>
    <row r="28" spans="1:14" ht="17.25" customHeight="1">
      <c r="A28" s="446">
        <f t="shared" si="1"/>
        <v>22</v>
      </c>
      <c r="B28" s="659"/>
      <c r="D28" s="457" t="s">
        <v>1667</v>
      </c>
      <c r="E28" s="458" t="s">
        <v>279</v>
      </c>
      <c r="G28" s="461"/>
      <c r="H28" s="461" t="s">
        <v>1635</v>
      </c>
      <c r="I28" s="461"/>
      <c r="J28" s="461"/>
      <c r="K28" s="461"/>
      <c r="L28" s="461"/>
      <c r="M28" s="461"/>
      <c r="N28" s="463" t="s">
        <v>1668</v>
      </c>
    </row>
    <row r="29" spans="1:14">
      <c r="A29" s="446">
        <f t="shared" si="1"/>
        <v>23</v>
      </c>
      <c r="B29" s="659" t="s">
        <v>868</v>
      </c>
      <c r="C29" s="456" t="s">
        <v>1669</v>
      </c>
      <c r="D29" s="457" t="s">
        <v>1670</v>
      </c>
      <c r="E29" s="458" t="s">
        <v>279</v>
      </c>
      <c r="F29" s="464">
        <v>56597</v>
      </c>
      <c r="G29" s="461" t="s">
        <v>1635</v>
      </c>
      <c r="H29" s="461"/>
      <c r="I29" s="461"/>
      <c r="J29" s="461"/>
      <c r="K29" s="461"/>
      <c r="L29" s="461"/>
      <c r="M29" s="461"/>
      <c r="N29" s="463"/>
    </row>
    <row r="30" spans="1:14" ht="29">
      <c r="A30" s="446">
        <f t="shared" si="1"/>
        <v>24</v>
      </c>
      <c r="B30" s="659" t="s">
        <v>870</v>
      </c>
      <c r="C30" s="456" t="s">
        <v>1671</v>
      </c>
      <c r="D30" s="457" t="s">
        <v>1672</v>
      </c>
      <c r="E30" s="458" t="s">
        <v>279</v>
      </c>
      <c r="F30" s="464">
        <v>15065318</v>
      </c>
      <c r="G30" s="461" t="s">
        <v>1635</v>
      </c>
      <c r="H30" s="461"/>
      <c r="I30" s="461"/>
      <c r="J30" s="461"/>
      <c r="K30" s="461"/>
      <c r="L30" s="461"/>
      <c r="M30" s="461"/>
      <c r="N30" s="463"/>
    </row>
    <row r="31" spans="1:14">
      <c r="A31" s="446">
        <f t="shared" si="1"/>
        <v>25</v>
      </c>
      <c r="B31" s="659"/>
      <c r="D31" s="457" t="s">
        <v>1673</v>
      </c>
      <c r="E31" s="458" t="s">
        <v>279</v>
      </c>
      <c r="G31" s="461" t="s">
        <v>1635</v>
      </c>
      <c r="H31" s="461"/>
      <c r="I31" s="461"/>
      <c r="J31" s="461"/>
      <c r="K31" s="461"/>
      <c r="L31" s="461"/>
      <c r="M31" s="461"/>
      <c r="N31" s="463"/>
    </row>
    <row r="32" spans="1:14">
      <c r="A32" s="446">
        <f t="shared" si="1"/>
        <v>26</v>
      </c>
      <c r="B32" s="659"/>
      <c r="D32" s="466" t="s">
        <v>1674</v>
      </c>
      <c r="E32" s="458" t="s">
        <v>279</v>
      </c>
      <c r="F32" s="467"/>
      <c r="G32" s="461" t="s">
        <v>1635</v>
      </c>
      <c r="H32" s="461"/>
      <c r="I32" s="461"/>
      <c r="J32" s="461"/>
      <c r="K32" s="461"/>
      <c r="L32" s="461"/>
      <c r="M32" s="461"/>
      <c r="N32" s="463"/>
    </row>
    <row r="33" spans="1:15">
      <c r="A33" s="446">
        <f t="shared" si="1"/>
        <v>27</v>
      </c>
      <c r="B33" s="659"/>
      <c r="D33" s="457" t="s">
        <v>1675</v>
      </c>
      <c r="E33" s="458" t="s">
        <v>279</v>
      </c>
      <c r="G33" s="461" t="s">
        <v>1635</v>
      </c>
      <c r="H33" s="461"/>
      <c r="I33" s="461"/>
      <c r="J33" s="461"/>
      <c r="K33" s="461"/>
      <c r="L33" s="461"/>
      <c r="M33" s="461"/>
      <c r="N33" s="463"/>
    </row>
    <row r="34" spans="1:15">
      <c r="A34" s="446">
        <f t="shared" si="1"/>
        <v>28</v>
      </c>
      <c r="B34" s="659"/>
      <c r="D34" s="457" t="s">
        <v>1676</v>
      </c>
      <c r="E34" s="458" t="s">
        <v>279</v>
      </c>
      <c r="G34" s="461" t="s">
        <v>1635</v>
      </c>
      <c r="H34" s="461"/>
      <c r="I34" s="461"/>
      <c r="J34" s="461"/>
      <c r="K34" s="461"/>
      <c r="L34" s="461"/>
      <c r="M34" s="461"/>
      <c r="N34" s="463" t="s">
        <v>1677</v>
      </c>
    </row>
    <row r="35" spans="1:15">
      <c r="A35" s="446">
        <f t="shared" si="1"/>
        <v>29</v>
      </c>
      <c r="B35" s="659" t="s">
        <v>874</v>
      </c>
      <c r="C35" s="456" t="s">
        <v>1678</v>
      </c>
      <c r="D35" s="457" t="s">
        <v>1679</v>
      </c>
      <c r="E35" s="458" t="s">
        <v>1680</v>
      </c>
      <c r="F35" s="464">
        <v>2316776</v>
      </c>
      <c r="G35" s="461" t="s">
        <v>1635</v>
      </c>
      <c r="H35" s="461"/>
      <c r="I35" s="461"/>
      <c r="J35" s="461"/>
      <c r="K35" s="461"/>
      <c r="L35" s="461"/>
      <c r="M35" s="461"/>
      <c r="N35" s="463"/>
    </row>
    <row r="36" spans="1:15">
      <c r="A36" s="446">
        <f t="shared" si="1"/>
        <v>30</v>
      </c>
      <c r="B36" s="659"/>
      <c r="D36" s="457" t="s">
        <v>1681</v>
      </c>
      <c r="E36" s="458" t="s">
        <v>1680</v>
      </c>
      <c r="G36" s="461" t="s">
        <v>1635</v>
      </c>
      <c r="H36" s="461"/>
      <c r="I36" s="461"/>
      <c r="J36" s="461"/>
      <c r="K36" s="461"/>
      <c r="L36" s="461"/>
      <c r="M36" s="461"/>
      <c r="N36" s="463"/>
    </row>
    <row r="37" spans="1:15">
      <c r="A37" s="446">
        <f t="shared" si="1"/>
        <v>31</v>
      </c>
      <c r="B37" s="659"/>
      <c r="D37" s="457" t="s">
        <v>1682</v>
      </c>
      <c r="E37" s="458" t="s">
        <v>1680</v>
      </c>
      <c r="G37" s="461" t="s">
        <v>1635</v>
      </c>
      <c r="H37" s="461"/>
      <c r="I37" s="461"/>
      <c r="J37" s="461"/>
      <c r="K37" s="461"/>
      <c r="L37" s="461"/>
      <c r="M37" s="461"/>
      <c r="N37" s="463"/>
    </row>
    <row r="38" spans="1:15">
      <c r="A38" s="446">
        <f t="shared" si="1"/>
        <v>32</v>
      </c>
      <c r="B38" s="659"/>
      <c r="D38" s="457" t="s">
        <v>1683</v>
      </c>
      <c r="E38" s="458" t="s">
        <v>1680</v>
      </c>
      <c r="G38" s="461" t="s">
        <v>1635</v>
      </c>
      <c r="H38" s="461"/>
      <c r="I38" s="461"/>
      <c r="J38" s="461"/>
      <c r="K38" s="461"/>
      <c r="L38" s="461"/>
      <c r="M38" s="461"/>
      <c r="N38" s="463"/>
    </row>
    <row r="39" spans="1:15">
      <c r="A39" s="446">
        <f t="shared" si="1"/>
        <v>33</v>
      </c>
      <c r="B39" s="659"/>
      <c r="D39" s="457" t="s">
        <v>1684</v>
      </c>
      <c r="E39" s="458" t="s">
        <v>1680</v>
      </c>
      <c r="G39" s="461"/>
      <c r="H39" s="461" t="s">
        <v>1635</v>
      </c>
      <c r="I39" s="461"/>
      <c r="J39" s="461"/>
      <c r="K39" s="461"/>
      <c r="L39" s="461"/>
      <c r="M39" s="461"/>
      <c r="N39" s="463" t="s">
        <v>1685</v>
      </c>
    </row>
    <row r="40" spans="1:15">
      <c r="A40" s="446">
        <f t="shared" si="1"/>
        <v>34</v>
      </c>
      <c r="B40" s="659" t="s">
        <v>876</v>
      </c>
      <c r="C40" s="456" t="s">
        <v>1686</v>
      </c>
      <c r="D40" s="457" t="s">
        <v>1687</v>
      </c>
      <c r="E40" s="458" t="s">
        <v>279</v>
      </c>
      <c r="F40" s="464">
        <v>2216942</v>
      </c>
      <c r="G40" s="461" t="s">
        <v>1635</v>
      </c>
      <c r="H40" s="461"/>
      <c r="I40" s="461"/>
      <c r="J40" s="461"/>
      <c r="K40" s="461"/>
      <c r="L40" s="461"/>
      <c r="M40" s="461"/>
      <c r="N40" s="463"/>
    </row>
    <row r="41" spans="1:15">
      <c r="A41" s="446">
        <f t="shared" si="1"/>
        <v>35</v>
      </c>
      <c r="B41" s="659"/>
      <c r="D41" s="457" t="s">
        <v>1688</v>
      </c>
      <c r="E41" s="458" t="s">
        <v>279</v>
      </c>
      <c r="G41" s="461" t="s">
        <v>1635</v>
      </c>
      <c r="H41" s="461"/>
      <c r="I41" s="461"/>
      <c r="J41" s="461"/>
      <c r="K41" s="461"/>
      <c r="L41" s="461"/>
      <c r="M41" s="461"/>
      <c r="N41" s="463"/>
      <c r="O41" s="500"/>
    </row>
    <row r="42" spans="1:15">
      <c r="A42" s="446">
        <f t="shared" si="1"/>
        <v>36</v>
      </c>
      <c r="B42" s="659"/>
      <c r="D42" s="457" t="s">
        <v>1689</v>
      </c>
      <c r="E42" s="458" t="s">
        <v>279</v>
      </c>
      <c r="G42" s="461" t="s">
        <v>1635</v>
      </c>
      <c r="H42" s="461"/>
      <c r="I42" s="461"/>
      <c r="J42" s="461"/>
      <c r="K42" s="461"/>
      <c r="L42" s="461"/>
      <c r="M42" s="461"/>
      <c r="N42" s="463"/>
    </row>
    <row r="43" spans="1:15">
      <c r="A43" s="446">
        <f t="shared" si="1"/>
        <v>37</v>
      </c>
      <c r="B43" s="659"/>
      <c r="D43" s="457" t="s">
        <v>1690</v>
      </c>
      <c r="E43" s="458" t="s">
        <v>279</v>
      </c>
      <c r="G43" s="461" t="s">
        <v>1635</v>
      </c>
      <c r="H43" s="461"/>
      <c r="I43" s="461"/>
      <c r="J43" s="461"/>
      <c r="K43" s="461"/>
      <c r="L43" s="461"/>
      <c r="M43" s="461"/>
      <c r="N43" s="463"/>
    </row>
    <row r="44" spans="1:15" ht="29">
      <c r="A44" s="446">
        <f t="shared" si="1"/>
        <v>38</v>
      </c>
      <c r="B44" s="659" t="s">
        <v>878</v>
      </c>
      <c r="C44" s="456" t="s">
        <v>1691</v>
      </c>
      <c r="D44" s="706" t="s">
        <v>1692</v>
      </c>
      <c r="E44" s="458" t="s">
        <v>279</v>
      </c>
      <c r="F44" s="464">
        <v>3573151</v>
      </c>
      <c r="G44" s="461" t="s">
        <v>1635</v>
      </c>
      <c r="H44" s="461"/>
      <c r="I44" s="461"/>
      <c r="J44" s="461"/>
      <c r="K44" s="461"/>
      <c r="L44" s="461"/>
      <c r="M44" s="461"/>
      <c r="N44" s="463"/>
    </row>
    <row r="45" spans="1:15">
      <c r="A45" s="446">
        <f t="shared" si="1"/>
        <v>39</v>
      </c>
      <c r="B45" s="659"/>
      <c r="D45" s="707" t="s">
        <v>1693</v>
      </c>
      <c r="E45" s="458" t="s">
        <v>279</v>
      </c>
      <c r="G45" s="461" t="s">
        <v>1635</v>
      </c>
      <c r="H45" s="461"/>
      <c r="I45" s="461"/>
      <c r="J45" s="461"/>
      <c r="K45" s="461"/>
      <c r="L45" s="461"/>
      <c r="M45" s="461"/>
      <c r="N45" s="463"/>
    </row>
    <row r="46" spans="1:15">
      <c r="A46" s="446">
        <f t="shared" si="1"/>
        <v>40</v>
      </c>
      <c r="B46" s="659"/>
      <c r="D46" s="457" t="s">
        <v>1694</v>
      </c>
      <c r="E46" s="458" t="s">
        <v>279</v>
      </c>
      <c r="G46" s="461" t="s">
        <v>1635</v>
      </c>
      <c r="H46" s="461"/>
      <c r="I46" s="461"/>
      <c r="J46" s="461"/>
      <c r="K46" s="461"/>
      <c r="L46" s="461"/>
      <c r="M46" s="461"/>
      <c r="N46" s="463"/>
    </row>
    <row r="47" spans="1:15" ht="29">
      <c r="A47" s="446">
        <f t="shared" si="1"/>
        <v>41</v>
      </c>
      <c r="B47" s="659"/>
      <c r="D47" s="457" t="s">
        <v>1665</v>
      </c>
      <c r="E47" s="458" t="s">
        <v>279</v>
      </c>
      <c r="G47" s="461"/>
      <c r="H47" s="461" t="s">
        <v>1635</v>
      </c>
      <c r="I47" s="461"/>
      <c r="J47" s="461"/>
      <c r="K47" s="461"/>
      <c r="L47" s="461"/>
      <c r="M47" s="461"/>
      <c r="N47" s="463" t="s">
        <v>1695</v>
      </c>
    </row>
    <row r="48" spans="1:15" ht="29">
      <c r="A48" s="446">
        <f>A47+1</f>
        <v>42</v>
      </c>
      <c r="B48" s="659"/>
      <c r="D48" s="457" t="s">
        <v>1696</v>
      </c>
      <c r="E48" s="458" t="s">
        <v>279</v>
      </c>
      <c r="G48" s="461"/>
      <c r="H48" s="461" t="s">
        <v>1635</v>
      </c>
      <c r="I48" s="461"/>
      <c r="J48" s="461"/>
      <c r="K48" s="461"/>
      <c r="L48" s="461"/>
      <c r="M48" s="461"/>
      <c r="N48" s="463" t="s">
        <v>1697</v>
      </c>
    </row>
    <row r="49" spans="1:14">
      <c r="A49" s="446">
        <f t="shared" si="1"/>
        <v>43</v>
      </c>
      <c r="B49" s="659" t="s">
        <v>1698</v>
      </c>
      <c r="C49" s="456" t="s">
        <v>1699</v>
      </c>
      <c r="D49" s="457" t="s">
        <v>1700</v>
      </c>
      <c r="G49" s="461" t="s">
        <v>1635</v>
      </c>
      <c r="H49" s="461"/>
      <c r="I49" s="461"/>
      <c r="J49" s="461"/>
      <c r="K49" s="461"/>
      <c r="L49" s="461"/>
      <c r="M49" s="461"/>
      <c r="N49" s="463"/>
    </row>
    <row r="50" spans="1:14">
      <c r="A50" s="446">
        <f t="shared" si="1"/>
        <v>44</v>
      </c>
      <c r="B50" s="659" t="s">
        <v>1701</v>
      </c>
      <c r="C50" s="456" t="s">
        <v>1702</v>
      </c>
      <c r="D50" s="457" t="s">
        <v>1703</v>
      </c>
      <c r="E50" s="458" t="s">
        <v>279</v>
      </c>
      <c r="F50" s="464">
        <v>0</v>
      </c>
      <c r="G50" s="461" t="s">
        <v>1635</v>
      </c>
      <c r="H50" s="461"/>
      <c r="I50" s="461"/>
      <c r="J50" s="461"/>
      <c r="K50" s="461"/>
      <c r="L50" s="461"/>
      <c r="M50" s="461"/>
      <c r="N50" s="463"/>
    </row>
    <row r="51" spans="1:14">
      <c r="A51" s="446">
        <f t="shared" si="1"/>
        <v>45</v>
      </c>
      <c r="B51" s="659" t="s">
        <v>882</v>
      </c>
      <c r="C51" s="456" t="s">
        <v>1704</v>
      </c>
      <c r="D51" s="457" t="s">
        <v>1705</v>
      </c>
      <c r="G51" s="461" t="s">
        <v>1635</v>
      </c>
      <c r="H51" s="461"/>
      <c r="I51" s="461"/>
      <c r="J51" s="461"/>
      <c r="K51" s="461"/>
      <c r="L51" s="461"/>
      <c r="M51" s="461"/>
      <c r="N51" s="463"/>
    </row>
    <row r="52" spans="1:14">
      <c r="A52" s="446">
        <f t="shared" si="1"/>
        <v>46</v>
      </c>
      <c r="B52" s="659" t="s">
        <v>884</v>
      </c>
      <c r="C52" s="456" t="s">
        <v>1706</v>
      </c>
      <c r="D52" s="457" t="s">
        <v>1707</v>
      </c>
      <c r="E52" s="458" t="s">
        <v>279</v>
      </c>
      <c r="F52" s="464">
        <v>2463312</v>
      </c>
      <c r="G52" s="461" t="s">
        <v>1635</v>
      </c>
      <c r="H52" s="461" t="s">
        <v>1635</v>
      </c>
      <c r="I52" s="461"/>
      <c r="J52" s="461"/>
      <c r="K52" s="461"/>
      <c r="L52" s="461"/>
      <c r="M52" s="461"/>
      <c r="N52" s="463" t="s">
        <v>1708</v>
      </c>
    </row>
    <row r="53" spans="1:14">
      <c r="A53" s="446">
        <f t="shared" si="1"/>
        <v>47</v>
      </c>
      <c r="B53" s="659"/>
      <c r="D53" s="457" t="s">
        <v>1709</v>
      </c>
      <c r="E53" s="458" t="s">
        <v>279</v>
      </c>
      <c r="G53" s="461" t="s">
        <v>1635</v>
      </c>
      <c r="H53" s="461"/>
      <c r="I53" s="461"/>
      <c r="J53" s="461"/>
      <c r="K53" s="461"/>
      <c r="L53" s="461"/>
      <c r="M53" s="461"/>
      <c r="N53" s="463"/>
    </row>
    <row r="54" spans="1:14">
      <c r="A54" s="446">
        <f t="shared" si="1"/>
        <v>48</v>
      </c>
      <c r="B54" s="659" t="s">
        <v>1710</v>
      </c>
      <c r="C54" s="456" t="s">
        <v>1711</v>
      </c>
      <c r="D54" s="457" t="s">
        <v>1712</v>
      </c>
      <c r="E54" s="458" t="s">
        <v>279</v>
      </c>
      <c r="F54" s="464">
        <v>3157165</v>
      </c>
      <c r="G54" s="461" t="s">
        <v>1635</v>
      </c>
      <c r="H54" s="461"/>
      <c r="I54" s="461"/>
      <c r="J54" s="461"/>
      <c r="K54" s="461"/>
      <c r="L54" s="461"/>
      <c r="M54" s="461"/>
      <c r="N54" s="463"/>
    </row>
    <row r="55" spans="1:14">
      <c r="A55" s="446">
        <f t="shared" si="1"/>
        <v>49</v>
      </c>
      <c r="B55" s="659"/>
      <c r="D55" s="457" t="s">
        <v>1713</v>
      </c>
      <c r="E55" s="458" t="s">
        <v>279</v>
      </c>
      <c r="G55" s="461" t="s">
        <v>1635</v>
      </c>
      <c r="H55" s="461"/>
      <c r="I55" s="461"/>
      <c r="J55" s="461"/>
      <c r="K55" s="461"/>
      <c r="L55" s="461"/>
      <c r="M55" s="461"/>
      <c r="N55" s="463"/>
    </row>
    <row r="56" spans="1:14">
      <c r="A56" s="446">
        <f t="shared" si="1"/>
        <v>50</v>
      </c>
      <c r="B56" s="659"/>
      <c r="D56" s="457" t="s">
        <v>1714</v>
      </c>
      <c r="E56" s="458" t="s">
        <v>279</v>
      </c>
      <c r="G56" s="461" t="s">
        <v>1635</v>
      </c>
      <c r="H56" s="461"/>
      <c r="I56" s="461"/>
      <c r="J56" s="461"/>
      <c r="K56" s="461"/>
      <c r="L56" s="461"/>
      <c r="M56" s="461"/>
      <c r="N56" s="463"/>
    </row>
    <row r="57" spans="1:14">
      <c r="A57" s="446">
        <f t="shared" si="1"/>
        <v>51</v>
      </c>
      <c r="B57" s="659"/>
      <c r="C57" s="456" t="s">
        <v>1715</v>
      </c>
      <c r="D57" s="457" t="s">
        <v>1716</v>
      </c>
      <c r="E57" s="458" t="s">
        <v>279</v>
      </c>
      <c r="F57" s="464">
        <v>1286118</v>
      </c>
      <c r="G57" s="461" t="s">
        <v>1635</v>
      </c>
      <c r="H57" s="461"/>
      <c r="I57" s="461"/>
      <c r="J57" s="461"/>
      <c r="K57" s="461"/>
      <c r="L57" s="461"/>
      <c r="M57" s="461"/>
      <c r="N57" s="463"/>
    </row>
    <row r="58" spans="1:14">
      <c r="A58" s="446">
        <f t="shared" si="1"/>
        <v>52</v>
      </c>
      <c r="B58" s="659" t="s">
        <v>1717</v>
      </c>
      <c r="C58" s="456" t="s">
        <v>1718</v>
      </c>
      <c r="D58" s="457" t="s">
        <v>1719</v>
      </c>
      <c r="E58" s="458" t="s">
        <v>279</v>
      </c>
      <c r="F58" s="468">
        <v>7760738</v>
      </c>
      <c r="G58" s="461" t="s">
        <v>1635</v>
      </c>
      <c r="H58" s="461"/>
      <c r="I58" s="461"/>
      <c r="J58" s="461"/>
      <c r="K58" s="461"/>
      <c r="L58" s="461"/>
      <c r="M58" s="461"/>
      <c r="N58" s="463"/>
    </row>
    <row r="59" spans="1:14">
      <c r="A59" s="446">
        <f t="shared" si="1"/>
        <v>53</v>
      </c>
      <c r="B59" s="659"/>
      <c r="D59" s="457" t="s">
        <v>1720</v>
      </c>
      <c r="E59" s="458" t="s">
        <v>279</v>
      </c>
      <c r="G59" s="461" t="s">
        <v>1635</v>
      </c>
      <c r="H59" s="461"/>
      <c r="I59" s="461"/>
      <c r="J59" s="461"/>
      <c r="K59" s="461"/>
      <c r="L59" s="461"/>
      <c r="M59" s="461"/>
      <c r="N59" s="463"/>
    </row>
    <row r="60" spans="1:14">
      <c r="A60" s="446">
        <f t="shared" si="1"/>
        <v>54</v>
      </c>
      <c r="B60" s="659"/>
      <c r="D60" s="457" t="s">
        <v>1721</v>
      </c>
      <c r="E60" s="458" t="s">
        <v>279</v>
      </c>
      <c r="G60" s="461" t="s">
        <v>1635</v>
      </c>
      <c r="H60" s="461"/>
      <c r="I60" s="461"/>
      <c r="J60" s="461"/>
      <c r="K60" s="461"/>
      <c r="L60" s="461"/>
      <c r="M60" s="461"/>
      <c r="N60" s="463"/>
    </row>
    <row r="61" spans="1:14">
      <c r="A61" s="446">
        <f t="shared" si="1"/>
        <v>55</v>
      </c>
      <c r="B61" s="659"/>
      <c r="D61" s="457" t="s">
        <v>1722</v>
      </c>
      <c r="E61" s="458" t="s">
        <v>279</v>
      </c>
      <c r="G61" s="461" t="s">
        <v>1635</v>
      </c>
      <c r="H61" s="461"/>
      <c r="I61" s="461"/>
      <c r="J61" s="461"/>
      <c r="K61" s="461"/>
      <c r="L61" s="461"/>
      <c r="M61" s="461"/>
      <c r="N61" s="463"/>
    </row>
    <row r="62" spans="1:14">
      <c r="A62" s="446">
        <f t="shared" si="1"/>
        <v>56</v>
      </c>
      <c r="B62" s="659" t="s">
        <v>892</v>
      </c>
      <c r="C62" s="456" t="s">
        <v>1723</v>
      </c>
      <c r="D62" s="457" t="s">
        <v>1724</v>
      </c>
      <c r="E62" s="458" t="s">
        <v>1680</v>
      </c>
      <c r="F62" s="464">
        <v>5320569</v>
      </c>
      <c r="G62" s="461" t="s">
        <v>1635</v>
      </c>
      <c r="H62" s="461"/>
      <c r="I62" s="461"/>
      <c r="J62" s="461"/>
      <c r="K62" s="461"/>
      <c r="L62" s="461"/>
      <c r="M62" s="461"/>
      <c r="N62" s="463"/>
    </row>
    <row r="63" spans="1:14">
      <c r="A63" s="446">
        <f t="shared" si="1"/>
        <v>57</v>
      </c>
      <c r="B63" s="659"/>
      <c r="D63" s="457" t="s">
        <v>1725</v>
      </c>
      <c r="E63" s="458" t="s">
        <v>1680</v>
      </c>
      <c r="G63" s="461" t="s">
        <v>1635</v>
      </c>
      <c r="H63" s="461"/>
      <c r="I63" s="461"/>
      <c r="J63" s="461"/>
      <c r="K63" s="461"/>
      <c r="L63" s="461"/>
      <c r="M63" s="461"/>
      <c r="N63" s="463"/>
    </row>
    <row r="64" spans="1:14">
      <c r="A64" s="446">
        <f t="shared" si="1"/>
        <v>58</v>
      </c>
      <c r="B64" s="659"/>
      <c r="D64" s="457" t="s">
        <v>1726</v>
      </c>
      <c r="E64" s="458" t="s">
        <v>1680</v>
      </c>
      <c r="G64" s="461" t="s">
        <v>1635</v>
      </c>
      <c r="H64" s="461"/>
      <c r="I64" s="461"/>
      <c r="J64" s="461"/>
      <c r="K64" s="461"/>
      <c r="L64" s="461"/>
      <c r="M64" s="461"/>
      <c r="N64" s="463"/>
    </row>
    <row r="65" spans="1:14" ht="17.25" customHeight="1">
      <c r="A65" s="446">
        <f t="shared" si="1"/>
        <v>59</v>
      </c>
      <c r="B65" s="659"/>
      <c r="D65" s="457" t="s">
        <v>1727</v>
      </c>
      <c r="E65" s="458" t="s">
        <v>1680</v>
      </c>
      <c r="G65" s="461" t="s">
        <v>1635</v>
      </c>
      <c r="H65" s="461"/>
      <c r="I65" s="461"/>
      <c r="J65" s="461"/>
      <c r="K65" s="461"/>
      <c r="L65" s="461"/>
      <c r="M65" s="461"/>
      <c r="N65" s="463"/>
    </row>
    <row r="66" spans="1:14">
      <c r="A66" s="446">
        <f t="shared" si="1"/>
        <v>60</v>
      </c>
      <c r="B66" s="659"/>
      <c r="D66" s="457" t="s">
        <v>1728</v>
      </c>
      <c r="E66" s="458" t="s">
        <v>1680</v>
      </c>
      <c r="G66" s="461" t="s">
        <v>1635</v>
      </c>
      <c r="H66" s="461"/>
      <c r="I66" s="461"/>
      <c r="J66" s="461"/>
      <c r="K66" s="461"/>
      <c r="L66" s="461"/>
      <c r="M66" s="461"/>
      <c r="N66" s="463"/>
    </row>
    <row r="67" spans="1:14" ht="29">
      <c r="A67" s="446">
        <f t="shared" si="1"/>
        <v>61</v>
      </c>
      <c r="B67" s="659" t="s">
        <v>894</v>
      </c>
      <c r="C67" s="456" t="s">
        <v>1729</v>
      </c>
      <c r="D67" s="457" t="s">
        <v>1730</v>
      </c>
      <c r="E67" s="458" t="s">
        <v>279</v>
      </c>
      <c r="F67" s="464">
        <v>8549123</v>
      </c>
      <c r="G67" s="461" t="s">
        <v>1635</v>
      </c>
      <c r="H67" s="461"/>
      <c r="I67" s="461"/>
      <c r="J67" s="461"/>
      <c r="K67" s="461"/>
      <c r="L67" s="461"/>
      <c r="M67" s="461"/>
      <c r="N67" s="463"/>
    </row>
    <row r="68" spans="1:14">
      <c r="A68" s="446">
        <f t="shared" si="1"/>
        <v>62</v>
      </c>
      <c r="B68" s="659"/>
      <c r="D68" s="457" t="s">
        <v>1731</v>
      </c>
      <c r="E68" s="458" t="s">
        <v>279</v>
      </c>
      <c r="G68" s="461" t="s">
        <v>1635</v>
      </c>
      <c r="H68" s="461"/>
      <c r="I68" s="461"/>
      <c r="J68" s="461"/>
      <c r="K68" s="461"/>
      <c r="L68" s="461"/>
      <c r="M68" s="461"/>
      <c r="N68" s="463"/>
    </row>
    <row r="69" spans="1:14">
      <c r="A69" s="446">
        <f t="shared" si="1"/>
        <v>63</v>
      </c>
      <c r="B69" s="659"/>
      <c r="D69" s="457" t="s">
        <v>1732</v>
      </c>
      <c r="E69" s="458" t="s">
        <v>279</v>
      </c>
      <c r="G69" s="461" t="s">
        <v>1635</v>
      </c>
      <c r="H69" s="461"/>
      <c r="I69" s="461"/>
      <c r="J69" s="461"/>
      <c r="K69" s="461"/>
      <c r="L69" s="461"/>
      <c r="M69" s="461"/>
      <c r="N69" s="463"/>
    </row>
    <row r="70" spans="1:14">
      <c r="A70" s="446">
        <f t="shared" si="1"/>
        <v>64</v>
      </c>
      <c r="B70" s="659"/>
      <c r="D70" s="457" t="s">
        <v>1733</v>
      </c>
      <c r="E70" s="458" t="s">
        <v>279</v>
      </c>
      <c r="G70" s="461" t="s">
        <v>1635</v>
      </c>
      <c r="H70" s="461"/>
      <c r="I70" s="461"/>
      <c r="J70" s="461"/>
      <c r="K70" s="461"/>
      <c r="L70" s="461"/>
      <c r="M70" s="461"/>
      <c r="N70" s="463"/>
    </row>
    <row r="71" spans="1:14">
      <c r="A71" s="446">
        <f t="shared" si="1"/>
        <v>65</v>
      </c>
      <c r="B71" s="659"/>
      <c r="D71" s="457" t="s">
        <v>1734</v>
      </c>
      <c r="E71" s="458" t="s">
        <v>279</v>
      </c>
      <c r="G71" s="461" t="s">
        <v>1635</v>
      </c>
      <c r="H71" s="461"/>
      <c r="I71" s="461"/>
      <c r="J71" s="461"/>
      <c r="K71" s="461"/>
      <c r="L71" s="461"/>
      <c r="M71" s="461"/>
      <c r="N71" s="463"/>
    </row>
    <row r="72" spans="1:14">
      <c r="A72" s="446">
        <f t="shared" si="1"/>
        <v>66</v>
      </c>
      <c r="B72" s="659" t="s">
        <v>896</v>
      </c>
      <c r="C72" s="456" t="s">
        <v>1735</v>
      </c>
      <c r="D72" s="457" t="s">
        <v>1736</v>
      </c>
      <c r="E72" s="458" t="s">
        <v>1680</v>
      </c>
      <c r="F72" s="464">
        <v>11177951</v>
      </c>
      <c r="G72" s="461"/>
      <c r="H72" s="461"/>
      <c r="I72" s="461" t="s">
        <v>1635</v>
      </c>
      <c r="J72" s="461"/>
      <c r="K72" s="461"/>
      <c r="L72" s="461"/>
      <c r="M72" s="461"/>
      <c r="N72" s="463" t="s">
        <v>1737</v>
      </c>
    </row>
    <row r="73" spans="1:14">
      <c r="A73" s="446">
        <f t="shared" si="1"/>
        <v>67</v>
      </c>
      <c r="B73" s="659"/>
      <c r="D73" s="457" t="s">
        <v>1738</v>
      </c>
      <c r="E73" s="458" t="s">
        <v>1680</v>
      </c>
      <c r="G73" s="461" t="s">
        <v>1635</v>
      </c>
      <c r="H73" s="461"/>
      <c r="I73" s="461"/>
      <c r="J73" s="461"/>
      <c r="K73" s="461"/>
      <c r="L73" s="461"/>
      <c r="M73" s="461"/>
      <c r="N73" s="463"/>
    </row>
    <row r="74" spans="1:14">
      <c r="A74" s="446">
        <f t="shared" si="1"/>
        <v>68</v>
      </c>
      <c r="B74" s="659"/>
      <c r="D74" s="457" t="s">
        <v>1739</v>
      </c>
      <c r="E74" s="458" t="s">
        <v>1680</v>
      </c>
      <c r="G74" s="461" t="s">
        <v>1635</v>
      </c>
      <c r="H74" s="461"/>
      <c r="I74" s="461"/>
      <c r="J74" s="461"/>
      <c r="K74" s="461"/>
      <c r="L74" s="461"/>
      <c r="M74" s="461"/>
      <c r="N74" s="463"/>
    </row>
    <row r="75" spans="1:14">
      <c r="A75" s="446">
        <f t="shared" si="1"/>
        <v>69</v>
      </c>
      <c r="B75" s="659" t="s">
        <v>898</v>
      </c>
      <c r="C75" s="456" t="s">
        <v>1740</v>
      </c>
      <c r="D75" s="457" t="s">
        <v>1741</v>
      </c>
      <c r="E75" s="458" t="s">
        <v>279</v>
      </c>
      <c r="F75" s="464">
        <v>2390851</v>
      </c>
      <c r="G75" s="461" t="s">
        <v>1635</v>
      </c>
      <c r="H75" s="461" t="s">
        <v>1635</v>
      </c>
      <c r="I75" s="461"/>
      <c r="J75" s="461"/>
      <c r="K75" s="461"/>
      <c r="L75" s="461"/>
      <c r="M75" s="461"/>
      <c r="N75" s="463" t="s">
        <v>1742</v>
      </c>
    </row>
    <row r="76" spans="1:14">
      <c r="A76" s="446">
        <f t="shared" si="1"/>
        <v>70</v>
      </c>
      <c r="B76" s="659" t="s">
        <v>900</v>
      </c>
      <c r="C76" s="456" t="s">
        <v>1743</v>
      </c>
      <c r="D76" s="457" t="s">
        <v>1724</v>
      </c>
      <c r="E76" s="458" t="s">
        <v>1680</v>
      </c>
      <c r="F76" s="464">
        <v>2575384</v>
      </c>
      <c r="G76" s="461" t="s">
        <v>1635</v>
      </c>
      <c r="H76" s="461"/>
      <c r="I76" s="461"/>
      <c r="J76" s="461"/>
      <c r="K76" s="461"/>
      <c r="L76" s="461"/>
      <c r="M76" s="461"/>
      <c r="N76" s="463"/>
    </row>
    <row r="77" spans="1:14">
      <c r="A77" s="446">
        <f t="shared" ref="A77:A140" si="2">A76+1</f>
        <v>71</v>
      </c>
      <c r="B77" s="659"/>
      <c r="D77" s="457" t="s">
        <v>1744</v>
      </c>
      <c r="E77" s="458" t="s">
        <v>1680</v>
      </c>
      <c r="G77" s="461" t="s">
        <v>1635</v>
      </c>
      <c r="H77" s="461"/>
      <c r="I77" s="461"/>
      <c r="J77" s="461"/>
      <c r="K77" s="461"/>
      <c r="L77" s="461"/>
      <c r="M77" s="461"/>
      <c r="N77" s="463"/>
    </row>
    <row r="78" spans="1:14">
      <c r="A78" s="446">
        <f t="shared" si="2"/>
        <v>72</v>
      </c>
      <c r="B78" s="659"/>
      <c r="D78" s="457" t="s">
        <v>1745</v>
      </c>
      <c r="E78" s="458" t="s">
        <v>1680</v>
      </c>
      <c r="G78" s="461" t="s">
        <v>1635</v>
      </c>
      <c r="H78" s="461"/>
      <c r="I78" s="461"/>
      <c r="J78" s="461"/>
      <c r="K78" s="461"/>
      <c r="L78" s="461"/>
      <c r="M78" s="461"/>
      <c r="N78" s="463"/>
    </row>
    <row r="79" spans="1:14">
      <c r="A79" s="446">
        <f t="shared" si="2"/>
        <v>73</v>
      </c>
      <c r="B79" s="659"/>
      <c r="D79" s="457" t="s">
        <v>1746</v>
      </c>
      <c r="E79" s="458" t="s">
        <v>1680</v>
      </c>
      <c r="G79" s="461" t="s">
        <v>1635</v>
      </c>
      <c r="H79" s="461"/>
      <c r="I79" s="461"/>
      <c r="J79" s="461"/>
      <c r="K79" s="461"/>
      <c r="L79" s="461"/>
      <c r="M79" s="461"/>
      <c r="N79" s="463"/>
    </row>
    <row r="80" spans="1:14">
      <c r="A80" s="446">
        <f t="shared" si="2"/>
        <v>74</v>
      </c>
      <c r="B80" s="659"/>
      <c r="D80" s="457" t="s">
        <v>1747</v>
      </c>
      <c r="E80" s="458" t="s">
        <v>1680</v>
      </c>
      <c r="G80" s="461" t="s">
        <v>1635</v>
      </c>
      <c r="H80" s="461"/>
      <c r="I80" s="461"/>
      <c r="J80" s="461"/>
      <c r="K80" s="461"/>
      <c r="L80" s="461"/>
      <c r="M80" s="461"/>
      <c r="N80" s="463"/>
    </row>
    <row r="81" spans="1:14">
      <c r="A81" s="446">
        <f t="shared" si="2"/>
        <v>75</v>
      </c>
      <c r="B81" s="659" t="s">
        <v>904</v>
      </c>
      <c r="C81" s="456" t="s">
        <v>1748</v>
      </c>
      <c r="D81" s="457" t="s">
        <v>1749</v>
      </c>
      <c r="E81" s="458" t="s">
        <v>279</v>
      </c>
      <c r="F81" s="464">
        <v>10656664</v>
      </c>
      <c r="G81" s="461" t="s">
        <v>1635</v>
      </c>
      <c r="H81" s="461"/>
      <c r="I81" s="461"/>
      <c r="J81" s="461"/>
      <c r="K81" s="461"/>
      <c r="L81" s="461"/>
      <c r="M81" s="461"/>
      <c r="N81" s="463"/>
    </row>
    <row r="82" spans="1:14">
      <c r="A82" s="446">
        <f t="shared" si="2"/>
        <v>76</v>
      </c>
      <c r="B82" s="659"/>
      <c r="D82" s="457" t="s">
        <v>1750</v>
      </c>
      <c r="E82" s="458" t="s">
        <v>279</v>
      </c>
      <c r="G82" s="461" t="s">
        <v>1635</v>
      </c>
      <c r="H82" s="461"/>
      <c r="I82" s="461"/>
      <c r="J82" s="461"/>
      <c r="K82" s="461"/>
      <c r="L82" s="461"/>
      <c r="M82" s="461"/>
      <c r="N82" s="463"/>
    </row>
    <row r="83" spans="1:14">
      <c r="A83" s="446">
        <f t="shared" si="2"/>
        <v>77</v>
      </c>
      <c r="B83" s="659"/>
      <c r="D83" s="457" t="s">
        <v>1751</v>
      </c>
      <c r="E83" s="458" t="s">
        <v>279</v>
      </c>
      <c r="G83" s="461" t="s">
        <v>1635</v>
      </c>
      <c r="H83" s="461"/>
      <c r="I83" s="461"/>
      <c r="J83" s="461"/>
      <c r="K83" s="461"/>
      <c r="L83" s="461"/>
      <c r="M83" s="461"/>
      <c r="N83" s="463"/>
    </row>
    <row r="84" spans="1:14">
      <c r="A84" s="446">
        <f t="shared" si="2"/>
        <v>78</v>
      </c>
      <c r="B84" s="659"/>
      <c r="D84" s="457" t="s">
        <v>1663</v>
      </c>
      <c r="E84" s="458" t="s">
        <v>279</v>
      </c>
      <c r="G84" s="461" t="s">
        <v>1635</v>
      </c>
      <c r="H84" s="461"/>
      <c r="I84" s="461"/>
      <c r="J84" s="461"/>
      <c r="K84" s="461"/>
      <c r="L84" s="461"/>
      <c r="M84" s="461"/>
      <c r="N84" s="463"/>
    </row>
    <row r="85" spans="1:14">
      <c r="A85" s="446">
        <f t="shared" si="2"/>
        <v>79</v>
      </c>
      <c r="B85" s="659"/>
      <c r="D85" s="457" t="s">
        <v>1752</v>
      </c>
      <c r="E85" s="458" t="s">
        <v>279</v>
      </c>
      <c r="G85" s="461" t="s">
        <v>1635</v>
      </c>
      <c r="H85" s="461"/>
      <c r="I85" s="461"/>
      <c r="J85" s="461"/>
      <c r="K85" s="461"/>
      <c r="L85" s="461"/>
      <c r="M85" s="461"/>
      <c r="N85" s="463"/>
    </row>
    <row r="86" spans="1:14">
      <c r="A86" s="446">
        <f t="shared" si="2"/>
        <v>80</v>
      </c>
      <c r="B86" s="659"/>
      <c r="D86" s="457" t="s">
        <v>1753</v>
      </c>
      <c r="E86" s="458" t="s">
        <v>279</v>
      </c>
      <c r="G86" s="461" t="s">
        <v>1635</v>
      </c>
      <c r="H86" s="461"/>
      <c r="I86" s="461"/>
      <c r="J86" s="461"/>
      <c r="K86" s="461"/>
      <c r="L86" s="461"/>
      <c r="M86" s="461"/>
      <c r="N86" s="463"/>
    </row>
    <row r="87" spans="1:14" ht="16.5" customHeight="1">
      <c r="A87" s="446">
        <f t="shared" si="2"/>
        <v>81</v>
      </c>
      <c r="B87" s="659"/>
      <c r="D87" s="457" t="s">
        <v>1754</v>
      </c>
      <c r="E87" s="458" t="s">
        <v>279</v>
      </c>
      <c r="G87" s="461" t="s">
        <v>1635</v>
      </c>
      <c r="H87" s="461"/>
      <c r="I87" s="461"/>
      <c r="J87" s="461"/>
      <c r="K87" s="461"/>
      <c r="L87" s="461"/>
      <c r="M87" s="461"/>
      <c r="N87" s="463"/>
    </row>
    <row r="88" spans="1:14" ht="18" customHeight="1">
      <c r="A88" s="446">
        <f t="shared" si="2"/>
        <v>82</v>
      </c>
      <c r="B88" s="659" t="s">
        <v>908</v>
      </c>
      <c r="C88" s="456" t="s">
        <v>1755</v>
      </c>
      <c r="D88" s="457" t="s">
        <v>1756</v>
      </c>
      <c r="E88" s="458" t="s">
        <v>279</v>
      </c>
      <c r="F88" s="464">
        <v>14743978</v>
      </c>
      <c r="G88" s="461" t="s">
        <v>1635</v>
      </c>
      <c r="H88" s="461"/>
      <c r="I88" s="461"/>
      <c r="J88" s="461"/>
      <c r="K88" s="461"/>
      <c r="L88" s="461"/>
      <c r="M88" s="461"/>
      <c r="N88" s="463"/>
    </row>
    <row r="89" spans="1:14">
      <c r="A89" s="446">
        <f t="shared" si="2"/>
        <v>83</v>
      </c>
      <c r="B89" s="659"/>
      <c r="D89" s="457" t="s">
        <v>1757</v>
      </c>
      <c r="E89" s="458" t="s">
        <v>279</v>
      </c>
      <c r="G89" s="461" t="s">
        <v>1635</v>
      </c>
      <c r="H89" s="461"/>
      <c r="I89" s="461"/>
      <c r="J89" s="461"/>
      <c r="K89" s="461"/>
      <c r="L89" s="461"/>
      <c r="M89" s="461"/>
      <c r="N89" s="463"/>
    </row>
    <row r="90" spans="1:14">
      <c r="A90" s="446">
        <f t="shared" si="2"/>
        <v>84</v>
      </c>
      <c r="B90" s="659"/>
      <c r="D90" s="457" t="s">
        <v>1758</v>
      </c>
      <c r="E90" s="458" t="s">
        <v>279</v>
      </c>
      <c r="G90" s="461" t="s">
        <v>1635</v>
      </c>
      <c r="H90" s="461"/>
      <c r="I90" s="461"/>
      <c r="J90" s="461"/>
      <c r="K90" s="461"/>
      <c r="L90" s="461"/>
      <c r="M90" s="461"/>
      <c r="N90" s="463"/>
    </row>
    <row r="91" spans="1:14">
      <c r="A91" s="446">
        <f t="shared" si="2"/>
        <v>85</v>
      </c>
      <c r="B91" s="659"/>
      <c r="D91" s="457" t="s">
        <v>1759</v>
      </c>
      <c r="E91" s="458" t="s">
        <v>279</v>
      </c>
      <c r="G91" s="461" t="s">
        <v>1635</v>
      </c>
      <c r="H91" s="461"/>
      <c r="I91" s="461"/>
      <c r="J91" s="461"/>
      <c r="K91" s="461"/>
      <c r="L91" s="461"/>
      <c r="M91" s="461"/>
      <c r="N91" s="463"/>
    </row>
    <row r="92" spans="1:14">
      <c r="A92" s="446">
        <f t="shared" si="2"/>
        <v>86</v>
      </c>
      <c r="B92" s="659"/>
      <c r="D92" s="457" t="s">
        <v>1760</v>
      </c>
      <c r="E92" s="458" t="s">
        <v>279</v>
      </c>
      <c r="G92" s="461" t="s">
        <v>1635</v>
      </c>
      <c r="H92" s="461"/>
      <c r="I92" s="461"/>
      <c r="J92" s="461"/>
      <c r="K92" s="461"/>
      <c r="L92" s="461"/>
      <c r="M92" s="461"/>
      <c r="N92" s="463"/>
    </row>
    <row r="93" spans="1:14" ht="29">
      <c r="A93" s="446">
        <f t="shared" si="2"/>
        <v>87</v>
      </c>
      <c r="B93" s="659"/>
      <c r="D93" s="457" t="s">
        <v>1761</v>
      </c>
      <c r="E93" s="458" t="s">
        <v>279</v>
      </c>
      <c r="G93" s="461" t="s">
        <v>1635</v>
      </c>
      <c r="H93" s="461"/>
      <c r="I93" s="461"/>
      <c r="J93" s="461"/>
      <c r="K93" s="461"/>
      <c r="L93" s="461"/>
      <c r="M93" s="461"/>
      <c r="N93" s="463"/>
    </row>
    <row r="94" spans="1:14">
      <c r="A94" s="446">
        <f t="shared" si="2"/>
        <v>88</v>
      </c>
      <c r="B94" s="659"/>
      <c r="D94" s="457" t="s">
        <v>1762</v>
      </c>
      <c r="E94" s="458" t="s">
        <v>279</v>
      </c>
      <c r="G94" s="461" t="s">
        <v>1635</v>
      </c>
      <c r="H94" s="461"/>
      <c r="I94" s="461"/>
      <c r="J94" s="461"/>
      <c r="K94" s="461"/>
      <c r="L94" s="461"/>
      <c r="M94" s="461"/>
      <c r="N94" s="463"/>
    </row>
    <row r="95" spans="1:14">
      <c r="A95" s="446">
        <f t="shared" si="2"/>
        <v>89</v>
      </c>
      <c r="B95" s="659"/>
      <c r="D95" s="457" t="s">
        <v>1763</v>
      </c>
      <c r="E95" s="458" t="s">
        <v>279</v>
      </c>
      <c r="G95" s="461" t="s">
        <v>1635</v>
      </c>
      <c r="H95" s="461"/>
      <c r="I95" s="461"/>
      <c r="J95" s="461"/>
      <c r="K95" s="461"/>
      <c r="L95" s="461"/>
      <c r="M95" s="461"/>
      <c r="N95" s="463"/>
    </row>
    <row r="96" spans="1:14">
      <c r="A96" s="446">
        <f t="shared" si="2"/>
        <v>90</v>
      </c>
      <c r="B96" s="659"/>
      <c r="D96" s="457" t="s">
        <v>1764</v>
      </c>
      <c r="E96" s="458" t="s">
        <v>279</v>
      </c>
      <c r="G96" s="461" t="s">
        <v>1635</v>
      </c>
      <c r="H96" s="461"/>
      <c r="I96" s="461"/>
      <c r="J96" s="461"/>
      <c r="K96" s="461"/>
      <c r="L96" s="461"/>
      <c r="M96" s="461"/>
      <c r="N96" s="463"/>
    </row>
    <row r="97" spans="1:14">
      <c r="A97" s="446">
        <f t="shared" si="2"/>
        <v>91</v>
      </c>
      <c r="B97" s="659" t="s">
        <v>912</v>
      </c>
      <c r="C97" s="456" t="s">
        <v>1765</v>
      </c>
      <c r="D97" s="457" t="s">
        <v>1766</v>
      </c>
      <c r="E97" s="458" t="s">
        <v>279</v>
      </c>
      <c r="F97" s="464">
        <v>2779274</v>
      </c>
      <c r="G97" s="461" t="s">
        <v>1635</v>
      </c>
      <c r="H97" s="461"/>
      <c r="I97" s="461"/>
      <c r="J97" s="461"/>
      <c r="K97" s="462"/>
      <c r="L97" s="461"/>
      <c r="M97" s="461"/>
      <c r="N97" s="463"/>
    </row>
    <row r="98" spans="1:14">
      <c r="A98" s="446">
        <f t="shared" si="2"/>
        <v>92</v>
      </c>
      <c r="B98" s="659"/>
      <c r="D98" s="457" t="s">
        <v>1767</v>
      </c>
      <c r="E98" s="458" t="s">
        <v>279</v>
      </c>
      <c r="G98" s="461" t="s">
        <v>1635</v>
      </c>
      <c r="H98" s="461"/>
      <c r="I98" s="461"/>
      <c r="J98" s="461"/>
      <c r="K98" s="462"/>
      <c r="L98" s="461"/>
      <c r="M98" s="461"/>
      <c r="N98" s="463"/>
    </row>
    <row r="99" spans="1:14">
      <c r="A99" s="446">
        <f t="shared" si="2"/>
        <v>93</v>
      </c>
      <c r="B99" s="659"/>
      <c r="D99" s="457" t="s">
        <v>1768</v>
      </c>
      <c r="E99" s="458" t="s">
        <v>279</v>
      </c>
      <c r="G99" s="461" t="s">
        <v>1635</v>
      </c>
      <c r="H99" s="461"/>
      <c r="I99" s="461"/>
      <c r="J99" s="461"/>
      <c r="K99" s="462"/>
      <c r="L99" s="461"/>
      <c r="M99" s="461"/>
      <c r="N99" s="463" t="s">
        <v>1769</v>
      </c>
    </row>
    <row r="100" spans="1:14">
      <c r="A100" s="446">
        <f t="shared" si="2"/>
        <v>94</v>
      </c>
      <c r="B100" s="659"/>
      <c r="D100" s="457" t="s">
        <v>1770</v>
      </c>
      <c r="E100" s="458" t="s">
        <v>279</v>
      </c>
      <c r="G100" s="461" t="s">
        <v>1635</v>
      </c>
      <c r="H100" s="461"/>
      <c r="I100" s="461"/>
      <c r="J100" s="461"/>
      <c r="K100" s="462"/>
      <c r="L100" s="461"/>
      <c r="M100" s="461"/>
      <c r="N100" s="463"/>
    </row>
    <row r="101" spans="1:14">
      <c r="A101" s="446">
        <f t="shared" si="2"/>
        <v>95</v>
      </c>
      <c r="B101" s="659"/>
      <c r="D101" s="457" t="s">
        <v>1771</v>
      </c>
      <c r="E101" s="458" t="s">
        <v>279</v>
      </c>
      <c r="G101" s="461" t="s">
        <v>1635</v>
      </c>
      <c r="H101" s="461"/>
      <c r="I101" s="461"/>
      <c r="J101" s="461"/>
      <c r="K101" s="462"/>
      <c r="L101" s="461"/>
      <c r="M101" s="461"/>
      <c r="N101" s="463"/>
    </row>
    <row r="102" spans="1:14">
      <c r="A102" s="446">
        <f t="shared" si="2"/>
        <v>96</v>
      </c>
      <c r="B102" s="659"/>
      <c r="D102" s="457" t="s">
        <v>1772</v>
      </c>
      <c r="E102" s="458" t="s">
        <v>279</v>
      </c>
      <c r="G102" s="461" t="s">
        <v>1635</v>
      </c>
      <c r="H102" s="461"/>
      <c r="I102" s="461"/>
      <c r="J102" s="461"/>
      <c r="K102" s="462"/>
      <c r="L102" s="461"/>
      <c r="M102" s="461"/>
      <c r="N102" s="463"/>
    </row>
    <row r="103" spans="1:14">
      <c r="A103" s="446">
        <f t="shared" si="2"/>
        <v>97</v>
      </c>
      <c r="B103" s="659"/>
      <c r="D103" s="457" t="s">
        <v>1773</v>
      </c>
      <c r="E103" s="458" t="s">
        <v>279</v>
      </c>
      <c r="G103" s="461" t="s">
        <v>1635</v>
      </c>
      <c r="H103" s="461"/>
      <c r="I103" s="461"/>
      <c r="J103" s="461"/>
      <c r="K103" s="462"/>
      <c r="L103" s="461"/>
      <c r="M103" s="461"/>
      <c r="N103" s="463" t="s">
        <v>1774</v>
      </c>
    </row>
    <row r="104" spans="1:14">
      <c r="A104" s="446">
        <f t="shared" si="2"/>
        <v>98</v>
      </c>
      <c r="B104" s="659" t="s">
        <v>920</v>
      </c>
      <c r="C104" s="456" t="s">
        <v>1775</v>
      </c>
      <c r="D104" s="457" t="s">
        <v>1776</v>
      </c>
      <c r="E104" s="458" t="s">
        <v>279</v>
      </c>
      <c r="F104" s="464">
        <v>950210</v>
      </c>
      <c r="G104" s="461" t="s">
        <v>1635</v>
      </c>
      <c r="H104" s="461"/>
      <c r="I104" s="461"/>
      <c r="J104" s="461"/>
      <c r="K104" s="462"/>
      <c r="L104" s="461"/>
      <c r="M104" s="461"/>
      <c r="N104" s="463"/>
    </row>
    <row r="105" spans="1:14">
      <c r="A105" s="446">
        <f t="shared" si="2"/>
        <v>99</v>
      </c>
      <c r="B105" s="659"/>
      <c r="D105" s="457" t="s">
        <v>1777</v>
      </c>
      <c r="G105" s="461" t="s">
        <v>1635</v>
      </c>
      <c r="H105" s="461"/>
      <c r="I105" s="461"/>
      <c r="J105" s="461"/>
      <c r="K105" s="462"/>
      <c r="L105" s="461"/>
      <c r="M105" s="461"/>
      <c r="N105" s="463"/>
    </row>
    <row r="106" spans="1:14">
      <c r="A106" s="446">
        <f t="shared" si="2"/>
        <v>100</v>
      </c>
      <c r="B106" s="659" t="s">
        <v>922</v>
      </c>
      <c r="C106" s="456" t="s">
        <v>1778</v>
      </c>
      <c r="D106" s="457" t="s">
        <v>1779</v>
      </c>
      <c r="E106" s="458" t="s">
        <v>279</v>
      </c>
      <c r="F106" s="464">
        <v>5403827</v>
      </c>
      <c r="G106" s="461" t="s">
        <v>1635</v>
      </c>
      <c r="H106" s="461"/>
      <c r="I106" s="461"/>
      <c r="J106" s="461"/>
      <c r="K106" s="462"/>
      <c r="L106" s="461"/>
      <c r="M106" s="461"/>
      <c r="N106" s="463"/>
    </row>
    <row r="107" spans="1:14">
      <c r="A107" s="446">
        <f t="shared" si="2"/>
        <v>101</v>
      </c>
      <c r="B107" s="659"/>
      <c r="D107" s="457" t="s">
        <v>1780</v>
      </c>
      <c r="E107" s="458" t="s">
        <v>279</v>
      </c>
      <c r="G107" s="461" t="s">
        <v>1635</v>
      </c>
      <c r="H107" s="461"/>
      <c r="I107" s="461"/>
      <c r="J107" s="461"/>
      <c r="K107" s="462"/>
      <c r="L107" s="461"/>
      <c r="M107" s="461"/>
      <c r="N107" s="463"/>
    </row>
    <row r="108" spans="1:14">
      <c r="A108" s="446">
        <f t="shared" si="2"/>
        <v>102</v>
      </c>
      <c r="B108" s="659"/>
      <c r="D108" s="457" t="s">
        <v>1781</v>
      </c>
      <c r="E108" s="458" t="s">
        <v>279</v>
      </c>
      <c r="G108" s="461" t="s">
        <v>1635</v>
      </c>
      <c r="H108" s="461"/>
      <c r="I108" s="461"/>
      <c r="J108" s="461"/>
      <c r="K108" s="462"/>
      <c r="L108" s="461"/>
      <c r="M108" s="461"/>
      <c r="N108" s="463"/>
    </row>
    <row r="109" spans="1:14">
      <c r="A109" s="446">
        <f t="shared" si="2"/>
        <v>103</v>
      </c>
      <c r="B109" s="659"/>
      <c r="D109" s="457" t="s">
        <v>1782</v>
      </c>
      <c r="E109" s="458" t="s">
        <v>279</v>
      </c>
      <c r="G109" s="461" t="s">
        <v>1635</v>
      </c>
      <c r="H109" s="461"/>
      <c r="I109" s="461"/>
      <c r="J109" s="461"/>
      <c r="K109" s="462"/>
      <c r="L109" s="461"/>
      <c r="M109" s="461"/>
      <c r="N109" s="463"/>
    </row>
    <row r="110" spans="1:14">
      <c r="A110" s="446">
        <f t="shared" si="2"/>
        <v>104</v>
      </c>
      <c r="B110" s="659" t="s">
        <v>924</v>
      </c>
      <c r="C110" s="456" t="s">
        <v>1783</v>
      </c>
      <c r="D110" s="457" t="s">
        <v>1784</v>
      </c>
      <c r="E110" s="458" t="s">
        <v>279</v>
      </c>
      <c r="F110" s="464">
        <v>2086660</v>
      </c>
      <c r="G110" s="461" t="s">
        <v>1635</v>
      </c>
      <c r="H110" s="461"/>
      <c r="I110" s="461"/>
      <c r="J110" s="461"/>
      <c r="K110" s="462"/>
      <c r="L110" s="461"/>
      <c r="M110" s="461"/>
      <c r="N110" s="463"/>
    </row>
    <row r="111" spans="1:14">
      <c r="A111" s="446">
        <f t="shared" si="2"/>
        <v>105</v>
      </c>
      <c r="B111" s="659"/>
      <c r="D111" s="457" t="s">
        <v>1785</v>
      </c>
      <c r="E111" s="458" t="s">
        <v>279</v>
      </c>
      <c r="G111" s="461" t="s">
        <v>1635</v>
      </c>
      <c r="H111" s="461"/>
      <c r="I111" s="461"/>
      <c r="J111" s="461"/>
      <c r="K111" s="462"/>
      <c r="L111" s="461"/>
      <c r="M111" s="461"/>
      <c r="N111" s="463"/>
    </row>
    <row r="112" spans="1:14">
      <c r="A112" s="446">
        <f t="shared" si="2"/>
        <v>106</v>
      </c>
      <c r="B112" s="659" t="s">
        <v>928</v>
      </c>
      <c r="C112" s="456" t="s">
        <v>1786</v>
      </c>
      <c r="D112" s="457" t="s">
        <v>1787</v>
      </c>
      <c r="E112" s="458" t="s">
        <v>279</v>
      </c>
      <c r="F112" s="464">
        <v>3121488</v>
      </c>
      <c r="G112" s="461" t="s">
        <v>1635</v>
      </c>
      <c r="H112" s="461"/>
      <c r="I112" s="461"/>
      <c r="J112" s="461"/>
      <c r="K112" s="462"/>
      <c r="L112" s="461"/>
      <c r="M112" s="461"/>
      <c r="N112" s="463"/>
    </row>
    <row r="113" spans="1:14">
      <c r="A113" s="446">
        <f t="shared" si="2"/>
        <v>107</v>
      </c>
      <c r="B113" s="659" t="s">
        <v>930</v>
      </c>
      <c r="C113" s="456" t="s">
        <v>1788</v>
      </c>
      <c r="D113" s="457" t="s">
        <v>1789</v>
      </c>
      <c r="E113" s="458" t="s">
        <v>279</v>
      </c>
      <c r="F113" s="464">
        <v>749768</v>
      </c>
      <c r="G113" s="461" t="s">
        <v>1635</v>
      </c>
      <c r="H113" s="461"/>
      <c r="I113" s="461"/>
      <c r="J113" s="461"/>
      <c r="K113" s="462"/>
      <c r="L113" s="461"/>
      <c r="M113" s="461"/>
      <c r="N113" s="463"/>
    </row>
    <row r="114" spans="1:14" ht="17.25" customHeight="1">
      <c r="A114" s="446">
        <f t="shared" si="2"/>
        <v>108</v>
      </c>
      <c r="B114" s="659" t="s">
        <v>932</v>
      </c>
      <c r="C114" s="456" t="s">
        <v>1790</v>
      </c>
      <c r="D114" s="457" t="s">
        <v>1791</v>
      </c>
      <c r="E114" s="458" t="s">
        <v>279</v>
      </c>
      <c r="F114" s="464">
        <v>4679262</v>
      </c>
      <c r="G114" s="461" t="s">
        <v>1635</v>
      </c>
      <c r="H114" s="461"/>
      <c r="I114" s="461"/>
      <c r="J114" s="461"/>
      <c r="K114" s="462"/>
      <c r="L114" s="461"/>
      <c r="M114" s="461"/>
      <c r="N114" s="463"/>
    </row>
    <row r="115" spans="1:14">
      <c r="A115" s="446">
        <f t="shared" si="2"/>
        <v>109</v>
      </c>
      <c r="B115" s="659"/>
      <c r="D115" s="457" t="s">
        <v>1792</v>
      </c>
      <c r="E115" s="458" t="s">
        <v>279</v>
      </c>
      <c r="G115" s="461" t="s">
        <v>1635</v>
      </c>
      <c r="H115" s="461"/>
      <c r="I115" s="461"/>
      <c r="J115" s="461"/>
      <c r="K115" s="462"/>
      <c r="L115" s="461"/>
      <c r="M115" s="461"/>
      <c r="N115" s="463"/>
    </row>
    <row r="116" spans="1:14">
      <c r="A116" s="446">
        <f t="shared" si="2"/>
        <v>110</v>
      </c>
      <c r="B116" s="659" t="s">
        <v>934</v>
      </c>
      <c r="C116" s="456" t="s">
        <v>1793</v>
      </c>
      <c r="D116" s="457" t="s">
        <v>1794</v>
      </c>
      <c r="E116" s="458" t="s">
        <v>279</v>
      </c>
      <c r="F116" s="464">
        <v>4296873</v>
      </c>
      <c r="G116" s="461" t="s">
        <v>1635</v>
      </c>
      <c r="H116" s="461"/>
      <c r="I116" s="461"/>
      <c r="J116" s="461"/>
      <c r="K116" s="462"/>
      <c r="L116" s="461"/>
      <c r="M116" s="461"/>
      <c r="N116" s="463"/>
    </row>
    <row r="117" spans="1:14">
      <c r="A117" s="446">
        <f t="shared" si="2"/>
        <v>111</v>
      </c>
      <c r="B117" s="659"/>
      <c r="D117" s="457" t="s">
        <v>1795</v>
      </c>
      <c r="E117" s="458" t="s">
        <v>279</v>
      </c>
      <c r="G117" s="461" t="s">
        <v>1635</v>
      </c>
      <c r="H117" s="461"/>
      <c r="I117" s="461"/>
      <c r="J117" s="461"/>
      <c r="K117" s="462"/>
      <c r="L117" s="461"/>
      <c r="M117" s="461"/>
      <c r="N117" s="463"/>
    </row>
    <row r="118" spans="1:14">
      <c r="A118" s="446">
        <f t="shared" si="2"/>
        <v>112</v>
      </c>
      <c r="B118" s="659" t="s">
        <v>936</v>
      </c>
      <c r="C118" s="456" t="s">
        <v>1796</v>
      </c>
      <c r="D118" s="457" t="s">
        <v>1797</v>
      </c>
      <c r="E118" s="458" t="s">
        <v>279</v>
      </c>
      <c r="F118" s="464">
        <v>757992</v>
      </c>
      <c r="G118" s="461" t="s">
        <v>1635</v>
      </c>
      <c r="H118" s="461"/>
      <c r="I118" s="461"/>
      <c r="J118" s="461"/>
      <c r="K118" s="462"/>
      <c r="L118" s="461"/>
      <c r="M118" s="461"/>
      <c r="N118" s="463"/>
    </row>
    <row r="119" spans="1:14" ht="17.25" customHeight="1">
      <c r="A119" s="446">
        <f t="shared" si="2"/>
        <v>113</v>
      </c>
      <c r="B119" s="659" t="s">
        <v>938</v>
      </c>
      <c r="C119" s="456" t="s">
        <v>1798</v>
      </c>
      <c r="D119" s="457" t="s">
        <v>1799</v>
      </c>
      <c r="E119" s="458" t="s">
        <v>279</v>
      </c>
      <c r="F119" s="464">
        <v>20373151</v>
      </c>
      <c r="G119" s="461" t="s">
        <v>1635</v>
      </c>
      <c r="H119" s="461"/>
      <c r="I119" s="461"/>
      <c r="J119" s="461"/>
      <c r="K119" s="462"/>
      <c r="L119" s="461"/>
      <c r="M119" s="461"/>
      <c r="N119" s="463"/>
    </row>
    <row r="120" spans="1:14" ht="29">
      <c r="A120" s="446">
        <f t="shared" si="2"/>
        <v>114</v>
      </c>
      <c r="B120" s="659"/>
      <c r="D120" s="457" t="s">
        <v>1800</v>
      </c>
      <c r="E120" s="458" t="s">
        <v>279</v>
      </c>
      <c r="G120" s="461" t="s">
        <v>1635</v>
      </c>
      <c r="H120" s="461"/>
      <c r="I120" s="461"/>
      <c r="J120" s="461"/>
      <c r="K120" s="462"/>
      <c r="L120" s="461"/>
      <c r="M120" s="461"/>
      <c r="N120" s="463"/>
    </row>
    <row r="121" spans="1:14">
      <c r="A121" s="446">
        <f t="shared" si="2"/>
        <v>115</v>
      </c>
      <c r="B121" s="659"/>
      <c r="D121" s="457" t="s">
        <v>1801</v>
      </c>
      <c r="E121" s="458" t="s">
        <v>279</v>
      </c>
      <c r="G121" s="461" t="s">
        <v>1635</v>
      </c>
      <c r="H121" s="461"/>
      <c r="I121" s="461"/>
      <c r="J121" s="461"/>
      <c r="K121" s="461"/>
      <c r="L121" s="461"/>
      <c r="M121" s="461"/>
      <c r="N121" s="463"/>
    </row>
    <row r="122" spans="1:14">
      <c r="A122" s="446">
        <f t="shared" si="2"/>
        <v>116</v>
      </c>
      <c r="B122" s="659"/>
      <c r="D122" s="457" t="s">
        <v>1802</v>
      </c>
      <c r="E122" s="458" t="s">
        <v>279</v>
      </c>
      <c r="G122" s="461" t="s">
        <v>1635</v>
      </c>
      <c r="H122" s="461"/>
      <c r="I122" s="461"/>
      <c r="J122" s="461"/>
      <c r="K122" s="461"/>
      <c r="L122" s="461"/>
      <c r="M122" s="461"/>
      <c r="N122" s="463"/>
    </row>
    <row r="123" spans="1:14">
      <c r="A123" s="446">
        <f t="shared" si="2"/>
        <v>117</v>
      </c>
      <c r="B123" s="659"/>
      <c r="D123" s="457" t="s">
        <v>1803</v>
      </c>
      <c r="E123" s="458" t="s">
        <v>279</v>
      </c>
      <c r="G123" s="461" t="s">
        <v>1635</v>
      </c>
      <c r="H123" s="461"/>
      <c r="I123" s="461"/>
      <c r="J123" s="461"/>
      <c r="K123" s="461"/>
      <c r="L123" s="461"/>
      <c r="M123" s="461"/>
      <c r="N123" s="463"/>
    </row>
    <row r="124" spans="1:14">
      <c r="A124" s="446">
        <f t="shared" si="2"/>
        <v>118</v>
      </c>
      <c r="B124" s="659"/>
      <c r="D124" s="457" t="s">
        <v>1804</v>
      </c>
      <c r="E124" s="458" t="s">
        <v>279</v>
      </c>
      <c r="G124" s="461"/>
      <c r="H124" s="461"/>
      <c r="I124" s="461" t="s">
        <v>1635</v>
      </c>
      <c r="J124" s="461"/>
      <c r="K124" s="461"/>
      <c r="L124" s="461"/>
      <c r="M124" s="461"/>
      <c r="N124" s="463" t="s">
        <v>1805</v>
      </c>
    </row>
    <row r="125" spans="1:14">
      <c r="A125" s="446">
        <f t="shared" si="2"/>
        <v>119</v>
      </c>
      <c r="B125" s="659"/>
      <c r="D125" s="457" t="s">
        <v>1806</v>
      </c>
      <c r="E125" s="458" t="s">
        <v>279</v>
      </c>
      <c r="G125" s="461"/>
      <c r="H125" s="461"/>
      <c r="I125" s="461" t="s">
        <v>1635</v>
      </c>
      <c r="J125" s="461"/>
      <c r="K125" s="461"/>
      <c r="L125" s="461"/>
      <c r="M125" s="461"/>
      <c r="N125" s="463" t="s">
        <v>1805</v>
      </c>
    </row>
    <row r="126" spans="1:14">
      <c r="A126" s="446">
        <f t="shared" si="2"/>
        <v>120</v>
      </c>
      <c r="B126" s="659"/>
      <c r="D126" s="457" t="s">
        <v>1807</v>
      </c>
      <c r="E126" s="458" t="s">
        <v>279</v>
      </c>
      <c r="G126" s="461"/>
      <c r="H126" s="461"/>
      <c r="I126" s="461" t="s">
        <v>1635</v>
      </c>
      <c r="J126" s="461"/>
      <c r="K126" s="461"/>
      <c r="L126" s="461"/>
      <c r="M126" s="461"/>
      <c r="N126" s="463" t="s">
        <v>1805</v>
      </c>
    </row>
    <row r="127" spans="1:14">
      <c r="A127" s="446">
        <f t="shared" si="2"/>
        <v>121</v>
      </c>
      <c r="B127" s="659"/>
      <c r="D127" s="457" t="s">
        <v>1808</v>
      </c>
      <c r="E127" s="458" t="s">
        <v>279</v>
      </c>
      <c r="G127" s="461" t="s">
        <v>1635</v>
      </c>
      <c r="H127" s="461"/>
      <c r="I127" s="461"/>
      <c r="J127" s="461"/>
      <c r="K127" s="461"/>
      <c r="L127" s="461"/>
      <c r="M127" s="461"/>
      <c r="N127" s="463"/>
    </row>
    <row r="128" spans="1:14">
      <c r="A128" s="446">
        <f t="shared" si="2"/>
        <v>122</v>
      </c>
      <c r="B128" s="659"/>
      <c r="D128" s="457" t="s">
        <v>1809</v>
      </c>
      <c r="E128" s="458" t="s">
        <v>279</v>
      </c>
      <c r="G128" s="461" t="s">
        <v>1635</v>
      </c>
      <c r="H128" s="461"/>
      <c r="I128" s="461"/>
      <c r="J128" s="461"/>
      <c r="K128" s="461"/>
      <c r="L128" s="461"/>
      <c r="M128" s="461"/>
      <c r="N128" s="463"/>
    </row>
    <row r="129" spans="1:14">
      <c r="A129" s="446">
        <f t="shared" si="2"/>
        <v>123</v>
      </c>
      <c r="B129" s="659"/>
      <c r="D129" s="457" t="s">
        <v>1810</v>
      </c>
      <c r="E129" s="458" t="s">
        <v>279</v>
      </c>
      <c r="G129" s="461" t="s">
        <v>1635</v>
      </c>
      <c r="H129" s="461"/>
      <c r="I129" s="461"/>
      <c r="J129" s="461"/>
      <c r="K129" s="461"/>
      <c r="L129" s="461"/>
      <c r="M129" s="461"/>
      <c r="N129" s="463"/>
    </row>
    <row r="130" spans="1:14">
      <c r="A130" s="446">
        <f t="shared" si="2"/>
        <v>124</v>
      </c>
      <c r="B130" s="659"/>
      <c r="D130" s="457" t="s">
        <v>1811</v>
      </c>
      <c r="E130" s="458" t="s">
        <v>279</v>
      </c>
      <c r="G130" s="461" t="s">
        <v>1635</v>
      </c>
      <c r="H130" s="461"/>
      <c r="I130" s="461"/>
      <c r="J130" s="461"/>
      <c r="K130" s="461"/>
      <c r="L130" s="461"/>
      <c r="M130" s="461"/>
      <c r="N130" s="463"/>
    </row>
    <row r="131" spans="1:14">
      <c r="A131" s="446">
        <f t="shared" si="2"/>
        <v>125</v>
      </c>
      <c r="B131" s="659" t="s">
        <v>940</v>
      </c>
      <c r="C131" s="456" t="s">
        <v>1812</v>
      </c>
      <c r="D131" s="457" t="s">
        <v>1813</v>
      </c>
      <c r="E131" s="458" t="s">
        <v>279</v>
      </c>
      <c r="F131" s="464">
        <v>4222330</v>
      </c>
      <c r="G131" s="461" t="s">
        <v>1635</v>
      </c>
      <c r="H131" s="461"/>
      <c r="I131" s="461"/>
      <c r="J131" s="461"/>
      <c r="K131" s="461"/>
      <c r="L131" s="461"/>
      <c r="M131" s="461"/>
      <c r="N131" s="463"/>
    </row>
    <row r="132" spans="1:14">
      <c r="A132" s="446">
        <f t="shared" si="2"/>
        <v>126</v>
      </c>
      <c r="B132" s="659"/>
      <c r="D132" s="457" t="s">
        <v>1814</v>
      </c>
      <c r="E132" s="458" t="s">
        <v>279</v>
      </c>
      <c r="G132" s="461" t="s">
        <v>1635</v>
      </c>
      <c r="H132" s="461"/>
      <c r="I132" s="461"/>
      <c r="J132" s="461"/>
      <c r="K132" s="461"/>
      <c r="L132" s="461"/>
      <c r="M132" s="461"/>
      <c r="N132" s="463"/>
    </row>
    <row r="133" spans="1:14">
      <c r="A133" s="446">
        <f t="shared" si="2"/>
        <v>127</v>
      </c>
      <c r="B133" s="659"/>
      <c r="D133" s="457" t="s">
        <v>1815</v>
      </c>
      <c r="E133" s="458" t="s">
        <v>279</v>
      </c>
      <c r="G133" s="461" t="s">
        <v>1635</v>
      </c>
      <c r="H133" s="461"/>
      <c r="I133" s="461"/>
      <c r="J133" s="461"/>
      <c r="K133" s="461"/>
      <c r="L133" s="461"/>
      <c r="M133" s="461"/>
      <c r="N133" s="463"/>
    </row>
    <row r="134" spans="1:14" ht="27" customHeight="1">
      <c r="A134" s="446">
        <f t="shared" si="2"/>
        <v>128</v>
      </c>
      <c r="B134" s="659"/>
      <c r="D134" s="457" t="s">
        <v>1816</v>
      </c>
      <c r="E134" s="458" t="s">
        <v>279</v>
      </c>
      <c r="G134" s="461"/>
      <c r="H134" s="461" t="s">
        <v>1635</v>
      </c>
      <c r="I134" s="461"/>
      <c r="J134" s="461"/>
      <c r="K134" s="461"/>
      <c r="L134" s="461"/>
      <c r="M134" s="461"/>
      <c r="N134" s="463" t="s">
        <v>1817</v>
      </c>
    </row>
    <row r="135" spans="1:14" ht="27" customHeight="1">
      <c r="A135" s="446">
        <f t="shared" si="2"/>
        <v>129</v>
      </c>
      <c r="B135" s="659"/>
      <c r="D135" s="457" t="s">
        <v>1818</v>
      </c>
      <c r="E135" s="458" t="s">
        <v>279</v>
      </c>
      <c r="G135" s="461"/>
      <c r="H135" s="461" t="s">
        <v>1635</v>
      </c>
      <c r="I135" s="461"/>
      <c r="J135" s="461"/>
      <c r="K135" s="461"/>
      <c r="L135" s="461"/>
      <c r="M135" s="461"/>
      <c r="N135" s="463" t="s">
        <v>1819</v>
      </c>
    </row>
    <row r="136" spans="1:14">
      <c r="A136" s="446">
        <f t="shared" si="2"/>
        <v>130</v>
      </c>
      <c r="B136" s="659" t="s">
        <v>942</v>
      </c>
      <c r="C136" s="456" t="s">
        <v>1820</v>
      </c>
      <c r="D136" s="466" t="s">
        <v>1821</v>
      </c>
      <c r="E136" s="458" t="s">
        <v>279</v>
      </c>
      <c r="F136" s="464">
        <v>5313905</v>
      </c>
      <c r="G136" s="461" t="s">
        <v>1635</v>
      </c>
      <c r="H136" s="461"/>
      <c r="I136" s="461"/>
      <c r="J136" s="461"/>
      <c r="K136" s="461"/>
      <c r="L136" s="461"/>
      <c r="M136" s="461"/>
      <c r="N136" s="463"/>
    </row>
    <row r="137" spans="1:14">
      <c r="A137" s="446">
        <f t="shared" si="2"/>
        <v>131</v>
      </c>
      <c r="B137" s="659"/>
      <c r="D137" s="457" t="s">
        <v>1822</v>
      </c>
      <c r="E137" s="458" t="s">
        <v>279</v>
      </c>
      <c r="G137" s="461" t="s">
        <v>1635</v>
      </c>
      <c r="H137" s="461"/>
      <c r="I137" s="461"/>
      <c r="J137" s="461"/>
      <c r="K137" s="461"/>
      <c r="L137" s="461"/>
      <c r="M137" s="461"/>
      <c r="N137" s="463"/>
    </row>
    <row r="138" spans="1:14">
      <c r="A138" s="446">
        <f t="shared" si="2"/>
        <v>132</v>
      </c>
      <c r="B138" s="659"/>
      <c r="D138" s="457" t="s">
        <v>1823</v>
      </c>
      <c r="E138" s="458" t="s">
        <v>279</v>
      </c>
      <c r="G138" s="461" t="s">
        <v>1635</v>
      </c>
      <c r="H138" s="461"/>
      <c r="I138" s="461"/>
      <c r="J138" s="461"/>
      <c r="K138" s="461"/>
      <c r="L138" s="461"/>
      <c r="M138" s="461"/>
      <c r="N138" s="463"/>
    </row>
    <row r="139" spans="1:14">
      <c r="A139" s="446">
        <f t="shared" si="2"/>
        <v>133</v>
      </c>
      <c r="B139" s="659"/>
      <c r="D139" s="457" t="s">
        <v>1824</v>
      </c>
      <c r="E139" s="458" t="s">
        <v>279</v>
      </c>
      <c r="G139" s="461" t="s">
        <v>1635</v>
      </c>
      <c r="H139" s="461"/>
      <c r="I139" s="461"/>
      <c r="J139" s="461"/>
      <c r="K139" s="461"/>
      <c r="L139" s="461"/>
      <c r="M139" s="461"/>
      <c r="N139" s="463"/>
    </row>
    <row r="140" spans="1:14">
      <c r="A140" s="446">
        <f t="shared" si="2"/>
        <v>134</v>
      </c>
      <c r="B140" s="659"/>
      <c r="D140" s="457" t="s">
        <v>1825</v>
      </c>
      <c r="E140" s="458" t="s">
        <v>279</v>
      </c>
      <c r="G140" s="461" t="s">
        <v>1635</v>
      </c>
      <c r="H140" s="461"/>
      <c r="I140" s="461"/>
      <c r="J140" s="461"/>
      <c r="K140" s="461"/>
      <c r="L140" s="461"/>
      <c r="M140" s="461"/>
      <c r="N140" s="463"/>
    </row>
    <row r="141" spans="1:14">
      <c r="A141" s="446">
        <f t="shared" ref="A141:A204" si="3">A140+1</f>
        <v>135</v>
      </c>
      <c r="B141" s="659"/>
      <c r="D141" s="457" t="s">
        <v>1826</v>
      </c>
      <c r="E141" s="458" t="s">
        <v>279</v>
      </c>
      <c r="G141" s="461" t="s">
        <v>1635</v>
      </c>
      <c r="H141" s="461"/>
      <c r="I141" s="461"/>
      <c r="J141" s="461"/>
      <c r="K141" s="461"/>
      <c r="L141" s="461"/>
      <c r="M141" s="461"/>
      <c r="N141" s="463"/>
    </row>
    <row r="142" spans="1:14" ht="43.5">
      <c r="A142" s="446">
        <f t="shared" si="3"/>
        <v>136</v>
      </c>
      <c r="B142" s="659" t="s">
        <v>948</v>
      </c>
      <c r="C142" s="456" t="s">
        <v>1827</v>
      </c>
      <c r="D142" s="457" t="s">
        <v>1828</v>
      </c>
      <c r="E142" s="458" t="s">
        <v>279</v>
      </c>
      <c r="F142" s="464">
        <v>15371304</v>
      </c>
      <c r="G142" s="461" t="s">
        <v>1635</v>
      </c>
      <c r="H142" s="461"/>
      <c r="I142" s="461"/>
      <c r="J142" s="461"/>
      <c r="K142" s="461"/>
      <c r="L142" s="461"/>
      <c r="M142" s="461"/>
      <c r="N142" s="463"/>
    </row>
    <row r="143" spans="1:14">
      <c r="A143" s="446">
        <f t="shared" si="3"/>
        <v>137</v>
      </c>
      <c r="B143" s="659"/>
      <c r="D143" s="457" t="s">
        <v>1829</v>
      </c>
      <c r="E143" s="458" t="s">
        <v>279</v>
      </c>
      <c r="G143" s="461" t="s">
        <v>1635</v>
      </c>
      <c r="H143" s="461"/>
      <c r="I143" s="461"/>
      <c r="J143" s="461"/>
      <c r="K143" s="461"/>
      <c r="L143" s="461"/>
      <c r="M143" s="461"/>
      <c r="N143" s="463"/>
    </row>
    <row r="144" spans="1:14">
      <c r="A144" s="446">
        <f t="shared" si="3"/>
        <v>138</v>
      </c>
      <c r="B144" s="659"/>
      <c r="D144" s="457" t="s">
        <v>1830</v>
      </c>
      <c r="E144" s="458" t="s">
        <v>279</v>
      </c>
      <c r="G144" s="461" t="s">
        <v>1635</v>
      </c>
      <c r="H144" s="461"/>
      <c r="I144" s="461"/>
      <c r="J144" s="461"/>
      <c r="K144" s="461"/>
      <c r="L144" s="461"/>
      <c r="M144" s="461"/>
      <c r="N144" s="463"/>
    </row>
    <row r="145" spans="1:14">
      <c r="A145" s="446">
        <f t="shared" si="3"/>
        <v>139</v>
      </c>
      <c r="B145" s="659"/>
      <c r="D145" s="457" t="s">
        <v>1831</v>
      </c>
      <c r="E145" s="458" t="s">
        <v>279</v>
      </c>
      <c r="G145" s="461" t="s">
        <v>1635</v>
      </c>
      <c r="H145" s="461"/>
      <c r="I145" s="461"/>
      <c r="J145" s="461"/>
      <c r="K145" s="461"/>
      <c r="L145" s="461"/>
      <c r="M145" s="461"/>
      <c r="N145" s="463"/>
    </row>
    <row r="146" spans="1:14">
      <c r="A146" s="446">
        <f t="shared" si="3"/>
        <v>140</v>
      </c>
      <c r="B146" s="659"/>
      <c r="D146" s="457" t="s">
        <v>1832</v>
      </c>
      <c r="E146" s="458" t="s">
        <v>279</v>
      </c>
      <c r="G146" s="461" t="s">
        <v>1635</v>
      </c>
      <c r="H146" s="461"/>
      <c r="I146" s="461"/>
      <c r="J146" s="461"/>
      <c r="K146" s="461"/>
      <c r="L146" s="461"/>
      <c r="M146" s="461"/>
      <c r="N146" s="463"/>
    </row>
    <row r="147" spans="1:14">
      <c r="A147" s="446">
        <f t="shared" si="3"/>
        <v>141</v>
      </c>
      <c r="B147" s="659"/>
      <c r="D147" s="457" t="s">
        <v>1833</v>
      </c>
      <c r="E147" s="458" t="s">
        <v>279</v>
      </c>
      <c r="G147" s="461" t="s">
        <v>1635</v>
      </c>
      <c r="H147" s="461"/>
      <c r="I147" s="461"/>
      <c r="J147" s="461"/>
      <c r="K147" s="461"/>
      <c r="L147" s="461"/>
      <c r="M147" s="461"/>
      <c r="N147" s="463"/>
    </row>
    <row r="148" spans="1:14">
      <c r="A148" s="446">
        <f t="shared" si="3"/>
        <v>142</v>
      </c>
      <c r="B148" s="659" t="s">
        <v>946</v>
      </c>
      <c r="C148" s="456" t="s">
        <v>1834</v>
      </c>
      <c r="D148" s="457" t="s">
        <v>1835</v>
      </c>
      <c r="E148" s="458" t="s">
        <v>279</v>
      </c>
      <c r="F148" s="464">
        <v>10761312</v>
      </c>
      <c r="G148" s="461" t="s">
        <v>1635</v>
      </c>
      <c r="H148" s="461"/>
      <c r="I148" s="461"/>
      <c r="J148" s="461"/>
      <c r="K148" s="461"/>
      <c r="L148" s="461"/>
      <c r="M148" s="461"/>
      <c r="N148" s="463"/>
    </row>
    <row r="149" spans="1:14">
      <c r="A149" s="446">
        <f t="shared" si="3"/>
        <v>143</v>
      </c>
      <c r="B149" s="659"/>
      <c r="D149" s="457" t="s">
        <v>1836</v>
      </c>
      <c r="E149" s="458" t="s">
        <v>279</v>
      </c>
      <c r="G149" s="461" t="s">
        <v>1635</v>
      </c>
      <c r="H149" s="461"/>
      <c r="I149" s="461"/>
      <c r="J149" s="461"/>
      <c r="K149" s="461"/>
      <c r="L149" s="461"/>
      <c r="M149" s="461"/>
      <c r="N149" s="463"/>
    </row>
    <row r="150" spans="1:14">
      <c r="A150" s="446">
        <f t="shared" si="3"/>
        <v>144</v>
      </c>
      <c r="B150" s="659"/>
      <c r="D150" s="457" t="s">
        <v>1837</v>
      </c>
      <c r="E150" s="458" t="s">
        <v>279</v>
      </c>
      <c r="G150" s="461" t="s">
        <v>1635</v>
      </c>
      <c r="H150" s="461"/>
      <c r="I150" s="461"/>
      <c r="J150" s="461"/>
      <c r="K150" s="461"/>
      <c r="L150" s="461"/>
      <c r="M150" s="461"/>
      <c r="N150" s="463"/>
    </row>
    <row r="151" spans="1:14">
      <c r="A151" s="446">
        <f t="shared" si="3"/>
        <v>145</v>
      </c>
      <c r="B151" s="659"/>
      <c r="D151" s="457" t="s">
        <v>1838</v>
      </c>
      <c r="E151" s="458" t="s">
        <v>279</v>
      </c>
      <c r="G151" s="461" t="s">
        <v>1635</v>
      </c>
      <c r="H151" s="461"/>
      <c r="I151" s="461"/>
      <c r="J151" s="461"/>
      <c r="K151" s="461"/>
      <c r="L151" s="461"/>
      <c r="M151" s="461"/>
      <c r="N151" s="463"/>
    </row>
    <row r="152" spans="1:14">
      <c r="A152" s="446">
        <f t="shared" si="3"/>
        <v>146</v>
      </c>
      <c r="B152" s="659"/>
      <c r="D152" s="457" t="s">
        <v>1839</v>
      </c>
      <c r="E152" s="458" t="s">
        <v>279</v>
      </c>
      <c r="G152" s="461" t="s">
        <v>1635</v>
      </c>
      <c r="H152" s="461"/>
      <c r="I152" s="461"/>
      <c r="J152" s="461"/>
      <c r="K152" s="461"/>
      <c r="L152" s="461"/>
      <c r="M152" s="461"/>
      <c r="N152" s="463"/>
    </row>
    <row r="153" spans="1:14">
      <c r="A153" s="446">
        <f t="shared" si="3"/>
        <v>147</v>
      </c>
      <c r="B153" s="659"/>
      <c r="D153" s="457" t="s">
        <v>1840</v>
      </c>
      <c r="E153" s="458" t="s">
        <v>279</v>
      </c>
      <c r="G153" s="461" t="s">
        <v>1635</v>
      </c>
      <c r="H153" s="461"/>
      <c r="I153" s="461"/>
      <c r="J153" s="461"/>
      <c r="K153" s="461"/>
      <c r="L153" s="461"/>
      <c r="M153" s="461"/>
      <c r="N153" s="463"/>
    </row>
    <row r="154" spans="1:14">
      <c r="A154" s="446">
        <f t="shared" si="3"/>
        <v>148</v>
      </c>
      <c r="B154" s="659"/>
      <c r="D154" s="457" t="s">
        <v>1841</v>
      </c>
      <c r="E154" s="458" t="s">
        <v>279</v>
      </c>
      <c r="G154" s="461" t="s">
        <v>1635</v>
      </c>
      <c r="H154" s="461"/>
      <c r="I154" s="461"/>
      <c r="J154" s="461"/>
      <c r="K154" s="461"/>
      <c r="L154" s="461"/>
      <c r="M154" s="461"/>
      <c r="N154" s="463"/>
    </row>
    <row r="155" spans="1:14">
      <c r="A155" s="446">
        <f t="shared" si="3"/>
        <v>149</v>
      </c>
      <c r="B155" s="659"/>
      <c r="D155" s="457" t="s">
        <v>1842</v>
      </c>
      <c r="E155" s="458" t="s">
        <v>279</v>
      </c>
      <c r="G155" s="461" t="s">
        <v>1635</v>
      </c>
      <c r="H155" s="461"/>
      <c r="I155" s="461"/>
      <c r="J155" s="461"/>
      <c r="K155" s="461"/>
      <c r="L155" s="461"/>
      <c r="M155" s="461"/>
      <c r="N155" s="463"/>
    </row>
    <row r="156" spans="1:14">
      <c r="A156" s="446">
        <f t="shared" si="3"/>
        <v>150</v>
      </c>
      <c r="B156" s="659" t="s">
        <v>950</v>
      </c>
      <c r="C156" s="456" t="s">
        <v>1843</v>
      </c>
      <c r="D156" s="457" t="s">
        <v>1844</v>
      </c>
      <c r="E156" s="458" t="s">
        <v>279</v>
      </c>
      <c r="F156" s="464">
        <v>1725310</v>
      </c>
      <c r="G156" s="461" t="s">
        <v>1635</v>
      </c>
      <c r="H156" s="461"/>
      <c r="I156" s="461"/>
      <c r="J156" s="461"/>
      <c r="K156" s="461"/>
      <c r="L156" s="461"/>
      <c r="M156" s="461"/>
      <c r="N156" s="463"/>
    </row>
    <row r="157" spans="1:14">
      <c r="A157" s="446">
        <f t="shared" si="3"/>
        <v>151</v>
      </c>
      <c r="B157" s="659"/>
      <c r="D157" s="457" t="s">
        <v>1845</v>
      </c>
      <c r="E157" s="458" t="s">
        <v>279</v>
      </c>
      <c r="G157" s="461"/>
      <c r="H157" s="461" t="s">
        <v>1635</v>
      </c>
      <c r="I157" s="461"/>
      <c r="J157" s="461"/>
      <c r="K157" s="461"/>
      <c r="L157" s="461"/>
      <c r="M157" s="461"/>
      <c r="N157" s="463" t="s">
        <v>1846</v>
      </c>
    </row>
    <row r="158" spans="1:14">
      <c r="A158" s="446">
        <f t="shared" si="3"/>
        <v>152</v>
      </c>
      <c r="B158" s="659"/>
      <c r="D158" s="457" t="s">
        <v>1847</v>
      </c>
      <c r="E158" s="458" t="s">
        <v>279</v>
      </c>
      <c r="G158" s="461"/>
      <c r="H158" s="461" t="s">
        <v>1635</v>
      </c>
      <c r="I158" s="461"/>
      <c r="J158" s="461"/>
      <c r="K158" s="461"/>
      <c r="L158" s="461"/>
      <c r="M158" s="461"/>
      <c r="N158" s="463" t="s">
        <v>1846</v>
      </c>
    </row>
    <row r="159" spans="1:14" ht="29">
      <c r="A159" s="446">
        <f t="shared" si="3"/>
        <v>153</v>
      </c>
      <c r="B159" s="659" t="s">
        <v>952</v>
      </c>
      <c r="C159" s="456" t="s">
        <v>1848</v>
      </c>
      <c r="D159" s="457" t="s">
        <v>1849</v>
      </c>
      <c r="E159" s="458" t="s">
        <v>279</v>
      </c>
      <c r="F159" s="464">
        <v>10146043</v>
      </c>
      <c r="G159" s="461" t="s">
        <v>1635</v>
      </c>
      <c r="H159" s="461"/>
      <c r="I159" s="461"/>
      <c r="J159" s="461"/>
      <c r="K159" s="461"/>
      <c r="L159" s="461"/>
      <c r="M159" s="461"/>
      <c r="N159" s="463"/>
    </row>
    <row r="160" spans="1:14">
      <c r="A160" s="446">
        <f t="shared" si="3"/>
        <v>154</v>
      </c>
      <c r="B160" s="659"/>
      <c r="D160" s="457" t="s">
        <v>1725</v>
      </c>
      <c r="E160" s="458" t="s">
        <v>279</v>
      </c>
      <c r="G160" s="461" t="s">
        <v>1635</v>
      </c>
      <c r="H160" s="461"/>
      <c r="I160" s="461"/>
      <c r="J160" s="461"/>
      <c r="K160" s="461"/>
      <c r="L160" s="461"/>
      <c r="M160" s="461"/>
      <c r="N160" s="463"/>
    </row>
    <row r="161" spans="1:14">
      <c r="A161" s="446">
        <f t="shared" si="3"/>
        <v>155</v>
      </c>
      <c r="B161" s="659"/>
      <c r="D161" s="457" t="s">
        <v>1850</v>
      </c>
      <c r="E161" s="458" t="s">
        <v>279</v>
      </c>
      <c r="G161" s="461" t="s">
        <v>1635</v>
      </c>
      <c r="H161" s="461"/>
      <c r="I161" s="461"/>
      <c r="J161" s="461"/>
      <c r="K161" s="461"/>
      <c r="L161" s="461"/>
      <c r="M161" s="461"/>
      <c r="N161" s="463"/>
    </row>
    <row r="162" spans="1:14">
      <c r="A162" s="446">
        <f t="shared" si="3"/>
        <v>156</v>
      </c>
      <c r="B162" s="659"/>
      <c r="D162" s="457" t="s">
        <v>1851</v>
      </c>
      <c r="E162" s="458" t="s">
        <v>279</v>
      </c>
      <c r="G162" s="461" t="s">
        <v>1635</v>
      </c>
      <c r="H162" s="461"/>
      <c r="I162" s="461"/>
      <c r="J162" s="461"/>
      <c r="K162" s="461"/>
      <c r="L162" s="461"/>
      <c r="M162" s="461"/>
      <c r="N162" s="463"/>
    </row>
    <row r="163" spans="1:14">
      <c r="A163" s="446">
        <f t="shared" si="3"/>
        <v>157</v>
      </c>
      <c r="B163" s="659"/>
      <c r="D163" s="457" t="s">
        <v>1852</v>
      </c>
      <c r="E163" s="458" t="s">
        <v>279</v>
      </c>
      <c r="G163" s="461" t="s">
        <v>1635</v>
      </c>
      <c r="H163" s="461"/>
      <c r="I163" s="461"/>
      <c r="J163" s="461"/>
      <c r="K163" s="461"/>
      <c r="L163" s="461"/>
      <c r="M163" s="461"/>
      <c r="N163" s="463"/>
    </row>
    <row r="164" spans="1:14">
      <c r="A164" s="446">
        <f t="shared" si="3"/>
        <v>158</v>
      </c>
      <c r="B164" s="659"/>
      <c r="D164" s="457" t="s">
        <v>1853</v>
      </c>
      <c r="E164" s="458" t="s">
        <v>279</v>
      </c>
      <c r="G164" s="461" t="s">
        <v>1635</v>
      </c>
      <c r="H164" s="461"/>
      <c r="I164" s="461"/>
      <c r="J164" s="461"/>
      <c r="K164" s="461"/>
      <c r="L164" s="461"/>
      <c r="M164" s="461"/>
      <c r="N164" s="463"/>
    </row>
    <row r="165" spans="1:14" ht="29">
      <c r="A165" s="446">
        <f t="shared" si="3"/>
        <v>159</v>
      </c>
      <c r="B165" s="659"/>
      <c r="D165" s="457" t="s">
        <v>1854</v>
      </c>
      <c r="E165" s="458" t="s">
        <v>279</v>
      </c>
      <c r="G165" s="461"/>
      <c r="H165" s="461"/>
      <c r="I165" s="461" t="s">
        <v>1635</v>
      </c>
      <c r="J165" s="461"/>
      <c r="K165" s="461"/>
      <c r="L165" s="461"/>
      <c r="M165" s="461"/>
      <c r="N165" s="463" t="s">
        <v>1855</v>
      </c>
    </row>
    <row r="166" spans="1:14">
      <c r="A166" s="446">
        <f t="shared" si="3"/>
        <v>160</v>
      </c>
      <c r="B166" s="659"/>
      <c r="D166" s="457" t="s">
        <v>1856</v>
      </c>
      <c r="E166" s="458" t="s">
        <v>279</v>
      </c>
      <c r="G166" s="461" t="s">
        <v>1635</v>
      </c>
      <c r="H166" s="461"/>
      <c r="I166" s="461"/>
      <c r="J166" s="461"/>
      <c r="K166" s="461"/>
      <c r="L166" s="461"/>
      <c r="M166" s="461"/>
      <c r="N166" s="463"/>
    </row>
    <row r="167" spans="1:14" ht="29">
      <c r="A167" s="446">
        <f t="shared" si="3"/>
        <v>161</v>
      </c>
      <c r="B167" s="659" t="s">
        <v>954</v>
      </c>
      <c r="C167" s="456" t="s">
        <v>1857</v>
      </c>
      <c r="D167" s="457" t="s">
        <v>1858</v>
      </c>
      <c r="E167" s="458" t="s">
        <v>279</v>
      </c>
      <c r="F167" s="464">
        <v>12342545</v>
      </c>
      <c r="G167" s="461" t="s">
        <v>1635</v>
      </c>
      <c r="H167" s="461"/>
      <c r="I167" s="461"/>
      <c r="J167" s="461"/>
      <c r="K167" s="461"/>
      <c r="L167" s="461"/>
      <c r="M167" s="461"/>
      <c r="N167" s="463"/>
    </row>
    <row r="168" spans="1:14">
      <c r="A168" s="446">
        <f t="shared" si="3"/>
        <v>162</v>
      </c>
      <c r="B168" s="659"/>
      <c r="D168" s="457" t="s">
        <v>1859</v>
      </c>
      <c r="E168" s="458" t="s">
        <v>279</v>
      </c>
      <c r="G168" s="461" t="s">
        <v>1635</v>
      </c>
      <c r="H168" s="461"/>
      <c r="I168" s="461"/>
      <c r="J168" s="461"/>
      <c r="K168" s="462"/>
      <c r="L168" s="461"/>
      <c r="M168" s="461"/>
      <c r="N168" s="463"/>
    </row>
    <row r="169" spans="1:14">
      <c r="A169" s="446">
        <f t="shared" si="3"/>
        <v>163</v>
      </c>
      <c r="B169" s="659"/>
      <c r="D169" s="457" t="s">
        <v>1860</v>
      </c>
      <c r="E169" s="458" t="s">
        <v>279</v>
      </c>
      <c r="G169" s="461" t="s">
        <v>1635</v>
      </c>
      <c r="H169" s="461"/>
      <c r="I169" s="461"/>
      <c r="J169" s="461"/>
      <c r="K169" s="462"/>
      <c r="L169" s="461"/>
      <c r="M169" s="461"/>
      <c r="N169" s="463"/>
    </row>
    <row r="170" spans="1:14">
      <c r="A170" s="446">
        <f t="shared" si="3"/>
        <v>164</v>
      </c>
      <c r="B170" s="659"/>
      <c r="D170" s="457" t="s">
        <v>1861</v>
      </c>
      <c r="E170" s="458" t="s">
        <v>279</v>
      </c>
      <c r="G170" s="461" t="s">
        <v>1635</v>
      </c>
      <c r="H170" s="461"/>
      <c r="I170" s="461"/>
      <c r="J170" s="461"/>
      <c r="K170" s="462"/>
      <c r="L170" s="461"/>
      <c r="M170" s="461"/>
      <c r="N170" s="463"/>
    </row>
    <row r="171" spans="1:14">
      <c r="A171" s="446">
        <f t="shared" si="3"/>
        <v>165</v>
      </c>
      <c r="B171" s="659"/>
      <c r="D171" s="457" t="s">
        <v>1862</v>
      </c>
      <c r="E171" s="458" t="s">
        <v>279</v>
      </c>
      <c r="G171" s="461" t="s">
        <v>1635</v>
      </c>
      <c r="H171" s="461"/>
      <c r="I171" s="461"/>
      <c r="J171" s="461"/>
      <c r="K171" s="462"/>
      <c r="L171" s="461"/>
      <c r="M171" s="461"/>
      <c r="N171" s="463"/>
    </row>
    <row r="172" spans="1:14">
      <c r="A172" s="446">
        <f t="shared" si="3"/>
        <v>166</v>
      </c>
      <c r="B172" s="659"/>
      <c r="D172" s="457" t="s">
        <v>1863</v>
      </c>
      <c r="E172" s="458" t="s">
        <v>279</v>
      </c>
      <c r="G172" s="461" t="s">
        <v>1635</v>
      </c>
      <c r="H172" s="461"/>
      <c r="I172" s="461"/>
      <c r="J172" s="461"/>
      <c r="K172" s="462"/>
      <c r="L172" s="461"/>
      <c r="M172" s="461"/>
      <c r="N172" s="463"/>
    </row>
    <row r="173" spans="1:14">
      <c r="A173" s="446">
        <f t="shared" si="3"/>
        <v>167</v>
      </c>
      <c r="B173" s="659" t="s">
        <v>956</v>
      </c>
      <c r="C173" s="456" t="s">
        <v>1864</v>
      </c>
      <c r="D173" s="457" t="s">
        <v>1865</v>
      </c>
      <c r="G173" s="461" t="s">
        <v>1635</v>
      </c>
      <c r="H173" s="461"/>
      <c r="I173" s="461"/>
      <c r="J173" s="461"/>
      <c r="K173" s="462"/>
      <c r="L173" s="461"/>
      <c r="M173" s="461"/>
      <c r="N173" s="463"/>
    </row>
    <row r="174" spans="1:14">
      <c r="A174" s="446">
        <f t="shared" si="3"/>
        <v>168</v>
      </c>
      <c r="B174" s="659"/>
      <c r="D174" s="457" t="s">
        <v>1866</v>
      </c>
      <c r="G174" s="461" t="s">
        <v>1635</v>
      </c>
      <c r="H174" s="461"/>
      <c r="I174" s="461"/>
      <c r="J174" s="461"/>
      <c r="K174" s="462"/>
      <c r="L174" s="461"/>
      <c r="M174" s="461"/>
      <c r="N174" s="463"/>
    </row>
    <row r="175" spans="1:14" ht="29">
      <c r="A175" s="446">
        <f t="shared" si="3"/>
        <v>169</v>
      </c>
      <c r="B175" s="659" t="s">
        <v>958</v>
      </c>
      <c r="C175" s="456" t="s">
        <v>1867</v>
      </c>
      <c r="D175" s="457" t="s">
        <v>1868</v>
      </c>
      <c r="E175" s="458" t="s">
        <v>279</v>
      </c>
      <c r="F175" s="464">
        <v>19532694</v>
      </c>
      <c r="G175" s="461" t="s">
        <v>1635</v>
      </c>
      <c r="H175" s="461"/>
      <c r="I175" s="461"/>
      <c r="J175" s="461"/>
      <c r="K175" s="462"/>
      <c r="L175" s="461"/>
      <c r="M175" s="461"/>
      <c r="N175" s="463"/>
    </row>
    <row r="176" spans="1:14">
      <c r="A176" s="446">
        <f t="shared" si="3"/>
        <v>170</v>
      </c>
      <c r="B176" s="659"/>
      <c r="D176" s="457" t="s">
        <v>1869</v>
      </c>
      <c r="E176" s="458" t="s">
        <v>279</v>
      </c>
      <c r="G176" s="461" t="s">
        <v>1635</v>
      </c>
      <c r="H176" s="461"/>
      <c r="I176" s="461"/>
      <c r="J176" s="461"/>
      <c r="K176" s="462"/>
      <c r="L176" s="461"/>
      <c r="M176" s="461"/>
      <c r="N176" s="463"/>
    </row>
    <row r="177" spans="1:14">
      <c r="A177" s="446">
        <f t="shared" si="3"/>
        <v>171</v>
      </c>
      <c r="B177" s="659"/>
      <c r="D177" s="457" t="s">
        <v>1870</v>
      </c>
      <c r="E177" s="458" t="s">
        <v>279</v>
      </c>
      <c r="G177" s="461" t="s">
        <v>1635</v>
      </c>
      <c r="H177" s="461"/>
      <c r="I177" s="461"/>
      <c r="J177" s="461"/>
      <c r="K177" s="462"/>
      <c r="L177" s="461"/>
      <c r="M177" s="461"/>
      <c r="N177" s="463"/>
    </row>
    <row r="178" spans="1:14">
      <c r="A178" s="446">
        <f t="shared" si="3"/>
        <v>172</v>
      </c>
      <c r="B178" s="659"/>
      <c r="D178" s="457" t="s">
        <v>1673</v>
      </c>
      <c r="E178" s="458" t="s">
        <v>279</v>
      </c>
      <c r="G178" s="461" t="s">
        <v>1635</v>
      </c>
      <c r="H178" s="461"/>
      <c r="I178" s="461"/>
      <c r="J178" s="461"/>
      <c r="K178" s="462"/>
      <c r="L178" s="461"/>
      <c r="M178" s="461"/>
      <c r="N178" s="463"/>
    </row>
    <row r="179" spans="1:14">
      <c r="A179" s="446">
        <f t="shared" si="3"/>
        <v>173</v>
      </c>
      <c r="B179" s="659"/>
      <c r="D179" s="457" t="s">
        <v>1871</v>
      </c>
      <c r="E179" s="458" t="s">
        <v>279</v>
      </c>
      <c r="G179" s="461" t="s">
        <v>1635</v>
      </c>
      <c r="H179" s="461"/>
      <c r="I179" s="461"/>
      <c r="J179" s="461"/>
      <c r="K179" s="462"/>
      <c r="L179" s="461"/>
      <c r="M179" s="461"/>
      <c r="N179" s="463"/>
    </row>
    <row r="180" spans="1:14" ht="29">
      <c r="A180" s="446">
        <f t="shared" si="3"/>
        <v>174</v>
      </c>
      <c r="B180" s="659"/>
      <c r="D180" s="457" t="s">
        <v>1872</v>
      </c>
      <c r="E180" s="458" t="s">
        <v>279</v>
      </c>
      <c r="G180" s="461" t="s">
        <v>1635</v>
      </c>
      <c r="H180" s="461"/>
      <c r="I180" s="461"/>
      <c r="J180" s="461"/>
      <c r="K180" s="461"/>
      <c r="L180" s="461"/>
      <c r="M180" s="461"/>
      <c r="N180" s="463"/>
    </row>
    <row r="181" spans="1:14" ht="18" customHeight="1">
      <c r="A181" s="446">
        <f t="shared" si="3"/>
        <v>175</v>
      </c>
      <c r="B181" s="659"/>
      <c r="D181" s="457" t="s">
        <v>1873</v>
      </c>
      <c r="E181" s="458" t="s">
        <v>279</v>
      </c>
      <c r="G181" s="461" t="s">
        <v>1635</v>
      </c>
      <c r="H181" s="461"/>
      <c r="I181" s="461"/>
      <c r="J181" s="461"/>
      <c r="K181" s="461"/>
      <c r="L181" s="461"/>
      <c r="M181" s="461"/>
      <c r="N181" s="463"/>
    </row>
    <row r="182" spans="1:14">
      <c r="A182" s="446">
        <f t="shared" si="3"/>
        <v>176</v>
      </c>
      <c r="B182" s="659"/>
      <c r="D182" s="457" t="s">
        <v>1874</v>
      </c>
      <c r="E182" s="458" t="s">
        <v>279</v>
      </c>
      <c r="G182" s="461" t="s">
        <v>1635</v>
      </c>
      <c r="H182" s="461"/>
      <c r="I182" s="461"/>
      <c r="J182" s="461"/>
      <c r="K182" s="461"/>
      <c r="L182" s="461"/>
      <c r="M182" s="461"/>
      <c r="N182" s="463"/>
    </row>
    <row r="183" spans="1:14">
      <c r="A183" s="446">
        <f t="shared" si="3"/>
        <v>177</v>
      </c>
      <c r="B183" s="659"/>
      <c r="D183" s="457" t="s">
        <v>1875</v>
      </c>
      <c r="E183" s="458" t="s">
        <v>279</v>
      </c>
      <c r="G183" s="461" t="s">
        <v>1635</v>
      </c>
      <c r="H183" s="461"/>
      <c r="I183" s="461"/>
      <c r="J183" s="461"/>
      <c r="K183" s="461"/>
      <c r="L183" s="461"/>
      <c r="M183" s="461"/>
      <c r="N183" s="463"/>
    </row>
    <row r="184" spans="1:14">
      <c r="A184" s="446">
        <f t="shared" si="3"/>
        <v>178</v>
      </c>
      <c r="B184" s="659"/>
      <c r="D184" s="457" t="s">
        <v>1876</v>
      </c>
      <c r="E184" s="458" t="s">
        <v>279</v>
      </c>
      <c r="G184" s="461" t="s">
        <v>1635</v>
      </c>
      <c r="H184" s="461"/>
      <c r="I184" s="461"/>
      <c r="J184" s="461"/>
      <c r="K184" s="461"/>
      <c r="L184" s="461"/>
      <c r="M184" s="461"/>
      <c r="N184" s="463"/>
    </row>
    <row r="185" spans="1:14">
      <c r="A185" s="446">
        <f t="shared" si="3"/>
        <v>179</v>
      </c>
      <c r="B185" s="659"/>
      <c r="D185" s="457" t="s">
        <v>1877</v>
      </c>
      <c r="E185" s="458" t="s">
        <v>279</v>
      </c>
      <c r="G185" s="461" t="s">
        <v>1635</v>
      </c>
      <c r="H185" s="461"/>
      <c r="I185" s="461"/>
      <c r="J185" s="461"/>
      <c r="K185" s="461"/>
      <c r="L185" s="461"/>
      <c r="M185" s="461"/>
      <c r="N185" s="463"/>
    </row>
    <row r="186" spans="1:14">
      <c r="A186" s="446">
        <f t="shared" si="3"/>
        <v>180</v>
      </c>
      <c r="B186" s="659" t="s">
        <v>960</v>
      </c>
      <c r="C186" s="456" t="s">
        <v>1878</v>
      </c>
      <c r="D186" s="457" t="s">
        <v>1879</v>
      </c>
      <c r="E186" s="458" t="s">
        <v>1680</v>
      </c>
      <c r="F186" s="464">
        <v>8188497</v>
      </c>
      <c r="G186" s="461"/>
      <c r="H186" s="461"/>
      <c r="I186" s="461" t="s">
        <v>1635</v>
      </c>
      <c r="J186" s="461"/>
      <c r="K186" s="461"/>
      <c r="L186" s="461"/>
      <c r="M186" s="461"/>
      <c r="N186" s="463" t="s">
        <v>1880</v>
      </c>
    </row>
    <row r="187" spans="1:14">
      <c r="A187" s="446">
        <f t="shared" si="3"/>
        <v>181</v>
      </c>
      <c r="B187" s="659"/>
      <c r="D187" s="457" t="s">
        <v>1881</v>
      </c>
      <c r="E187" s="458" t="s">
        <v>1680</v>
      </c>
      <c r="G187" s="461"/>
      <c r="H187" s="461"/>
      <c r="I187" s="461" t="s">
        <v>1635</v>
      </c>
      <c r="J187" s="461"/>
      <c r="K187" s="461"/>
      <c r="L187" s="461"/>
      <c r="M187" s="461"/>
      <c r="N187" s="463" t="s">
        <v>1880</v>
      </c>
    </row>
    <row r="188" spans="1:14">
      <c r="A188" s="446">
        <f t="shared" si="3"/>
        <v>182</v>
      </c>
      <c r="B188" s="659"/>
      <c r="D188" s="457" t="s">
        <v>1758</v>
      </c>
      <c r="E188" s="458" t="s">
        <v>1680</v>
      </c>
      <c r="G188" s="461" t="s">
        <v>1635</v>
      </c>
      <c r="H188" s="461"/>
      <c r="I188" s="461"/>
      <c r="J188" s="461"/>
      <c r="K188" s="461"/>
      <c r="L188" s="461"/>
      <c r="M188" s="461"/>
      <c r="N188" s="463"/>
    </row>
    <row r="189" spans="1:14">
      <c r="A189" s="446">
        <f t="shared" si="3"/>
        <v>183</v>
      </c>
      <c r="B189" s="659"/>
      <c r="D189" s="457" t="s">
        <v>1882</v>
      </c>
      <c r="E189" s="458" t="s">
        <v>1680</v>
      </c>
      <c r="G189" s="461" t="s">
        <v>1635</v>
      </c>
      <c r="H189" s="461"/>
      <c r="I189" s="461"/>
      <c r="J189" s="461"/>
      <c r="K189" s="461"/>
      <c r="L189" s="461"/>
      <c r="M189" s="461"/>
      <c r="N189" s="463"/>
    </row>
    <row r="190" spans="1:14">
      <c r="A190" s="446">
        <f t="shared" si="3"/>
        <v>184</v>
      </c>
      <c r="B190" s="659"/>
      <c r="D190" s="457" t="s">
        <v>1883</v>
      </c>
      <c r="E190" s="458" t="s">
        <v>1680</v>
      </c>
      <c r="G190" s="461" t="s">
        <v>1635</v>
      </c>
      <c r="H190" s="461"/>
      <c r="I190" s="461"/>
      <c r="J190" s="461"/>
      <c r="K190" s="461"/>
      <c r="L190" s="461"/>
      <c r="M190" s="461"/>
      <c r="N190" s="463"/>
    </row>
    <row r="191" spans="1:14">
      <c r="A191" s="446">
        <f t="shared" si="3"/>
        <v>185</v>
      </c>
      <c r="B191" s="659" t="s">
        <v>962</v>
      </c>
      <c r="C191" s="456" t="s">
        <v>1884</v>
      </c>
      <c r="D191" s="457" t="s">
        <v>1885</v>
      </c>
      <c r="E191" s="458" t="s">
        <v>279</v>
      </c>
      <c r="F191" s="464">
        <v>1506124</v>
      </c>
      <c r="G191" s="461" t="s">
        <v>1635</v>
      </c>
      <c r="H191" s="461"/>
      <c r="I191" s="461"/>
      <c r="J191" s="461"/>
      <c r="K191" s="461"/>
      <c r="L191" s="461"/>
      <c r="M191" s="461"/>
      <c r="N191" s="463"/>
    </row>
    <row r="192" spans="1:14">
      <c r="A192" s="446">
        <f t="shared" si="3"/>
        <v>186</v>
      </c>
      <c r="B192" s="659"/>
      <c r="D192" s="457" t="s">
        <v>1886</v>
      </c>
      <c r="E192" s="458" t="s">
        <v>279</v>
      </c>
      <c r="G192" s="461" t="s">
        <v>1635</v>
      </c>
      <c r="H192" s="461"/>
      <c r="I192" s="461"/>
      <c r="J192" s="461"/>
      <c r="K192" s="461"/>
      <c r="L192" s="461"/>
      <c r="M192" s="461"/>
      <c r="N192" s="463"/>
    </row>
    <row r="193" spans="1:14" ht="29">
      <c r="A193" s="446">
        <f t="shared" si="3"/>
        <v>187</v>
      </c>
      <c r="B193" s="659" t="s">
        <v>964</v>
      </c>
      <c r="C193" s="456" t="s">
        <v>1887</v>
      </c>
      <c r="D193" s="457" t="s">
        <v>1888</v>
      </c>
      <c r="E193" s="458" t="s">
        <v>279</v>
      </c>
      <c r="F193" s="464">
        <v>4239318</v>
      </c>
      <c r="G193" s="461" t="s">
        <v>1635</v>
      </c>
      <c r="H193" s="461"/>
      <c r="I193" s="461"/>
      <c r="J193" s="461"/>
      <c r="K193" s="461"/>
      <c r="L193" s="461"/>
      <c r="M193" s="461"/>
      <c r="N193" s="463" t="s">
        <v>1889</v>
      </c>
    </row>
    <row r="194" spans="1:14">
      <c r="A194" s="446">
        <f t="shared" si="3"/>
        <v>188</v>
      </c>
      <c r="B194" s="659"/>
      <c r="D194" s="457" t="s">
        <v>1890</v>
      </c>
      <c r="E194" s="458" t="s">
        <v>279</v>
      </c>
      <c r="G194" s="461" t="s">
        <v>1635</v>
      </c>
      <c r="H194" s="461"/>
      <c r="I194" s="461"/>
      <c r="J194" s="461"/>
      <c r="K194" s="461"/>
      <c r="L194" s="461"/>
      <c r="M194" s="461"/>
      <c r="N194" s="463"/>
    </row>
    <row r="195" spans="1:14">
      <c r="A195" s="446">
        <f t="shared" si="3"/>
        <v>189</v>
      </c>
      <c r="B195" s="659"/>
      <c r="D195" s="457" t="s">
        <v>1891</v>
      </c>
      <c r="E195" s="458" t="s">
        <v>279</v>
      </c>
      <c r="G195" s="461"/>
      <c r="H195" s="461" t="s">
        <v>1635</v>
      </c>
      <c r="I195" s="461"/>
      <c r="J195" s="461"/>
      <c r="K195" s="461"/>
      <c r="L195" s="461"/>
      <c r="M195" s="461"/>
      <c r="N195" s="463" t="s">
        <v>1892</v>
      </c>
    </row>
    <row r="196" spans="1:14">
      <c r="A196" s="446">
        <f t="shared" si="3"/>
        <v>190</v>
      </c>
      <c r="B196" s="659"/>
      <c r="D196" s="457" t="s">
        <v>1893</v>
      </c>
      <c r="G196" s="461" t="s">
        <v>1635</v>
      </c>
      <c r="H196" s="461"/>
      <c r="I196" s="461"/>
      <c r="J196" s="461"/>
      <c r="K196" s="461"/>
      <c r="L196" s="461"/>
      <c r="M196" s="461"/>
      <c r="N196" s="463"/>
    </row>
    <row r="197" spans="1:14">
      <c r="A197" s="446">
        <f t="shared" si="3"/>
        <v>191</v>
      </c>
      <c r="B197" s="659"/>
      <c r="D197" s="457" t="s">
        <v>1894</v>
      </c>
      <c r="G197" s="461" t="s">
        <v>1635</v>
      </c>
      <c r="H197" s="461"/>
      <c r="I197" s="461"/>
      <c r="J197" s="461"/>
      <c r="K197" s="461"/>
      <c r="L197" s="461"/>
      <c r="M197" s="461"/>
      <c r="N197" s="463" t="s">
        <v>1895</v>
      </c>
    </row>
    <row r="198" spans="1:14">
      <c r="A198" s="446">
        <f t="shared" si="3"/>
        <v>192</v>
      </c>
      <c r="B198" s="659"/>
      <c r="D198" s="457" t="s">
        <v>1896</v>
      </c>
      <c r="G198" s="461" t="s">
        <v>1635</v>
      </c>
      <c r="H198" s="461"/>
      <c r="I198" s="461"/>
      <c r="J198" s="461"/>
      <c r="K198" s="461"/>
      <c r="L198" s="461"/>
      <c r="M198" s="461"/>
      <c r="N198" s="463" t="s">
        <v>1897</v>
      </c>
    </row>
    <row r="199" spans="1:14" ht="29">
      <c r="A199" s="446">
        <f t="shared" si="3"/>
        <v>193</v>
      </c>
      <c r="B199" s="659" t="s">
        <v>966</v>
      </c>
      <c r="C199" s="456" t="s">
        <v>1898</v>
      </c>
      <c r="D199" s="457" t="s">
        <v>1899</v>
      </c>
      <c r="G199" s="461" t="s">
        <v>1635</v>
      </c>
      <c r="H199" s="461"/>
      <c r="I199" s="461"/>
      <c r="J199" s="461"/>
      <c r="K199" s="461"/>
      <c r="L199" s="461"/>
      <c r="M199" s="461"/>
      <c r="N199" s="463"/>
    </row>
    <row r="200" spans="1:14">
      <c r="A200" s="446">
        <f t="shared" si="3"/>
        <v>194</v>
      </c>
      <c r="B200" s="659" t="s">
        <v>970</v>
      </c>
      <c r="C200" s="456" t="s">
        <v>1900</v>
      </c>
      <c r="D200" s="457" t="s">
        <v>1901</v>
      </c>
      <c r="E200" s="458" t="s">
        <v>1680</v>
      </c>
      <c r="F200" s="464">
        <v>10685663</v>
      </c>
      <c r="G200" s="461" t="s">
        <v>1635</v>
      </c>
      <c r="H200" s="461"/>
      <c r="I200" s="461"/>
      <c r="J200" s="461"/>
      <c r="K200" s="461"/>
      <c r="L200" s="461"/>
      <c r="M200" s="461"/>
      <c r="N200" s="463"/>
    </row>
    <row r="201" spans="1:14">
      <c r="A201" s="446">
        <f t="shared" si="3"/>
        <v>195</v>
      </c>
      <c r="B201" s="659"/>
      <c r="D201" s="457" t="s">
        <v>1902</v>
      </c>
      <c r="E201" s="458" t="s">
        <v>1680</v>
      </c>
      <c r="G201" s="461"/>
      <c r="H201" s="461" t="s">
        <v>1635</v>
      </c>
      <c r="I201" s="461"/>
      <c r="J201" s="461"/>
      <c r="K201" s="461"/>
      <c r="L201" s="461"/>
      <c r="M201" s="461"/>
      <c r="N201" s="463" t="s">
        <v>1903</v>
      </c>
    </row>
    <row r="202" spans="1:14">
      <c r="A202" s="446">
        <f t="shared" si="3"/>
        <v>196</v>
      </c>
      <c r="B202" s="659"/>
      <c r="D202" s="457" t="s">
        <v>1904</v>
      </c>
      <c r="E202" s="458" t="s">
        <v>1680</v>
      </c>
      <c r="G202" s="461" t="s">
        <v>1635</v>
      </c>
      <c r="H202" s="461"/>
      <c r="I202" s="461"/>
      <c r="J202" s="461"/>
      <c r="K202" s="461"/>
      <c r="L202" s="461"/>
      <c r="M202" s="461"/>
      <c r="N202" s="463"/>
    </row>
    <row r="203" spans="1:14">
      <c r="A203" s="446">
        <f t="shared" si="3"/>
        <v>197</v>
      </c>
      <c r="B203" s="659"/>
      <c r="D203" s="457" t="s">
        <v>1905</v>
      </c>
      <c r="E203" s="458" t="s">
        <v>1680</v>
      </c>
      <c r="G203" s="461" t="s">
        <v>1635</v>
      </c>
      <c r="H203" s="461"/>
      <c r="I203" s="461"/>
      <c r="J203" s="461"/>
      <c r="K203" s="461"/>
      <c r="L203" s="461"/>
      <c r="M203" s="461"/>
      <c r="N203" s="463"/>
    </row>
    <row r="204" spans="1:14">
      <c r="A204" s="446">
        <f t="shared" si="3"/>
        <v>198</v>
      </c>
      <c r="B204" s="659"/>
      <c r="D204" s="457" t="s">
        <v>1906</v>
      </c>
      <c r="E204" s="458" t="s">
        <v>1680</v>
      </c>
      <c r="G204" s="461" t="s">
        <v>1635</v>
      </c>
      <c r="H204" s="461"/>
      <c r="I204" s="461"/>
      <c r="J204" s="461"/>
      <c r="K204" s="461"/>
      <c r="L204" s="461"/>
      <c r="M204" s="461"/>
      <c r="N204" s="463"/>
    </row>
    <row r="205" spans="1:14">
      <c r="A205" s="446">
        <f t="shared" ref="A205:A269" si="4">A204+1</f>
        <v>199</v>
      </c>
      <c r="B205" s="659"/>
      <c r="D205" s="457" t="s">
        <v>1907</v>
      </c>
      <c r="E205" s="458" t="s">
        <v>1680</v>
      </c>
      <c r="G205" s="461" t="s">
        <v>1635</v>
      </c>
      <c r="H205" s="461"/>
      <c r="I205" s="461"/>
      <c r="J205" s="461"/>
      <c r="K205" s="461"/>
      <c r="L205" s="461"/>
      <c r="M205" s="461"/>
      <c r="N205" s="463"/>
    </row>
    <row r="206" spans="1:14">
      <c r="A206" s="446">
        <f t="shared" si="4"/>
        <v>200</v>
      </c>
      <c r="B206" s="659" t="s">
        <v>972</v>
      </c>
      <c r="C206" s="456" t="s">
        <v>1908</v>
      </c>
      <c r="D206" s="457" t="s">
        <v>1909</v>
      </c>
      <c r="G206" s="461" t="s">
        <v>1635</v>
      </c>
      <c r="H206" s="461"/>
      <c r="I206" s="461"/>
      <c r="J206" s="461"/>
      <c r="K206" s="461"/>
      <c r="L206" s="461"/>
      <c r="M206" s="461"/>
      <c r="N206" s="463"/>
    </row>
    <row r="207" spans="1:14">
      <c r="A207" s="446">
        <f t="shared" si="4"/>
        <v>201</v>
      </c>
      <c r="B207" s="659" t="s">
        <v>976</v>
      </c>
      <c r="C207" s="456" t="s">
        <v>1910</v>
      </c>
      <c r="D207" s="457" t="s">
        <v>1911</v>
      </c>
      <c r="E207" s="458" t="s">
        <v>279</v>
      </c>
      <c r="F207" s="464">
        <v>3684814</v>
      </c>
      <c r="G207" s="461" t="s">
        <v>1635</v>
      </c>
      <c r="H207" s="461"/>
      <c r="I207" s="461"/>
      <c r="J207" s="461"/>
      <c r="K207" s="461"/>
      <c r="L207" s="461"/>
      <c r="M207" s="461"/>
      <c r="N207" s="469"/>
    </row>
    <row r="208" spans="1:14" ht="29">
      <c r="A208" s="446">
        <f t="shared" si="4"/>
        <v>202</v>
      </c>
      <c r="B208" s="659" t="s">
        <v>978</v>
      </c>
      <c r="C208" s="456" t="s">
        <v>1912</v>
      </c>
      <c r="D208" s="457" t="s">
        <v>1913</v>
      </c>
      <c r="E208" s="458" t="s">
        <v>279</v>
      </c>
      <c r="F208" s="464">
        <v>10553364</v>
      </c>
      <c r="G208" s="461" t="s">
        <v>1635</v>
      </c>
      <c r="H208" s="461"/>
      <c r="I208" s="461"/>
      <c r="J208" s="461"/>
      <c r="K208" s="461"/>
      <c r="L208" s="461"/>
      <c r="M208" s="461"/>
      <c r="N208" s="463"/>
    </row>
    <row r="209" spans="1:14">
      <c r="A209" s="446">
        <f t="shared" si="4"/>
        <v>203</v>
      </c>
      <c r="B209" s="659"/>
      <c r="D209" s="457" t="s">
        <v>1914</v>
      </c>
      <c r="E209" s="458" t="s">
        <v>279</v>
      </c>
      <c r="G209" s="461" t="s">
        <v>1635</v>
      </c>
      <c r="H209" s="461"/>
      <c r="I209" s="461"/>
      <c r="J209" s="461"/>
      <c r="K209" s="461"/>
      <c r="L209" s="461"/>
      <c r="M209" s="461"/>
      <c r="N209" s="463"/>
    </row>
    <row r="210" spans="1:14">
      <c r="A210" s="446">
        <f t="shared" si="4"/>
        <v>204</v>
      </c>
      <c r="B210" s="659"/>
      <c r="D210" s="457" t="s">
        <v>1915</v>
      </c>
      <c r="E210" s="458" t="s">
        <v>279</v>
      </c>
      <c r="G210" s="461" t="s">
        <v>1635</v>
      </c>
      <c r="H210" s="461"/>
      <c r="I210" s="461"/>
      <c r="J210" s="461"/>
      <c r="K210" s="461"/>
      <c r="L210" s="461"/>
      <c r="M210" s="461"/>
      <c r="N210" s="463"/>
    </row>
    <row r="211" spans="1:14">
      <c r="A211" s="446">
        <f t="shared" si="4"/>
        <v>205</v>
      </c>
      <c r="B211" s="659"/>
      <c r="D211" s="457" t="s">
        <v>1916</v>
      </c>
      <c r="E211" s="458" t="s">
        <v>279</v>
      </c>
      <c r="G211" s="461" t="s">
        <v>1635</v>
      </c>
      <c r="H211" s="461"/>
      <c r="I211" s="461"/>
      <c r="J211" s="461"/>
      <c r="K211" s="461"/>
      <c r="L211" s="461"/>
      <c r="M211" s="461"/>
      <c r="N211" s="463"/>
    </row>
    <row r="212" spans="1:14" ht="29">
      <c r="A212" s="446">
        <f t="shared" si="4"/>
        <v>206</v>
      </c>
      <c r="B212" s="659"/>
      <c r="D212" s="457" t="s">
        <v>1917</v>
      </c>
      <c r="E212" s="458" t="s">
        <v>279</v>
      </c>
      <c r="G212" s="461" t="s">
        <v>1635</v>
      </c>
      <c r="H212" s="461"/>
      <c r="I212" s="461"/>
      <c r="J212" s="461"/>
      <c r="K212" s="461"/>
      <c r="L212" s="461"/>
      <c r="M212" s="461"/>
      <c r="N212" s="463"/>
    </row>
    <row r="213" spans="1:14" ht="29">
      <c r="A213" s="446">
        <f t="shared" si="4"/>
        <v>207</v>
      </c>
      <c r="B213" s="659" t="s">
        <v>1918</v>
      </c>
      <c r="C213" s="456" t="s">
        <v>1919</v>
      </c>
      <c r="D213" s="457" t="s">
        <v>1920</v>
      </c>
      <c r="E213" s="458" t="s">
        <v>279</v>
      </c>
      <c r="F213" s="464">
        <v>17106123</v>
      </c>
      <c r="G213" s="461" t="s">
        <v>1635</v>
      </c>
      <c r="H213" s="461"/>
      <c r="I213" s="461"/>
      <c r="J213" s="461"/>
      <c r="K213" s="461"/>
      <c r="L213" s="461"/>
      <c r="M213" s="461"/>
      <c r="N213" s="463"/>
    </row>
    <row r="214" spans="1:14" ht="29">
      <c r="A214" s="446">
        <f t="shared" si="4"/>
        <v>208</v>
      </c>
      <c r="B214" s="659"/>
      <c r="D214" s="457" t="s">
        <v>1921</v>
      </c>
      <c r="E214" s="458" t="s">
        <v>279</v>
      </c>
      <c r="G214" s="461" t="s">
        <v>1635</v>
      </c>
      <c r="H214" s="461"/>
      <c r="I214" s="461"/>
      <c r="J214" s="461"/>
      <c r="K214" s="461"/>
      <c r="L214" s="461"/>
      <c r="M214" s="461"/>
      <c r="N214" s="463" t="s">
        <v>1922</v>
      </c>
    </row>
    <row r="215" spans="1:14">
      <c r="A215" s="446">
        <f t="shared" si="4"/>
        <v>209</v>
      </c>
      <c r="B215" s="659"/>
      <c r="D215" s="457" t="s">
        <v>1923</v>
      </c>
      <c r="E215" s="458" t="s">
        <v>279</v>
      </c>
      <c r="G215" s="461" t="s">
        <v>1635</v>
      </c>
      <c r="H215" s="461"/>
      <c r="I215" s="461"/>
      <c r="J215" s="461"/>
      <c r="K215" s="461"/>
      <c r="L215" s="461"/>
      <c r="M215" s="461"/>
      <c r="N215" s="463"/>
    </row>
    <row r="216" spans="1:14">
      <c r="A216" s="446">
        <f t="shared" si="4"/>
        <v>210</v>
      </c>
      <c r="B216" s="659"/>
      <c r="D216" s="457" t="s">
        <v>1924</v>
      </c>
      <c r="E216" s="458" t="s">
        <v>279</v>
      </c>
      <c r="G216" s="461" t="s">
        <v>1635</v>
      </c>
      <c r="H216" s="461"/>
      <c r="I216" s="461"/>
      <c r="J216" s="461"/>
      <c r="K216" s="461"/>
      <c r="L216" s="461"/>
      <c r="M216" s="461"/>
      <c r="N216" s="463"/>
    </row>
    <row r="217" spans="1:14">
      <c r="A217" s="446">
        <f t="shared" si="4"/>
        <v>211</v>
      </c>
      <c r="B217" s="659"/>
      <c r="D217" s="457" t="s">
        <v>1925</v>
      </c>
      <c r="E217" s="458" t="s">
        <v>279</v>
      </c>
      <c r="G217" s="461" t="s">
        <v>1635</v>
      </c>
      <c r="H217" s="461"/>
      <c r="I217" s="461"/>
      <c r="J217" s="461"/>
      <c r="K217" s="461"/>
      <c r="L217" s="461"/>
      <c r="M217" s="461"/>
      <c r="N217" s="463"/>
    </row>
    <row r="218" spans="1:14">
      <c r="A218" s="446">
        <f t="shared" si="4"/>
        <v>212</v>
      </c>
      <c r="B218" s="659"/>
      <c r="D218" s="457" t="s">
        <v>1926</v>
      </c>
      <c r="E218" s="458" t="s">
        <v>279</v>
      </c>
      <c r="G218" s="461" t="s">
        <v>1635</v>
      </c>
      <c r="H218" s="461"/>
      <c r="I218" s="461"/>
      <c r="J218" s="461"/>
      <c r="K218" s="461"/>
      <c r="L218" s="461"/>
      <c r="M218" s="461"/>
      <c r="N218" s="463"/>
    </row>
    <row r="219" spans="1:14">
      <c r="A219" s="446">
        <f t="shared" si="4"/>
        <v>213</v>
      </c>
      <c r="B219" s="659"/>
      <c r="D219" s="457" t="s">
        <v>1927</v>
      </c>
      <c r="E219" s="458" t="s">
        <v>279</v>
      </c>
      <c r="G219" s="461" t="s">
        <v>1635</v>
      </c>
      <c r="H219" s="461"/>
      <c r="I219" s="461"/>
      <c r="J219" s="461"/>
      <c r="K219" s="461"/>
      <c r="L219" s="461"/>
      <c r="M219" s="461"/>
      <c r="N219" s="463"/>
    </row>
    <row r="220" spans="1:14">
      <c r="A220" s="446">
        <f t="shared" si="4"/>
        <v>214</v>
      </c>
      <c r="B220" s="659"/>
      <c r="D220" s="457" t="s">
        <v>1928</v>
      </c>
      <c r="E220" s="458" t="s">
        <v>279</v>
      </c>
      <c r="G220" s="461" t="s">
        <v>1635</v>
      </c>
      <c r="H220" s="461"/>
      <c r="I220" s="461"/>
      <c r="J220" s="461"/>
      <c r="K220" s="461"/>
      <c r="L220" s="461"/>
      <c r="M220" s="461"/>
      <c r="N220" s="463"/>
    </row>
    <row r="221" spans="1:14">
      <c r="A221" s="446">
        <f t="shared" si="4"/>
        <v>215</v>
      </c>
      <c r="B221" s="659"/>
      <c r="D221" s="457" t="s">
        <v>1929</v>
      </c>
      <c r="E221" s="458" t="s">
        <v>279</v>
      </c>
      <c r="G221" s="461" t="s">
        <v>1635</v>
      </c>
      <c r="H221" s="461"/>
      <c r="I221" s="461"/>
      <c r="J221" s="461"/>
      <c r="K221" s="461"/>
      <c r="L221" s="461"/>
      <c r="M221" s="461"/>
      <c r="N221" s="463"/>
    </row>
    <row r="222" spans="1:14">
      <c r="A222" s="446">
        <f t="shared" si="4"/>
        <v>216</v>
      </c>
      <c r="B222" s="659" t="s">
        <v>982</v>
      </c>
      <c r="C222" s="456" t="s">
        <v>1930</v>
      </c>
      <c r="D222" s="457" t="s">
        <v>1931</v>
      </c>
      <c r="E222" s="458" t="s">
        <v>279</v>
      </c>
      <c r="F222" s="464">
        <v>6032465</v>
      </c>
      <c r="G222" s="461" t="s">
        <v>1635</v>
      </c>
      <c r="H222" s="461"/>
      <c r="I222" s="461"/>
      <c r="J222" s="461"/>
      <c r="K222" s="461"/>
      <c r="L222" s="461"/>
      <c r="M222" s="461"/>
      <c r="N222" s="463"/>
    </row>
    <row r="223" spans="1:14">
      <c r="A223" s="446">
        <f t="shared" si="4"/>
        <v>217</v>
      </c>
      <c r="B223" s="659"/>
      <c r="D223" s="457" t="s">
        <v>1932</v>
      </c>
      <c r="G223" s="461" t="s">
        <v>1635</v>
      </c>
      <c r="H223" s="461"/>
      <c r="I223" s="461"/>
      <c r="J223" s="461"/>
      <c r="K223" s="461"/>
      <c r="L223" s="461"/>
      <c r="M223" s="461"/>
      <c r="N223" s="463"/>
    </row>
    <row r="224" spans="1:14">
      <c r="A224" s="446">
        <f t="shared" si="4"/>
        <v>218</v>
      </c>
      <c r="B224" s="659"/>
      <c r="D224" s="457" t="s">
        <v>1933</v>
      </c>
      <c r="E224" s="458" t="s">
        <v>279</v>
      </c>
      <c r="G224" s="461" t="s">
        <v>1635</v>
      </c>
      <c r="H224" s="461"/>
      <c r="I224" s="461"/>
      <c r="J224" s="461"/>
      <c r="K224" s="461"/>
      <c r="L224" s="461"/>
      <c r="M224" s="461"/>
      <c r="N224" s="463"/>
    </row>
    <row r="225" spans="1:14">
      <c r="A225" s="446">
        <f t="shared" si="4"/>
        <v>219</v>
      </c>
      <c r="B225" s="659" t="s">
        <v>984</v>
      </c>
      <c r="C225" s="456" t="s">
        <v>1934</v>
      </c>
      <c r="D225" s="457" t="s">
        <v>1935</v>
      </c>
      <c r="E225" s="458" t="s">
        <v>279</v>
      </c>
      <c r="F225" s="464">
        <v>2709424</v>
      </c>
      <c r="G225" s="461" t="s">
        <v>1635</v>
      </c>
      <c r="H225" s="461"/>
      <c r="I225" s="461"/>
      <c r="J225" s="461"/>
      <c r="K225" s="461"/>
      <c r="L225" s="461"/>
      <c r="M225" s="461"/>
      <c r="N225" s="463"/>
    </row>
    <row r="226" spans="1:14">
      <c r="A226" s="446">
        <f t="shared" si="4"/>
        <v>220</v>
      </c>
      <c r="B226" s="659"/>
      <c r="D226" s="457" t="s">
        <v>1936</v>
      </c>
      <c r="E226" s="458" t="s">
        <v>279</v>
      </c>
      <c r="G226" s="461" t="s">
        <v>1635</v>
      </c>
      <c r="H226" s="461"/>
      <c r="I226" s="461"/>
      <c r="J226" s="461"/>
      <c r="K226" s="461"/>
      <c r="L226" s="461"/>
      <c r="M226" s="461"/>
      <c r="N226" s="463"/>
    </row>
    <row r="227" spans="1:14">
      <c r="A227" s="446">
        <f t="shared" si="4"/>
        <v>221</v>
      </c>
      <c r="B227" s="659" t="s">
        <v>986</v>
      </c>
      <c r="C227" s="456" t="s">
        <v>1937</v>
      </c>
      <c r="D227" s="457" t="s">
        <v>1938</v>
      </c>
      <c r="E227" s="458" t="s">
        <v>279</v>
      </c>
      <c r="F227" s="464">
        <v>3760923</v>
      </c>
      <c r="G227" s="461" t="s">
        <v>1635</v>
      </c>
      <c r="H227" s="461"/>
      <c r="I227" s="461"/>
      <c r="J227" s="461"/>
      <c r="K227" s="461"/>
      <c r="L227" s="461"/>
      <c r="M227" s="461"/>
      <c r="N227" s="463"/>
    </row>
    <row r="228" spans="1:14">
      <c r="A228" s="446">
        <f t="shared" si="4"/>
        <v>222</v>
      </c>
      <c r="B228" s="659"/>
      <c r="D228" s="457" t="s">
        <v>1939</v>
      </c>
      <c r="E228" s="458" t="s">
        <v>279</v>
      </c>
      <c r="G228" s="461" t="s">
        <v>1635</v>
      </c>
      <c r="H228" s="461"/>
      <c r="I228" s="461"/>
      <c r="J228" s="461"/>
      <c r="K228" s="461"/>
      <c r="L228" s="461"/>
      <c r="M228" s="461"/>
      <c r="N228" s="463"/>
    </row>
    <row r="229" spans="1:14">
      <c r="A229" s="446">
        <f t="shared" si="4"/>
        <v>223</v>
      </c>
      <c r="B229" s="659"/>
      <c r="D229" s="457" t="s">
        <v>1940</v>
      </c>
      <c r="E229" s="458" t="s">
        <v>279</v>
      </c>
      <c r="G229" s="461" t="s">
        <v>1635</v>
      </c>
      <c r="H229" s="461"/>
      <c r="I229" s="461"/>
      <c r="J229" s="461"/>
      <c r="K229" s="461"/>
      <c r="L229" s="461"/>
      <c r="M229" s="461"/>
      <c r="N229" s="463"/>
    </row>
    <row r="230" spans="1:14">
      <c r="A230" s="446">
        <f t="shared" si="4"/>
        <v>224</v>
      </c>
      <c r="B230" s="659"/>
      <c r="D230" s="457" t="s">
        <v>1941</v>
      </c>
      <c r="E230" s="458" t="s">
        <v>279</v>
      </c>
      <c r="G230" s="461" t="s">
        <v>1635</v>
      </c>
      <c r="H230" s="461"/>
      <c r="I230" s="461"/>
      <c r="J230" s="461"/>
      <c r="K230" s="461"/>
      <c r="L230" s="461"/>
      <c r="M230" s="461"/>
      <c r="N230" s="463"/>
    </row>
    <row r="231" spans="1:14">
      <c r="A231" s="446">
        <f t="shared" si="4"/>
        <v>225</v>
      </c>
      <c r="B231" s="659"/>
      <c r="D231" s="457" t="s">
        <v>1942</v>
      </c>
      <c r="E231" s="458" t="s">
        <v>279</v>
      </c>
      <c r="G231" s="461" t="s">
        <v>1635</v>
      </c>
      <c r="H231" s="461"/>
      <c r="I231" s="461"/>
      <c r="J231" s="461"/>
      <c r="K231" s="461"/>
      <c r="L231" s="461"/>
      <c r="M231" s="461"/>
      <c r="N231" s="463"/>
    </row>
    <row r="232" spans="1:14">
      <c r="A232" s="446">
        <f t="shared" si="4"/>
        <v>226</v>
      </c>
      <c r="B232" s="659" t="s">
        <v>988</v>
      </c>
      <c r="C232" s="456" t="s">
        <v>1943</v>
      </c>
      <c r="D232" s="457" t="s">
        <v>1944</v>
      </c>
      <c r="E232" s="458" t="s">
        <v>279</v>
      </c>
      <c r="F232" s="464">
        <v>10852062</v>
      </c>
      <c r="G232" s="461" t="s">
        <v>1635</v>
      </c>
      <c r="H232" s="461"/>
      <c r="I232" s="461"/>
      <c r="J232" s="461"/>
      <c r="K232" s="461"/>
      <c r="L232" s="461"/>
      <c r="M232" s="461"/>
      <c r="N232" s="463" t="s">
        <v>1945</v>
      </c>
    </row>
    <row r="233" spans="1:14">
      <c r="A233" s="446">
        <f t="shared" si="4"/>
        <v>227</v>
      </c>
      <c r="B233" s="659"/>
      <c r="D233" s="457" t="s">
        <v>1946</v>
      </c>
      <c r="E233" s="458" t="s">
        <v>279</v>
      </c>
      <c r="G233" s="461" t="s">
        <v>1635</v>
      </c>
      <c r="H233" s="461"/>
      <c r="I233" s="461"/>
      <c r="J233" s="461"/>
      <c r="K233" s="461"/>
      <c r="L233" s="461"/>
      <c r="M233" s="461"/>
      <c r="N233" s="463"/>
    </row>
    <row r="234" spans="1:14">
      <c r="A234" s="446">
        <f t="shared" si="4"/>
        <v>228</v>
      </c>
      <c r="B234" s="659"/>
      <c r="D234" s="457" t="s">
        <v>1947</v>
      </c>
      <c r="E234" s="458" t="s">
        <v>279</v>
      </c>
      <c r="G234" s="461" t="s">
        <v>1635</v>
      </c>
      <c r="H234" s="461"/>
      <c r="I234" s="461"/>
      <c r="J234" s="461"/>
      <c r="K234" s="461"/>
      <c r="L234" s="461"/>
      <c r="M234" s="461"/>
      <c r="N234" s="463"/>
    </row>
    <row r="235" spans="1:14">
      <c r="A235" s="446">
        <f t="shared" si="4"/>
        <v>229</v>
      </c>
      <c r="B235" s="659"/>
      <c r="D235" s="457" t="s">
        <v>1948</v>
      </c>
      <c r="E235" s="458" t="s">
        <v>279</v>
      </c>
      <c r="G235" s="461" t="s">
        <v>1635</v>
      </c>
      <c r="H235" s="461"/>
      <c r="I235" s="461"/>
      <c r="J235" s="461"/>
      <c r="K235" s="461"/>
      <c r="L235" s="461"/>
      <c r="M235" s="461"/>
      <c r="N235" s="463"/>
    </row>
    <row r="236" spans="1:14">
      <c r="A236" s="446">
        <f t="shared" si="4"/>
        <v>230</v>
      </c>
      <c r="B236" s="659" t="s">
        <v>996</v>
      </c>
      <c r="C236" s="456" t="s">
        <v>1949</v>
      </c>
      <c r="D236" s="706" t="s">
        <v>1950</v>
      </c>
      <c r="E236" s="458" t="s">
        <v>279</v>
      </c>
      <c r="F236" s="464">
        <v>845694</v>
      </c>
      <c r="G236" s="461" t="s">
        <v>1635</v>
      </c>
      <c r="H236" s="461"/>
      <c r="I236" s="461"/>
      <c r="J236" s="461"/>
      <c r="K236" s="461"/>
      <c r="L236" s="461"/>
      <c r="M236" s="461"/>
      <c r="N236" s="463"/>
    </row>
    <row r="237" spans="1:14">
      <c r="A237" s="446">
        <f t="shared" si="4"/>
        <v>231</v>
      </c>
      <c r="B237" s="659"/>
      <c r="D237" s="707" t="s">
        <v>1951</v>
      </c>
      <c r="E237" s="458" t="s">
        <v>279</v>
      </c>
      <c r="G237" s="461" t="s">
        <v>1635</v>
      </c>
      <c r="H237" s="461"/>
      <c r="I237" s="461"/>
      <c r="J237" s="461"/>
      <c r="K237" s="461"/>
      <c r="L237" s="461"/>
      <c r="M237" s="461"/>
      <c r="N237" s="463"/>
    </row>
    <row r="238" spans="1:14">
      <c r="A238" s="446">
        <f t="shared" si="4"/>
        <v>232</v>
      </c>
      <c r="B238" s="659" t="s">
        <v>998</v>
      </c>
      <c r="C238" s="456" t="s">
        <v>1952</v>
      </c>
      <c r="D238" s="457" t="s">
        <v>1953</v>
      </c>
      <c r="E238" s="458" t="s">
        <v>279</v>
      </c>
      <c r="F238" s="464">
        <v>7737533</v>
      </c>
      <c r="G238" s="461" t="s">
        <v>1635</v>
      </c>
      <c r="H238" s="461"/>
      <c r="I238" s="461"/>
      <c r="J238" s="461"/>
      <c r="K238" s="461"/>
      <c r="L238" s="461"/>
      <c r="M238" s="461"/>
      <c r="N238" s="463"/>
    </row>
    <row r="239" spans="1:14">
      <c r="A239" s="446">
        <f t="shared" si="4"/>
        <v>233</v>
      </c>
      <c r="B239" s="659"/>
      <c r="D239" s="457" t="s">
        <v>1725</v>
      </c>
      <c r="E239" s="458" t="s">
        <v>279</v>
      </c>
      <c r="G239" s="461" t="s">
        <v>1635</v>
      </c>
      <c r="H239" s="461"/>
      <c r="I239" s="461"/>
      <c r="J239" s="461"/>
      <c r="K239" s="461"/>
      <c r="L239" s="461"/>
      <c r="M239" s="461"/>
      <c r="N239" s="463"/>
    </row>
    <row r="240" spans="1:14">
      <c r="A240" s="446">
        <f t="shared" si="4"/>
        <v>234</v>
      </c>
      <c r="B240" s="659"/>
      <c r="D240" s="457" t="s">
        <v>1954</v>
      </c>
      <c r="G240" s="461" t="s">
        <v>1635</v>
      </c>
      <c r="H240" s="461"/>
      <c r="I240" s="461"/>
      <c r="J240" s="461"/>
      <c r="K240" s="461"/>
      <c r="L240" s="461"/>
      <c r="M240" s="461"/>
      <c r="N240" s="463"/>
    </row>
    <row r="241" spans="1:15">
      <c r="A241" s="446">
        <f t="shared" si="4"/>
        <v>235</v>
      </c>
      <c r="B241" s="659"/>
      <c r="D241" s="457" t="s">
        <v>1955</v>
      </c>
      <c r="E241" s="458" t="s">
        <v>279</v>
      </c>
      <c r="G241" s="461" t="s">
        <v>1635</v>
      </c>
      <c r="H241" s="461"/>
      <c r="I241" s="461"/>
      <c r="J241" s="461"/>
      <c r="K241" s="461"/>
      <c r="L241" s="461"/>
      <c r="M241" s="461"/>
      <c r="N241" s="463"/>
    </row>
    <row r="242" spans="1:15">
      <c r="A242" s="446">
        <f t="shared" si="4"/>
        <v>236</v>
      </c>
      <c r="B242" s="659"/>
      <c r="D242" s="457" t="s">
        <v>1956</v>
      </c>
      <c r="E242" s="458" t="s">
        <v>279</v>
      </c>
      <c r="G242" s="461" t="s">
        <v>1635</v>
      </c>
      <c r="H242" s="461"/>
      <c r="I242" s="461"/>
      <c r="J242" s="461"/>
      <c r="K242" s="461"/>
      <c r="L242" s="461"/>
      <c r="M242" s="461"/>
      <c r="N242" s="463"/>
    </row>
    <row r="243" spans="1:15">
      <c r="A243" s="446">
        <f t="shared" si="4"/>
        <v>237</v>
      </c>
      <c r="B243" s="659"/>
      <c r="D243" s="457" t="s">
        <v>1957</v>
      </c>
      <c r="E243" s="458" t="s">
        <v>279</v>
      </c>
      <c r="G243" s="461" t="s">
        <v>1635</v>
      </c>
      <c r="H243" s="461"/>
      <c r="I243" s="461"/>
      <c r="J243" s="461"/>
      <c r="K243" s="461"/>
      <c r="L243" s="461"/>
      <c r="M243" s="461"/>
      <c r="N243" s="463"/>
    </row>
    <row r="244" spans="1:15">
      <c r="A244" s="446">
        <f t="shared" si="4"/>
        <v>238</v>
      </c>
      <c r="B244" s="659"/>
      <c r="D244" s="457" t="s">
        <v>1958</v>
      </c>
      <c r="E244" s="458" t="s">
        <v>279</v>
      </c>
      <c r="G244" s="461" t="s">
        <v>1635</v>
      </c>
      <c r="H244" s="461"/>
      <c r="I244" s="461"/>
      <c r="J244" s="461"/>
      <c r="K244" s="461"/>
      <c r="L244" s="461"/>
      <c r="M244" s="461"/>
      <c r="N244" s="463"/>
    </row>
    <row r="245" spans="1:15">
      <c r="A245" s="446">
        <f t="shared" si="4"/>
        <v>239</v>
      </c>
      <c r="B245" s="659" t="s">
        <v>1000</v>
      </c>
      <c r="C245" s="456" t="s">
        <v>1959</v>
      </c>
      <c r="D245" s="457" t="s">
        <v>1960</v>
      </c>
      <c r="E245" s="458" t="s">
        <v>279</v>
      </c>
      <c r="F245" s="464">
        <v>689069</v>
      </c>
      <c r="G245" s="461" t="s">
        <v>1635</v>
      </c>
      <c r="H245" s="461"/>
      <c r="I245" s="461"/>
      <c r="J245" s="461"/>
      <c r="K245" s="461"/>
      <c r="L245" s="461"/>
      <c r="M245" s="461"/>
      <c r="N245" s="463"/>
    </row>
    <row r="246" spans="1:15">
      <c r="A246" s="446">
        <f t="shared" si="4"/>
        <v>240</v>
      </c>
      <c r="B246" s="659"/>
      <c r="D246" s="457" t="s">
        <v>1961</v>
      </c>
      <c r="E246" s="458" t="s">
        <v>279</v>
      </c>
      <c r="G246" s="461" t="s">
        <v>1635</v>
      </c>
      <c r="H246" s="461"/>
      <c r="I246" s="461"/>
      <c r="J246" s="461"/>
      <c r="K246" s="461"/>
      <c r="L246" s="461"/>
      <c r="M246" s="461"/>
      <c r="N246" s="463"/>
    </row>
    <row r="247" spans="1:15">
      <c r="A247" s="446">
        <f t="shared" si="4"/>
        <v>241</v>
      </c>
      <c r="B247" s="659" t="s">
        <v>1006</v>
      </c>
      <c r="C247" s="456" t="s">
        <v>1962</v>
      </c>
      <c r="D247" s="457" t="s">
        <v>1963</v>
      </c>
      <c r="E247" s="458" t="s">
        <v>279</v>
      </c>
      <c r="F247" s="464">
        <v>875329</v>
      </c>
      <c r="G247" s="461"/>
      <c r="H247" s="461" t="s">
        <v>1635</v>
      </c>
      <c r="I247" s="461" t="s">
        <v>1635</v>
      </c>
      <c r="J247" s="461"/>
      <c r="K247" s="461"/>
      <c r="L247" s="461"/>
      <c r="M247" s="461"/>
      <c r="N247" s="463" t="s">
        <v>1964</v>
      </c>
    </row>
    <row r="248" spans="1:15">
      <c r="A248" s="446">
        <f t="shared" si="4"/>
        <v>242</v>
      </c>
      <c r="B248" s="659" t="s">
        <v>1002</v>
      </c>
      <c r="C248" s="456" t="s">
        <v>1965</v>
      </c>
      <c r="D248" s="457" t="s">
        <v>1966</v>
      </c>
      <c r="E248" s="458" t="s">
        <v>279</v>
      </c>
      <c r="F248" s="464">
        <v>6387656</v>
      </c>
      <c r="G248" s="461" t="s">
        <v>1635</v>
      </c>
      <c r="H248" s="461"/>
      <c r="I248" s="461"/>
      <c r="J248" s="461"/>
      <c r="K248" s="461"/>
      <c r="L248" s="461"/>
      <c r="M248" s="461"/>
      <c r="N248" s="463"/>
    </row>
    <row r="249" spans="1:15">
      <c r="A249" s="446">
        <f t="shared" si="4"/>
        <v>243</v>
      </c>
      <c r="B249" s="659"/>
      <c r="D249" s="457" t="s">
        <v>1725</v>
      </c>
      <c r="E249" s="458" t="s">
        <v>279</v>
      </c>
      <c r="G249" s="461" t="s">
        <v>1635</v>
      </c>
      <c r="H249" s="461"/>
      <c r="I249" s="461"/>
      <c r="J249" s="461"/>
      <c r="K249" s="461"/>
      <c r="L249" s="461"/>
      <c r="M249" s="461"/>
      <c r="N249" s="463"/>
    </row>
    <row r="250" spans="1:15" ht="29">
      <c r="A250" s="446">
        <f t="shared" si="4"/>
        <v>244</v>
      </c>
      <c r="B250" s="659"/>
      <c r="D250" s="457" t="s">
        <v>1967</v>
      </c>
      <c r="E250" s="458" t="s">
        <v>279</v>
      </c>
      <c r="G250" s="461" t="s">
        <v>1635</v>
      </c>
      <c r="H250" s="461"/>
      <c r="I250" s="461"/>
      <c r="J250" s="461"/>
      <c r="K250" s="461"/>
      <c r="L250" s="461"/>
      <c r="M250" s="461"/>
      <c r="N250" s="463"/>
    </row>
    <row r="251" spans="1:15">
      <c r="A251" s="446">
        <f t="shared" si="4"/>
        <v>245</v>
      </c>
      <c r="B251" s="659"/>
      <c r="D251" s="457" t="s">
        <v>1968</v>
      </c>
      <c r="E251" s="458" t="s">
        <v>279</v>
      </c>
      <c r="G251" s="461" t="s">
        <v>1635</v>
      </c>
      <c r="H251" s="461"/>
      <c r="I251" s="461"/>
      <c r="J251" s="461"/>
      <c r="K251" s="461"/>
      <c r="L251" s="461"/>
      <c r="M251" s="461"/>
      <c r="N251" s="463"/>
    </row>
    <row r="252" spans="1:15" ht="18" customHeight="1">
      <c r="A252" s="708">
        <f>A251+1</f>
        <v>246</v>
      </c>
      <c r="B252" s="709"/>
      <c r="C252" s="710"/>
      <c r="D252" s="711" t="s">
        <v>1969</v>
      </c>
      <c r="E252" s="712"/>
      <c r="F252" s="713"/>
      <c r="G252" s="714" t="s">
        <v>1635</v>
      </c>
      <c r="H252" s="714"/>
      <c r="I252" s="714"/>
      <c r="J252" s="714"/>
      <c r="K252" s="714"/>
      <c r="L252" s="714"/>
      <c r="M252" s="714"/>
      <c r="N252" s="715"/>
      <c r="O252" s="716"/>
    </row>
    <row r="253" spans="1:15">
      <c r="A253" s="446">
        <f>A252+1</f>
        <v>247</v>
      </c>
      <c r="B253" s="659"/>
      <c r="D253" s="457" t="s">
        <v>1970</v>
      </c>
      <c r="E253" s="458" t="s">
        <v>279</v>
      </c>
      <c r="G253" s="461" t="s">
        <v>1635</v>
      </c>
      <c r="H253" s="461"/>
      <c r="I253" s="461"/>
      <c r="J253" s="461"/>
      <c r="K253" s="461"/>
      <c r="L253" s="461"/>
      <c r="M253" s="461"/>
      <c r="N253" s="463"/>
    </row>
    <row r="254" spans="1:15">
      <c r="A254" s="446">
        <f t="shared" si="4"/>
        <v>248</v>
      </c>
      <c r="B254" s="659"/>
      <c r="D254" s="457" t="s">
        <v>1971</v>
      </c>
      <c r="E254" s="458" t="s">
        <v>279</v>
      </c>
      <c r="G254" s="461" t="s">
        <v>1635</v>
      </c>
      <c r="H254" s="461"/>
      <c r="I254" s="461"/>
      <c r="J254" s="461"/>
      <c r="K254" s="461"/>
      <c r="L254" s="461"/>
      <c r="M254" s="461"/>
      <c r="N254" s="463"/>
    </row>
    <row r="255" spans="1:15">
      <c r="A255" s="446">
        <f t="shared" si="4"/>
        <v>249</v>
      </c>
      <c r="B255" s="659" t="s">
        <v>1004</v>
      </c>
      <c r="C255" s="456" t="s">
        <v>1972</v>
      </c>
      <c r="D255" s="457" t="s">
        <v>1973</v>
      </c>
      <c r="E255" s="458" t="s">
        <v>1680</v>
      </c>
      <c r="F255" s="464">
        <v>1895702</v>
      </c>
      <c r="G255" s="461" t="s">
        <v>1635</v>
      </c>
      <c r="H255" s="461"/>
      <c r="I255" s="461"/>
      <c r="J255" s="461"/>
      <c r="K255" s="461"/>
      <c r="L255" s="461"/>
      <c r="M255" s="461"/>
      <c r="N255" s="463"/>
    </row>
    <row r="256" spans="1:15" ht="16.5" customHeight="1">
      <c r="A256" s="446">
        <f t="shared" si="4"/>
        <v>250</v>
      </c>
      <c r="B256" s="659" t="s">
        <v>1008</v>
      </c>
      <c r="C256" s="456" t="s">
        <v>1974</v>
      </c>
      <c r="D256" s="457" t="s">
        <v>1975</v>
      </c>
      <c r="G256" s="461" t="s">
        <v>1635</v>
      </c>
      <c r="H256" s="461"/>
      <c r="I256" s="461"/>
      <c r="J256" s="461"/>
      <c r="K256" s="461"/>
      <c r="L256" s="461"/>
      <c r="M256" s="461"/>
      <c r="N256" s="463"/>
    </row>
    <row r="257" spans="1:14">
      <c r="A257" s="446">
        <f t="shared" si="4"/>
        <v>251</v>
      </c>
      <c r="B257" s="659"/>
      <c r="D257" s="457" t="s">
        <v>1976</v>
      </c>
      <c r="F257" s="459"/>
      <c r="G257" s="470" t="s">
        <v>1635</v>
      </c>
      <c r="H257" s="470"/>
      <c r="I257" s="471"/>
      <c r="J257" s="471"/>
      <c r="K257" s="470"/>
      <c r="L257" s="472"/>
      <c r="M257" s="473"/>
      <c r="N257" s="463"/>
    </row>
    <row r="258" spans="1:14">
      <c r="A258" s="446">
        <f t="shared" si="4"/>
        <v>252</v>
      </c>
      <c r="B258" s="659" t="s">
        <v>1010</v>
      </c>
      <c r="C258" s="456" t="s">
        <v>1977</v>
      </c>
      <c r="D258" s="457" t="s">
        <v>1978</v>
      </c>
      <c r="E258" s="458" t="s">
        <v>279</v>
      </c>
      <c r="F258" s="464">
        <v>2888367</v>
      </c>
      <c r="G258" s="461" t="s">
        <v>1635</v>
      </c>
      <c r="H258" s="461"/>
      <c r="I258" s="461"/>
      <c r="J258" s="461"/>
      <c r="K258" s="461"/>
      <c r="L258" s="461"/>
      <c r="M258" s="461"/>
      <c r="N258" s="463"/>
    </row>
    <row r="259" spans="1:14">
      <c r="A259" s="446">
        <f t="shared" si="4"/>
        <v>253</v>
      </c>
      <c r="B259" s="659"/>
      <c r="D259" s="457" t="s">
        <v>1979</v>
      </c>
      <c r="E259" s="458" t="s">
        <v>279</v>
      </c>
      <c r="G259" s="461" t="s">
        <v>1635</v>
      </c>
      <c r="H259" s="461"/>
      <c r="I259" s="461"/>
      <c r="J259" s="461"/>
      <c r="K259" s="461"/>
      <c r="L259" s="461"/>
      <c r="M259" s="461"/>
      <c r="N259" s="463"/>
    </row>
    <row r="260" spans="1:14">
      <c r="A260" s="446">
        <f t="shared" si="4"/>
        <v>254</v>
      </c>
      <c r="B260" s="659"/>
      <c r="D260" s="457" t="s">
        <v>1980</v>
      </c>
      <c r="E260" s="458" t="s">
        <v>279</v>
      </c>
      <c r="G260" s="461" t="s">
        <v>1635</v>
      </c>
      <c r="H260" s="461"/>
      <c r="I260" s="461"/>
      <c r="J260" s="461"/>
      <c r="K260" s="462"/>
      <c r="L260" s="461"/>
      <c r="M260" s="461"/>
      <c r="N260" s="463"/>
    </row>
    <row r="261" spans="1:14">
      <c r="A261" s="446">
        <f t="shared" si="4"/>
        <v>255</v>
      </c>
      <c r="B261" s="659"/>
      <c r="D261" s="457" t="s">
        <v>1981</v>
      </c>
      <c r="E261" s="458" t="s">
        <v>279</v>
      </c>
      <c r="G261" s="461" t="s">
        <v>1635</v>
      </c>
      <c r="H261" s="461"/>
      <c r="I261" s="461"/>
      <c r="J261" s="461"/>
      <c r="K261" s="462"/>
      <c r="L261" s="461"/>
      <c r="M261" s="461"/>
      <c r="N261" s="463"/>
    </row>
    <row r="262" spans="1:14">
      <c r="A262" s="446">
        <f t="shared" si="4"/>
        <v>256</v>
      </c>
      <c r="B262" s="659"/>
      <c r="D262" s="457" t="s">
        <v>1982</v>
      </c>
      <c r="E262" s="458" t="s">
        <v>279</v>
      </c>
      <c r="G262" s="461" t="s">
        <v>1635</v>
      </c>
      <c r="H262" s="461"/>
      <c r="I262" s="461"/>
      <c r="J262" s="461"/>
      <c r="K262" s="462"/>
      <c r="L262" s="461"/>
      <c r="M262" s="461"/>
      <c r="N262" s="463"/>
    </row>
    <row r="263" spans="1:14">
      <c r="A263" s="446">
        <f t="shared" si="4"/>
        <v>257</v>
      </c>
      <c r="B263" s="659" t="s">
        <v>1012</v>
      </c>
      <c r="C263" s="456" t="s">
        <v>1983</v>
      </c>
      <c r="D263" s="457" t="s">
        <v>1984</v>
      </c>
      <c r="E263" s="458" t="s">
        <v>279</v>
      </c>
      <c r="F263" s="464">
        <v>7229447</v>
      </c>
      <c r="G263" s="461" t="s">
        <v>1635</v>
      </c>
      <c r="H263" s="461"/>
      <c r="I263" s="461"/>
      <c r="J263" s="461"/>
      <c r="K263" s="462"/>
      <c r="L263" s="461"/>
      <c r="M263" s="461"/>
      <c r="N263" s="463"/>
    </row>
    <row r="264" spans="1:14">
      <c r="A264" s="446">
        <f t="shared" si="4"/>
        <v>258</v>
      </c>
      <c r="B264" s="659"/>
      <c r="D264" s="457" t="s">
        <v>1725</v>
      </c>
      <c r="E264" s="458" t="s">
        <v>279</v>
      </c>
      <c r="G264" s="461" t="s">
        <v>1635</v>
      </c>
      <c r="H264" s="461"/>
      <c r="I264" s="461"/>
      <c r="J264" s="461"/>
      <c r="K264" s="462"/>
      <c r="L264" s="461"/>
      <c r="M264" s="461"/>
      <c r="N264" s="463"/>
    </row>
    <row r="265" spans="1:14">
      <c r="A265" s="446">
        <f t="shared" si="4"/>
        <v>259</v>
      </c>
      <c r="B265" s="659"/>
      <c r="D265" s="457" t="s">
        <v>1985</v>
      </c>
      <c r="E265" s="458" t="s">
        <v>279</v>
      </c>
      <c r="G265" s="461" t="s">
        <v>1635</v>
      </c>
      <c r="H265" s="461"/>
      <c r="I265" s="461"/>
      <c r="J265" s="461"/>
      <c r="K265" s="462"/>
      <c r="L265" s="461"/>
      <c r="M265" s="461"/>
      <c r="N265" s="463"/>
    </row>
    <row r="266" spans="1:14">
      <c r="A266" s="446">
        <f t="shared" si="4"/>
        <v>260</v>
      </c>
      <c r="B266" s="659"/>
      <c r="D266" s="457" t="s">
        <v>1986</v>
      </c>
      <c r="E266" s="458" t="s">
        <v>279</v>
      </c>
      <c r="G266" s="461" t="s">
        <v>1635</v>
      </c>
      <c r="H266" s="461"/>
      <c r="I266" s="461"/>
      <c r="J266" s="461"/>
      <c r="K266" s="474"/>
      <c r="L266" s="461"/>
      <c r="M266" s="461"/>
      <c r="N266" s="463"/>
    </row>
    <row r="267" spans="1:14">
      <c r="A267" s="446">
        <f t="shared" si="4"/>
        <v>261</v>
      </c>
      <c r="B267" s="659" t="s">
        <v>1014</v>
      </c>
      <c r="C267" s="456" t="s">
        <v>1987</v>
      </c>
      <c r="D267" s="457" t="s">
        <v>1988</v>
      </c>
      <c r="E267" s="458" t="s">
        <v>279</v>
      </c>
      <c r="F267" s="464">
        <v>1769604</v>
      </c>
      <c r="G267" s="461" t="s">
        <v>1635</v>
      </c>
      <c r="H267" s="461"/>
      <c r="I267" s="461"/>
      <c r="J267" s="461"/>
      <c r="K267" s="474"/>
      <c r="L267" s="461"/>
      <c r="M267" s="461"/>
      <c r="N267" s="463"/>
    </row>
    <row r="268" spans="1:14">
      <c r="A268" s="446">
        <f t="shared" si="4"/>
        <v>262</v>
      </c>
      <c r="B268" s="659"/>
      <c r="D268" s="457" t="s">
        <v>1989</v>
      </c>
      <c r="E268" s="458" t="s">
        <v>279</v>
      </c>
      <c r="G268" s="461" t="s">
        <v>1635</v>
      </c>
      <c r="H268" s="461"/>
      <c r="I268" s="461"/>
      <c r="J268" s="461"/>
      <c r="K268" s="462"/>
      <c r="L268" s="461"/>
      <c r="M268" s="461"/>
      <c r="N268" s="463"/>
    </row>
    <row r="269" spans="1:14" ht="29">
      <c r="A269" s="446">
        <f t="shared" si="4"/>
        <v>263</v>
      </c>
      <c r="B269" s="659"/>
      <c r="D269" s="457" t="s">
        <v>1642</v>
      </c>
      <c r="E269" s="458" t="s">
        <v>279</v>
      </c>
      <c r="G269" s="461"/>
      <c r="H269" s="461" t="s">
        <v>1635</v>
      </c>
      <c r="I269" s="461"/>
      <c r="J269" s="461"/>
      <c r="K269" s="462"/>
      <c r="L269" s="461"/>
      <c r="M269" s="461"/>
      <c r="N269" s="463" t="s">
        <v>1990</v>
      </c>
    </row>
    <row r="270" spans="1:14">
      <c r="A270" s="446">
        <f t="shared" ref="A270:A333" si="5">A269+1</f>
        <v>264</v>
      </c>
      <c r="B270" s="659" t="s">
        <v>1017</v>
      </c>
      <c r="C270" s="456" t="s">
        <v>1991</v>
      </c>
      <c r="D270" s="457" t="s">
        <v>1789</v>
      </c>
      <c r="E270" s="458" t="s">
        <v>279</v>
      </c>
      <c r="F270" s="464">
        <v>1910050</v>
      </c>
      <c r="G270" s="461" t="s">
        <v>1635</v>
      </c>
      <c r="H270" s="461"/>
      <c r="I270" s="461"/>
      <c r="J270" s="461"/>
      <c r="K270" s="462"/>
      <c r="L270" s="461"/>
      <c r="M270" s="461"/>
      <c r="N270" s="463"/>
    </row>
    <row r="271" spans="1:14" ht="29">
      <c r="A271" s="446">
        <f t="shared" si="5"/>
        <v>265</v>
      </c>
      <c r="B271" s="659" t="s">
        <v>1019</v>
      </c>
      <c r="C271" s="456" t="s">
        <v>1992</v>
      </c>
      <c r="D271" s="457" t="s">
        <v>1993</v>
      </c>
      <c r="E271" s="458" t="s">
        <v>279</v>
      </c>
      <c r="F271" s="464">
        <v>16311512</v>
      </c>
      <c r="G271" s="461" t="s">
        <v>1635</v>
      </c>
      <c r="H271" s="461"/>
      <c r="I271" s="461"/>
      <c r="J271" s="461"/>
      <c r="K271" s="462"/>
      <c r="L271" s="461"/>
      <c r="M271" s="461"/>
      <c r="N271" s="463"/>
    </row>
    <row r="272" spans="1:14">
      <c r="A272" s="446">
        <f t="shared" si="5"/>
        <v>266</v>
      </c>
      <c r="B272" s="659"/>
      <c r="D272" s="457" t="s">
        <v>1994</v>
      </c>
      <c r="E272" s="458" t="s">
        <v>279</v>
      </c>
      <c r="G272" s="461" t="s">
        <v>1635</v>
      </c>
      <c r="H272" s="461"/>
      <c r="I272" s="461"/>
      <c r="J272" s="461"/>
      <c r="K272" s="462"/>
      <c r="L272" s="461"/>
      <c r="M272" s="461"/>
      <c r="N272" s="463"/>
    </row>
    <row r="273" spans="1:14">
      <c r="A273" s="446">
        <f t="shared" si="5"/>
        <v>267</v>
      </c>
      <c r="B273" s="659"/>
      <c r="D273" s="457" t="s">
        <v>1995</v>
      </c>
      <c r="E273" s="458" t="s">
        <v>279</v>
      </c>
      <c r="G273" s="461" t="s">
        <v>1635</v>
      </c>
      <c r="H273" s="461"/>
      <c r="I273" s="461"/>
      <c r="J273" s="461"/>
      <c r="K273" s="462"/>
      <c r="L273" s="461"/>
      <c r="M273" s="461"/>
      <c r="N273" s="463"/>
    </row>
    <row r="274" spans="1:14" ht="29">
      <c r="A274" s="446">
        <f t="shared" si="5"/>
        <v>268</v>
      </c>
      <c r="B274" s="659"/>
      <c r="D274" s="457" t="s">
        <v>1996</v>
      </c>
      <c r="E274" s="458" t="s">
        <v>279</v>
      </c>
      <c r="G274" s="461" t="s">
        <v>1635</v>
      </c>
      <c r="H274" s="461"/>
      <c r="I274" s="461"/>
      <c r="J274" s="461"/>
      <c r="K274" s="462"/>
      <c r="L274" s="461"/>
      <c r="M274" s="461"/>
      <c r="N274" s="463"/>
    </row>
    <row r="275" spans="1:14">
      <c r="A275" s="446">
        <f t="shared" si="5"/>
        <v>269</v>
      </c>
      <c r="B275" s="659"/>
      <c r="D275" s="457" t="s">
        <v>1997</v>
      </c>
      <c r="E275" s="458" t="s">
        <v>279</v>
      </c>
      <c r="G275" s="461" t="s">
        <v>1635</v>
      </c>
      <c r="H275" s="461"/>
      <c r="I275" s="461"/>
      <c r="J275" s="461"/>
      <c r="K275" s="462"/>
      <c r="L275" s="461"/>
      <c r="M275" s="461"/>
      <c r="N275" s="463"/>
    </row>
    <row r="276" spans="1:14">
      <c r="A276" s="446">
        <f t="shared" si="5"/>
        <v>270</v>
      </c>
      <c r="B276" s="659"/>
      <c r="D276" s="457" t="s">
        <v>1998</v>
      </c>
      <c r="E276" s="458" t="s">
        <v>279</v>
      </c>
      <c r="G276" s="461" t="s">
        <v>1635</v>
      </c>
      <c r="H276" s="461"/>
      <c r="I276" s="461"/>
      <c r="J276" s="461"/>
      <c r="K276" s="462"/>
      <c r="L276" s="461"/>
      <c r="M276" s="461"/>
      <c r="N276" s="463"/>
    </row>
    <row r="277" spans="1:14">
      <c r="A277" s="446">
        <f t="shared" si="5"/>
        <v>271</v>
      </c>
      <c r="B277" s="659"/>
      <c r="D277" s="457" t="s">
        <v>1832</v>
      </c>
      <c r="E277" s="458" t="s">
        <v>279</v>
      </c>
      <c r="G277" s="461" t="s">
        <v>1635</v>
      </c>
      <c r="H277" s="461"/>
      <c r="I277" s="461"/>
      <c r="J277" s="461"/>
      <c r="K277" s="462"/>
      <c r="L277" s="461"/>
      <c r="M277" s="461"/>
      <c r="N277" s="463"/>
    </row>
    <row r="278" spans="1:14">
      <c r="A278" s="446">
        <f t="shared" si="5"/>
        <v>272</v>
      </c>
      <c r="B278" s="659" t="s">
        <v>1021</v>
      </c>
      <c r="C278" s="456" t="s">
        <v>1999</v>
      </c>
      <c r="D278" s="457" t="s">
        <v>2000</v>
      </c>
      <c r="E278" s="458" t="s">
        <v>279</v>
      </c>
      <c r="F278" s="464">
        <v>722677</v>
      </c>
      <c r="G278" s="461" t="s">
        <v>1635</v>
      </c>
      <c r="H278" s="461"/>
      <c r="I278" s="461"/>
      <c r="J278" s="461"/>
      <c r="K278" s="462"/>
      <c r="L278" s="461"/>
      <c r="M278" s="461"/>
      <c r="N278" s="463"/>
    </row>
    <row r="279" spans="1:14">
      <c r="A279" s="446">
        <f t="shared" si="5"/>
        <v>273</v>
      </c>
      <c r="B279" s="659"/>
      <c r="D279" s="457" t="s">
        <v>1816</v>
      </c>
      <c r="E279" s="458" t="s">
        <v>279</v>
      </c>
      <c r="G279" s="461"/>
      <c r="H279" s="461" t="s">
        <v>1635</v>
      </c>
      <c r="I279" s="461"/>
      <c r="J279" s="461"/>
      <c r="K279" s="462"/>
      <c r="L279" s="461"/>
      <c r="M279" s="461"/>
      <c r="N279" s="463" t="s">
        <v>2001</v>
      </c>
    </row>
    <row r="280" spans="1:14">
      <c r="A280" s="446">
        <f t="shared" si="5"/>
        <v>274</v>
      </c>
      <c r="B280" s="659"/>
      <c r="D280" s="457" t="s">
        <v>2002</v>
      </c>
      <c r="G280" s="461" t="s">
        <v>1635</v>
      </c>
      <c r="H280" s="461"/>
      <c r="I280" s="461"/>
      <c r="J280" s="461"/>
      <c r="K280" s="462"/>
      <c r="L280" s="461"/>
      <c r="M280" s="461"/>
      <c r="N280" s="463"/>
    </row>
    <row r="281" spans="1:14">
      <c r="A281" s="446">
        <f t="shared" si="5"/>
        <v>275</v>
      </c>
      <c r="B281" s="659" t="s">
        <v>1023</v>
      </c>
      <c r="C281" s="456" t="s">
        <v>2003</v>
      </c>
      <c r="D281" s="457" t="s">
        <v>2004</v>
      </c>
      <c r="E281" s="458" t="s">
        <v>279</v>
      </c>
      <c r="F281" s="464">
        <v>1673183</v>
      </c>
      <c r="G281" s="461" t="s">
        <v>1635</v>
      </c>
      <c r="H281" s="461"/>
      <c r="I281" s="461"/>
      <c r="J281" s="461"/>
      <c r="K281" s="462"/>
      <c r="L281" s="461"/>
      <c r="M281" s="461"/>
      <c r="N281" s="463"/>
    </row>
    <row r="282" spans="1:14">
      <c r="A282" s="446">
        <f t="shared" si="5"/>
        <v>276</v>
      </c>
      <c r="B282" s="659"/>
      <c r="D282" s="457" t="s">
        <v>1816</v>
      </c>
      <c r="E282" s="458" t="s">
        <v>279</v>
      </c>
      <c r="G282" s="461"/>
      <c r="H282" s="461" t="s">
        <v>1635</v>
      </c>
      <c r="I282" s="461"/>
      <c r="J282" s="461"/>
      <c r="K282" s="462"/>
      <c r="L282" s="461"/>
      <c r="M282" s="461"/>
      <c r="N282" s="463" t="s">
        <v>2005</v>
      </c>
    </row>
    <row r="283" spans="1:14">
      <c r="A283" s="446">
        <f t="shared" si="5"/>
        <v>277</v>
      </c>
      <c r="B283" s="659"/>
      <c r="D283" s="457" t="s">
        <v>2006</v>
      </c>
      <c r="E283" s="458" t="s">
        <v>279</v>
      </c>
      <c r="G283" s="461"/>
      <c r="H283" s="461" t="s">
        <v>1635</v>
      </c>
      <c r="I283" s="461"/>
      <c r="J283" s="461"/>
      <c r="K283" s="462"/>
      <c r="L283" s="461"/>
      <c r="M283" s="461"/>
      <c r="N283" s="463" t="s">
        <v>2005</v>
      </c>
    </row>
    <row r="284" spans="1:14">
      <c r="A284" s="446">
        <f t="shared" si="5"/>
        <v>278</v>
      </c>
      <c r="B284" s="659"/>
      <c r="D284" s="457" t="s">
        <v>2007</v>
      </c>
      <c r="G284" s="461" t="s">
        <v>1635</v>
      </c>
      <c r="H284" s="461"/>
      <c r="I284" s="461"/>
      <c r="J284" s="461"/>
      <c r="K284" s="462"/>
      <c r="L284" s="461"/>
      <c r="M284" s="461"/>
      <c r="N284" s="463"/>
    </row>
    <row r="285" spans="1:14">
      <c r="A285" s="446">
        <f t="shared" si="5"/>
        <v>279</v>
      </c>
      <c r="B285" s="659" t="s">
        <v>1604</v>
      </c>
      <c r="C285" s="456" t="s">
        <v>2008</v>
      </c>
      <c r="D285" s="457" t="s">
        <v>2009</v>
      </c>
      <c r="E285" s="458" t="s">
        <v>1680</v>
      </c>
      <c r="G285" s="461" t="s">
        <v>1635</v>
      </c>
      <c r="H285" s="461"/>
      <c r="I285" s="461"/>
      <c r="J285" s="461"/>
      <c r="K285" s="462"/>
      <c r="L285" s="461"/>
      <c r="M285" s="461"/>
      <c r="N285" s="463"/>
    </row>
    <row r="286" spans="1:14">
      <c r="A286" s="446">
        <f t="shared" si="5"/>
        <v>280</v>
      </c>
      <c r="B286" s="659" t="s">
        <v>1029</v>
      </c>
      <c r="C286" s="456" t="s">
        <v>2010</v>
      </c>
      <c r="D286" s="457" t="s">
        <v>2011</v>
      </c>
      <c r="E286" s="458" t="s">
        <v>279</v>
      </c>
      <c r="F286" s="464">
        <v>1663692</v>
      </c>
      <c r="G286" s="461" t="s">
        <v>1635</v>
      </c>
      <c r="H286" s="461"/>
      <c r="I286" s="461"/>
      <c r="J286" s="461"/>
      <c r="K286" s="462"/>
      <c r="L286" s="461"/>
      <c r="M286" s="461"/>
      <c r="N286" s="463"/>
    </row>
    <row r="287" spans="1:14">
      <c r="A287" s="446">
        <f t="shared" si="5"/>
        <v>281</v>
      </c>
      <c r="B287" s="659"/>
      <c r="D287" s="457" t="s">
        <v>2012</v>
      </c>
      <c r="E287" s="458" t="s">
        <v>279</v>
      </c>
      <c r="G287" s="461" t="s">
        <v>1635</v>
      </c>
      <c r="H287" s="461"/>
      <c r="I287" s="461"/>
      <c r="J287" s="461"/>
      <c r="K287" s="462"/>
      <c r="L287" s="461"/>
      <c r="M287" s="461"/>
      <c r="N287" s="463"/>
    </row>
    <row r="288" spans="1:14">
      <c r="A288" s="446">
        <f t="shared" si="5"/>
        <v>282</v>
      </c>
      <c r="B288" s="659" t="s">
        <v>1031</v>
      </c>
      <c r="C288" s="456" t="s">
        <v>2013</v>
      </c>
      <c r="D288" s="457" t="s">
        <v>2014</v>
      </c>
      <c r="E288" s="458" t="s">
        <v>279</v>
      </c>
      <c r="F288" s="464">
        <v>3881526</v>
      </c>
      <c r="G288" s="461" t="s">
        <v>1635</v>
      </c>
      <c r="H288" s="461"/>
      <c r="I288" s="461"/>
      <c r="J288" s="461"/>
      <c r="K288" s="462"/>
      <c r="L288" s="461"/>
      <c r="M288" s="461"/>
      <c r="N288" s="463"/>
    </row>
    <row r="289" spans="1:14">
      <c r="A289" s="446">
        <f t="shared" si="5"/>
        <v>283</v>
      </c>
      <c r="B289" s="659"/>
      <c r="D289" s="457" t="s">
        <v>2015</v>
      </c>
      <c r="E289" s="458" t="s">
        <v>279</v>
      </c>
      <c r="G289" s="461" t="s">
        <v>1635</v>
      </c>
      <c r="H289" s="461"/>
      <c r="I289" s="461"/>
      <c r="J289" s="461"/>
      <c r="K289" s="462"/>
      <c r="L289" s="461"/>
      <c r="M289" s="461"/>
      <c r="N289" s="463"/>
    </row>
    <row r="290" spans="1:14">
      <c r="A290" s="446">
        <f t="shared" si="5"/>
        <v>284</v>
      </c>
      <c r="B290" s="659"/>
      <c r="D290" s="457" t="s">
        <v>2016</v>
      </c>
      <c r="E290" s="458" t="s">
        <v>279</v>
      </c>
      <c r="G290" s="461" t="s">
        <v>1635</v>
      </c>
      <c r="H290" s="461"/>
      <c r="I290" s="461"/>
      <c r="J290" s="461"/>
      <c r="K290" s="462"/>
      <c r="L290" s="461"/>
      <c r="M290" s="461"/>
      <c r="N290" s="463"/>
    </row>
    <row r="291" spans="1:14" ht="29">
      <c r="A291" s="446">
        <f t="shared" si="5"/>
        <v>285</v>
      </c>
      <c r="B291" s="659"/>
      <c r="D291" s="457" t="s">
        <v>2017</v>
      </c>
      <c r="E291" s="458" t="s">
        <v>279</v>
      </c>
      <c r="G291" s="461"/>
      <c r="H291" s="461" t="s">
        <v>1635</v>
      </c>
      <c r="I291" s="461"/>
      <c r="J291" s="461"/>
      <c r="K291" s="462"/>
      <c r="L291" s="461"/>
      <c r="M291" s="461"/>
      <c r="N291" s="463" t="s">
        <v>2018</v>
      </c>
    </row>
    <row r="292" spans="1:14">
      <c r="A292" s="446">
        <f t="shared" si="5"/>
        <v>286</v>
      </c>
      <c r="B292" s="659"/>
      <c r="D292" s="457" t="s">
        <v>2019</v>
      </c>
      <c r="G292" s="461" t="s">
        <v>1635</v>
      </c>
      <c r="H292" s="461"/>
      <c r="I292" s="461"/>
      <c r="J292" s="461"/>
      <c r="K292" s="462"/>
      <c r="L292" s="461"/>
      <c r="M292" s="461"/>
      <c r="N292" s="463"/>
    </row>
    <row r="293" spans="1:14" ht="29">
      <c r="A293" s="446">
        <f t="shared" si="5"/>
        <v>287</v>
      </c>
      <c r="B293" s="659" t="s">
        <v>1037</v>
      </c>
      <c r="C293" s="456" t="s">
        <v>2020</v>
      </c>
      <c r="D293" s="457" t="s">
        <v>2021</v>
      </c>
      <c r="E293" s="458" t="s">
        <v>279</v>
      </c>
      <c r="F293" s="464">
        <v>4281555</v>
      </c>
      <c r="G293" s="461" t="s">
        <v>1635</v>
      </c>
      <c r="H293" s="461"/>
      <c r="I293" s="461"/>
      <c r="J293" s="461"/>
      <c r="K293" s="461"/>
      <c r="L293" s="461"/>
      <c r="M293" s="461"/>
      <c r="N293" s="463"/>
    </row>
    <row r="294" spans="1:14">
      <c r="A294" s="446">
        <f t="shared" si="5"/>
        <v>288</v>
      </c>
      <c r="B294" s="659"/>
      <c r="D294" s="457" t="s">
        <v>2022</v>
      </c>
      <c r="E294" s="458" t="s">
        <v>279</v>
      </c>
      <c r="G294" s="461" t="s">
        <v>1635</v>
      </c>
      <c r="H294" s="461"/>
      <c r="I294" s="461"/>
      <c r="J294" s="461"/>
      <c r="K294" s="461"/>
      <c r="L294" s="461"/>
      <c r="M294" s="461"/>
      <c r="N294" s="463"/>
    </row>
    <row r="295" spans="1:14">
      <c r="A295" s="446">
        <f t="shared" si="5"/>
        <v>289</v>
      </c>
      <c r="B295" s="659"/>
      <c r="D295" s="457" t="s">
        <v>2023</v>
      </c>
      <c r="E295" s="458" t="s">
        <v>279</v>
      </c>
      <c r="G295" s="461" t="s">
        <v>1635</v>
      </c>
      <c r="H295" s="461"/>
      <c r="I295" s="461"/>
      <c r="J295" s="461"/>
      <c r="K295" s="461"/>
      <c r="L295" s="461"/>
      <c r="M295" s="461"/>
      <c r="N295" s="463"/>
    </row>
    <row r="296" spans="1:14">
      <c r="A296" s="446">
        <f t="shared" si="5"/>
        <v>290</v>
      </c>
      <c r="B296" s="659"/>
      <c r="D296" s="457" t="s">
        <v>2024</v>
      </c>
      <c r="E296" s="458" t="s">
        <v>279</v>
      </c>
      <c r="G296" s="461" t="s">
        <v>1635</v>
      </c>
      <c r="H296" s="461"/>
      <c r="I296" s="461"/>
      <c r="J296" s="461"/>
      <c r="K296" s="461"/>
      <c r="L296" s="461"/>
      <c r="M296" s="461"/>
      <c r="N296" s="463"/>
    </row>
    <row r="297" spans="1:14">
      <c r="A297" s="446">
        <f t="shared" si="5"/>
        <v>291</v>
      </c>
      <c r="B297" s="659" t="s">
        <v>574</v>
      </c>
      <c r="C297" s="456" t="s">
        <v>2025</v>
      </c>
      <c r="D297" s="457" t="s">
        <v>2026</v>
      </c>
      <c r="G297" s="461" t="s">
        <v>1635</v>
      </c>
      <c r="H297" s="461"/>
      <c r="I297" s="461"/>
      <c r="J297" s="461"/>
      <c r="K297" s="461"/>
      <c r="L297" s="461"/>
      <c r="M297" s="461"/>
      <c r="N297" s="463"/>
    </row>
    <row r="298" spans="1:14">
      <c r="A298" s="446">
        <f t="shared" si="5"/>
        <v>292</v>
      </c>
      <c r="B298" s="659"/>
      <c r="D298" s="457" t="s">
        <v>2027</v>
      </c>
      <c r="G298" s="461" t="s">
        <v>1635</v>
      </c>
      <c r="H298" s="461"/>
      <c r="I298" s="461"/>
      <c r="J298" s="461"/>
      <c r="K298" s="461"/>
      <c r="L298" s="461"/>
      <c r="M298" s="461"/>
      <c r="N298" s="463"/>
    </row>
    <row r="299" spans="1:14">
      <c r="A299" s="446">
        <f t="shared" si="5"/>
        <v>293</v>
      </c>
      <c r="B299" s="659"/>
      <c r="D299" s="457" t="s">
        <v>2028</v>
      </c>
      <c r="G299" s="461" t="s">
        <v>1635</v>
      </c>
      <c r="H299" s="461"/>
      <c r="I299" s="461"/>
      <c r="J299" s="461"/>
      <c r="K299" s="461"/>
      <c r="L299" s="461"/>
      <c r="M299" s="461"/>
      <c r="N299" s="463"/>
    </row>
    <row r="300" spans="1:14">
      <c r="A300" s="446">
        <f t="shared" si="5"/>
        <v>294</v>
      </c>
      <c r="B300" s="659" t="s">
        <v>1042</v>
      </c>
      <c r="C300" s="456" t="s">
        <v>2029</v>
      </c>
      <c r="D300" s="457" t="s">
        <v>2030</v>
      </c>
      <c r="E300" s="458" t="s">
        <v>279</v>
      </c>
      <c r="F300" s="464">
        <v>623513</v>
      </c>
      <c r="G300" s="461" t="s">
        <v>1635</v>
      </c>
      <c r="H300" s="461"/>
      <c r="I300" s="461"/>
      <c r="J300" s="461"/>
      <c r="K300" s="461"/>
      <c r="L300" s="461"/>
      <c r="M300" s="461"/>
      <c r="N300" s="463"/>
    </row>
    <row r="301" spans="1:14">
      <c r="A301" s="446">
        <f t="shared" si="5"/>
        <v>295</v>
      </c>
      <c r="B301" s="659" t="s">
        <v>1044</v>
      </c>
      <c r="C301" s="456" t="s">
        <v>2031</v>
      </c>
      <c r="D301" s="457" t="s">
        <v>2032</v>
      </c>
      <c r="E301" s="458" t="s">
        <v>1680</v>
      </c>
      <c r="F301" s="464">
        <v>1147874</v>
      </c>
      <c r="G301" s="461" t="s">
        <v>1635</v>
      </c>
      <c r="H301" s="461"/>
      <c r="I301" s="461"/>
      <c r="J301" s="461"/>
      <c r="K301" s="461"/>
      <c r="L301" s="461"/>
      <c r="M301" s="461"/>
      <c r="N301" s="463"/>
    </row>
    <row r="302" spans="1:14">
      <c r="A302" s="446">
        <f t="shared" si="5"/>
        <v>296</v>
      </c>
      <c r="B302" s="659"/>
      <c r="D302" s="457" t="s">
        <v>2033</v>
      </c>
      <c r="E302" s="458" t="s">
        <v>1680</v>
      </c>
      <c r="G302" s="461" t="s">
        <v>1635</v>
      </c>
      <c r="H302" s="461"/>
      <c r="I302" s="461"/>
      <c r="J302" s="461"/>
      <c r="K302" s="461"/>
      <c r="L302" s="461"/>
      <c r="M302" s="461"/>
      <c r="N302" s="463"/>
    </row>
    <row r="303" spans="1:14" ht="29">
      <c r="A303" s="446">
        <f t="shared" si="5"/>
        <v>297</v>
      </c>
      <c r="B303" s="659" t="s">
        <v>1046</v>
      </c>
      <c r="C303" s="456" t="s">
        <v>2034</v>
      </c>
      <c r="D303" s="457" t="s">
        <v>2035</v>
      </c>
      <c r="E303" s="458" t="s">
        <v>279</v>
      </c>
      <c r="F303" s="464">
        <v>5686832</v>
      </c>
      <c r="G303" s="461" t="s">
        <v>1635</v>
      </c>
      <c r="H303" s="461"/>
      <c r="I303" s="461"/>
      <c r="J303" s="461"/>
      <c r="K303" s="461"/>
      <c r="L303" s="461"/>
      <c r="M303" s="461"/>
      <c r="N303" s="463"/>
    </row>
    <row r="304" spans="1:14">
      <c r="A304" s="446">
        <f t="shared" si="5"/>
        <v>298</v>
      </c>
      <c r="B304" s="659"/>
      <c r="D304" s="457" t="s">
        <v>2036</v>
      </c>
      <c r="E304" s="458" t="s">
        <v>279</v>
      </c>
      <c r="G304" s="461" t="s">
        <v>1635</v>
      </c>
      <c r="H304" s="461"/>
      <c r="I304" s="461"/>
      <c r="J304" s="461"/>
      <c r="K304" s="461"/>
      <c r="L304" s="461"/>
      <c r="M304" s="461"/>
      <c r="N304" s="463"/>
    </row>
    <row r="305" spans="1:14">
      <c r="A305" s="446">
        <f t="shared" si="5"/>
        <v>299</v>
      </c>
      <c r="B305" s="659"/>
      <c r="D305" s="457" t="s">
        <v>2037</v>
      </c>
      <c r="E305" s="458" t="s">
        <v>279</v>
      </c>
      <c r="G305" s="461" t="s">
        <v>1635</v>
      </c>
      <c r="H305" s="461"/>
      <c r="I305" s="461"/>
      <c r="J305" s="461"/>
      <c r="K305" s="461"/>
      <c r="L305" s="461"/>
      <c r="M305" s="461"/>
      <c r="N305" s="463"/>
    </row>
    <row r="306" spans="1:14">
      <c r="A306" s="446">
        <f t="shared" si="5"/>
        <v>300</v>
      </c>
      <c r="B306" s="659"/>
      <c r="D306" s="457" t="s">
        <v>2038</v>
      </c>
      <c r="G306" s="461" t="s">
        <v>1635</v>
      </c>
      <c r="H306" s="461"/>
      <c r="I306" s="461"/>
      <c r="J306" s="461"/>
      <c r="K306" s="461"/>
      <c r="L306" s="461"/>
      <c r="M306" s="461"/>
      <c r="N306" s="463"/>
    </row>
    <row r="307" spans="1:14">
      <c r="A307" s="446">
        <f t="shared" si="5"/>
        <v>301</v>
      </c>
      <c r="B307" s="659" t="s">
        <v>1052</v>
      </c>
      <c r="C307" s="456" t="s">
        <v>2039</v>
      </c>
      <c r="D307" s="457" t="s">
        <v>2040</v>
      </c>
      <c r="E307" s="458" t="s">
        <v>1680</v>
      </c>
      <c r="F307" s="464">
        <v>5035255</v>
      </c>
      <c r="G307" s="461" t="s">
        <v>1635</v>
      </c>
      <c r="H307" s="461"/>
      <c r="I307" s="461"/>
      <c r="J307" s="461"/>
      <c r="K307" s="461"/>
      <c r="L307" s="461"/>
      <c r="M307" s="461"/>
      <c r="N307" s="463"/>
    </row>
    <row r="308" spans="1:14">
      <c r="A308" s="446">
        <f t="shared" si="5"/>
        <v>302</v>
      </c>
      <c r="B308" s="659"/>
      <c r="D308" s="457" t="s">
        <v>1946</v>
      </c>
      <c r="E308" s="458" t="s">
        <v>1680</v>
      </c>
      <c r="G308" s="461" t="s">
        <v>1635</v>
      </c>
      <c r="H308" s="461"/>
      <c r="I308" s="461"/>
      <c r="J308" s="461"/>
      <c r="K308" s="461"/>
      <c r="L308" s="461"/>
      <c r="M308" s="461"/>
      <c r="N308" s="463"/>
    </row>
    <row r="309" spans="1:14">
      <c r="A309" s="446">
        <f t="shared" si="5"/>
        <v>303</v>
      </c>
      <c r="B309" s="659"/>
      <c r="D309" s="457" t="s">
        <v>2041</v>
      </c>
      <c r="E309" s="458" t="s">
        <v>1680</v>
      </c>
      <c r="G309" s="461" t="s">
        <v>1635</v>
      </c>
      <c r="H309" s="461"/>
      <c r="I309" s="461"/>
      <c r="J309" s="461"/>
      <c r="K309" s="461"/>
      <c r="L309" s="461"/>
      <c r="M309" s="461"/>
      <c r="N309" s="463"/>
    </row>
    <row r="310" spans="1:14">
      <c r="A310" s="446">
        <f t="shared" si="5"/>
        <v>304</v>
      </c>
      <c r="B310" s="659"/>
      <c r="D310" s="457" t="s">
        <v>1744</v>
      </c>
      <c r="E310" s="458" t="s">
        <v>1680</v>
      </c>
      <c r="G310" s="461" t="s">
        <v>1635</v>
      </c>
      <c r="H310" s="461"/>
      <c r="I310" s="461"/>
      <c r="J310" s="461"/>
      <c r="K310" s="461"/>
      <c r="L310" s="461"/>
      <c r="M310" s="461"/>
      <c r="N310" s="463"/>
    </row>
    <row r="311" spans="1:14">
      <c r="A311" s="446">
        <f t="shared" si="5"/>
        <v>305</v>
      </c>
      <c r="B311" s="659"/>
      <c r="D311" s="457" t="s">
        <v>2042</v>
      </c>
      <c r="E311" s="458" t="s">
        <v>1680</v>
      </c>
      <c r="G311" s="461" t="s">
        <v>1635</v>
      </c>
      <c r="H311" s="461"/>
      <c r="I311" s="461"/>
      <c r="J311" s="461"/>
      <c r="K311" s="461"/>
      <c r="L311" s="461"/>
      <c r="M311" s="461"/>
      <c r="N311" s="463"/>
    </row>
    <row r="312" spans="1:14" ht="29">
      <c r="A312" s="446">
        <f t="shared" si="5"/>
        <v>306</v>
      </c>
      <c r="B312" s="659" t="s">
        <v>2043</v>
      </c>
      <c r="C312" s="456" t="s">
        <v>2044</v>
      </c>
      <c r="D312" s="457" t="s">
        <v>2045</v>
      </c>
      <c r="E312" s="458" t="s">
        <v>279</v>
      </c>
      <c r="F312" s="464">
        <v>16733099</v>
      </c>
      <c r="G312" s="461" t="s">
        <v>1635</v>
      </c>
      <c r="H312" s="461"/>
      <c r="I312" s="461"/>
      <c r="J312" s="461"/>
      <c r="K312" s="461"/>
      <c r="L312" s="461"/>
      <c r="M312" s="461"/>
      <c r="N312" s="463"/>
    </row>
    <row r="313" spans="1:14">
      <c r="A313" s="446">
        <f t="shared" si="5"/>
        <v>307</v>
      </c>
      <c r="B313" s="659"/>
      <c r="D313" s="457" t="s">
        <v>2046</v>
      </c>
      <c r="E313" s="458" t="s">
        <v>279</v>
      </c>
      <c r="G313" s="461" t="s">
        <v>1635</v>
      </c>
      <c r="H313" s="461"/>
      <c r="I313" s="461"/>
      <c r="J313" s="461"/>
      <c r="K313" s="461"/>
      <c r="L313" s="461"/>
      <c r="M313" s="461"/>
      <c r="N313" s="463"/>
    </row>
    <row r="314" spans="1:14">
      <c r="A314" s="446">
        <f t="shared" si="5"/>
        <v>308</v>
      </c>
      <c r="B314" s="659"/>
      <c r="D314" s="457" t="s">
        <v>2047</v>
      </c>
      <c r="E314" s="458" t="s">
        <v>279</v>
      </c>
      <c r="G314" s="461" t="s">
        <v>1635</v>
      </c>
      <c r="H314" s="461"/>
      <c r="I314" s="461"/>
      <c r="J314" s="461"/>
      <c r="K314" s="461"/>
      <c r="L314" s="461"/>
      <c r="M314" s="461"/>
      <c r="N314" s="463"/>
    </row>
    <row r="315" spans="1:14">
      <c r="A315" s="446">
        <f t="shared" si="5"/>
        <v>309</v>
      </c>
      <c r="B315" s="659"/>
      <c r="D315" s="457" t="s">
        <v>2048</v>
      </c>
      <c r="E315" s="458" t="s">
        <v>279</v>
      </c>
      <c r="G315" s="461" t="s">
        <v>1635</v>
      </c>
      <c r="H315" s="461"/>
      <c r="I315" s="461"/>
      <c r="J315" s="461"/>
      <c r="K315" s="461"/>
      <c r="L315" s="461"/>
      <c r="M315" s="461"/>
      <c r="N315" s="463"/>
    </row>
    <row r="316" spans="1:14">
      <c r="A316" s="446">
        <f t="shared" si="5"/>
        <v>310</v>
      </c>
      <c r="B316" s="659"/>
      <c r="D316" s="457" t="s">
        <v>2049</v>
      </c>
      <c r="E316" s="458" t="s">
        <v>279</v>
      </c>
      <c r="G316" s="461" t="s">
        <v>1635</v>
      </c>
      <c r="H316" s="461"/>
      <c r="I316" s="461"/>
      <c r="J316" s="461"/>
      <c r="K316" s="461"/>
      <c r="L316" s="461"/>
      <c r="M316" s="461"/>
      <c r="N316" s="463"/>
    </row>
    <row r="317" spans="1:14">
      <c r="A317" s="446">
        <f t="shared" si="5"/>
        <v>311</v>
      </c>
      <c r="B317" s="659"/>
      <c r="D317" s="457" t="s">
        <v>2050</v>
      </c>
      <c r="E317" s="458" t="s">
        <v>279</v>
      </c>
      <c r="G317" s="461" t="s">
        <v>1635</v>
      </c>
      <c r="H317" s="461" t="s">
        <v>1635</v>
      </c>
      <c r="I317" s="461"/>
      <c r="J317" s="461"/>
      <c r="K317" s="461"/>
      <c r="L317" s="461"/>
      <c r="M317" s="461"/>
      <c r="N317" s="463" t="s">
        <v>2051</v>
      </c>
    </row>
    <row r="318" spans="1:14">
      <c r="A318" s="446">
        <f t="shared" si="5"/>
        <v>312</v>
      </c>
      <c r="B318" s="659" t="s">
        <v>1056</v>
      </c>
      <c r="C318" s="456" t="s">
        <v>2052</v>
      </c>
      <c r="D318" s="457" t="s">
        <v>2053</v>
      </c>
      <c r="E318" s="458" t="s">
        <v>279</v>
      </c>
      <c r="F318" s="464">
        <v>11004091</v>
      </c>
      <c r="G318" s="461" t="s">
        <v>1635</v>
      </c>
      <c r="H318" s="461"/>
      <c r="I318" s="461"/>
      <c r="J318" s="461"/>
      <c r="K318" s="461"/>
      <c r="L318" s="461"/>
      <c r="M318" s="461"/>
      <c r="N318" s="463"/>
    </row>
    <row r="319" spans="1:14">
      <c r="A319" s="446">
        <f t="shared" si="5"/>
        <v>313</v>
      </c>
      <c r="B319" s="659"/>
      <c r="D319" s="457" t="s">
        <v>2054</v>
      </c>
      <c r="E319" s="458" t="s">
        <v>279</v>
      </c>
      <c r="G319" s="461" t="s">
        <v>1635</v>
      </c>
      <c r="H319" s="461"/>
      <c r="I319" s="461"/>
      <c r="J319" s="461"/>
      <c r="K319" s="461"/>
      <c r="L319" s="461"/>
      <c r="M319" s="461"/>
      <c r="N319" s="463"/>
    </row>
    <row r="320" spans="1:14">
      <c r="A320" s="446">
        <f t="shared" si="5"/>
        <v>314</v>
      </c>
      <c r="B320" s="659"/>
      <c r="D320" s="457" t="s">
        <v>2055</v>
      </c>
      <c r="E320" s="458" t="s">
        <v>279</v>
      </c>
      <c r="G320" s="461" t="s">
        <v>1635</v>
      </c>
      <c r="H320" s="461"/>
      <c r="I320" s="461"/>
      <c r="J320" s="461"/>
      <c r="K320" s="461"/>
      <c r="L320" s="461"/>
      <c r="M320" s="461"/>
      <c r="N320" s="463"/>
    </row>
    <row r="321" spans="1:14">
      <c r="A321" s="446">
        <f t="shared" si="5"/>
        <v>315</v>
      </c>
      <c r="B321" s="659"/>
      <c r="D321" s="457" t="s">
        <v>2056</v>
      </c>
      <c r="E321" s="458" t="s">
        <v>279</v>
      </c>
      <c r="G321" s="461" t="s">
        <v>1635</v>
      </c>
      <c r="H321" s="461"/>
      <c r="I321" s="461"/>
      <c r="J321" s="461"/>
      <c r="K321" s="461"/>
      <c r="L321" s="461"/>
      <c r="M321" s="461"/>
      <c r="N321" s="463"/>
    </row>
    <row r="322" spans="1:14">
      <c r="A322" s="446">
        <f t="shared" si="5"/>
        <v>316</v>
      </c>
      <c r="B322" s="659"/>
      <c r="D322" s="457" t="s">
        <v>2057</v>
      </c>
      <c r="E322" s="458" t="s">
        <v>279</v>
      </c>
      <c r="G322" s="461" t="s">
        <v>1635</v>
      </c>
      <c r="H322" s="461"/>
      <c r="I322" s="461"/>
      <c r="J322" s="461"/>
      <c r="K322" s="461"/>
      <c r="L322" s="461"/>
      <c r="M322" s="461"/>
      <c r="N322" s="463"/>
    </row>
    <row r="323" spans="1:14">
      <c r="A323" s="446">
        <f t="shared" si="5"/>
        <v>317</v>
      </c>
      <c r="B323" s="659"/>
      <c r="D323" s="457" t="s">
        <v>2058</v>
      </c>
      <c r="E323" s="458" t="s">
        <v>279</v>
      </c>
      <c r="G323" s="461" t="s">
        <v>1635</v>
      </c>
      <c r="H323" s="461"/>
      <c r="I323" s="461"/>
      <c r="J323" s="461"/>
      <c r="K323" s="461"/>
      <c r="L323" s="461"/>
      <c r="M323" s="461"/>
      <c r="N323" s="463"/>
    </row>
    <row r="324" spans="1:14" ht="29">
      <c r="A324" s="446">
        <f t="shared" si="5"/>
        <v>318</v>
      </c>
      <c r="B324" s="659" t="s">
        <v>1060</v>
      </c>
      <c r="C324" s="456" t="s">
        <v>2059</v>
      </c>
      <c r="D324" s="457" t="s">
        <v>2060</v>
      </c>
      <c r="E324" s="458" t="s">
        <v>279</v>
      </c>
      <c r="F324" s="464">
        <v>12916958</v>
      </c>
      <c r="G324" s="461" t="s">
        <v>1635</v>
      </c>
      <c r="H324" s="461"/>
      <c r="I324" s="461"/>
      <c r="J324" s="461"/>
      <c r="K324" s="461"/>
      <c r="L324" s="461"/>
      <c r="M324" s="461"/>
      <c r="N324" s="463"/>
    </row>
    <row r="325" spans="1:14">
      <c r="A325" s="446">
        <f t="shared" si="5"/>
        <v>319</v>
      </c>
      <c r="B325" s="659"/>
      <c r="D325" s="457" t="s">
        <v>2061</v>
      </c>
      <c r="E325" s="458" t="s">
        <v>279</v>
      </c>
      <c r="G325" s="461" t="s">
        <v>1635</v>
      </c>
      <c r="H325" s="461"/>
      <c r="I325" s="461"/>
      <c r="J325" s="461"/>
      <c r="K325" s="461"/>
      <c r="L325" s="461"/>
      <c r="M325" s="461"/>
      <c r="N325" s="463"/>
    </row>
    <row r="326" spans="1:14">
      <c r="A326" s="446">
        <f t="shared" si="5"/>
        <v>320</v>
      </c>
      <c r="B326" s="659"/>
      <c r="D326" s="457" t="s">
        <v>2062</v>
      </c>
      <c r="E326" s="458" t="s">
        <v>279</v>
      </c>
      <c r="G326" s="461" t="s">
        <v>1635</v>
      </c>
      <c r="H326" s="461"/>
      <c r="I326" s="461"/>
      <c r="J326" s="461"/>
      <c r="K326" s="461"/>
      <c r="L326" s="461"/>
      <c r="M326" s="461"/>
      <c r="N326" s="463"/>
    </row>
    <row r="327" spans="1:14">
      <c r="A327" s="446">
        <f t="shared" si="5"/>
        <v>321</v>
      </c>
      <c r="B327" s="659"/>
      <c r="D327" s="457" t="s">
        <v>2063</v>
      </c>
      <c r="E327" s="458" t="s">
        <v>279</v>
      </c>
      <c r="G327" s="461" t="s">
        <v>1635</v>
      </c>
      <c r="H327" s="461"/>
      <c r="I327" s="461"/>
      <c r="J327" s="461"/>
      <c r="K327" s="461"/>
      <c r="L327" s="461"/>
      <c r="M327" s="461"/>
      <c r="N327" s="463"/>
    </row>
    <row r="328" spans="1:14">
      <c r="A328" s="446">
        <f t="shared" si="5"/>
        <v>322</v>
      </c>
      <c r="B328" s="659"/>
      <c r="D328" s="457" t="s">
        <v>2064</v>
      </c>
      <c r="E328" s="458" t="s">
        <v>279</v>
      </c>
      <c r="G328" s="461" t="s">
        <v>1635</v>
      </c>
      <c r="H328" s="461"/>
      <c r="I328" s="461"/>
      <c r="J328" s="461"/>
      <c r="K328" s="461"/>
      <c r="L328" s="461"/>
      <c r="M328" s="461"/>
      <c r="N328" s="463"/>
    </row>
    <row r="329" spans="1:14" ht="29">
      <c r="A329" s="446">
        <f t="shared" si="5"/>
        <v>323</v>
      </c>
      <c r="B329" s="659"/>
      <c r="D329" s="457" t="s">
        <v>2065</v>
      </c>
      <c r="E329" s="458" t="s">
        <v>279</v>
      </c>
      <c r="G329" s="461" t="s">
        <v>1635</v>
      </c>
      <c r="H329" s="461"/>
      <c r="I329" s="461"/>
      <c r="J329" s="461"/>
      <c r="K329" s="461"/>
      <c r="L329" s="461"/>
      <c r="M329" s="461"/>
      <c r="N329" s="463"/>
    </row>
    <row r="330" spans="1:14">
      <c r="A330" s="446">
        <f t="shared" si="5"/>
        <v>324</v>
      </c>
      <c r="B330" s="659" t="s">
        <v>1062</v>
      </c>
      <c r="C330" s="456" t="s">
        <v>2066</v>
      </c>
      <c r="D330" s="457" t="s">
        <v>2067</v>
      </c>
      <c r="E330" s="458" t="s">
        <v>279</v>
      </c>
      <c r="F330" s="464">
        <v>2518646</v>
      </c>
      <c r="G330" s="461" t="s">
        <v>1635</v>
      </c>
      <c r="H330" s="461"/>
      <c r="I330" s="461"/>
      <c r="J330" s="461"/>
      <c r="K330" s="461"/>
      <c r="L330" s="461"/>
      <c r="M330" s="461"/>
      <c r="N330" s="463"/>
    </row>
    <row r="331" spans="1:14">
      <c r="A331" s="446">
        <f t="shared" si="5"/>
        <v>325</v>
      </c>
      <c r="B331" s="659"/>
      <c r="D331" s="457" t="s">
        <v>2068</v>
      </c>
      <c r="E331" s="458" t="s">
        <v>279</v>
      </c>
      <c r="G331" s="461" t="s">
        <v>1635</v>
      </c>
      <c r="H331" s="461"/>
      <c r="I331" s="461"/>
      <c r="J331" s="461"/>
      <c r="K331" s="461"/>
      <c r="L331" s="461"/>
      <c r="M331" s="461"/>
      <c r="N331" s="463"/>
    </row>
    <row r="332" spans="1:14">
      <c r="A332" s="446">
        <f t="shared" si="5"/>
        <v>326</v>
      </c>
      <c r="B332" s="659"/>
      <c r="D332" s="457" t="s">
        <v>2069</v>
      </c>
      <c r="E332" s="458" t="s">
        <v>279</v>
      </c>
      <c r="G332" s="461" t="s">
        <v>1635</v>
      </c>
      <c r="H332" s="461"/>
      <c r="I332" s="461"/>
      <c r="J332" s="461"/>
      <c r="K332" s="461"/>
      <c r="L332" s="461"/>
      <c r="M332" s="461"/>
      <c r="N332" s="463"/>
    </row>
    <row r="333" spans="1:14">
      <c r="A333" s="446">
        <f t="shared" si="5"/>
        <v>327</v>
      </c>
      <c r="B333" s="659"/>
      <c r="D333" s="457" t="s">
        <v>2070</v>
      </c>
      <c r="E333" s="458" t="s">
        <v>279</v>
      </c>
      <c r="G333" s="461" t="s">
        <v>1635</v>
      </c>
      <c r="H333" s="461" t="s">
        <v>1635</v>
      </c>
      <c r="I333" s="461"/>
      <c r="J333" s="461"/>
      <c r="K333" s="461"/>
      <c r="L333" s="461"/>
      <c r="M333" s="461"/>
      <c r="N333" s="463" t="s">
        <v>2071</v>
      </c>
    </row>
    <row r="334" spans="1:14">
      <c r="A334" s="446">
        <f t="shared" ref="A334:A398" si="6">A333+1</f>
        <v>328</v>
      </c>
      <c r="B334" s="659"/>
      <c r="D334" s="457" t="s">
        <v>2072</v>
      </c>
      <c r="E334" s="458" t="s">
        <v>279</v>
      </c>
      <c r="G334" s="461" t="s">
        <v>1635</v>
      </c>
      <c r="H334" s="461"/>
      <c r="I334" s="461"/>
      <c r="J334" s="461"/>
      <c r="K334" s="461"/>
      <c r="L334" s="461"/>
      <c r="M334" s="461"/>
      <c r="N334" s="463"/>
    </row>
    <row r="335" spans="1:14">
      <c r="A335" s="446">
        <f t="shared" si="6"/>
        <v>329</v>
      </c>
      <c r="B335" s="659"/>
      <c r="C335" s="456" t="s">
        <v>2073</v>
      </c>
      <c r="D335" s="475" t="s">
        <v>2074</v>
      </c>
      <c r="G335" s="461" t="s">
        <v>1635</v>
      </c>
      <c r="H335" s="461"/>
      <c r="I335" s="461"/>
      <c r="J335" s="461"/>
      <c r="K335" s="461"/>
      <c r="L335" s="461"/>
      <c r="M335" s="461"/>
      <c r="N335" s="463"/>
    </row>
    <row r="336" spans="1:14">
      <c r="A336" s="446">
        <f t="shared" si="6"/>
        <v>330</v>
      </c>
      <c r="B336" s="659"/>
      <c r="D336" s="475" t="s">
        <v>2075</v>
      </c>
      <c r="G336" s="461" t="s">
        <v>1635</v>
      </c>
      <c r="H336" s="461"/>
      <c r="I336" s="461"/>
      <c r="J336" s="461"/>
      <c r="K336" s="461"/>
      <c r="L336" s="461"/>
      <c r="M336" s="461"/>
      <c r="N336" s="463"/>
    </row>
    <row r="337" spans="1:15" ht="29">
      <c r="A337" s="708">
        <f>A336+1</f>
        <v>331</v>
      </c>
      <c r="B337" s="709" t="s">
        <v>2076</v>
      </c>
      <c r="C337" s="710" t="s">
        <v>2077</v>
      </c>
      <c r="D337" s="711" t="s">
        <v>2078</v>
      </c>
      <c r="E337" s="712"/>
      <c r="F337" s="713"/>
      <c r="G337" s="714" t="s">
        <v>1635</v>
      </c>
      <c r="H337" s="714"/>
      <c r="I337" s="714"/>
      <c r="J337" s="714"/>
      <c r="K337" s="714"/>
      <c r="L337" s="714"/>
      <c r="M337" s="714"/>
      <c r="N337" s="715"/>
      <c r="O337" s="716"/>
    </row>
    <row r="338" spans="1:15" ht="18" customHeight="1">
      <c r="A338" s="446">
        <f>A337+1</f>
        <v>332</v>
      </c>
      <c r="B338" s="659" t="s">
        <v>1068</v>
      </c>
      <c r="C338" s="456" t="s">
        <v>2079</v>
      </c>
      <c r="D338" s="457" t="s">
        <v>2080</v>
      </c>
      <c r="E338" s="458" t="s">
        <v>279</v>
      </c>
      <c r="F338" s="464">
        <v>2344448</v>
      </c>
      <c r="G338" s="461" t="s">
        <v>1635</v>
      </c>
      <c r="H338" s="461"/>
      <c r="I338" s="461"/>
      <c r="J338" s="461"/>
      <c r="K338" s="461"/>
      <c r="L338" s="461"/>
      <c r="M338" s="461"/>
      <c r="N338" s="463"/>
    </row>
    <row r="339" spans="1:15">
      <c r="A339" s="446">
        <f t="shared" si="6"/>
        <v>333</v>
      </c>
      <c r="B339" s="659"/>
      <c r="D339" s="457" t="s">
        <v>2081</v>
      </c>
      <c r="E339" s="458" t="s">
        <v>279</v>
      </c>
      <c r="G339" s="461" t="s">
        <v>1635</v>
      </c>
      <c r="H339" s="461"/>
      <c r="I339" s="461"/>
      <c r="J339" s="461"/>
      <c r="K339" s="461"/>
      <c r="L339" s="461"/>
      <c r="M339" s="461"/>
      <c r="N339" s="463"/>
    </row>
    <row r="340" spans="1:15" ht="29">
      <c r="A340" s="446">
        <f t="shared" si="6"/>
        <v>334</v>
      </c>
      <c r="B340" s="659"/>
      <c r="D340" s="457" t="s">
        <v>1642</v>
      </c>
      <c r="E340" s="458" t="s">
        <v>279</v>
      </c>
      <c r="G340" s="461"/>
      <c r="H340" s="461" t="s">
        <v>1635</v>
      </c>
      <c r="I340" s="461"/>
      <c r="J340" s="461"/>
      <c r="K340" s="461"/>
      <c r="L340" s="461"/>
      <c r="M340" s="461"/>
      <c r="N340" s="463" t="s">
        <v>2082</v>
      </c>
    </row>
    <row r="341" spans="1:15" ht="29">
      <c r="A341" s="446">
        <f t="shared" si="6"/>
        <v>335</v>
      </c>
      <c r="B341" s="659"/>
      <c r="D341" s="457" t="s">
        <v>2083</v>
      </c>
      <c r="E341" s="458" t="s">
        <v>279</v>
      </c>
      <c r="G341" s="461"/>
      <c r="H341" s="461" t="s">
        <v>1635</v>
      </c>
      <c r="I341" s="461"/>
      <c r="J341" s="461"/>
      <c r="K341" s="461"/>
      <c r="L341" s="461"/>
      <c r="M341" s="461"/>
      <c r="N341" s="463" t="s">
        <v>2084</v>
      </c>
    </row>
    <row r="342" spans="1:15">
      <c r="A342" s="446">
        <f t="shared" si="6"/>
        <v>336</v>
      </c>
      <c r="B342" s="659" t="s">
        <v>1588</v>
      </c>
      <c r="C342" s="456" t="s">
        <v>2085</v>
      </c>
      <c r="D342" s="457" t="s">
        <v>2086</v>
      </c>
      <c r="E342" s="458" t="s">
        <v>1680</v>
      </c>
      <c r="G342" s="461"/>
      <c r="H342" s="461" t="s">
        <v>1635</v>
      </c>
      <c r="I342" s="461"/>
      <c r="J342" s="461"/>
      <c r="K342" s="461"/>
      <c r="L342" s="461"/>
      <c r="M342" s="461"/>
      <c r="N342" s="463" t="s">
        <v>2087</v>
      </c>
    </row>
    <row r="343" spans="1:15">
      <c r="A343" s="446">
        <f t="shared" si="6"/>
        <v>337</v>
      </c>
      <c r="B343" s="659" t="s">
        <v>1074</v>
      </c>
      <c r="C343" s="456" t="s">
        <v>2088</v>
      </c>
      <c r="D343" s="707" t="s">
        <v>2089</v>
      </c>
      <c r="G343" s="461" t="s">
        <v>1635</v>
      </c>
      <c r="H343" s="461"/>
      <c r="I343" s="461"/>
      <c r="J343" s="461"/>
      <c r="K343" s="461"/>
      <c r="L343" s="461"/>
      <c r="M343" s="461"/>
      <c r="N343" s="463"/>
    </row>
    <row r="344" spans="1:15">
      <c r="A344" s="446">
        <f t="shared" si="6"/>
        <v>338</v>
      </c>
      <c r="B344" s="659"/>
      <c r="D344" s="457" t="s">
        <v>2090</v>
      </c>
      <c r="G344" s="461" t="s">
        <v>1635</v>
      </c>
      <c r="H344" s="461"/>
      <c r="I344" s="461"/>
      <c r="J344" s="461"/>
      <c r="K344" s="461"/>
      <c r="L344" s="461"/>
      <c r="M344" s="461"/>
      <c r="N344" s="463"/>
    </row>
    <row r="345" spans="1:15">
      <c r="A345" s="446">
        <f t="shared" si="6"/>
        <v>339</v>
      </c>
      <c r="B345" s="659" t="s">
        <v>1076</v>
      </c>
      <c r="C345" s="456" t="s">
        <v>2091</v>
      </c>
      <c r="D345" s="457" t="s">
        <v>2092</v>
      </c>
      <c r="E345" s="458" t="s">
        <v>279</v>
      </c>
      <c r="F345" s="464">
        <v>882074</v>
      </c>
      <c r="G345" s="461" t="s">
        <v>1635</v>
      </c>
      <c r="H345" s="461"/>
      <c r="I345" s="461"/>
      <c r="J345" s="461"/>
      <c r="K345" s="461"/>
      <c r="L345" s="461"/>
      <c r="M345" s="461"/>
      <c r="N345" s="463"/>
    </row>
    <row r="346" spans="1:15">
      <c r="A346" s="446">
        <f t="shared" si="6"/>
        <v>340</v>
      </c>
      <c r="B346" s="659"/>
      <c r="D346" s="457" t="s">
        <v>2093</v>
      </c>
      <c r="E346" s="458" t="s">
        <v>279</v>
      </c>
      <c r="G346" s="461" t="s">
        <v>1635</v>
      </c>
      <c r="H346" s="461"/>
      <c r="I346" s="461"/>
      <c r="J346" s="461"/>
      <c r="K346" s="461"/>
      <c r="L346" s="461"/>
      <c r="M346" s="461"/>
      <c r="N346" s="463"/>
    </row>
    <row r="347" spans="1:15" ht="16.5" customHeight="1">
      <c r="A347" s="446">
        <f t="shared" si="6"/>
        <v>341</v>
      </c>
      <c r="B347" s="659" t="s">
        <v>1078</v>
      </c>
      <c r="C347" s="456" t="s">
        <v>2094</v>
      </c>
      <c r="D347" s="707" t="s">
        <v>2095</v>
      </c>
      <c r="E347" s="458" t="s">
        <v>279</v>
      </c>
      <c r="F347" s="464">
        <v>12863876</v>
      </c>
      <c r="G347" s="461" t="s">
        <v>1635</v>
      </c>
      <c r="H347" s="461"/>
      <c r="I347" s="461"/>
      <c r="J347" s="461"/>
      <c r="K347" s="461"/>
      <c r="L347" s="461"/>
      <c r="M347" s="461"/>
      <c r="N347" s="463"/>
    </row>
    <row r="348" spans="1:15">
      <c r="A348" s="446">
        <f t="shared" si="6"/>
        <v>342</v>
      </c>
      <c r="B348" s="659"/>
      <c r="D348" s="457" t="s">
        <v>1946</v>
      </c>
      <c r="E348" s="458" t="s">
        <v>279</v>
      </c>
      <c r="G348" s="461" t="s">
        <v>1635</v>
      </c>
      <c r="H348" s="461"/>
      <c r="I348" s="461"/>
      <c r="J348" s="461"/>
      <c r="K348" s="461"/>
      <c r="L348" s="461"/>
      <c r="M348" s="461"/>
      <c r="N348" s="463"/>
    </row>
    <row r="349" spans="1:15">
      <c r="A349" s="446">
        <f t="shared" si="6"/>
        <v>343</v>
      </c>
      <c r="B349" s="659"/>
      <c r="D349" s="457" t="s">
        <v>2096</v>
      </c>
      <c r="E349" s="458" t="s">
        <v>279</v>
      </c>
      <c r="G349" s="461" t="s">
        <v>1635</v>
      </c>
      <c r="H349" s="461"/>
      <c r="I349" s="461"/>
      <c r="J349" s="461"/>
      <c r="K349" s="461"/>
      <c r="L349" s="461"/>
      <c r="M349" s="461"/>
      <c r="N349" s="463"/>
    </row>
    <row r="350" spans="1:15">
      <c r="A350" s="446">
        <f t="shared" si="6"/>
        <v>344</v>
      </c>
      <c r="B350" s="659"/>
      <c r="D350" s="457" t="s">
        <v>2097</v>
      </c>
      <c r="E350" s="458" t="s">
        <v>279</v>
      </c>
      <c r="G350" s="461" t="s">
        <v>1635</v>
      </c>
      <c r="H350" s="461"/>
      <c r="I350" s="461"/>
      <c r="J350" s="461"/>
      <c r="K350" s="461"/>
      <c r="L350" s="461"/>
      <c r="M350" s="461"/>
      <c r="N350" s="463"/>
    </row>
    <row r="351" spans="1:15">
      <c r="A351" s="446">
        <f t="shared" si="6"/>
        <v>345</v>
      </c>
      <c r="B351" s="659" t="s">
        <v>1082</v>
      </c>
      <c r="C351" s="456" t="s">
        <v>2098</v>
      </c>
      <c r="D351" s="457" t="s">
        <v>2099</v>
      </c>
      <c r="E351" s="458" t="s">
        <v>279</v>
      </c>
      <c r="F351" s="464">
        <v>3786849</v>
      </c>
      <c r="G351" s="461" t="s">
        <v>1635</v>
      </c>
      <c r="H351" s="461"/>
      <c r="I351" s="461"/>
      <c r="J351" s="461"/>
      <c r="K351" s="461"/>
      <c r="L351" s="461"/>
      <c r="M351" s="461"/>
      <c r="N351" s="463"/>
    </row>
    <row r="352" spans="1:15">
      <c r="A352" s="446">
        <f t="shared" si="6"/>
        <v>346</v>
      </c>
      <c r="B352" s="659"/>
      <c r="D352" s="457" t="s">
        <v>1816</v>
      </c>
      <c r="E352" s="458" t="s">
        <v>279</v>
      </c>
      <c r="G352" s="461"/>
      <c r="H352" s="461" t="s">
        <v>1635</v>
      </c>
      <c r="I352" s="461" t="s">
        <v>1635</v>
      </c>
      <c r="J352" s="461"/>
      <c r="K352" s="461"/>
      <c r="L352" s="461"/>
      <c r="M352" s="461"/>
      <c r="N352" s="463" t="s">
        <v>2100</v>
      </c>
    </row>
    <row r="353" spans="1:14">
      <c r="A353" s="446">
        <f t="shared" si="6"/>
        <v>347</v>
      </c>
      <c r="B353" s="659"/>
      <c r="D353" s="457" t="s">
        <v>2101</v>
      </c>
      <c r="E353" s="458" t="s">
        <v>279</v>
      </c>
      <c r="G353" s="461" t="s">
        <v>1635</v>
      </c>
      <c r="H353" s="461"/>
      <c r="I353" s="461"/>
      <c r="J353" s="461"/>
      <c r="K353" s="461"/>
      <c r="L353" s="461"/>
      <c r="M353" s="461"/>
      <c r="N353" s="463"/>
    </row>
    <row r="354" spans="1:14">
      <c r="A354" s="446">
        <f t="shared" si="6"/>
        <v>348</v>
      </c>
      <c r="B354" s="659" t="s">
        <v>1088</v>
      </c>
      <c r="C354" s="456" t="s">
        <v>2102</v>
      </c>
      <c r="D354" s="457" t="s">
        <v>2103</v>
      </c>
      <c r="E354" s="458" t="s">
        <v>279</v>
      </c>
      <c r="F354" s="464">
        <v>3206763</v>
      </c>
      <c r="G354" s="461" t="s">
        <v>1635</v>
      </c>
      <c r="H354" s="461"/>
      <c r="I354" s="461"/>
      <c r="J354" s="461"/>
      <c r="K354" s="461"/>
      <c r="L354" s="461"/>
      <c r="M354" s="461"/>
      <c r="N354" s="463"/>
    </row>
    <row r="355" spans="1:14">
      <c r="A355" s="446">
        <f t="shared" si="6"/>
        <v>349</v>
      </c>
      <c r="B355" s="659"/>
      <c r="D355" s="457" t="s">
        <v>2104</v>
      </c>
      <c r="G355" s="461" t="s">
        <v>1635</v>
      </c>
      <c r="H355" s="461"/>
      <c r="I355" s="461"/>
      <c r="J355" s="461"/>
      <c r="K355" s="461"/>
      <c r="L355" s="461"/>
      <c r="M355" s="461"/>
      <c r="N355" s="463"/>
    </row>
    <row r="356" spans="1:14">
      <c r="A356" s="446">
        <f t="shared" si="6"/>
        <v>350</v>
      </c>
      <c r="B356" s="659" t="s">
        <v>1080</v>
      </c>
      <c r="C356" s="456" t="s">
        <v>2105</v>
      </c>
      <c r="D356" s="457" t="s">
        <v>2106</v>
      </c>
      <c r="G356" s="461" t="s">
        <v>1635</v>
      </c>
      <c r="H356" s="461"/>
      <c r="I356" s="461"/>
      <c r="J356" s="461"/>
      <c r="K356" s="461"/>
      <c r="L356" s="461"/>
      <c r="M356" s="461"/>
      <c r="N356" s="463"/>
    </row>
    <row r="357" spans="1:14">
      <c r="A357" s="446">
        <f t="shared" si="6"/>
        <v>351</v>
      </c>
      <c r="B357" s="659"/>
      <c r="D357" s="457" t="s">
        <v>2107</v>
      </c>
      <c r="G357" s="461" t="s">
        <v>1635</v>
      </c>
      <c r="H357" s="461"/>
      <c r="I357" s="461"/>
      <c r="J357" s="461"/>
      <c r="K357" s="461"/>
      <c r="L357" s="461"/>
      <c r="M357" s="461"/>
      <c r="N357" s="463"/>
    </row>
    <row r="358" spans="1:14">
      <c r="A358" s="446">
        <f t="shared" si="6"/>
        <v>352</v>
      </c>
      <c r="B358" s="659"/>
      <c r="D358" s="457" t="s">
        <v>2108</v>
      </c>
      <c r="G358" s="461" t="s">
        <v>1635</v>
      </c>
      <c r="H358" s="461"/>
      <c r="I358" s="461"/>
      <c r="J358" s="461"/>
      <c r="K358" s="461"/>
      <c r="L358" s="461"/>
      <c r="M358" s="461"/>
      <c r="N358" s="463"/>
    </row>
    <row r="359" spans="1:14">
      <c r="A359" s="446">
        <f t="shared" si="6"/>
        <v>353</v>
      </c>
      <c r="B359" s="659"/>
      <c r="D359" s="457" t="s">
        <v>2109</v>
      </c>
      <c r="G359" s="461" t="s">
        <v>1635</v>
      </c>
      <c r="H359" s="461"/>
      <c r="I359" s="461"/>
      <c r="J359" s="461"/>
      <c r="K359" s="461"/>
      <c r="L359" s="461"/>
      <c r="M359" s="461"/>
      <c r="N359" s="463"/>
    </row>
    <row r="360" spans="1:14">
      <c r="A360" s="446">
        <f t="shared" si="6"/>
        <v>354</v>
      </c>
      <c r="B360" s="659" t="s">
        <v>1090</v>
      </c>
      <c r="C360" s="456" t="s">
        <v>2110</v>
      </c>
      <c r="D360" s="457" t="s">
        <v>2111</v>
      </c>
      <c r="E360" s="458" t="s">
        <v>279</v>
      </c>
      <c r="F360" s="464">
        <v>770265</v>
      </c>
      <c r="G360" s="461" t="s">
        <v>1635</v>
      </c>
      <c r="H360" s="461"/>
      <c r="I360" s="461"/>
      <c r="J360" s="461"/>
      <c r="K360" s="461"/>
      <c r="L360" s="461"/>
      <c r="M360" s="461"/>
      <c r="N360" s="463"/>
    </row>
    <row r="361" spans="1:14">
      <c r="A361" s="446">
        <f t="shared" si="6"/>
        <v>355</v>
      </c>
      <c r="B361" s="659"/>
      <c r="D361" s="457" t="s">
        <v>2112</v>
      </c>
      <c r="E361" s="458" t="s">
        <v>279</v>
      </c>
      <c r="G361" s="461" t="s">
        <v>1635</v>
      </c>
      <c r="H361" s="461"/>
      <c r="I361" s="461"/>
      <c r="J361" s="461"/>
      <c r="K361" s="461"/>
      <c r="L361" s="461"/>
      <c r="M361" s="461"/>
      <c r="N361" s="463"/>
    </row>
    <row r="362" spans="1:14">
      <c r="A362" s="446">
        <f t="shared" si="6"/>
        <v>356</v>
      </c>
      <c r="B362" s="659" t="s">
        <v>1092</v>
      </c>
      <c r="C362" s="456" t="s">
        <v>2113</v>
      </c>
      <c r="D362" s="457" t="s">
        <v>2114</v>
      </c>
      <c r="F362" s="459"/>
      <c r="G362" s="470" t="s">
        <v>1635</v>
      </c>
      <c r="H362" s="470"/>
      <c r="I362" s="471"/>
      <c r="J362" s="471"/>
      <c r="K362" s="470"/>
      <c r="L362" s="472"/>
      <c r="M362" s="476"/>
      <c r="N362" s="477" t="s">
        <v>2115</v>
      </c>
    </row>
    <row r="363" spans="1:14">
      <c r="A363" s="446">
        <f t="shared" si="6"/>
        <v>357</v>
      </c>
      <c r="B363" s="659" t="s">
        <v>1093</v>
      </c>
      <c r="C363" s="456" t="s">
        <v>2116</v>
      </c>
      <c r="D363" s="457" t="s">
        <v>2117</v>
      </c>
      <c r="E363" s="458" t="s">
        <v>279</v>
      </c>
      <c r="F363" s="464">
        <v>3111719</v>
      </c>
      <c r="G363" s="470" t="s">
        <v>1635</v>
      </c>
      <c r="H363" s="470"/>
      <c r="I363" s="470"/>
      <c r="J363" s="470"/>
      <c r="K363" s="478"/>
      <c r="L363" s="470"/>
      <c r="M363" s="470"/>
      <c r="N363" s="479"/>
    </row>
    <row r="364" spans="1:14">
      <c r="A364" s="446">
        <f t="shared" si="6"/>
        <v>358</v>
      </c>
      <c r="B364" s="659"/>
      <c r="D364" s="457" t="s">
        <v>2118</v>
      </c>
      <c r="F364" s="459"/>
      <c r="G364" s="470" t="s">
        <v>1635</v>
      </c>
      <c r="H364" s="470"/>
      <c r="I364" s="471"/>
      <c r="J364" s="471"/>
      <c r="K364" s="478"/>
      <c r="L364" s="472"/>
      <c r="M364" s="476"/>
      <c r="N364" s="479" t="s">
        <v>2115</v>
      </c>
    </row>
    <row r="365" spans="1:14">
      <c r="A365" s="446">
        <f t="shared" si="6"/>
        <v>359</v>
      </c>
      <c r="B365" s="659" t="s">
        <v>1095</v>
      </c>
      <c r="C365" s="456" t="s">
        <v>2119</v>
      </c>
      <c r="D365" s="457" t="s">
        <v>2120</v>
      </c>
      <c r="E365" s="458" t="s">
        <v>279</v>
      </c>
      <c r="F365" s="464">
        <v>1115828</v>
      </c>
      <c r="G365" s="461" t="s">
        <v>1635</v>
      </c>
      <c r="H365" s="461"/>
      <c r="I365" s="461"/>
      <c r="J365" s="470"/>
      <c r="K365" s="462"/>
      <c r="L365" s="470"/>
      <c r="M365" s="461"/>
      <c r="N365" s="463"/>
    </row>
    <row r="366" spans="1:14">
      <c r="A366" s="446">
        <f t="shared" si="6"/>
        <v>360</v>
      </c>
      <c r="B366" s="659"/>
      <c r="D366" s="457" t="s">
        <v>2121</v>
      </c>
      <c r="E366" s="458" t="s">
        <v>279</v>
      </c>
      <c r="G366" s="461" t="s">
        <v>1635</v>
      </c>
      <c r="H366" s="461"/>
      <c r="I366" s="461"/>
      <c r="J366" s="461"/>
      <c r="K366" s="462"/>
      <c r="L366" s="461"/>
      <c r="M366" s="461"/>
      <c r="N366" s="463"/>
    </row>
    <row r="367" spans="1:14" ht="29">
      <c r="A367" s="446">
        <f t="shared" si="6"/>
        <v>361</v>
      </c>
      <c r="B367" s="659" t="s">
        <v>1101</v>
      </c>
      <c r="C367" s="456" t="s">
        <v>2122</v>
      </c>
      <c r="D367" s="457" t="s">
        <v>2123</v>
      </c>
      <c r="E367" s="458" t="s">
        <v>279</v>
      </c>
      <c r="F367" s="464">
        <v>14589532</v>
      </c>
      <c r="G367" s="461" t="s">
        <v>1635</v>
      </c>
      <c r="H367" s="461"/>
      <c r="I367" s="461"/>
      <c r="J367" s="461"/>
      <c r="K367" s="462"/>
      <c r="L367" s="461"/>
      <c r="M367" s="461"/>
      <c r="N367" s="463"/>
    </row>
    <row r="368" spans="1:14">
      <c r="A368" s="446">
        <f t="shared" si="6"/>
        <v>362</v>
      </c>
      <c r="B368" s="659"/>
      <c r="D368" s="457" t="s">
        <v>2124</v>
      </c>
      <c r="E368" s="458" t="s">
        <v>279</v>
      </c>
      <c r="G368" s="461" t="s">
        <v>1635</v>
      </c>
      <c r="H368" s="461"/>
      <c r="I368" s="461"/>
      <c r="J368" s="461"/>
      <c r="K368" s="462"/>
      <c r="L368" s="461"/>
      <c r="M368" s="461"/>
      <c r="N368" s="463"/>
    </row>
    <row r="369" spans="1:14">
      <c r="A369" s="446">
        <f t="shared" si="6"/>
        <v>363</v>
      </c>
      <c r="B369" s="659"/>
      <c r="D369" s="457" t="s">
        <v>2125</v>
      </c>
      <c r="E369" s="458" t="s">
        <v>279</v>
      </c>
      <c r="G369" s="461" t="s">
        <v>1635</v>
      </c>
      <c r="H369" s="461"/>
      <c r="I369" s="461"/>
      <c r="J369" s="461"/>
      <c r="K369" s="462"/>
      <c r="L369" s="461"/>
      <c r="M369" s="461"/>
      <c r="N369" s="463"/>
    </row>
    <row r="370" spans="1:14">
      <c r="A370" s="446">
        <f t="shared" si="6"/>
        <v>364</v>
      </c>
      <c r="B370" s="659"/>
      <c r="D370" s="457" t="s">
        <v>2126</v>
      </c>
      <c r="E370" s="458" t="s">
        <v>279</v>
      </c>
      <c r="G370" s="461" t="s">
        <v>1635</v>
      </c>
      <c r="H370" s="461"/>
      <c r="I370" s="461"/>
      <c r="J370" s="461"/>
      <c r="K370" s="462"/>
      <c r="L370" s="461"/>
      <c r="M370" s="461"/>
      <c r="N370" s="463"/>
    </row>
    <row r="371" spans="1:14" ht="29">
      <c r="A371" s="446">
        <f t="shared" si="6"/>
        <v>365</v>
      </c>
      <c r="B371" s="659"/>
      <c r="D371" s="457" t="s">
        <v>2127</v>
      </c>
      <c r="E371" s="458" t="s">
        <v>279</v>
      </c>
      <c r="G371" s="461" t="s">
        <v>1635</v>
      </c>
      <c r="H371" s="461" t="s">
        <v>1635</v>
      </c>
      <c r="I371" s="461"/>
      <c r="J371" s="461"/>
      <c r="K371" s="462"/>
      <c r="L371" s="461"/>
      <c r="M371" s="461"/>
      <c r="N371" s="463" t="s">
        <v>2128</v>
      </c>
    </row>
    <row r="372" spans="1:14">
      <c r="A372" s="446">
        <f t="shared" si="6"/>
        <v>366</v>
      </c>
      <c r="B372" s="659"/>
      <c r="D372" s="457" t="s">
        <v>2129</v>
      </c>
      <c r="E372" s="458" t="s">
        <v>279</v>
      </c>
      <c r="G372" s="461" t="s">
        <v>1635</v>
      </c>
      <c r="H372" s="461"/>
      <c r="I372" s="461"/>
      <c r="J372" s="461"/>
      <c r="K372" s="462"/>
      <c r="L372" s="461"/>
      <c r="M372" s="461"/>
      <c r="N372" s="463"/>
    </row>
    <row r="373" spans="1:14">
      <c r="A373" s="446">
        <f t="shared" si="6"/>
        <v>367</v>
      </c>
      <c r="B373" s="659"/>
      <c r="D373" s="457" t="s">
        <v>2130</v>
      </c>
      <c r="E373" s="458" t="s">
        <v>279</v>
      </c>
      <c r="G373" s="461" t="s">
        <v>1635</v>
      </c>
      <c r="H373" s="461"/>
      <c r="I373" s="461"/>
      <c r="J373" s="461"/>
      <c r="K373" s="462"/>
      <c r="L373" s="461"/>
      <c r="M373" s="461"/>
      <c r="N373" s="463"/>
    </row>
    <row r="374" spans="1:14">
      <c r="A374" s="446">
        <f t="shared" si="6"/>
        <v>368</v>
      </c>
      <c r="B374" s="659"/>
      <c r="D374" s="457" t="s">
        <v>2131</v>
      </c>
      <c r="E374" s="458" t="s">
        <v>279</v>
      </c>
      <c r="G374" s="461" t="s">
        <v>1635</v>
      </c>
      <c r="H374" s="461"/>
      <c r="I374" s="461"/>
      <c r="J374" s="461"/>
      <c r="K374" s="462"/>
      <c r="L374" s="461"/>
      <c r="M374" s="461"/>
      <c r="N374" s="463"/>
    </row>
    <row r="375" spans="1:14" ht="17.25" customHeight="1">
      <c r="A375" s="446">
        <f t="shared" si="6"/>
        <v>369</v>
      </c>
      <c r="B375" s="659"/>
      <c r="D375" s="457" t="s">
        <v>2132</v>
      </c>
      <c r="E375" s="458" t="s">
        <v>279</v>
      </c>
      <c r="G375" s="461"/>
      <c r="H375" s="461" t="s">
        <v>1635</v>
      </c>
      <c r="I375" s="461"/>
      <c r="J375" s="461"/>
      <c r="K375" s="462"/>
      <c r="L375" s="461"/>
      <c r="M375" s="461"/>
      <c r="N375" s="465" t="s">
        <v>2133</v>
      </c>
    </row>
    <row r="376" spans="1:14">
      <c r="A376" s="446">
        <f t="shared" si="6"/>
        <v>370</v>
      </c>
      <c r="B376" s="659"/>
      <c r="D376" s="457" t="s">
        <v>2134</v>
      </c>
      <c r="E376" s="458" t="s">
        <v>279</v>
      </c>
      <c r="G376" s="461"/>
      <c r="H376" s="461" t="s">
        <v>1635</v>
      </c>
      <c r="I376" s="461"/>
      <c r="J376" s="461"/>
      <c r="K376" s="462"/>
      <c r="L376" s="461"/>
      <c r="M376" s="461"/>
      <c r="N376" s="463" t="s">
        <v>2135</v>
      </c>
    </row>
    <row r="377" spans="1:14">
      <c r="A377" s="446">
        <f t="shared" si="6"/>
        <v>371</v>
      </c>
      <c r="B377" s="659" t="s">
        <v>1097</v>
      </c>
      <c r="C377" s="456" t="s">
        <v>2136</v>
      </c>
      <c r="D377" s="457" t="s">
        <v>2137</v>
      </c>
      <c r="E377" s="458" t="s">
        <v>279</v>
      </c>
      <c r="F377" s="464">
        <v>2900981</v>
      </c>
      <c r="G377" s="461" t="s">
        <v>1635</v>
      </c>
      <c r="H377" s="461"/>
      <c r="I377" s="461"/>
      <c r="J377" s="461"/>
      <c r="K377" s="462"/>
      <c r="L377" s="461"/>
      <c r="M377" s="461"/>
      <c r="N377" s="463"/>
    </row>
    <row r="378" spans="1:14">
      <c r="A378" s="446">
        <f t="shared" si="6"/>
        <v>372</v>
      </c>
      <c r="B378" s="659"/>
      <c r="D378" s="457" t="s">
        <v>2138</v>
      </c>
      <c r="E378" s="458" t="s">
        <v>279</v>
      </c>
      <c r="G378" s="461" t="s">
        <v>1635</v>
      </c>
      <c r="H378" s="461"/>
      <c r="I378" s="461"/>
      <c r="J378" s="461"/>
      <c r="K378" s="462"/>
      <c r="L378" s="461"/>
      <c r="M378" s="461"/>
      <c r="N378" s="463"/>
    </row>
    <row r="379" spans="1:14">
      <c r="A379" s="446">
        <f t="shared" si="6"/>
        <v>373</v>
      </c>
      <c r="B379" s="659" t="s">
        <v>1099</v>
      </c>
      <c r="C379" s="456" t="s">
        <v>2139</v>
      </c>
      <c r="D379" s="457" t="s">
        <v>1973</v>
      </c>
      <c r="E379" s="458" t="s">
        <v>279</v>
      </c>
      <c r="F379" s="464">
        <v>11751835</v>
      </c>
      <c r="G379" s="461" t="s">
        <v>1635</v>
      </c>
      <c r="H379" s="461"/>
      <c r="I379" s="461"/>
      <c r="J379" s="461"/>
      <c r="K379" s="462"/>
      <c r="L379" s="461"/>
      <c r="M379" s="461"/>
      <c r="N379" s="463"/>
    </row>
    <row r="380" spans="1:14">
      <c r="A380" s="446">
        <f t="shared" si="6"/>
        <v>374</v>
      </c>
      <c r="B380" s="659" t="s">
        <v>1103</v>
      </c>
      <c r="C380" s="456" t="s">
        <v>2140</v>
      </c>
      <c r="D380" s="457" t="s">
        <v>2141</v>
      </c>
      <c r="E380" s="458" t="s">
        <v>279</v>
      </c>
      <c r="F380" s="464">
        <v>7130269</v>
      </c>
      <c r="G380" s="461" t="s">
        <v>1635</v>
      </c>
      <c r="H380" s="461"/>
      <c r="I380" s="461"/>
      <c r="J380" s="461"/>
      <c r="K380" s="462"/>
      <c r="L380" s="461"/>
      <c r="M380" s="461"/>
      <c r="N380" s="463"/>
    </row>
    <row r="381" spans="1:14">
      <c r="A381" s="446">
        <f t="shared" si="6"/>
        <v>375</v>
      </c>
      <c r="B381" s="659"/>
      <c r="D381" s="457" t="s">
        <v>2142</v>
      </c>
      <c r="E381" s="458" t="s">
        <v>279</v>
      </c>
      <c r="G381" s="461" t="s">
        <v>1635</v>
      </c>
      <c r="H381" s="461"/>
      <c r="I381" s="461"/>
      <c r="J381" s="461"/>
      <c r="K381" s="462"/>
      <c r="L381" s="461"/>
      <c r="M381" s="461"/>
      <c r="N381" s="463"/>
    </row>
    <row r="382" spans="1:14">
      <c r="A382" s="446">
        <f t="shared" si="6"/>
        <v>376</v>
      </c>
      <c r="B382" s="659"/>
      <c r="D382" s="457" t="s">
        <v>2143</v>
      </c>
      <c r="E382" s="458" t="s">
        <v>279</v>
      </c>
      <c r="G382" s="461" t="s">
        <v>1635</v>
      </c>
      <c r="H382" s="461"/>
      <c r="I382" s="461"/>
      <c r="J382" s="461"/>
      <c r="K382" s="462"/>
      <c r="L382" s="461"/>
      <c r="M382" s="461"/>
      <c r="N382" s="463"/>
    </row>
    <row r="383" spans="1:14">
      <c r="A383" s="446">
        <f t="shared" si="6"/>
        <v>377</v>
      </c>
      <c r="B383" s="659"/>
      <c r="D383" s="457" t="s">
        <v>2144</v>
      </c>
      <c r="E383" s="458" t="s">
        <v>279</v>
      </c>
      <c r="G383" s="461" t="s">
        <v>1635</v>
      </c>
      <c r="H383" s="461"/>
      <c r="I383" s="461"/>
      <c r="J383" s="461"/>
      <c r="K383" s="462"/>
      <c r="L383" s="461"/>
      <c r="M383" s="461"/>
      <c r="N383" s="463"/>
    </row>
    <row r="384" spans="1:14">
      <c r="A384" s="446">
        <f t="shared" si="6"/>
        <v>378</v>
      </c>
      <c r="B384" s="659"/>
      <c r="D384" s="457" t="s">
        <v>2145</v>
      </c>
      <c r="E384" s="458" t="s">
        <v>279</v>
      </c>
      <c r="G384" s="461" t="s">
        <v>1635</v>
      </c>
      <c r="H384" s="461"/>
      <c r="I384" s="461"/>
      <c r="J384" s="461"/>
      <c r="K384" s="462"/>
      <c r="L384" s="461"/>
      <c r="M384" s="461"/>
      <c r="N384" s="463"/>
    </row>
    <row r="385" spans="1:14">
      <c r="A385" s="446">
        <f t="shared" si="6"/>
        <v>379</v>
      </c>
      <c r="B385" s="659"/>
      <c r="D385" s="457" t="s">
        <v>2146</v>
      </c>
      <c r="E385" s="458" t="s">
        <v>279</v>
      </c>
      <c r="G385" s="461" t="s">
        <v>1635</v>
      </c>
      <c r="H385" s="461"/>
      <c r="I385" s="461"/>
      <c r="J385" s="461"/>
      <c r="K385" s="462"/>
      <c r="L385" s="461"/>
      <c r="M385" s="461"/>
      <c r="N385" s="463"/>
    </row>
    <row r="386" spans="1:14">
      <c r="A386" s="446">
        <f t="shared" si="6"/>
        <v>380</v>
      </c>
      <c r="B386" s="659"/>
      <c r="D386" s="457" t="s">
        <v>2147</v>
      </c>
      <c r="E386" s="458" t="s">
        <v>279</v>
      </c>
      <c r="G386" s="461" t="s">
        <v>1635</v>
      </c>
      <c r="H386" s="461"/>
      <c r="I386" s="461"/>
      <c r="J386" s="461"/>
      <c r="K386" s="462"/>
      <c r="L386" s="461"/>
      <c r="M386" s="461"/>
      <c r="N386" s="463"/>
    </row>
    <row r="387" spans="1:14">
      <c r="A387" s="446">
        <f t="shared" si="6"/>
        <v>381</v>
      </c>
      <c r="B387" s="659"/>
      <c r="D387" s="457" t="s">
        <v>2148</v>
      </c>
      <c r="E387" s="458" t="s">
        <v>279</v>
      </c>
      <c r="G387" s="461" t="s">
        <v>1635</v>
      </c>
      <c r="H387" s="461"/>
      <c r="I387" s="461"/>
      <c r="J387" s="461"/>
      <c r="K387" s="462"/>
      <c r="L387" s="461"/>
      <c r="M387" s="461"/>
      <c r="N387" s="463"/>
    </row>
    <row r="388" spans="1:14">
      <c r="A388" s="446">
        <f t="shared" si="6"/>
        <v>382</v>
      </c>
      <c r="B388" s="659"/>
      <c r="D388" s="457" t="s">
        <v>2149</v>
      </c>
      <c r="F388" s="459"/>
      <c r="G388" s="470"/>
      <c r="H388" s="470"/>
      <c r="I388" s="471" t="s">
        <v>1635</v>
      </c>
      <c r="J388" s="471"/>
      <c r="K388" s="478"/>
      <c r="L388" s="472"/>
      <c r="M388" s="476"/>
      <c r="N388" s="477" t="s">
        <v>2150</v>
      </c>
    </row>
    <row r="389" spans="1:14">
      <c r="A389" s="446">
        <f t="shared" si="6"/>
        <v>383</v>
      </c>
      <c r="B389" s="659" t="s">
        <v>1105</v>
      </c>
      <c r="C389" s="456" t="s">
        <v>2151</v>
      </c>
      <c r="D389" s="457" t="s">
        <v>2152</v>
      </c>
      <c r="E389" s="458" t="s">
        <v>279</v>
      </c>
      <c r="F389" s="464">
        <v>5041642</v>
      </c>
      <c r="G389" s="461" t="s">
        <v>1635</v>
      </c>
      <c r="H389" s="461"/>
      <c r="I389" s="461"/>
      <c r="J389" s="461"/>
      <c r="K389" s="461"/>
      <c r="L389" s="461"/>
      <c r="M389" s="461"/>
      <c r="N389" s="463"/>
    </row>
    <row r="390" spans="1:14">
      <c r="A390" s="446">
        <f t="shared" si="6"/>
        <v>384</v>
      </c>
      <c r="B390" s="659"/>
      <c r="D390" s="457" t="s">
        <v>2153</v>
      </c>
      <c r="G390" s="461" t="s">
        <v>1635</v>
      </c>
      <c r="H390" s="461"/>
      <c r="I390" s="461"/>
      <c r="J390" s="461"/>
      <c r="K390" s="461"/>
      <c r="L390" s="461"/>
      <c r="M390" s="461"/>
      <c r="N390" s="463"/>
    </row>
    <row r="391" spans="1:14">
      <c r="A391" s="446">
        <f t="shared" si="6"/>
        <v>385</v>
      </c>
      <c r="B391" s="659" t="s">
        <v>2154</v>
      </c>
      <c r="C391" s="456" t="s">
        <v>2155</v>
      </c>
      <c r="D391" s="480" t="s">
        <v>2156</v>
      </c>
      <c r="E391" s="458" t="s">
        <v>1680</v>
      </c>
      <c r="F391" s="464">
        <v>55663</v>
      </c>
      <c r="G391" s="461" t="s">
        <v>1635</v>
      </c>
      <c r="H391" s="461"/>
      <c r="I391" s="461"/>
      <c r="J391" s="461"/>
      <c r="K391" s="461"/>
      <c r="L391" s="461"/>
      <c r="M391" s="461"/>
      <c r="N391" s="463"/>
    </row>
    <row r="392" spans="1:14" ht="17.25" customHeight="1">
      <c r="A392" s="446">
        <f t="shared" si="6"/>
        <v>386</v>
      </c>
      <c r="B392" s="659" t="s">
        <v>1111</v>
      </c>
      <c r="C392" s="456" t="s">
        <v>2157</v>
      </c>
      <c r="D392" s="457" t="s">
        <v>2158</v>
      </c>
      <c r="E392" s="458" t="s">
        <v>279</v>
      </c>
      <c r="F392" s="464">
        <v>10936510</v>
      </c>
      <c r="G392" s="461" t="s">
        <v>1635</v>
      </c>
      <c r="H392" s="461"/>
      <c r="I392" s="461"/>
      <c r="J392" s="461"/>
      <c r="K392" s="461"/>
      <c r="L392" s="461"/>
      <c r="M392" s="461"/>
      <c r="N392" s="463"/>
    </row>
    <row r="393" spans="1:14">
      <c r="A393" s="446">
        <f t="shared" si="6"/>
        <v>387</v>
      </c>
      <c r="B393" s="659"/>
      <c r="D393" s="457" t="s">
        <v>2159</v>
      </c>
      <c r="E393" s="458" t="s">
        <v>279</v>
      </c>
      <c r="G393" s="461" t="s">
        <v>1635</v>
      </c>
      <c r="H393" s="461"/>
      <c r="I393" s="461"/>
      <c r="J393" s="461"/>
      <c r="K393" s="461"/>
      <c r="L393" s="461"/>
      <c r="M393" s="461"/>
      <c r="N393" s="463"/>
    </row>
    <row r="394" spans="1:14">
      <c r="A394" s="446">
        <f t="shared" si="6"/>
        <v>388</v>
      </c>
      <c r="B394" s="659"/>
      <c r="D394" s="457" t="s">
        <v>2160</v>
      </c>
      <c r="E394" s="458" t="s">
        <v>279</v>
      </c>
      <c r="G394" s="461" t="s">
        <v>1635</v>
      </c>
      <c r="H394" s="461"/>
      <c r="I394" s="461"/>
      <c r="J394" s="461"/>
      <c r="K394" s="461"/>
      <c r="L394" s="461"/>
      <c r="M394" s="461"/>
      <c r="N394" s="463"/>
    </row>
    <row r="395" spans="1:14">
      <c r="A395" s="446">
        <f t="shared" si="6"/>
        <v>389</v>
      </c>
      <c r="B395" s="659"/>
      <c r="D395" s="457" t="s">
        <v>2161</v>
      </c>
      <c r="E395" s="458" t="s">
        <v>279</v>
      </c>
      <c r="G395" s="461" t="s">
        <v>1635</v>
      </c>
      <c r="H395" s="461"/>
      <c r="I395" s="461"/>
      <c r="J395" s="461"/>
      <c r="K395" s="461"/>
      <c r="L395" s="461"/>
      <c r="M395" s="461"/>
      <c r="N395" s="463"/>
    </row>
    <row r="396" spans="1:14">
      <c r="A396" s="446">
        <f t="shared" si="6"/>
        <v>390</v>
      </c>
      <c r="B396" s="659"/>
      <c r="D396" s="457" t="s">
        <v>1957</v>
      </c>
      <c r="E396" s="458" t="s">
        <v>279</v>
      </c>
      <c r="G396" s="461" t="s">
        <v>1635</v>
      </c>
      <c r="H396" s="461"/>
      <c r="I396" s="461"/>
      <c r="J396" s="461"/>
      <c r="K396" s="461"/>
      <c r="L396" s="461"/>
      <c r="M396" s="461"/>
      <c r="N396" s="463"/>
    </row>
    <row r="397" spans="1:14">
      <c r="A397" s="446">
        <f t="shared" si="6"/>
        <v>391</v>
      </c>
      <c r="B397" s="659" t="s">
        <v>1113</v>
      </c>
      <c r="C397" s="456" t="s">
        <v>2162</v>
      </c>
      <c r="D397" s="457" t="s">
        <v>2163</v>
      </c>
      <c r="E397" s="458" t="s">
        <v>279</v>
      </c>
      <c r="F397" s="464">
        <v>613605</v>
      </c>
      <c r="G397" s="461" t="s">
        <v>1635</v>
      </c>
      <c r="H397" s="461"/>
      <c r="I397" s="461"/>
      <c r="J397" s="461"/>
      <c r="K397" s="461"/>
      <c r="L397" s="461"/>
      <c r="M397" s="461"/>
      <c r="N397" s="463"/>
    </row>
    <row r="398" spans="1:14" ht="29">
      <c r="A398" s="446">
        <f t="shared" si="6"/>
        <v>392</v>
      </c>
      <c r="B398" s="659" t="s">
        <v>1117</v>
      </c>
      <c r="C398" s="456" t="s">
        <v>2164</v>
      </c>
      <c r="D398" s="457" t="s">
        <v>2165</v>
      </c>
      <c r="E398" s="458" t="s">
        <v>279</v>
      </c>
      <c r="F398" s="464">
        <v>7852641</v>
      </c>
      <c r="G398" s="461" t="s">
        <v>1635</v>
      </c>
      <c r="H398" s="461"/>
      <c r="I398" s="461"/>
      <c r="J398" s="461"/>
      <c r="K398" s="461"/>
      <c r="L398" s="461"/>
      <c r="M398" s="461"/>
      <c r="N398" s="463"/>
    </row>
    <row r="399" spans="1:14">
      <c r="A399" s="446">
        <f t="shared" ref="A399:A462" si="7">A398+1</f>
        <v>393</v>
      </c>
      <c r="B399" s="659"/>
      <c r="D399" s="457" t="s">
        <v>2166</v>
      </c>
      <c r="E399" s="458" t="s">
        <v>279</v>
      </c>
      <c r="G399" s="461"/>
      <c r="H399" s="461"/>
      <c r="I399" s="461" t="s">
        <v>1635</v>
      </c>
      <c r="J399" s="461"/>
      <c r="K399" s="461"/>
      <c r="L399" s="461"/>
      <c r="M399" s="461"/>
      <c r="N399" s="463" t="s">
        <v>2167</v>
      </c>
    </row>
    <row r="400" spans="1:14">
      <c r="A400" s="446">
        <f t="shared" si="7"/>
        <v>394</v>
      </c>
      <c r="B400" s="659"/>
      <c r="D400" s="457" t="s">
        <v>2168</v>
      </c>
      <c r="E400" s="458" t="s">
        <v>279</v>
      </c>
      <c r="G400" s="461"/>
      <c r="H400" s="461"/>
      <c r="I400" s="461" t="s">
        <v>1635</v>
      </c>
      <c r="J400" s="461"/>
      <c r="K400" s="461"/>
      <c r="L400" s="461"/>
      <c r="M400" s="461"/>
      <c r="N400" s="463" t="s">
        <v>2167</v>
      </c>
    </row>
    <row r="401" spans="1:14">
      <c r="A401" s="446">
        <f t="shared" si="7"/>
        <v>395</v>
      </c>
      <c r="B401" s="659" t="s">
        <v>1115</v>
      </c>
      <c r="C401" s="456" t="s">
        <v>2169</v>
      </c>
      <c r="D401" s="457" t="s">
        <v>2170</v>
      </c>
      <c r="E401" s="458" t="s">
        <v>279</v>
      </c>
      <c r="F401" s="464">
        <v>15292177</v>
      </c>
      <c r="G401" s="461" t="s">
        <v>1635</v>
      </c>
      <c r="H401" s="461"/>
      <c r="I401" s="461"/>
      <c r="J401" s="461"/>
      <c r="K401" s="461"/>
      <c r="L401" s="461"/>
      <c r="M401" s="461"/>
      <c r="N401" s="463"/>
    </row>
    <row r="402" spans="1:14" ht="29">
      <c r="A402" s="446">
        <f t="shared" si="7"/>
        <v>396</v>
      </c>
      <c r="B402" s="659"/>
      <c r="D402" s="457" t="s">
        <v>2171</v>
      </c>
      <c r="E402" s="458" t="s">
        <v>279</v>
      </c>
      <c r="G402" s="461" t="s">
        <v>1635</v>
      </c>
      <c r="H402" s="461"/>
      <c r="I402" s="461"/>
      <c r="J402" s="461"/>
      <c r="K402" s="461"/>
      <c r="L402" s="461"/>
      <c r="M402" s="461"/>
      <c r="N402" s="463"/>
    </row>
    <row r="403" spans="1:14" ht="29">
      <c r="A403" s="446">
        <f t="shared" si="7"/>
        <v>397</v>
      </c>
      <c r="B403" s="659"/>
      <c r="D403" s="457" t="s">
        <v>2172</v>
      </c>
      <c r="G403" s="461" t="s">
        <v>1635</v>
      </c>
      <c r="H403" s="461"/>
      <c r="I403" s="461"/>
      <c r="J403" s="461"/>
      <c r="K403" s="461"/>
      <c r="L403" s="461"/>
      <c r="M403" s="461"/>
      <c r="N403" s="463"/>
    </row>
    <row r="404" spans="1:14">
      <c r="A404" s="446">
        <f t="shared" si="7"/>
        <v>398</v>
      </c>
      <c r="B404" s="659"/>
      <c r="D404" s="457" t="s">
        <v>2173</v>
      </c>
      <c r="E404" s="458" t="s">
        <v>279</v>
      </c>
      <c r="G404" s="461" t="s">
        <v>1635</v>
      </c>
      <c r="H404" s="461"/>
      <c r="I404" s="461"/>
      <c r="J404" s="461"/>
      <c r="K404" s="461"/>
      <c r="L404" s="461"/>
      <c r="M404" s="461"/>
      <c r="N404" s="463"/>
    </row>
    <row r="405" spans="1:14" ht="17.25" customHeight="1">
      <c r="A405" s="446">
        <f t="shared" si="7"/>
        <v>399</v>
      </c>
      <c r="B405" s="659" t="s">
        <v>1119</v>
      </c>
      <c r="C405" s="456" t="s">
        <v>2174</v>
      </c>
      <c r="D405" s="457" t="s">
        <v>2175</v>
      </c>
      <c r="E405" s="458" t="s">
        <v>279</v>
      </c>
      <c r="F405" s="464">
        <v>3120406</v>
      </c>
      <c r="G405" s="461" t="s">
        <v>1635</v>
      </c>
      <c r="H405" s="461"/>
      <c r="I405" s="461"/>
      <c r="J405" s="461"/>
      <c r="K405" s="461"/>
      <c r="L405" s="461"/>
      <c r="M405" s="461"/>
      <c r="N405" s="463"/>
    </row>
    <row r="406" spans="1:14">
      <c r="A406" s="446">
        <f t="shared" si="7"/>
        <v>400</v>
      </c>
      <c r="B406" s="659"/>
      <c r="D406" s="457" t="s">
        <v>2176</v>
      </c>
      <c r="E406" s="458" t="s">
        <v>279</v>
      </c>
      <c r="G406" s="461" t="s">
        <v>1635</v>
      </c>
      <c r="H406" s="461"/>
      <c r="I406" s="461"/>
      <c r="J406" s="461"/>
      <c r="K406" s="461"/>
      <c r="L406" s="461"/>
      <c r="M406" s="461"/>
      <c r="N406" s="463"/>
    </row>
    <row r="407" spans="1:14">
      <c r="A407" s="446">
        <f t="shared" si="7"/>
        <v>401</v>
      </c>
      <c r="B407" s="659"/>
      <c r="D407" s="457" t="s">
        <v>2177</v>
      </c>
      <c r="E407" s="458" t="s">
        <v>279</v>
      </c>
      <c r="G407" s="461" t="s">
        <v>1635</v>
      </c>
      <c r="H407" s="461"/>
      <c r="I407" s="461"/>
      <c r="J407" s="461"/>
      <c r="K407" s="461"/>
      <c r="L407" s="461"/>
      <c r="M407" s="461"/>
      <c r="N407" s="463"/>
    </row>
    <row r="408" spans="1:14" ht="29">
      <c r="A408" s="446">
        <f t="shared" si="7"/>
        <v>402</v>
      </c>
      <c r="B408" s="659" t="s">
        <v>1123</v>
      </c>
      <c r="C408" s="456" t="s">
        <v>2178</v>
      </c>
      <c r="D408" s="457" t="s">
        <v>2179</v>
      </c>
      <c r="E408" s="458" t="s">
        <v>279</v>
      </c>
      <c r="F408" s="464">
        <v>6003327</v>
      </c>
      <c r="G408" s="461" t="s">
        <v>1635</v>
      </c>
      <c r="H408" s="461"/>
      <c r="I408" s="461"/>
      <c r="J408" s="461"/>
      <c r="K408" s="461"/>
      <c r="L408" s="461"/>
      <c r="M408" s="461"/>
      <c r="N408" s="463"/>
    </row>
    <row r="409" spans="1:14">
      <c r="A409" s="446">
        <f t="shared" si="7"/>
        <v>403</v>
      </c>
      <c r="B409" s="659"/>
      <c r="D409" s="457" t="s">
        <v>2180</v>
      </c>
      <c r="E409" s="458" t="s">
        <v>279</v>
      </c>
      <c r="G409" s="461" t="s">
        <v>1635</v>
      </c>
      <c r="H409" s="461"/>
      <c r="I409" s="461"/>
      <c r="J409" s="461"/>
      <c r="K409" s="461"/>
      <c r="L409" s="461"/>
      <c r="M409" s="461"/>
      <c r="N409" s="463"/>
    </row>
    <row r="410" spans="1:14">
      <c r="A410" s="446">
        <f t="shared" si="7"/>
        <v>404</v>
      </c>
      <c r="B410" s="659" t="s">
        <v>1125</v>
      </c>
      <c r="C410" s="456" t="s">
        <v>2181</v>
      </c>
      <c r="D410" s="457" t="s">
        <v>2182</v>
      </c>
      <c r="E410" s="458" t="s">
        <v>279</v>
      </c>
      <c r="F410" s="464">
        <v>1315661</v>
      </c>
      <c r="G410" s="461" t="s">
        <v>1635</v>
      </c>
      <c r="H410" s="461"/>
      <c r="I410" s="461"/>
      <c r="J410" s="461"/>
      <c r="K410" s="461"/>
      <c r="L410" s="461"/>
      <c r="M410" s="461"/>
      <c r="N410" s="463"/>
    </row>
    <row r="411" spans="1:14">
      <c r="A411" s="446">
        <f t="shared" si="7"/>
        <v>405</v>
      </c>
      <c r="B411" s="659"/>
      <c r="D411" s="457" t="s">
        <v>2183</v>
      </c>
      <c r="E411" s="458" t="s">
        <v>279</v>
      </c>
      <c r="G411" s="461" t="s">
        <v>1635</v>
      </c>
      <c r="H411" s="461"/>
      <c r="I411" s="461"/>
      <c r="J411" s="461"/>
      <c r="K411" s="461"/>
      <c r="L411" s="461"/>
      <c r="M411" s="461"/>
      <c r="N411" s="463"/>
    </row>
    <row r="412" spans="1:14">
      <c r="A412" s="446">
        <f t="shared" si="7"/>
        <v>406</v>
      </c>
      <c r="B412" s="659"/>
      <c r="D412" s="457"/>
      <c r="G412" s="461"/>
      <c r="H412" s="461"/>
      <c r="I412" s="461"/>
      <c r="J412" s="461"/>
      <c r="K412" s="461"/>
      <c r="L412" s="461"/>
      <c r="M412" s="461"/>
      <c r="N412" s="463"/>
    </row>
    <row r="413" spans="1:14">
      <c r="A413" s="446">
        <f t="shared" si="7"/>
        <v>407</v>
      </c>
      <c r="B413" s="659"/>
      <c r="C413" s="481" t="s">
        <v>2184</v>
      </c>
      <c r="D413" s="457"/>
      <c r="G413" s="461"/>
      <c r="H413" s="461"/>
      <c r="I413" s="461"/>
      <c r="J413" s="461"/>
      <c r="K413" s="461"/>
      <c r="L413" s="461"/>
      <c r="M413" s="461"/>
      <c r="N413" s="463"/>
    </row>
    <row r="414" spans="1:14" ht="29">
      <c r="A414" s="446">
        <f t="shared" si="7"/>
        <v>408</v>
      </c>
      <c r="B414" s="659"/>
      <c r="C414" s="482" t="s">
        <v>619</v>
      </c>
      <c r="D414" s="457"/>
      <c r="E414" s="458" t="s">
        <v>279</v>
      </c>
      <c r="F414" s="464">
        <v>133158</v>
      </c>
      <c r="G414" s="461" t="s">
        <v>1635</v>
      </c>
      <c r="H414" s="461"/>
      <c r="I414" s="461"/>
      <c r="J414" s="461"/>
      <c r="K414" s="461"/>
      <c r="L414" s="461"/>
      <c r="M414" s="461"/>
      <c r="N414" s="463"/>
    </row>
    <row r="415" spans="1:14" ht="29">
      <c r="A415" s="446">
        <f t="shared" si="7"/>
        <v>409</v>
      </c>
      <c r="B415" s="659"/>
      <c r="C415" s="482" t="s">
        <v>621</v>
      </c>
      <c r="D415" s="457"/>
      <c r="E415" s="458" t="s">
        <v>279</v>
      </c>
      <c r="F415" s="464">
        <v>96623</v>
      </c>
      <c r="G415" s="461" t="s">
        <v>1635</v>
      </c>
      <c r="H415" s="461"/>
      <c r="I415" s="461"/>
      <c r="J415" s="461"/>
      <c r="K415" s="461"/>
      <c r="L415" s="461"/>
      <c r="M415" s="461"/>
      <c r="N415" s="463"/>
    </row>
    <row r="416" spans="1:14">
      <c r="A416" s="446">
        <f t="shared" si="7"/>
        <v>410</v>
      </c>
      <c r="B416" s="659"/>
      <c r="C416" s="482" t="s">
        <v>623</v>
      </c>
      <c r="D416" s="457"/>
      <c r="E416" s="458" t="s">
        <v>279</v>
      </c>
      <c r="F416" s="464">
        <v>459778</v>
      </c>
      <c r="G416" s="461" t="s">
        <v>1635</v>
      </c>
      <c r="H416" s="461"/>
      <c r="I416" s="461"/>
      <c r="J416" s="461"/>
      <c r="K416" s="461"/>
      <c r="L416" s="461"/>
      <c r="M416" s="461"/>
      <c r="N416" s="463"/>
    </row>
    <row r="417" spans="1:14">
      <c r="A417" s="446">
        <f t="shared" si="7"/>
        <v>411</v>
      </c>
      <c r="B417" s="659"/>
      <c r="C417" s="482" t="s">
        <v>625</v>
      </c>
      <c r="D417" s="457"/>
      <c r="E417" s="458" t="s">
        <v>279</v>
      </c>
      <c r="F417" s="464">
        <v>351685</v>
      </c>
      <c r="G417" s="461" t="s">
        <v>1635</v>
      </c>
      <c r="H417" s="461"/>
      <c r="I417" s="461"/>
      <c r="J417" s="461"/>
      <c r="K417" s="461"/>
      <c r="L417" s="461"/>
      <c r="M417" s="461"/>
      <c r="N417" s="463"/>
    </row>
    <row r="418" spans="1:14">
      <c r="A418" s="446">
        <f t="shared" si="7"/>
        <v>412</v>
      </c>
      <c r="B418" s="659"/>
      <c r="C418" s="482" t="s">
        <v>627</v>
      </c>
      <c r="D418" s="457"/>
      <c r="E418" s="458" t="s">
        <v>279</v>
      </c>
      <c r="F418" s="464">
        <v>5000750</v>
      </c>
      <c r="G418" s="461" t="s">
        <v>1635</v>
      </c>
      <c r="H418" s="461"/>
      <c r="I418" s="461"/>
      <c r="J418" s="461"/>
      <c r="K418" s="461"/>
      <c r="L418" s="461"/>
      <c r="M418" s="461"/>
      <c r="N418" s="463"/>
    </row>
    <row r="419" spans="1:14" ht="15.75" customHeight="1">
      <c r="A419" s="446">
        <f t="shared" si="7"/>
        <v>413</v>
      </c>
      <c r="B419" s="659"/>
      <c r="C419" s="482" t="s">
        <v>629</v>
      </c>
      <c r="D419" s="457"/>
      <c r="E419" s="458" t="s">
        <v>279</v>
      </c>
      <c r="F419" s="464">
        <v>5697945</v>
      </c>
      <c r="G419" s="461" t="s">
        <v>1635</v>
      </c>
      <c r="H419" s="461"/>
      <c r="I419" s="461"/>
      <c r="J419" s="461"/>
      <c r="K419" s="461"/>
      <c r="L419" s="461"/>
      <c r="M419" s="461"/>
      <c r="N419" s="463"/>
    </row>
    <row r="420" spans="1:14" ht="15.75" customHeight="1">
      <c r="A420" s="446">
        <f t="shared" si="7"/>
        <v>414</v>
      </c>
      <c r="B420" s="659"/>
      <c r="C420" s="482" t="s">
        <v>631</v>
      </c>
      <c r="D420" s="457"/>
      <c r="E420" s="458" t="s">
        <v>279</v>
      </c>
      <c r="F420" s="464">
        <v>4229572</v>
      </c>
      <c r="G420" s="461" t="s">
        <v>1635</v>
      </c>
      <c r="H420" s="461"/>
      <c r="I420" s="461"/>
      <c r="J420" s="461"/>
      <c r="K420" s="461"/>
      <c r="L420" s="461"/>
      <c r="M420" s="461"/>
      <c r="N420" s="463"/>
    </row>
    <row r="421" spans="1:14">
      <c r="A421" s="446">
        <f t="shared" si="7"/>
        <v>415</v>
      </c>
      <c r="B421" s="659"/>
      <c r="C421" s="482" t="s">
        <v>633</v>
      </c>
      <c r="D421" s="466"/>
      <c r="E421" s="458" t="s">
        <v>279</v>
      </c>
      <c r="F421" s="467">
        <v>7763675</v>
      </c>
      <c r="G421" s="461" t="s">
        <v>1635</v>
      </c>
      <c r="H421" s="461"/>
      <c r="I421" s="461"/>
      <c r="J421" s="461"/>
      <c r="K421" s="461"/>
      <c r="L421" s="461"/>
      <c r="M421" s="461"/>
      <c r="N421" s="463"/>
    </row>
    <row r="422" spans="1:14">
      <c r="A422" s="446">
        <f t="shared" si="7"/>
        <v>416</v>
      </c>
      <c r="B422" s="659"/>
      <c r="C422" s="482" t="s">
        <v>635</v>
      </c>
      <c r="D422" s="466"/>
      <c r="E422" s="458" t="s">
        <v>279</v>
      </c>
      <c r="F422" s="467">
        <v>1954466</v>
      </c>
      <c r="G422" s="461" t="s">
        <v>1635</v>
      </c>
      <c r="H422" s="461"/>
      <c r="I422" s="461"/>
      <c r="J422" s="461"/>
      <c r="K422" s="461"/>
      <c r="L422" s="461"/>
      <c r="M422" s="461"/>
      <c r="N422" s="463"/>
    </row>
    <row r="423" spans="1:14" ht="29">
      <c r="A423" s="446">
        <f t="shared" si="7"/>
        <v>417</v>
      </c>
      <c r="B423" s="659"/>
      <c r="C423" s="482" t="s">
        <v>637</v>
      </c>
      <c r="D423" s="466"/>
      <c r="E423" s="458" t="s">
        <v>279</v>
      </c>
      <c r="F423" s="467">
        <v>1718240</v>
      </c>
      <c r="G423" s="461" t="s">
        <v>1635</v>
      </c>
      <c r="H423" s="461"/>
      <c r="I423" s="461"/>
      <c r="J423" s="461"/>
      <c r="K423" s="461"/>
      <c r="L423" s="461"/>
      <c r="M423" s="461"/>
      <c r="N423" s="463"/>
    </row>
    <row r="424" spans="1:14" ht="29">
      <c r="A424" s="446">
        <f t="shared" si="7"/>
        <v>418</v>
      </c>
      <c r="B424" s="659"/>
      <c r="C424" s="482" t="s">
        <v>639</v>
      </c>
      <c r="D424" s="466"/>
      <c r="E424" s="458" t="s">
        <v>279</v>
      </c>
      <c r="F424" s="467">
        <v>3318558</v>
      </c>
      <c r="G424" s="461" t="s">
        <v>1635</v>
      </c>
      <c r="H424" s="461"/>
      <c r="I424" s="461"/>
      <c r="J424" s="461"/>
      <c r="K424" s="461"/>
      <c r="L424" s="461"/>
      <c r="M424" s="461"/>
      <c r="N424" s="463"/>
    </row>
    <row r="425" spans="1:14" ht="29">
      <c r="A425" s="446">
        <f t="shared" si="7"/>
        <v>419</v>
      </c>
      <c r="B425" s="659"/>
      <c r="C425" s="482" t="s">
        <v>641</v>
      </c>
      <c r="D425" s="466"/>
      <c r="E425" s="458" t="s">
        <v>279</v>
      </c>
      <c r="F425" s="467">
        <v>2952237</v>
      </c>
      <c r="G425" s="461" t="s">
        <v>1635</v>
      </c>
      <c r="H425" s="461"/>
      <c r="I425" s="461"/>
      <c r="J425" s="461"/>
      <c r="K425" s="461"/>
      <c r="L425" s="461"/>
      <c r="M425" s="461"/>
      <c r="N425" s="463"/>
    </row>
    <row r="426" spans="1:14" ht="16.5" customHeight="1">
      <c r="A426" s="446">
        <f t="shared" si="7"/>
        <v>420</v>
      </c>
      <c r="B426" s="659"/>
      <c r="C426" s="482" t="s">
        <v>2185</v>
      </c>
      <c r="D426" s="466"/>
      <c r="E426" s="458" t="s">
        <v>1680</v>
      </c>
      <c r="F426" s="467"/>
      <c r="G426" s="461" t="s">
        <v>1635</v>
      </c>
      <c r="H426" s="461"/>
      <c r="I426" s="461"/>
      <c r="J426" s="461"/>
      <c r="K426" s="461"/>
      <c r="L426" s="461"/>
      <c r="M426" s="461"/>
      <c r="N426" s="463"/>
    </row>
    <row r="427" spans="1:14">
      <c r="A427" s="446">
        <f t="shared" si="7"/>
        <v>421</v>
      </c>
      <c r="B427" s="659"/>
      <c r="C427" s="482" t="s">
        <v>647</v>
      </c>
      <c r="D427" s="466"/>
      <c r="E427" s="458" t="s">
        <v>279</v>
      </c>
      <c r="F427" s="467">
        <v>1259668</v>
      </c>
      <c r="G427" s="461" t="s">
        <v>1635</v>
      </c>
      <c r="H427" s="461"/>
      <c r="I427" s="461"/>
      <c r="J427" s="461"/>
      <c r="K427" s="461"/>
      <c r="L427" s="461"/>
      <c r="M427" s="461"/>
      <c r="N427" s="463"/>
    </row>
    <row r="428" spans="1:14" ht="29">
      <c r="A428" s="446">
        <f t="shared" si="7"/>
        <v>422</v>
      </c>
      <c r="B428" s="659"/>
      <c r="C428" s="482" t="s">
        <v>649</v>
      </c>
      <c r="D428" s="466"/>
      <c r="E428" s="458" t="s">
        <v>279</v>
      </c>
      <c r="F428" s="467">
        <v>7750195</v>
      </c>
      <c r="G428" s="461" t="s">
        <v>1635</v>
      </c>
      <c r="H428" s="461"/>
      <c r="I428" s="461"/>
      <c r="J428" s="461"/>
      <c r="K428" s="461"/>
      <c r="L428" s="461"/>
      <c r="M428" s="461"/>
      <c r="N428" s="463"/>
    </row>
    <row r="429" spans="1:14">
      <c r="A429" s="446">
        <f t="shared" si="7"/>
        <v>423</v>
      </c>
      <c r="B429" s="659"/>
      <c r="C429" s="482" t="s">
        <v>651</v>
      </c>
      <c r="D429" s="466"/>
      <c r="E429" s="458" t="s">
        <v>279</v>
      </c>
      <c r="F429" s="467">
        <v>14513308</v>
      </c>
      <c r="G429" s="461" t="s">
        <v>1635</v>
      </c>
      <c r="H429" s="461"/>
      <c r="I429" s="461"/>
      <c r="J429" s="461"/>
      <c r="K429" s="461"/>
      <c r="L429" s="461"/>
      <c r="M429" s="461"/>
      <c r="N429" s="463"/>
    </row>
    <row r="430" spans="1:14">
      <c r="A430" s="446">
        <f t="shared" si="7"/>
        <v>424</v>
      </c>
      <c r="B430" s="659"/>
      <c r="C430" s="482" t="s">
        <v>2186</v>
      </c>
      <c r="D430" s="466"/>
      <c r="E430" s="458" t="s">
        <v>279</v>
      </c>
      <c r="F430" s="467">
        <v>4705536</v>
      </c>
      <c r="G430" s="461" t="s">
        <v>1635</v>
      </c>
      <c r="H430" s="461"/>
      <c r="I430" s="461"/>
      <c r="J430" s="461"/>
      <c r="K430" s="461"/>
      <c r="L430" s="461"/>
      <c r="M430" s="461"/>
      <c r="N430" s="463"/>
    </row>
    <row r="431" spans="1:14">
      <c r="A431" s="446">
        <f t="shared" si="7"/>
        <v>425</v>
      </c>
      <c r="B431" s="659"/>
      <c r="C431" s="482" t="s">
        <v>654</v>
      </c>
      <c r="D431" s="457" t="s">
        <v>2187</v>
      </c>
      <c r="E431" s="458" t="s">
        <v>1680</v>
      </c>
      <c r="F431" s="464">
        <v>5804318</v>
      </c>
      <c r="G431" s="461" t="s">
        <v>1635</v>
      </c>
      <c r="H431" s="461"/>
      <c r="I431" s="461"/>
      <c r="J431" s="461"/>
      <c r="K431" s="461"/>
      <c r="L431" s="461"/>
      <c r="M431" s="461"/>
      <c r="N431" s="463"/>
    </row>
    <row r="432" spans="1:14">
      <c r="A432" s="446">
        <f t="shared" si="7"/>
        <v>426</v>
      </c>
      <c r="B432" s="659"/>
      <c r="C432" s="482" t="s">
        <v>656</v>
      </c>
      <c r="D432" s="457"/>
      <c r="E432" s="458" t="s">
        <v>279</v>
      </c>
      <c r="F432" s="464">
        <v>1366481</v>
      </c>
      <c r="G432" s="461" t="s">
        <v>1635</v>
      </c>
      <c r="H432" s="461"/>
      <c r="I432" s="461"/>
      <c r="J432" s="461"/>
      <c r="K432" s="461"/>
      <c r="L432" s="461"/>
      <c r="M432" s="461"/>
      <c r="N432" s="463"/>
    </row>
    <row r="433" spans="1:14" ht="29">
      <c r="A433" s="446">
        <f t="shared" si="7"/>
        <v>427</v>
      </c>
      <c r="B433" s="659"/>
      <c r="C433" s="482" t="s">
        <v>658</v>
      </c>
      <c r="D433" s="457"/>
      <c r="E433" s="458" t="s">
        <v>279</v>
      </c>
      <c r="F433" s="464">
        <v>2605678</v>
      </c>
      <c r="G433" s="461" t="s">
        <v>1635</v>
      </c>
      <c r="H433" s="461"/>
      <c r="I433" s="461"/>
      <c r="J433" s="461"/>
      <c r="K433" s="461"/>
      <c r="L433" s="461"/>
      <c r="M433" s="461"/>
      <c r="N433" s="463"/>
    </row>
    <row r="434" spans="1:14">
      <c r="A434" s="446">
        <f t="shared" si="7"/>
        <v>428</v>
      </c>
      <c r="B434" s="659"/>
      <c r="C434" s="482" t="s">
        <v>660</v>
      </c>
      <c r="D434" s="457"/>
      <c r="E434" s="458" t="s">
        <v>279</v>
      </c>
      <c r="F434" s="464">
        <v>553800</v>
      </c>
      <c r="G434" s="461" t="s">
        <v>1635</v>
      </c>
      <c r="H434" s="461"/>
      <c r="I434" s="461"/>
      <c r="J434" s="461"/>
      <c r="K434" s="461"/>
      <c r="L434" s="461"/>
      <c r="M434" s="461"/>
      <c r="N434" s="463"/>
    </row>
    <row r="435" spans="1:14">
      <c r="A435" s="446">
        <f t="shared" si="7"/>
        <v>429</v>
      </c>
      <c r="B435" s="659"/>
      <c r="C435" s="482" t="s">
        <v>662</v>
      </c>
      <c r="D435" s="457"/>
      <c r="E435" s="458" t="s">
        <v>279</v>
      </c>
      <c r="F435" s="464">
        <v>2867800</v>
      </c>
      <c r="G435" s="461" t="s">
        <v>1635</v>
      </c>
      <c r="H435" s="461"/>
      <c r="I435" s="461"/>
      <c r="J435" s="461"/>
      <c r="K435" s="461"/>
      <c r="L435" s="461"/>
      <c r="M435" s="461"/>
      <c r="N435" s="463"/>
    </row>
    <row r="436" spans="1:14">
      <c r="A436" s="446">
        <f t="shared" si="7"/>
        <v>430</v>
      </c>
      <c r="B436" s="659"/>
      <c r="C436" s="482" t="s">
        <v>664</v>
      </c>
      <c r="D436" s="457"/>
      <c r="E436" s="458" t="s">
        <v>279</v>
      </c>
      <c r="F436" s="464">
        <v>918676</v>
      </c>
      <c r="G436" s="461" t="s">
        <v>1635</v>
      </c>
      <c r="H436" s="461"/>
      <c r="I436" s="461"/>
      <c r="J436" s="461"/>
      <c r="K436" s="461"/>
      <c r="L436" s="461"/>
      <c r="M436" s="461"/>
      <c r="N436" s="463"/>
    </row>
    <row r="437" spans="1:14">
      <c r="A437" s="446">
        <f t="shared" si="7"/>
        <v>431</v>
      </c>
      <c r="B437" s="659"/>
      <c r="C437" s="482" t="s">
        <v>666</v>
      </c>
      <c r="D437" s="457"/>
      <c r="E437" s="458" t="s">
        <v>279</v>
      </c>
      <c r="F437" s="464">
        <v>1258900</v>
      </c>
      <c r="G437" s="461" t="s">
        <v>1635</v>
      </c>
      <c r="H437" s="461"/>
      <c r="I437" s="461"/>
      <c r="J437" s="461"/>
      <c r="K437" s="461"/>
      <c r="L437" s="461"/>
      <c r="M437" s="461"/>
      <c r="N437" s="463"/>
    </row>
    <row r="438" spans="1:14">
      <c r="A438" s="446">
        <f t="shared" si="7"/>
        <v>432</v>
      </c>
      <c r="B438" s="659"/>
      <c r="C438" s="482" t="s">
        <v>668</v>
      </c>
      <c r="D438" s="457"/>
      <c r="E438" s="458" t="s">
        <v>279</v>
      </c>
      <c r="F438" s="464">
        <v>21014624</v>
      </c>
      <c r="G438" s="461" t="s">
        <v>1635</v>
      </c>
      <c r="H438" s="461"/>
      <c r="I438" s="461"/>
      <c r="J438" s="461"/>
      <c r="K438" s="461"/>
      <c r="L438" s="461"/>
      <c r="M438" s="461"/>
      <c r="N438" s="463"/>
    </row>
    <row r="439" spans="1:14">
      <c r="A439" s="446">
        <f t="shared" si="7"/>
        <v>433</v>
      </c>
      <c r="B439" s="659"/>
      <c r="C439" s="482" t="s">
        <v>670</v>
      </c>
      <c r="D439" s="457"/>
      <c r="E439" s="458" t="s">
        <v>279</v>
      </c>
      <c r="F439" s="464">
        <v>8311002</v>
      </c>
      <c r="G439" s="461" t="s">
        <v>1635</v>
      </c>
      <c r="H439" s="461"/>
      <c r="I439" s="461"/>
      <c r="J439" s="461"/>
      <c r="K439" s="461"/>
      <c r="L439" s="461"/>
      <c r="M439" s="461"/>
      <c r="N439" s="463"/>
    </row>
    <row r="440" spans="1:14">
      <c r="A440" s="446">
        <f t="shared" si="7"/>
        <v>434</v>
      </c>
      <c r="B440" s="659"/>
      <c r="C440" s="482" t="s">
        <v>672</v>
      </c>
      <c r="D440" s="457"/>
      <c r="E440" s="458" t="s">
        <v>279</v>
      </c>
      <c r="F440" s="464">
        <v>1872142</v>
      </c>
      <c r="G440" s="461" t="s">
        <v>1635</v>
      </c>
      <c r="H440" s="461"/>
      <c r="I440" s="461"/>
      <c r="J440" s="461"/>
      <c r="K440" s="461"/>
      <c r="L440" s="461"/>
      <c r="M440" s="461"/>
      <c r="N440" s="463"/>
    </row>
    <row r="441" spans="1:14">
      <c r="A441" s="446">
        <f t="shared" si="7"/>
        <v>435</v>
      </c>
      <c r="B441" s="659"/>
      <c r="C441" s="482" t="s">
        <v>674</v>
      </c>
      <c r="D441" s="457"/>
      <c r="E441" s="458" t="s">
        <v>279</v>
      </c>
      <c r="F441" s="464">
        <v>375316</v>
      </c>
      <c r="G441" s="461" t="s">
        <v>1635</v>
      </c>
      <c r="H441" s="461"/>
      <c r="I441" s="461"/>
      <c r="J441" s="461"/>
      <c r="K441" s="461"/>
      <c r="L441" s="461"/>
      <c r="M441" s="461"/>
      <c r="N441" s="463"/>
    </row>
    <row r="442" spans="1:14">
      <c r="A442" s="446">
        <f t="shared" si="7"/>
        <v>436</v>
      </c>
      <c r="B442" s="659"/>
      <c r="C442" s="482" t="s">
        <v>676</v>
      </c>
      <c r="D442" s="457"/>
      <c r="E442" s="458" t="s">
        <v>279</v>
      </c>
      <c r="F442" s="464">
        <v>771572</v>
      </c>
      <c r="G442" s="461" t="s">
        <v>1635</v>
      </c>
      <c r="H442" s="461"/>
      <c r="I442" s="461"/>
      <c r="J442" s="461"/>
      <c r="K442" s="461"/>
      <c r="L442" s="461"/>
      <c r="M442" s="461"/>
      <c r="N442" s="463"/>
    </row>
    <row r="443" spans="1:14" ht="29">
      <c r="A443" s="446">
        <f t="shared" si="7"/>
        <v>437</v>
      </c>
      <c r="B443" s="659"/>
      <c r="C443" s="482" t="s">
        <v>678</v>
      </c>
      <c r="D443" s="457"/>
      <c r="E443" s="458" t="s">
        <v>279</v>
      </c>
      <c r="F443" s="464">
        <v>60704</v>
      </c>
      <c r="G443" s="461" t="s">
        <v>1635</v>
      </c>
      <c r="H443" s="461"/>
      <c r="I443" s="461"/>
      <c r="J443" s="461"/>
      <c r="K443" s="461"/>
      <c r="L443" s="461"/>
      <c r="M443" s="461"/>
      <c r="N443" s="463"/>
    </row>
    <row r="444" spans="1:14">
      <c r="A444" s="446">
        <f t="shared" si="7"/>
        <v>438</v>
      </c>
      <c r="B444" s="659"/>
      <c r="C444" s="482" t="s">
        <v>680</v>
      </c>
      <c r="D444" s="457"/>
      <c r="E444" s="458" t="s">
        <v>279</v>
      </c>
      <c r="F444" s="464">
        <v>2369098</v>
      </c>
      <c r="G444" s="461" t="s">
        <v>1635</v>
      </c>
      <c r="H444" s="461"/>
      <c r="I444" s="461"/>
      <c r="J444" s="461"/>
      <c r="K444" s="461"/>
      <c r="L444" s="461"/>
      <c r="M444" s="461"/>
      <c r="N444" s="463"/>
    </row>
    <row r="445" spans="1:14">
      <c r="A445" s="446">
        <f t="shared" si="7"/>
        <v>439</v>
      </c>
      <c r="B445" s="659"/>
      <c r="C445" s="482" t="s">
        <v>682</v>
      </c>
      <c r="D445" s="457"/>
      <c r="E445" s="458" t="s">
        <v>279</v>
      </c>
      <c r="F445" s="464">
        <v>7305877</v>
      </c>
      <c r="G445" s="461" t="s">
        <v>1635</v>
      </c>
      <c r="H445" s="461"/>
      <c r="I445" s="461"/>
      <c r="J445" s="461"/>
      <c r="K445" s="461"/>
      <c r="L445" s="461"/>
      <c r="M445" s="461"/>
      <c r="N445" s="463"/>
    </row>
    <row r="446" spans="1:14" ht="29">
      <c r="A446" s="446">
        <f t="shared" si="7"/>
        <v>440</v>
      </c>
      <c r="B446" s="659"/>
      <c r="C446" s="482" t="s">
        <v>684</v>
      </c>
      <c r="D446" s="457"/>
      <c r="E446" s="458" t="s">
        <v>279</v>
      </c>
      <c r="F446" s="464">
        <v>922098</v>
      </c>
      <c r="G446" s="461" t="s">
        <v>1635</v>
      </c>
      <c r="H446" s="461"/>
      <c r="I446" s="461"/>
      <c r="J446" s="461"/>
      <c r="K446" s="461"/>
      <c r="L446" s="461"/>
      <c r="M446" s="461"/>
      <c r="N446" s="463"/>
    </row>
    <row r="447" spans="1:14" ht="16.5" customHeight="1">
      <c r="A447" s="446">
        <f t="shared" si="7"/>
        <v>441</v>
      </c>
      <c r="B447" s="659"/>
      <c r="C447" s="482" t="s">
        <v>686</v>
      </c>
      <c r="D447" s="457"/>
      <c r="E447" s="458" t="s">
        <v>279</v>
      </c>
      <c r="F447" s="464">
        <v>3440115</v>
      </c>
      <c r="G447" s="461" t="s">
        <v>1635</v>
      </c>
      <c r="H447" s="461"/>
      <c r="I447" s="461"/>
      <c r="J447" s="461"/>
      <c r="K447" s="461"/>
      <c r="L447" s="461"/>
      <c r="M447" s="461"/>
      <c r="N447" s="463"/>
    </row>
    <row r="448" spans="1:14">
      <c r="A448" s="446">
        <f t="shared" si="7"/>
        <v>442</v>
      </c>
      <c r="B448" s="659"/>
      <c r="C448" s="482" t="s">
        <v>2188</v>
      </c>
      <c r="D448" s="457"/>
      <c r="E448" s="458" t="s">
        <v>279</v>
      </c>
      <c r="F448" s="464">
        <v>444780</v>
      </c>
      <c r="G448" s="461" t="s">
        <v>1635</v>
      </c>
      <c r="H448" s="461"/>
      <c r="I448" s="461"/>
      <c r="J448" s="461"/>
      <c r="K448" s="461"/>
      <c r="L448" s="461"/>
      <c r="M448" s="461"/>
      <c r="N448" s="463"/>
    </row>
    <row r="449" spans="1:14">
      <c r="A449" s="446">
        <f t="shared" si="7"/>
        <v>443</v>
      </c>
      <c r="B449" s="659"/>
      <c r="C449" s="482" t="s">
        <v>2189</v>
      </c>
      <c r="D449" s="457"/>
      <c r="E449" s="458" t="s">
        <v>279</v>
      </c>
      <c r="F449" s="464">
        <v>7919832</v>
      </c>
      <c r="G449" s="461" t="s">
        <v>1635</v>
      </c>
      <c r="H449" s="461"/>
      <c r="I449" s="461"/>
      <c r="J449" s="461"/>
      <c r="K449" s="461"/>
      <c r="L449" s="461"/>
      <c r="M449" s="461"/>
      <c r="N449" s="463"/>
    </row>
    <row r="450" spans="1:14">
      <c r="A450" s="446">
        <f t="shared" si="7"/>
        <v>444</v>
      </c>
      <c r="B450" s="659"/>
      <c r="C450" s="482" t="s">
        <v>692</v>
      </c>
      <c r="D450" s="457" t="s">
        <v>2190</v>
      </c>
      <c r="E450" s="458" t="s">
        <v>1680</v>
      </c>
      <c r="F450" s="464">
        <v>28806330</v>
      </c>
      <c r="G450" s="461" t="s">
        <v>1635</v>
      </c>
      <c r="H450" s="461"/>
      <c r="I450" s="461"/>
      <c r="J450" s="461"/>
      <c r="K450" s="461"/>
      <c r="L450" s="461"/>
      <c r="M450" s="461"/>
      <c r="N450" s="463"/>
    </row>
    <row r="451" spans="1:14">
      <c r="A451" s="446">
        <f t="shared" si="7"/>
        <v>445</v>
      </c>
      <c r="B451" s="659"/>
      <c r="C451" s="482" t="s">
        <v>694</v>
      </c>
      <c r="D451" s="457" t="s">
        <v>2191</v>
      </c>
      <c r="E451" s="458" t="s">
        <v>1680</v>
      </c>
      <c r="F451" s="464">
        <v>157876</v>
      </c>
      <c r="G451" s="461" t="s">
        <v>1635</v>
      </c>
      <c r="H451" s="461"/>
      <c r="I451" s="461"/>
      <c r="J451" s="461"/>
      <c r="K451" s="461"/>
      <c r="L451" s="461"/>
      <c r="M451" s="461"/>
      <c r="N451" s="463"/>
    </row>
    <row r="452" spans="1:14">
      <c r="A452" s="446">
        <f t="shared" si="7"/>
        <v>446</v>
      </c>
      <c r="B452" s="659"/>
      <c r="C452" s="482" t="s">
        <v>696</v>
      </c>
      <c r="D452" s="457"/>
      <c r="E452" s="458" t="s">
        <v>279</v>
      </c>
      <c r="F452" s="464">
        <v>10096097</v>
      </c>
      <c r="G452" s="461" t="s">
        <v>1635</v>
      </c>
      <c r="H452" s="461"/>
      <c r="I452" s="461"/>
      <c r="J452" s="461"/>
      <c r="K452" s="461"/>
      <c r="L452" s="461"/>
      <c r="M452" s="461"/>
      <c r="N452" s="463"/>
    </row>
    <row r="453" spans="1:14">
      <c r="A453" s="446">
        <f t="shared" si="7"/>
        <v>447</v>
      </c>
      <c r="B453" s="659"/>
      <c r="C453" s="482" t="s">
        <v>698</v>
      </c>
      <c r="D453" s="457"/>
      <c r="E453" s="458" t="s">
        <v>279</v>
      </c>
      <c r="F453" s="464">
        <v>7554492</v>
      </c>
      <c r="G453" s="461" t="s">
        <v>1635</v>
      </c>
      <c r="H453" s="461"/>
      <c r="I453" s="461"/>
      <c r="J453" s="461"/>
      <c r="K453" s="461"/>
      <c r="L453" s="461"/>
      <c r="M453" s="461"/>
      <c r="N453" s="463"/>
    </row>
    <row r="454" spans="1:14" ht="29">
      <c r="A454" s="446">
        <f t="shared" si="7"/>
        <v>448</v>
      </c>
      <c r="B454" s="659"/>
      <c r="C454" s="482" t="s">
        <v>700</v>
      </c>
      <c r="D454" s="457"/>
      <c r="E454" s="458" t="s">
        <v>279</v>
      </c>
      <c r="F454" s="464">
        <v>7326839</v>
      </c>
      <c r="G454" s="461" t="s">
        <v>1635</v>
      </c>
      <c r="H454" s="461"/>
      <c r="I454" s="461"/>
      <c r="J454" s="461"/>
      <c r="K454" s="461"/>
      <c r="L454" s="461"/>
      <c r="M454" s="461"/>
      <c r="N454" s="463"/>
    </row>
    <row r="455" spans="1:14" ht="15.75" customHeight="1">
      <c r="A455" s="446">
        <f t="shared" si="7"/>
        <v>449</v>
      </c>
      <c r="B455" s="659"/>
      <c r="C455" s="482" t="s">
        <v>702</v>
      </c>
      <c r="D455" s="457"/>
      <c r="E455" s="458" t="s">
        <v>279</v>
      </c>
      <c r="F455" s="464">
        <v>2262949</v>
      </c>
      <c r="G455" s="461" t="s">
        <v>1635</v>
      </c>
      <c r="H455" s="461"/>
      <c r="I455" s="461"/>
      <c r="J455" s="461"/>
      <c r="K455" s="461"/>
      <c r="L455" s="461"/>
      <c r="M455" s="461"/>
      <c r="N455" s="463"/>
    </row>
    <row r="456" spans="1:14">
      <c r="A456" s="446">
        <f t="shared" si="7"/>
        <v>450</v>
      </c>
      <c r="B456" s="659"/>
      <c r="C456" s="482" t="s">
        <v>704</v>
      </c>
      <c r="D456" s="457"/>
      <c r="E456" s="458" t="s">
        <v>279</v>
      </c>
      <c r="F456" s="464">
        <v>777327</v>
      </c>
      <c r="G456" s="461" t="s">
        <v>1635</v>
      </c>
      <c r="H456" s="461"/>
      <c r="I456" s="461"/>
      <c r="J456" s="461"/>
      <c r="K456" s="461"/>
      <c r="L456" s="461"/>
      <c r="M456" s="461"/>
      <c r="N456" s="463"/>
    </row>
    <row r="457" spans="1:14" ht="18" customHeight="1">
      <c r="A457" s="446">
        <f t="shared" si="7"/>
        <v>451</v>
      </c>
      <c r="B457" s="659"/>
      <c r="C457" s="482" t="s">
        <v>706</v>
      </c>
      <c r="D457" s="457"/>
      <c r="E457" s="458" t="s">
        <v>279</v>
      </c>
      <c r="F457" s="464">
        <v>967828</v>
      </c>
      <c r="G457" s="461" t="s">
        <v>1635</v>
      </c>
      <c r="H457" s="461"/>
      <c r="I457" s="461"/>
      <c r="J457" s="461"/>
      <c r="K457" s="461"/>
      <c r="L457" s="461"/>
      <c r="M457" s="461"/>
      <c r="N457" s="463"/>
    </row>
    <row r="458" spans="1:14">
      <c r="A458" s="446">
        <f t="shared" si="7"/>
        <v>452</v>
      </c>
      <c r="B458" s="659"/>
      <c r="C458" s="482" t="s">
        <v>708</v>
      </c>
      <c r="D458" s="457"/>
      <c r="E458" s="458" t="s">
        <v>279</v>
      </c>
      <c r="F458" s="464">
        <v>679540</v>
      </c>
      <c r="G458" s="461" t="s">
        <v>1635</v>
      </c>
      <c r="H458" s="461"/>
      <c r="I458" s="461"/>
      <c r="J458" s="461"/>
      <c r="K458" s="461"/>
      <c r="L458" s="461"/>
      <c r="M458" s="461"/>
      <c r="N458" s="463"/>
    </row>
    <row r="459" spans="1:14" ht="29">
      <c r="A459" s="446">
        <f t="shared" si="7"/>
        <v>453</v>
      </c>
      <c r="B459" s="659"/>
      <c r="C459" s="482" t="s">
        <v>710</v>
      </c>
      <c r="D459" s="457"/>
      <c r="E459" s="458" t="s">
        <v>279</v>
      </c>
      <c r="F459" s="464">
        <v>10230863</v>
      </c>
      <c r="G459" s="461" t="s">
        <v>1635</v>
      </c>
      <c r="H459" s="461"/>
      <c r="I459" s="461"/>
      <c r="J459" s="461"/>
      <c r="K459" s="461"/>
      <c r="L459" s="461"/>
      <c r="M459" s="461"/>
      <c r="N459" s="463"/>
    </row>
    <row r="460" spans="1:14" ht="29">
      <c r="A460" s="446">
        <f t="shared" si="7"/>
        <v>454</v>
      </c>
      <c r="B460" s="659"/>
      <c r="C460" s="482" t="s">
        <v>712</v>
      </c>
      <c r="D460" s="457"/>
      <c r="E460" s="458" t="s">
        <v>279</v>
      </c>
      <c r="F460" s="464">
        <v>16397505</v>
      </c>
      <c r="G460" s="461" t="s">
        <v>1635</v>
      </c>
      <c r="H460" s="461"/>
      <c r="I460" s="461"/>
      <c r="J460" s="461"/>
      <c r="K460" s="461"/>
      <c r="L460" s="461"/>
      <c r="M460" s="461"/>
      <c r="N460" s="463"/>
    </row>
    <row r="461" spans="1:14" ht="29">
      <c r="A461" s="446">
        <f t="shared" si="7"/>
        <v>455</v>
      </c>
      <c r="B461" s="659"/>
      <c r="C461" s="482" t="s">
        <v>714</v>
      </c>
      <c r="D461" s="457"/>
      <c r="E461" s="458" t="s">
        <v>279</v>
      </c>
      <c r="F461" s="464">
        <v>5033030</v>
      </c>
      <c r="G461" s="461" t="s">
        <v>1635</v>
      </c>
      <c r="H461" s="461"/>
      <c r="I461" s="461"/>
      <c r="J461" s="461"/>
      <c r="K461" s="461"/>
      <c r="L461" s="461"/>
      <c r="M461" s="461"/>
      <c r="N461" s="463"/>
    </row>
    <row r="462" spans="1:14" ht="29">
      <c r="A462" s="446">
        <f t="shared" si="7"/>
        <v>456</v>
      </c>
      <c r="B462" s="659"/>
      <c r="C462" s="482" t="s">
        <v>716</v>
      </c>
      <c r="D462" s="457"/>
      <c r="E462" s="458" t="s">
        <v>279</v>
      </c>
      <c r="F462" s="464">
        <v>10035507</v>
      </c>
      <c r="G462" s="461" t="s">
        <v>1635</v>
      </c>
      <c r="H462" s="461"/>
      <c r="I462" s="461"/>
      <c r="J462" s="461"/>
      <c r="K462" s="461"/>
      <c r="L462" s="461"/>
      <c r="M462" s="461"/>
      <c r="N462" s="463"/>
    </row>
    <row r="463" spans="1:14" ht="29">
      <c r="A463" s="446">
        <f t="shared" ref="A463:A478" si="8">A462+1</f>
        <v>457</v>
      </c>
      <c r="B463" s="659"/>
      <c r="C463" s="482" t="s">
        <v>718</v>
      </c>
      <c r="D463" s="457"/>
      <c r="E463" s="458" t="s">
        <v>279</v>
      </c>
      <c r="F463" s="464">
        <v>6133398</v>
      </c>
      <c r="G463" s="461" t="s">
        <v>1635</v>
      </c>
      <c r="H463" s="461"/>
      <c r="I463" s="461"/>
      <c r="J463" s="461"/>
      <c r="K463" s="461"/>
      <c r="L463" s="461"/>
      <c r="M463" s="461"/>
      <c r="N463" s="463"/>
    </row>
    <row r="464" spans="1:14">
      <c r="A464" s="446">
        <f t="shared" si="8"/>
        <v>458</v>
      </c>
      <c r="B464" s="659"/>
      <c r="C464" s="482" t="s">
        <v>720</v>
      </c>
      <c r="D464" s="457"/>
      <c r="E464" s="458" t="s">
        <v>279</v>
      </c>
      <c r="F464" s="464">
        <v>4306775</v>
      </c>
      <c r="G464" s="461" t="s">
        <v>1635</v>
      </c>
      <c r="H464" s="461"/>
      <c r="I464" s="461"/>
      <c r="J464" s="461"/>
      <c r="K464" s="461"/>
      <c r="L464" s="461"/>
      <c r="M464" s="461"/>
      <c r="N464" s="463"/>
    </row>
    <row r="465" spans="1:14">
      <c r="A465" s="446">
        <f t="shared" si="8"/>
        <v>459</v>
      </c>
      <c r="B465" s="659"/>
      <c r="C465" s="482" t="s">
        <v>722</v>
      </c>
      <c r="D465" s="457"/>
      <c r="E465" s="458" t="s">
        <v>279</v>
      </c>
      <c r="F465" s="464">
        <v>1993083</v>
      </c>
      <c r="G465" s="461" t="s">
        <v>1635</v>
      </c>
      <c r="H465" s="461"/>
      <c r="I465" s="461"/>
      <c r="J465" s="461"/>
      <c r="K465" s="461"/>
      <c r="L465" s="461"/>
      <c r="M465" s="461"/>
      <c r="N465" s="463"/>
    </row>
    <row r="466" spans="1:14">
      <c r="A466" s="446">
        <f t="shared" si="8"/>
        <v>460</v>
      </c>
      <c r="B466" s="659"/>
      <c r="C466" s="482" t="s">
        <v>724</v>
      </c>
      <c r="D466" s="457"/>
      <c r="E466" s="458" t="s">
        <v>279</v>
      </c>
      <c r="F466" s="464">
        <v>1540944</v>
      </c>
      <c r="G466" s="461" t="s">
        <v>1635</v>
      </c>
      <c r="H466" s="461"/>
      <c r="I466" s="461"/>
      <c r="J466" s="461"/>
      <c r="K466" s="461"/>
      <c r="L466" s="461"/>
      <c r="M466" s="461"/>
      <c r="N466" s="463"/>
    </row>
    <row r="467" spans="1:14">
      <c r="A467" s="446">
        <f t="shared" si="8"/>
        <v>461</v>
      </c>
      <c r="B467" s="659"/>
      <c r="C467" s="482" t="s">
        <v>726</v>
      </c>
      <c r="D467" s="457"/>
      <c r="E467" s="458" t="s">
        <v>279</v>
      </c>
      <c r="F467" s="464">
        <v>455727</v>
      </c>
      <c r="G467" s="461" t="s">
        <v>1635</v>
      </c>
      <c r="H467" s="461"/>
      <c r="I467" s="461"/>
      <c r="J467" s="461"/>
      <c r="K467" s="461"/>
      <c r="L467" s="461"/>
      <c r="M467" s="461"/>
      <c r="N467" s="463"/>
    </row>
    <row r="468" spans="1:14" ht="16.5" customHeight="1">
      <c r="A468" s="446">
        <f t="shared" si="8"/>
        <v>462</v>
      </c>
      <c r="B468" s="659"/>
      <c r="C468" s="482" t="s">
        <v>728</v>
      </c>
      <c r="D468" s="457"/>
      <c r="E468" s="458" t="s">
        <v>279</v>
      </c>
      <c r="F468" s="464">
        <v>2348919</v>
      </c>
      <c r="G468" s="461" t="s">
        <v>1635</v>
      </c>
      <c r="H468" s="461"/>
      <c r="I468" s="461"/>
      <c r="J468" s="461"/>
      <c r="K468" s="461"/>
      <c r="L468" s="461"/>
      <c r="M468" s="461"/>
      <c r="N468" s="463"/>
    </row>
    <row r="469" spans="1:14">
      <c r="A469" s="446">
        <f t="shared" si="8"/>
        <v>463</v>
      </c>
      <c r="B469" s="659"/>
      <c r="C469" s="482" t="s">
        <v>730</v>
      </c>
      <c r="D469" s="457"/>
      <c r="E469" s="458" t="s">
        <v>279</v>
      </c>
      <c r="F469" s="464">
        <v>3279089</v>
      </c>
      <c r="G469" s="461" t="s">
        <v>1635</v>
      </c>
      <c r="H469" s="461"/>
      <c r="I469" s="461"/>
      <c r="J469" s="461"/>
      <c r="K469" s="461"/>
      <c r="L469" s="461"/>
      <c r="M469" s="461"/>
      <c r="N469" s="463"/>
    </row>
    <row r="470" spans="1:14" ht="29">
      <c r="A470" s="446">
        <f t="shared" si="8"/>
        <v>464</v>
      </c>
      <c r="B470" s="659"/>
      <c r="C470" s="482" t="s">
        <v>732</v>
      </c>
      <c r="D470" s="457"/>
      <c r="E470" s="458" t="s">
        <v>279</v>
      </c>
      <c r="F470" s="464">
        <v>156778</v>
      </c>
      <c r="G470" s="461" t="s">
        <v>1635</v>
      </c>
      <c r="H470" s="461"/>
      <c r="I470" s="461"/>
      <c r="J470" s="461"/>
      <c r="K470" s="461"/>
      <c r="L470" s="461"/>
      <c r="M470" s="461"/>
      <c r="N470" s="463"/>
    </row>
    <row r="471" spans="1:14">
      <c r="A471" s="446">
        <f t="shared" si="8"/>
        <v>465</v>
      </c>
      <c r="B471" s="659"/>
      <c r="C471" s="482" t="s">
        <v>734</v>
      </c>
      <c r="D471" s="457" t="s">
        <v>2187</v>
      </c>
      <c r="E471" s="458" t="s">
        <v>1680</v>
      </c>
      <c r="F471" s="464">
        <v>12744945</v>
      </c>
      <c r="G471" s="461" t="s">
        <v>1635</v>
      </c>
      <c r="H471" s="461"/>
      <c r="I471" s="461"/>
      <c r="J471" s="461"/>
      <c r="K471" s="461"/>
      <c r="L471" s="461"/>
      <c r="M471" s="461"/>
      <c r="N471" s="463"/>
    </row>
    <row r="472" spans="1:14">
      <c r="A472" s="446">
        <f t="shared" si="8"/>
        <v>466</v>
      </c>
      <c r="B472" s="659"/>
      <c r="C472" s="482" t="s">
        <v>736</v>
      </c>
      <c r="D472" s="457"/>
      <c r="E472" s="458" t="s">
        <v>279</v>
      </c>
      <c r="F472" s="464">
        <v>2010227</v>
      </c>
      <c r="G472" s="461" t="s">
        <v>1635</v>
      </c>
      <c r="H472" s="461"/>
      <c r="I472" s="461"/>
      <c r="J472" s="461"/>
      <c r="K472" s="461"/>
      <c r="L472" s="461"/>
      <c r="M472" s="461"/>
      <c r="N472" s="463"/>
    </row>
    <row r="473" spans="1:14">
      <c r="A473" s="446">
        <f t="shared" si="8"/>
        <v>467</v>
      </c>
      <c r="B473" s="659"/>
      <c r="C473" s="482" t="s">
        <v>738</v>
      </c>
      <c r="D473" s="457"/>
      <c r="E473" s="458" t="s">
        <v>279</v>
      </c>
      <c r="F473" s="464">
        <v>1212199</v>
      </c>
      <c r="G473" s="461" t="s">
        <v>1635</v>
      </c>
      <c r="H473" s="461"/>
      <c r="I473" s="461"/>
      <c r="J473" s="461"/>
      <c r="K473" s="461"/>
      <c r="L473" s="461"/>
      <c r="M473" s="461"/>
      <c r="N473" s="463"/>
    </row>
    <row r="474" spans="1:14">
      <c r="A474" s="446">
        <f t="shared" si="8"/>
        <v>468</v>
      </c>
      <c r="B474" s="659"/>
      <c r="C474" s="482" t="s">
        <v>740</v>
      </c>
      <c r="D474" s="457"/>
      <c r="E474" s="458" t="s">
        <v>279</v>
      </c>
      <c r="F474" s="464">
        <v>3176751</v>
      </c>
      <c r="G474" s="461" t="s">
        <v>1635</v>
      </c>
      <c r="H474" s="461"/>
      <c r="I474" s="461"/>
      <c r="J474" s="461"/>
      <c r="K474" s="461"/>
      <c r="L474" s="461"/>
      <c r="M474" s="461"/>
      <c r="N474" s="463"/>
    </row>
    <row r="475" spans="1:14">
      <c r="A475" s="446">
        <f t="shared" si="8"/>
        <v>469</v>
      </c>
      <c r="B475" s="659"/>
      <c r="C475" s="482" t="s">
        <v>2192</v>
      </c>
      <c r="D475" s="457" t="s">
        <v>2190</v>
      </c>
      <c r="E475" s="458" t="s">
        <v>1680</v>
      </c>
      <c r="F475" s="464">
        <v>8685923</v>
      </c>
      <c r="G475" s="461" t="s">
        <v>1635</v>
      </c>
      <c r="H475" s="461"/>
      <c r="I475" s="461"/>
      <c r="J475" s="461"/>
      <c r="K475" s="461"/>
      <c r="L475" s="461"/>
      <c r="M475" s="461"/>
      <c r="N475" s="463"/>
    </row>
    <row r="476" spans="1:14">
      <c r="A476" s="446">
        <f t="shared" si="8"/>
        <v>470</v>
      </c>
      <c r="B476" s="659"/>
      <c r="C476" s="482" t="s">
        <v>744</v>
      </c>
      <c r="D476" s="457" t="s">
        <v>2193</v>
      </c>
      <c r="E476" s="458" t="s">
        <v>1680</v>
      </c>
      <c r="F476" s="464">
        <v>5561905</v>
      </c>
      <c r="G476" s="461" t="s">
        <v>1635</v>
      </c>
      <c r="H476" s="461"/>
      <c r="I476" s="461"/>
      <c r="J476" s="461"/>
      <c r="K476" s="461"/>
      <c r="L476" s="461"/>
      <c r="M476" s="461"/>
      <c r="N476" s="463"/>
    </row>
    <row r="477" spans="1:14">
      <c r="A477" s="446">
        <f t="shared" si="8"/>
        <v>471</v>
      </c>
      <c r="B477" s="659"/>
      <c r="C477" s="482" t="s">
        <v>746</v>
      </c>
      <c r="D477" s="457"/>
      <c r="E477" s="458" t="s">
        <v>279</v>
      </c>
      <c r="F477" s="464">
        <v>2270236</v>
      </c>
      <c r="G477" s="461" t="s">
        <v>1635</v>
      </c>
      <c r="H477" s="461"/>
      <c r="I477" s="461"/>
      <c r="J477" s="461"/>
      <c r="K477" s="461"/>
      <c r="L477" s="461"/>
      <c r="M477" s="461"/>
      <c r="N477" s="463"/>
    </row>
    <row r="478" spans="1:14" ht="29">
      <c r="A478" s="446">
        <f t="shared" si="8"/>
        <v>472</v>
      </c>
      <c r="B478" s="659"/>
      <c r="C478" s="482" t="s">
        <v>748</v>
      </c>
      <c r="D478" s="457"/>
      <c r="E478" s="458" t="s">
        <v>279</v>
      </c>
      <c r="F478" s="464">
        <v>11228663</v>
      </c>
      <c r="G478" s="461" t="s">
        <v>1635</v>
      </c>
      <c r="H478" s="461"/>
      <c r="I478" s="461"/>
      <c r="J478" s="461"/>
      <c r="K478" s="461"/>
      <c r="L478" s="461"/>
      <c r="M478" s="461"/>
      <c r="N478" s="463"/>
    </row>
    <row r="479" spans="1:14">
      <c r="A479" s="446">
        <f t="shared" ref="A479:A484" si="9">A478+1</f>
        <v>473</v>
      </c>
      <c r="B479" s="659"/>
      <c r="C479" s="482" t="s">
        <v>750</v>
      </c>
      <c r="D479" s="457"/>
      <c r="E479" s="458" t="s">
        <v>279</v>
      </c>
      <c r="F479" s="464">
        <v>617623</v>
      </c>
      <c r="G479" s="461" t="s">
        <v>1635</v>
      </c>
      <c r="H479" s="461"/>
      <c r="I479" s="461"/>
      <c r="J479" s="461"/>
      <c r="K479" s="461"/>
      <c r="L479" s="461"/>
      <c r="M479" s="461"/>
      <c r="N479" s="463"/>
    </row>
    <row r="480" spans="1:14" ht="29">
      <c r="A480" s="446">
        <f t="shared" si="9"/>
        <v>474</v>
      </c>
      <c r="B480" s="659"/>
      <c r="C480" s="482" t="s">
        <v>752</v>
      </c>
      <c r="D480" s="457"/>
      <c r="E480" s="458" t="s">
        <v>279</v>
      </c>
      <c r="F480" s="464">
        <v>6319622</v>
      </c>
      <c r="G480" s="461" t="s">
        <v>1635</v>
      </c>
      <c r="H480" s="461"/>
      <c r="I480" s="461"/>
      <c r="J480" s="461"/>
      <c r="K480" s="461"/>
      <c r="L480" s="461"/>
      <c r="M480" s="461"/>
      <c r="N480" s="463"/>
    </row>
    <row r="481" spans="1:14">
      <c r="A481" s="446">
        <f t="shared" si="9"/>
        <v>475</v>
      </c>
      <c r="B481" s="659"/>
      <c r="C481" s="482" t="s">
        <v>754</v>
      </c>
      <c r="D481" s="457"/>
      <c r="E481" s="458" t="s">
        <v>279</v>
      </c>
      <c r="F481" s="464">
        <v>324360</v>
      </c>
      <c r="G481" s="461" t="s">
        <v>1635</v>
      </c>
      <c r="H481" s="461"/>
      <c r="I481" s="461"/>
      <c r="J481" s="461"/>
      <c r="K481" s="461"/>
      <c r="L481" s="461"/>
      <c r="M481" s="461"/>
      <c r="N481" s="463"/>
    </row>
    <row r="482" spans="1:14">
      <c r="A482" s="446">
        <f t="shared" si="9"/>
        <v>476</v>
      </c>
      <c r="B482" s="659"/>
      <c r="C482" s="482" t="s">
        <v>756</v>
      </c>
      <c r="D482" s="457"/>
      <c r="E482" s="458" t="s">
        <v>279</v>
      </c>
      <c r="F482" s="464">
        <v>4941649</v>
      </c>
      <c r="G482" s="461" t="s">
        <v>1635</v>
      </c>
      <c r="H482" s="461"/>
      <c r="I482" s="461"/>
      <c r="J482" s="461"/>
      <c r="K482" s="461"/>
      <c r="L482" s="461"/>
      <c r="M482" s="461"/>
      <c r="N482" s="463"/>
    </row>
    <row r="483" spans="1:14">
      <c r="A483" s="446">
        <f t="shared" si="9"/>
        <v>477</v>
      </c>
      <c r="B483" s="659"/>
      <c r="C483" s="482" t="s">
        <v>758</v>
      </c>
      <c r="D483" s="457"/>
      <c r="E483" s="458" t="s">
        <v>279</v>
      </c>
      <c r="F483" s="464">
        <v>3155850</v>
      </c>
      <c r="G483" s="461" t="s">
        <v>1635</v>
      </c>
      <c r="H483" s="461"/>
      <c r="I483" s="461"/>
      <c r="J483" s="461"/>
      <c r="K483" s="461"/>
      <c r="L483" s="461"/>
      <c r="M483" s="461"/>
      <c r="N483" s="463"/>
    </row>
    <row r="484" spans="1:14" ht="17.25" customHeight="1">
      <c r="A484" s="446">
        <f t="shared" si="9"/>
        <v>478</v>
      </c>
      <c r="B484" s="659"/>
      <c r="C484" s="482" t="s">
        <v>760</v>
      </c>
      <c r="D484" s="457"/>
      <c r="E484" s="458" t="s">
        <v>279</v>
      </c>
      <c r="F484" s="464">
        <v>22285708</v>
      </c>
      <c r="G484" s="461" t="s">
        <v>1635</v>
      </c>
      <c r="H484" s="461"/>
      <c r="I484" s="461"/>
      <c r="J484" s="461"/>
      <c r="K484" s="461"/>
      <c r="L484" s="461"/>
      <c r="M484" s="461"/>
      <c r="N484" s="463"/>
    </row>
    <row r="485" spans="1:14">
      <c r="A485" s="446">
        <f t="shared" ref="A485:A506" si="10">A484+1</f>
        <v>479</v>
      </c>
      <c r="B485" s="659"/>
      <c r="C485" s="482" t="s">
        <v>762</v>
      </c>
      <c r="D485" s="457"/>
      <c r="E485" s="458" t="s">
        <v>279</v>
      </c>
      <c r="F485" s="464">
        <v>1055414</v>
      </c>
      <c r="G485" s="461" t="s">
        <v>1635</v>
      </c>
      <c r="H485" s="461"/>
      <c r="I485" s="461"/>
      <c r="J485" s="461"/>
      <c r="K485" s="461"/>
      <c r="L485" s="461"/>
      <c r="M485" s="461"/>
      <c r="N485" s="463"/>
    </row>
    <row r="486" spans="1:14">
      <c r="A486" s="446">
        <f t="shared" si="10"/>
        <v>480</v>
      </c>
      <c r="B486" s="659"/>
      <c r="C486" s="482" t="s">
        <v>765</v>
      </c>
      <c r="D486" s="457"/>
      <c r="E486" s="458" t="s">
        <v>279</v>
      </c>
      <c r="F486" s="464">
        <v>8982948</v>
      </c>
      <c r="G486" s="461" t="s">
        <v>1635</v>
      </c>
      <c r="H486" s="461"/>
      <c r="I486" s="461"/>
      <c r="J486" s="461"/>
      <c r="K486" s="461"/>
      <c r="L486" s="461"/>
      <c r="M486" s="461"/>
      <c r="N486" s="463"/>
    </row>
    <row r="487" spans="1:14">
      <c r="A487" s="446">
        <f t="shared" si="10"/>
        <v>481</v>
      </c>
      <c r="B487" s="659"/>
      <c r="C487" s="482" t="s">
        <v>767</v>
      </c>
      <c r="D487" s="457"/>
      <c r="E487" s="458" t="s">
        <v>279</v>
      </c>
      <c r="F487" s="464">
        <v>2038631</v>
      </c>
      <c r="G487" s="461" t="s">
        <v>1635</v>
      </c>
      <c r="H487" s="461"/>
      <c r="I487" s="461"/>
      <c r="J487" s="461"/>
      <c r="K487" s="461"/>
      <c r="L487" s="461"/>
      <c r="M487" s="461"/>
      <c r="N487" s="463"/>
    </row>
    <row r="488" spans="1:14">
      <c r="A488" s="446">
        <f t="shared" si="10"/>
        <v>482</v>
      </c>
      <c r="B488" s="659"/>
      <c r="C488" s="482" t="s">
        <v>770</v>
      </c>
      <c r="D488" s="457"/>
      <c r="E488" s="458" t="s">
        <v>279</v>
      </c>
      <c r="F488" s="464">
        <v>1089083</v>
      </c>
      <c r="G488" s="461" t="s">
        <v>1635</v>
      </c>
      <c r="H488" s="461"/>
      <c r="I488" s="461"/>
      <c r="J488" s="461"/>
      <c r="K488" s="461"/>
      <c r="L488" s="461"/>
      <c r="M488" s="461"/>
      <c r="N488" s="463"/>
    </row>
    <row r="489" spans="1:14">
      <c r="A489" s="446">
        <f t="shared" si="10"/>
        <v>483</v>
      </c>
      <c r="B489" s="659"/>
      <c r="C489" s="482" t="s">
        <v>772</v>
      </c>
      <c r="D489" s="457"/>
      <c r="E489" s="458" t="s">
        <v>279</v>
      </c>
      <c r="F489" s="464">
        <v>1816904</v>
      </c>
      <c r="G489" s="461" t="s">
        <v>1635</v>
      </c>
      <c r="H489" s="461"/>
      <c r="I489" s="461"/>
      <c r="J489" s="461"/>
      <c r="K489" s="461"/>
      <c r="L489" s="461"/>
      <c r="M489" s="461"/>
      <c r="N489" s="463"/>
    </row>
    <row r="490" spans="1:14">
      <c r="A490" s="446">
        <f t="shared" si="10"/>
        <v>484</v>
      </c>
      <c r="B490" s="659"/>
      <c r="C490" s="482" t="s">
        <v>774</v>
      </c>
      <c r="D490" s="457"/>
      <c r="E490" s="458" t="s">
        <v>279</v>
      </c>
      <c r="F490" s="464">
        <v>1790108</v>
      </c>
      <c r="G490" s="461" t="s">
        <v>1635</v>
      </c>
      <c r="H490" s="461"/>
      <c r="I490" s="461"/>
      <c r="J490" s="461"/>
      <c r="K490" s="461"/>
      <c r="L490" s="461"/>
      <c r="M490" s="461"/>
      <c r="N490" s="463"/>
    </row>
    <row r="491" spans="1:14">
      <c r="A491" s="446">
        <f t="shared" si="10"/>
        <v>485</v>
      </c>
      <c r="B491" s="659"/>
      <c r="C491" s="482" t="s">
        <v>776</v>
      </c>
      <c r="D491" s="457"/>
      <c r="E491" s="458" t="s">
        <v>279</v>
      </c>
      <c r="F491" s="464">
        <v>6346264</v>
      </c>
      <c r="G491" s="461" t="s">
        <v>1635</v>
      </c>
      <c r="H491" s="461"/>
      <c r="I491" s="461"/>
      <c r="J491" s="461"/>
      <c r="K491" s="461"/>
      <c r="L491" s="461"/>
      <c r="M491" s="461"/>
      <c r="N491" s="463"/>
    </row>
    <row r="492" spans="1:14">
      <c r="A492" s="446">
        <f t="shared" si="10"/>
        <v>486</v>
      </c>
      <c r="B492" s="659"/>
      <c r="C492" s="482" t="s">
        <v>778</v>
      </c>
      <c r="D492" s="457"/>
      <c r="E492" s="458" t="s">
        <v>279</v>
      </c>
      <c r="F492" s="464">
        <v>10569338</v>
      </c>
      <c r="G492" s="461" t="s">
        <v>1635</v>
      </c>
      <c r="H492" s="461"/>
      <c r="I492" s="461"/>
      <c r="J492" s="461"/>
      <c r="K492" s="461"/>
      <c r="L492" s="461"/>
      <c r="M492" s="461"/>
      <c r="N492" s="463"/>
    </row>
    <row r="493" spans="1:14">
      <c r="A493" s="446">
        <f t="shared" si="10"/>
        <v>487</v>
      </c>
      <c r="B493" s="659"/>
      <c r="C493" s="482" t="s">
        <v>780</v>
      </c>
      <c r="D493" s="457" t="s">
        <v>2187</v>
      </c>
      <c r="E493" s="458" t="s">
        <v>1680</v>
      </c>
      <c r="F493" s="464">
        <v>3750704</v>
      </c>
      <c r="G493" s="461" t="s">
        <v>1635</v>
      </c>
      <c r="H493" s="461"/>
      <c r="I493" s="461"/>
      <c r="J493" s="461"/>
      <c r="K493" s="461"/>
      <c r="L493" s="461"/>
      <c r="M493" s="461"/>
      <c r="N493" s="463"/>
    </row>
    <row r="494" spans="1:14">
      <c r="A494" s="446">
        <f t="shared" si="10"/>
        <v>488</v>
      </c>
      <c r="B494" s="659"/>
      <c r="C494" s="482" t="s">
        <v>782</v>
      </c>
      <c r="D494" s="457"/>
      <c r="E494" s="458" t="s">
        <v>279</v>
      </c>
      <c r="F494" s="464">
        <v>2720853</v>
      </c>
      <c r="G494" s="461" t="s">
        <v>1635</v>
      </c>
      <c r="H494" s="461"/>
      <c r="I494" s="461"/>
      <c r="J494" s="461"/>
      <c r="K494" s="461"/>
      <c r="L494" s="461"/>
      <c r="M494" s="461"/>
      <c r="N494" s="463"/>
    </row>
    <row r="495" spans="1:14" ht="29">
      <c r="A495" s="446">
        <f t="shared" si="10"/>
        <v>489</v>
      </c>
      <c r="B495" s="659"/>
      <c r="C495" s="482" t="s">
        <v>784</v>
      </c>
      <c r="D495" s="457"/>
      <c r="E495" s="458" t="s">
        <v>279</v>
      </c>
      <c r="F495" s="464">
        <v>1132486</v>
      </c>
      <c r="G495" s="461" t="s">
        <v>1635</v>
      </c>
      <c r="H495" s="461"/>
      <c r="I495" s="461"/>
      <c r="J495" s="461"/>
      <c r="K495" s="461"/>
      <c r="L495" s="461"/>
      <c r="M495" s="461"/>
      <c r="N495" s="463"/>
    </row>
    <row r="496" spans="1:14" ht="29">
      <c r="A496" s="446">
        <f t="shared" si="10"/>
        <v>490</v>
      </c>
      <c r="B496" s="659"/>
      <c r="C496" s="482" t="s">
        <v>786</v>
      </c>
      <c r="D496" s="457"/>
      <c r="E496" s="458" t="s">
        <v>279</v>
      </c>
      <c r="F496" s="464">
        <v>309991</v>
      </c>
      <c r="G496" s="461" t="s">
        <v>1635</v>
      </c>
      <c r="H496" s="461"/>
      <c r="I496" s="461"/>
      <c r="J496" s="461"/>
      <c r="K496" s="461"/>
      <c r="L496" s="461"/>
      <c r="M496" s="461"/>
      <c r="N496" s="463"/>
    </row>
    <row r="497" spans="1:14" ht="29">
      <c r="A497" s="446">
        <f t="shared" si="10"/>
        <v>491</v>
      </c>
      <c r="B497" s="659"/>
      <c r="C497" s="482" t="s">
        <v>788</v>
      </c>
      <c r="D497" s="457"/>
      <c r="E497" s="458" t="s">
        <v>279</v>
      </c>
      <c r="F497" s="464">
        <v>2651860</v>
      </c>
      <c r="G497" s="461" t="s">
        <v>1635</v>
      </c>
      <c r="H497" s="461"/>
      <c r="I497" s="461"/>
      <c r="J497" s="461"/>
      <c r="K497" s="461"/>
      <c r="L497" s="461"/>
      <c r="M497" s="461"/>
      <c r="N497" s="463"/>
    </row>
    <row r="498" spans="1:14" ht="29">
      <c r="A498" s="446">
        <f t="shared" si="10"/>
        <v>492</v>
      </c>
      <c r="B498" s="659"/>
      <c r="C498" s="482" t="s">
        <v>790</v>
      </c>
      <c r="D498" s="457"/>
      <c r="E498" s="458" t="s">
        <v>279</v>
      </c>
      <c r="F498" s="464">
        <v>3850393</v>
      </c>
      <c r="G498" s="461" t="s">
        <v>1635</v>
      </c>
      <c r="H498" s="461"/>
      <c r="I498" s="461"/>
      <c r="J498" s="461"/>
      <c r="K498" s="461"/>
      <c r="L498" s="461"/>
      <c r="M498" s="461"/>
      <c r="N498" s="463"/>
    </row>
    <row r="499" spans="1:14" ht="29">
      <c r="A499" s="446">
        <f t="shared" si="10"/>
        <v>493</v>
      </c>
      <c r="B499" s="659"/>
      <c r="C499" s="482" t="s">
        <v>792</v>
      </c>
      <c r="D499" s="457"/>
      <c r="E499" s="458" t="s">
        <v>279</v>
      </c>
      <c r="F499" s="464">
        <v>5119119</v>
      </c>
      <c r="G499" s="461" t="s">
        <v>1635</v>
      </c>
      <c r="H499" s="461"/>
      <c r="I499" s="461"/>
      <c r="J499" s="461"/>
      <c r="K499" s="461"/>
      <c r="L499" s="461"/>
      <c r="M499" s="461"/>
      <c r="N499" s="463"/>
    </row>
    <row r="500" spans="1:14">
      <c r="A500" s="446">
        <f t="shared" si="10"/>
        <v>494</v>
      </c>
      <c r="B500" s="659"/>
      <c r="C500" s="482" t="s">
        <v>794</v>
      </c>
      <c r="D500" s="457"/>
      <c r="E500" s="458" t="s">
        <v>279</v>
      </c>
      <c r="F500" s="464">
        <v>5768280</v>
      </c>
      <c r="G500" s="461" t="s">
        <v>1635</v>
      </c>
      <c r="H500" s="461"/>
      <c r="I500" s="461"/>
      <c r="J500" s="461"/>
      <c r="K500" s="461"/>
      <c r="L500" s="461"/>
      <c r="M500" s="461"/>
      <c r="N500" s="463"/>
    </row>
    <row r="501" spans="1:14">
      <c r="A501" s="446">
        <f t="shared" si="10"/>
        <v>495</v>
      </c>
      <c r="B501" s="659"/>
      <c r="C501" s="482" t="s">
        <v>796</v>
      </c>
      <c r="D501" s="457"/>
      <c r="E501" s="458" t="s">
        <v>279</v>
      </c>
      <c r="F501" s="464">
        <v>1967901</v>
      </c>
      <c r="G501" s="461" t="s">
        <v>1635</v>
      </c>
      <c r="H501" s="461"/>
      <c r="I501" s="461"/>
      <c r="J501" s="461"/>
      <c r="K501" s="461"/>
      <c r="L501" s="461"/>
      <c r="M501" s="461"/>
      <c r="N501" s="463"/>
    </row>
    <row r="502" spans="1:14">
      <c r="A502" s="446">
        <f t="shared" si="10"/>
        <v>496</v>
      </c>
      <c r="B502" s="659"/>
      <c r="C502" s="482" t="s">
        <v>798</v>
      </c>
      <c r="D502" s="457"/>
      <c r="E502" s="458" t="s">
        <v>279</v>
      </c>
      <c r="F502" s="464">
        <v>6683770</v>
      </c>
      <c r="G502" s="461" t="s">
        <v>1635</v>
      </c>
      <c r="H502" s="461"/>
      <c r="I502" s="461"/>
      <c r="J502" s="461"/>
      <c r="K502" s="461"/>
      <c r="L502" s="461"/>
      <c r="M502" s="461"/>
      <c r="N502" s="463"/>
    </row>
    <row r="503" spans="1:14">
      <c r="A503" s="446">
        <f t="shared" si="10"/>
        <v>497</v>
      </c>
      <c r="B503" s="659"/>
      <c r="C503" s="482" t="s">
        <v>800</v>
      </c>
      <c r="D503" s="457"/>
      <c r="E503" s="458" t="s">
        <v>279</v>
      </c>
      <c r="F503" s="464">
        <v>388816</v>
      </c>
      <c r="G503" s="461" t="s">
        <v>1635</v>
      </c>
      <c r="H503" s="461"/>
      <c r="I503" s="461"/>
      <c r="J503" s="461"/>
      <c r="K503" s="461"/>
      <c r="L503" s="461"/>
      <c r="M503" s="461"/>
      <c r="N503" s="463"/>
    </row>
    <row r="504" spans="1:14" ht="16.5" customHeight="1">
      <c r="A504" s="446">
        <f t="shared" si="10"/>
        <v>498</v>
      </c>
      <c r="B504" s="659"/>
      <c r="C504" s="482" t="s">
        <v>802</v>
      </c>
      <c r="D504" s="457"/>
      <c r="E504" s="458" t="s">
        <v>279</v>
      </c>
      <c r="F504" s="464">
        <v>2488318</v>
      </c>
      <c r="G504" s="461" t="s">
        <v>1635</v>
      </c>
      <c r="H504" s="461"/>
      <c r="I504" s="461"/>
      <c r="J504" s="461"/>
      <c r="K504" s="461"/>
      <c r="L504" s="461"/>
      <c r="M504" s="461"/>
      <c r="N504" s="463"/>
    </row>
    <row r="505" spans="1:14">
      <c r="A505" s="446">
        <f t="shared" si="10"/>
        <v>499</v>
      </c>
      <c r="B505" s="659"/>
      <c r="C505" s="482" t="s">
        <v>804</v>
      </c>
      <c r="D505" s="457"/>
      <c r="E505" s="458" t="s">
        <v>279</v>
      </c>
      <c r="F505" s="464">
        <v>1187034</v>
      </c>
      <c r="G505" s="461" t="s">
        <v>1635</v>
      </c>
      <c r="H505" s="461"/>
      <c r="I505" s="461"/>
      <c r="J505" s="461"/>
      <c r="K505" s="461"/>
      <c r="L505" s="461"/>
      <c r="M505" s="461"/>
      <c r="N505" s="463"/>
    </row>
    <row r="506" spans="1:14">
      <c r="A506" s="446">
        <f t="shared" si="10"/>
        <v>500</v>
      </c>
      <c r="B506" s="659"/>
      <c r="C506" s="482" t="s">
        <v>806</v>
      </c>
      <c r="D506" s="457"/>
      <c r="G506" s="461" t="s">
        <v>1635</v>
      </c>
      <c r="H506" s="461"/>
      <c r="I506" s="461"/>
      <c r="J506" s="461"/>
      <c r="K506" s="461"/>
      <c r="L506" s="461"/>
      <c r="M506" s="461"/>
      <c r="N506" s="463"/>
    </row>
    <row r="507" spans="1:14" ht="29">
      <c r="A507" s="446">
        <f t="shared" ref="A507:A512" si="11">A506+1</f>
        <v>501</v>
      </c>
      <c r="B507" s="659"/>
      <c r="C507" s="482" t="s">
        <v>808</v>
      </c>
      <c r="D507" s="457"/>
      <c r="E507" s="458" t="s">
        <v>279</v>
      </c>
      <c r="F507" s="464">
        <v>52064</v>
      </c>
      <c r="G507" s="461" t="s">
        <v>1635</v>
      </c>
      <c r="H507" s="461"/>
      <c r="I507" s="461"/>
      <c r="J507" s="461"/>
      <c r="K507" s="461"/>
      <c r="L507" s="461"/>
      <c r="M507" s="461"/>
      <c r="N507" s="463"/>
    </row>
    <row r="508" spans="1:14">
      <c r="A508" s="446">
        <f t="shared" si="11"/>
        <v>502</v>
      </c>
      <c r="B508" s="659"/>
      <c r="C508" s="482" t="s">
        <v>810</v>
      </c>
      <c r="D508" s="457"/>
      <c r="E508" s="458" t="s">
        <v>279</v>
      </c>
      <c r="F508" s="464">
        <v>2235655</v>
      </c>
      <c r="G508" s="461" t="s">
        <v>1635</v>
      </c>
      <c r="H508" s="461"/>
      <c r="I508" s="461"/>
      <c r="J508" s="461"/>
      <c r="K508" s="461"/>
      <c r="L508" s="461"/>
      <c r="M508" s="461"/>
      <c r="N508" s="463"/>
    </row>
    <row r="509" spans="1:14">
      <c r="A509" s="446">
        <f t="shared" si="11"/>
        <v>503</v>
      </c>
      <c r="B509" s="659"/>
      <c r="C509" s="482" t="s">
        <v>814</v>
      </c>
      <c r="D509" s="457"/>
      <c r="E509" s="458" t="s">
        <v>279</v>
      </c>
      <c r="F509" s="464">
        <v>1825369</v>
      </c>
      <c r="G509" s="461" t="s">
        <v>1635</v>
      </c>
      <c r="H509" s="461"/>
      <c r="I509" s="461"/>
      <c r="J509" s="461"/>
      <c r="K509" s="461"/>
      <c r="L509" s="461"/>
      <c r="M509" s="461"/>
      <c r="N509" s="463"/>
    </row>
    <row r="510" spans="1:14">
      <c r="A510" s="446">
        <f t="shared" si="11"/>
        <v>504</v>
      </c>
      <c r="B510" s="659"/>
      <c r="C510" s="482" t="s">
        <v>816</v>
      </c>
      <c r="D510" s="457"/>
      <c r="E510" s="458" t="s">
        <v>279</v>
      </c>
      <c r="F510" s="464">
        <v>1938353</v>
      </c>
      <c r="G510" s="461" t="s">
        <v>1635</v>
      </c>
      <c r="H510" s="461"/>
      <c r="I510" s="461"/>
      <c r="J510" s="461"/>
      <c r="K510" s="461"/>
      <c r="L510" s="461"/>
      <c r="M510" s="461"/>
      <c r="N510" s="463"/>
    </row>
    <row r="511" spans="1:14">
      <c r="A511" s="446">
        <f t="shared" si="11"/>
        <v>505</v>
      </c>
      <c r="B511" s="659"/>
      <c r="C511" s="482" t="s">
        <v>818</v>
      </c>
      <c r="D511" s="457"/>
      <c r="E511" s="458" t="s">
        <v>279</v>
      </c>
      <c r="F511" s="464">
        <v>3217192</v>
      </c>
      <c r="G511" s="461" t="s">
        <v>1635</v>
      </c>
      <c r="H511" s="461"/>
      <c r="I511" s="461"/>
      <c r="J511" s="461"/>
      <c r="K511" s="461"/>
      <c r="L511" s="461"/>
      <c r="M511" s="461"/>
      <c r="N511" s="463"/>
    </row>
    <row r="512" spans="1:14" ht="29">
      <c r="A512" s="446">
        <f t="shared" si="11"/>
        <v>506</v>
      </c>
      <c r="B512" s="659"/>
      <c r="C512" s="482" t="s">
        <v>820</v>
      </c>
      <c r="D512" s="457"/>
      <c r="E512" s="458" t="s">
        <v>279</v>
      </c>
      <c r="F512" s="464">
        <v>277897</v>
      </c>
      <c r="G512" s="461" t="s">
        <v>1635</v>
      </c>
      <c r="H512" s="461"/>
      <c r="I512" s="461"/>
      <c r="J512" s="461"/>
      <c r="K512" s="461"/>
      <c r="L512" s="461"/>
      <c r="M512" s="461"/>
      <c r="N512" s="463"/>
    </row>
    <row r="513" spans="1:14">
      <c r="A513" s="446">
        <f t="shared" ref="A513:A576" si="12">A512+1</f>
        <v>507</v>
      </c>
      <c r="B513" s="659"/>
      <c r="C513" s="482" t="s">
        <v>822</v>
      </c>
      <c r="D513" s="457"/>
      <c r="E513" s="458" t="s">
        <v>279</v>
      </c>
      <c r="F513" s="464">
        <v>6743203</v>
      </c>
      <c r="G513" s="461" t="s">
        <v>1635</v>
      </c>
      <c r="H513" s="461"/>
      <c r="I513" s="461"/>
      <c r="J513" s="461"/>
      <c r="K513" s="461"/>
      <c r="L513" s="461"/>
      <c r="M513" s="461"/>
      <c r="N513" s="463"/>
    </row>
    <row r="514" spans="1:14">
      <c r="A514" s="446">
        <f t="shared" si="12"/>
        <v>508</v>
      </c>
      <c r="B514" s="659"/>
      <c r="C514" s="482" t="s">
        <v>824</v>
      </c>
      <c r="D514" s="457" t="s">
        <v>2193</v>
      </c>
      <c r="E514" s="458" t="s">
        <v>1680</v>
      </c>
      <c r="F514" s="464">
        <v>1084858</v>
      </c>
      <c r="G514" s="461" t="s">
        <v>1635</v>
      </c>
      <c r="H514" s="461" t="s">
        <v>1635</v>
      </c>
      <c r="I514" s="461"/>
      <c r="J514" s="461"/>
      <c r="K514" s="461"/>
      <c r="L514" s="461"/>
      <c r="M514" s="461"/>
      <c r="N514" s="463"/>
    </row>
    <row r="515" spans="1:14">
      <c r="A515" s="446">
        <f t="shared" si="12"/>
        <v>509</v>
      </c>
      <c r="B515" s="659"/>
      <c r="C515" s="482" t="s">
        <v>826</v>
      </c>
      <c r="D515" s="457"/>
      <c r="E515" s="458" t="s">
        <v>279</v>
      </c>
      <c r="F515" s="464">
        <v>3485236</v>
      </c>
      <c r="G515" s="461" t="s">
        <v>1635</v>
      </c>
      <c r="H515" s="461"/>
      <c r="I515" s="461"/>
      <c r="J515" s="461"/>
      <c r="K515" s="461"/>
      <c r="L515" s="461"/>
      <c r="M515" s="461"/>
      <c r="N515" s="463"/>
    </row>
    <row r="516" spans="1:14">
      <c r="A516" s="446">
        <f t="shared" si="12"/>
        <v>510</v>
      </c>
      <c r="B516" s="659"/>
      <c r="C516" s="482" t="s">
        <v>828</v>
      </c>
      <c r="D516" s="457"/>
      <c r="E516" s="458" t="s">
        <v>279</v>
      </c>
      <c r="F516" s="464">
        <v>1527895</v>
      </c>
      <c r="G516" s="461" t="s">
        <v>1635</v>
      </c>
      <c r="H516" s="461"/>
      <c r="I516" s="461"/>
      <c r="J516" s="461"/>
      <c r="K516" s="461"/>
      <c r="L516" s="461"/>
      <c r="M516" s="461"/>
      <c r="N516" s="463"/>
    </row>
    <row r="517" spans="1:14">
      <c r="A517" s="446">
        <f t="shared" si="12"/>
        <v>511</v>
      </c>
      <c r="B517" s="659"/>
      <c r="C517" s="482" t="s">
        <v>2194</v>
      </c>
      <c r="D517" s="457" t="s">
        <v>2190</v>
      </c>
      <c r="E517" s="458" t="s">
        <v>1680</v>
      </c>
      <c r="F517" s="464">
        <v>4497482</v>
      </c>
      <c r="G517" s="461" t="s">
        <v>1635</v>
      </c>
      <c r="H517" s="461"/>
      <c r="I517" s="461"/>
      <c r="J517" s="461"/>
      <c r="K517" s="461"/>
      <c r="L517" s="461"/>
      <c r="M517" s="461"/>
      <c r="N517" s="463"/>
    </row>
    <row r="518" spans="1:14" ht="43.5">
      <c r="A518" s="446">
        <f t="shared" si="12"/>
        <v>512</v>
      </c>
      <c r="B518" s="659"/>
      <c r="C518" s="482" t="s">
        <v>832</v>
      </c>
      <c r="D518" s="457"/>
      <c r="E518" s="458" t="s">
        <v>279</v>
      </c>
      <c r="F518" s="464">
        <v>312931</v>
      </c>
      <c r="G518" s="461" t="s">
        <v>1635</v>
      </c>
      <c r="H518" s="461"/>
      <c r="I518" s="461"/>
      <c r="J518" s="461"/>
      <c r="K518" s="461"/>
      <c r="L518" s="461"/>
      <c r="M518" s="461"/>
      <c r="N518" s="463"/>
    </row>
    <row r="519" spans="1:14" ht="29">
      <c r="A519" s="446">
        <f t="shared" si="12"/>
        <v>513</v>
      </c>
      <c r="B519" s="659"/>
      <c r="C519" s="482" t="s">
        <v>834</v>
      </c>
      <c r="D519" s="457"/>
      <c r="E519" s="458" t="s">
        <v>279</v>
      </c>
      <c r="F519" s="464">
        <v>7381220</v>
      </c>
      <c r="G519" s="461" t="s">
        <v>1635</v>
      </c>
      <c r="H519" s="461"/>
      <c r="I519" s="461"/>
      <c r="J519" s="461"/>
      <c r="K519" s="461"/>
      <c r="L519" s="461"/>
      <c r="M519" s="461"/>
      <c r="N519" s="463"/>
    </row>
    <row r="520" spans="1:14">
      <c r="A520" s="446">
        <f t="shared" si="12"/>
        <v>514</v>
      </c>
      <c r="B520" s="659"/>
      <c r="C520" s="482" t="s">
        <v>836</v>
      </c>
      <c r="D520" s="457"/>
      <c r="E520" s="458" t="s">
        <v>279</v>
      </c>
      <c r="F520" s="464">
        <v>26679769</v>
      </c>
      <c r="G520" s="461" t="s">
        <v>1635</v>
      </c>
      <c r="H520" s="461"/>
      <c r="I520" s="461"/>
      <c r="J520" s="461"/>
      <c r="K520" s="461"/>
      <c r="L520" s="461"/>
      <c r="M520" s="461"/>
      <c r="N520" s="463"/>
    </row>
    <row r="521" spans="1:14">
      <c r="A521" s="446">
        <f t="shared" si="12"/>
        <v>515</v>
      </c>
      <c r="B521" s="659"/>
      <c r="C521" s="482" t="s">
        <v>837</v>
      </c>
      <c r="D521" s="457"/>
      <c r="E521" s="458" t="s">
        <v>279</v>
      </c>
      <c r="F521" s="464">
        <v>992709</v>
      </c>
      <c r="G521" s="461" t="s">
        <v>1635</v>
      </c>
      <c r="H521" s="461"/>
      <c r="I521" s="461"/>
      <c r="J521" s="461"/>
      <c r="K521" s="461"/>
      <c r="L521" s="461"/>
      <c r="M521" s="461"/>
      <c r="N521" s="463"/>
    </row>
    <row r="522" spans="1:14">
      <c r="A522" s="446">
        <f t="shared" si="12"/>
        <v>516</v>
      </c>
      <c r="B522" s="659"/>
      <c r="C522" s="482" t="s">
        <v>839</v>
      </c>
      <c r="D522" s="457"/>
      <c r="E522" s="458" t="s">
        <v>279</v>
      </c>
      <c r="F522" s="464">
        <v>17608556</v>
      </c>
      <c r="G522" s="461" t="s">
        <v>1635</v>
      </c>
      <c r="H522" s="461"/>
      <c r="I522" s="461"/>
      <c r="J522" s="461"/>
      <c r="K522" s="461"/>
      <c r="L522" s="461"/>
      <c r="M522" s="461"/>
      <c r="N522" s="463"/>
    </row>
    <row r="523" spans="1:14">
      <c r="A523" s="446">
        <f t="shared" si="12"/>
        <v>517</v>
      </c>
      <c r="B523" s="659"/>
      <c r="C523" s="482" t="s">
        <v>841</v>
      </c>
      <c r="D523" s="457"/>
      <c r="E523" s="458" t="s">
        <v>279</v>
      </c>
      <c r="F523" s="464">
        <v>2783582</v>
      </c>
      <c r="G523" s="461" t="s">
        <v>1635</v>
      </c>
      <c r="H523" s="461"/>
      <c r="I523" s="461"/>
      <c r="J523" s="461"/>
      <c r="K523" s="461"/>
      <c r="L523" s="461"/>
      <c r="M523" s="461"/>
      <c r="N523" s="463"/>
    </row>
    <row r="524" spans="1:14">
      <c r="A524" s="446">
        <f t="shared" si="12"/>
        <v>518</v>
      </c>
      <c r="B524" s="659"/>
      <c r="C524" s="482" t="s">
        <v>843</v>
      </c>
      <c r="D524" s="457"/>
      <c r="E524" s="458" t="s">
        <v>279</v>
      </c>
      <c r="F524" s="464">
        <v>4629316</v>
      </c>
      <c r="G524" s="461" t="s">
        <v>1635</v>
      </c>
      <c r="H524" s="461"/>
      <c r="I524" s="461"/>
      <c r="J524" s="461"/>
      <c r="K524" s="461"/>
      <c r="L524" s="461"/>
      <c r="M524" s="461"/>
      <c r="N524" s="463"/>
    </row>
    <row r="525" spans="1:14">
      <c r="A525" s="446">
        <f t="shared" si="12"/>
        <v>519</v>
      </c>
      <c r="B525" s="659"/>
      <c r="C525" s="482" t="s">
        <v>845</v>
      </c>
      <c r="D525" s="457" t="s">
        <v>2187</v>
      </c>
      <c r="E525" s="458" t="s">
        <v>1680</v>
      </c>
      <c r="F525" s="464">
        <v>2265163</v>
      </c>
      <c r="G525" s="461" t="s">
        <v>1635</v>
      </c>
      <c r="H525" s="461"/>
      <c r="I525" s="461"/>
      <c r="J525" s="461"/>
      <c r="K525" s="461"/>
      <c r="L525" s="461"/>
      <c r="M525" s="461"/>
      <c r="N525" s="463"/>
    </row>
    <row r="526" spans="1:14" ht="29">
      <c r="A526" s="446">
        <f t="shared" si="12"/>
        <v>520</v>
      </c>
      <c r="B526" s="659"/>
      <c r="C526" s="482" t="s">
        <v>2195</v>
      </c>
      <c r="D526" s="457" t="s">
        <v>2196</v>
      </c>
      <c r="E526" s="458" t="s">
        <v>1680</v>
      </c>
      <c r="F526" s="464">
        <v>0</v>
      </c>
      <c r="G526" s="461" t="s">
        <v>1635</v>
      </c>
      <c r="H526" s="461"/>
      <c r="I526" s="461"/>
      <c r="J526" s="461"/>
      <c r="K526" s="461"/>
      <c r="L526" s="461"/>
      <c r="M526" s="461"/>
      <c r="N526" s="463"/>
    </row>
    <row r="527" spans="1:14">
      <c r="A527" s="446">
        <f t="shared" si="12"/>
        <v>521</v>
      </c>
      <c r="B527" s="659"/>
      <c r="C527" s="482"/>
      <c r="D527" s="457"/>
      <c r="G527" s="461"/>
      <c r="H527" s="461"/>
      <c r="I527" s="461"/>
      <c r="J527" s="461"/>
      <c r="K527" s="461"/>
      <c r="L527" s="461"/>
      <c r="M527" s="461"/>
      <c r="N527" s="463"/>
    </row>
    <row r="528" spans="1:14">
      <c r="A528" s="446">
        <f t="shared" si="12"/>
        <v>522</v>
      </c>
      <c r="B528" s="659"/>
      <c r="C528" s="481" t="s">
        <v>2197</v>
      </c>
      <c r="D528" s="457"/>
      <c r="G528" s="461"/>
      <c r="H528" s="461"/>
      <c r="I528" s="461"/>
      <c r="J528" s="461"/>
      <c r="K528" s="461"/>
      <c r="L528" s="461"/>
      <c r="M528" s="461"/>
      <c r="N528" s="463"/>
    </row>
    <row r="529" spans="1:14">
      <c r="A529" s="446">
        <f t="shared" si="12"/>
        <v>523</v>
      </c>
      <c r="B529" s="659" t="s">
        <v>888</v>
      </c>
      <c r="C529" s="456" t="s">
        <v>1715</v>
      </c>
      <c r="D529" s="457" t="s">
        <v>1716</v>
      </c>
      <c r="E529" s="458" t="s">
        <v>279</v>
      </c>
      <c r="F529" s="464">
        <v>1286118</v>
      </c>
      <c r="G529" s="461" t="s">
        <v>1635</v>
      </c>
      <c r="H529" s="461"/>
      <c r="I529" s="461"/>
      <c r="J529" s="461"/>
      <c r="K529" s="461"/>
      <c r="L529" s="461"/>
      <c r="M529" s="461"/>
      <c r="N529" s="463"/>
    </row>
    <row r="530" spans="1:14">
      <c r="A530" s="446">
        <f t="shared" si="12"/>
        <v>524</v>
      </c>
      <c r="B530" s="659" t="s">
        <v>906</v>
      </c>
      <c r="C530" s="456" t="s">
        <v>2198</v>
      </c>
      <c r="D530" s="457" t="s">
        <v>2199</v>
      </c>
      <c r="E530" s="458" t="s">
        <v>279</v>
      </c>
      <c r="F530" s="464">
        <v>810134</v>
      </c>
      <c r="G530" s="461" t="s">
        <v>1635</v>
      </c>
      <c r="H530" s="461"/>
      <c r="I530" s="461"/>
      <c r="J530" s="461"/>
      <c r="K530" s="461"/>
      <c r="L530" s="461"/>
      <c r="M530" s="461"/>
      <c r="N530" s="463"/>
    </row>
    <row r="531" spans="1:14">
      <c r="A531" s="446">
        <f t="shared" si="12"/>
        <v>525</v>
      </c>
      <c r="B531" s="659" t="s">
        <v>1025</v>
      </c>
      <c r="C531" s="456" t="s">
        <v>2200</v>
      </c>
      <c r="D531" s="457" t="s">
        <v>2201</v>
      </c>
      <c r="E531" s="458" t="s">
        <v>279</v>
      </c>
      <c r="F531" s="464">
        <v>180660</v>
      </c>
      <c r="G531" s="461" t="s">
        <v>1635</v>
      </c>
      <c r="H531" s="461"/>
      <c r="I531" s="461"/>
      <c r="J531" s="461"/>
      <c r="K531" s="461"/>
      <c r="L531" s="461"/>
      <c r="M531" s="461"/>
      <c r="N531" s="463"/>
    </row>
    <row r="532" spans="1:14">
      <c r="A532" s="446">
        <f t="shared" si="12"/>
        <v>526</v>
      </c>
      <c r="B532" s="659" t="s">
        <v>1027</v>
      </c>
      <c r="C532" s="456" t="s">
        <v>2202</v>
      </c>
      <c r="D532" s="457" t="s">
        <v>1789</v>
      </c>
      <c r="E532" s="458" t="s">
        <v>279</v>
      </c>
      <c r="F532" s="464">
        <v>851881</v>
      </c>
      <c r="G532" s="461" t="s">
        <v>1635</v>
      </c>
      <c r="H532" s="461"/>
      <c r="I532" s="461"/>
      <c r="J532" s="461"/>
      <c r="K532" s="461"/>
      <c r="L532" s="461"/>
      <c r="M532" s="461"/>
      <c r="N532" s="463"/>
    </row>
    <row r="533" spans="1:14">
      <c r="A533" s="446">
        <f t="shared" si="12"/>
        <v>527</v>
      </c>
      <c r="B533" s="659" t="s">
        <v>1033</v>
      </c>
      <c r="C533" s="456" t="s">
        <v>2203</v>
      </c>
      <c r="D533" s="457" t="s">
        <v>2204</v>
      </c>
      <c r="E533" s="458" t="s">
        <v>279</v>
      </c>
      <c r="F533" s="464">
        <v>951783</v>
      </c>
      <c r="G533" s="461" t="s">
        <v>1635</v>
      </c>
      <c r="H533" s="461"/>
      <c r="I533" s="461"/>
      <c r="J533" s="461"/>
      <c r="K533" s="461"/>
      <c r="L533" s="461"/>
      <c r="M533" s="461"/>
      <c r="N533" s="463"/>
    </row>
    <row r="534" spans="1:14">
      <c r="A534" s="446">
        <f t="shared" si="12"/>
        <v>528</v>
      </c>
      <c r="B534" s="659" t="s">
        <v>1054</v>
      </c>
      <c r="C534" s="456" t="s">
        <v>2205</v>
      </c>
      <c r="D534" s="457" t="s">
        <v>2206</v>
      </c>
      <c r="E534" s="458" t="s">
        <v>279</v>
      </c>
      <c r="F534" s="464">
        <v>22102</v>
      </c>
      <c r="G534" s="461" t="s">
        <v>1635</v>
      </c>
      <c r="H534" s="461"/>
      <c r="I534" s="461"/>
      <c r="J534" s="461"/>
      <c r="K534" s="461"/>
      <c r="L534" s="461"/>
      <c r="M534" s="461"/>
      <c r="N534" s="463"/>
    </row>
    <row r="535" spans="1:14">
      <c r="A535" s="446">
        <f t="shared" si="12"/>
        <v>529</v>
      </c>
      <c r="B535" s="659" t="s">
        <v>1070</v>
      </c>
      <c r="C535" s="456" t="s">
        <v>2207</v>
      </c>
      <c r="D535" s="457" t="s">
        <v>2208</v>
      </c>
      <c r="E535" s="458" t="s">
        <v>279</v>
      </c>
      <c r="F535" s="464">
        <v>336089</v>
      </c>
      <c r="G535" s="461" t="s">
        <v>1635</v>
      </c>
      <c r="H535" s="461"/>
      <c r="I535" s="461"/>
      <c r="J535" s="461"/>
      <c r="K535" s="461"/>
      <c r="L535" s="461"/>
      <c r="M535" s="461"/>
      <c r="N535" s="463"/>
    </row>
    <row r="536" spans="1:14">
      <c r="A536" s="446">
        <f t="shared" si="12"/>
        <v>530</v>
      </c>
      <c r="B536" s="659" t="s">
        <v>1072</v>
      </c>
      <c r="C536" s="456" t="s">
        <v>2209</v>
      </c>
      <c r="D536" s="457" t="s">
        <v>2210</v>
      </c>
      <c r="E536" s="458" t="s">
        <v>1680</v>
      </c>
      <c r="F536" s="464">
        <v>166306</v>
      </c>
      <c r="G536" s="461" t="s">
        <v>1635</v>
      </c>
      <c r="H536" s="461" t="s">
        <v>1635</v>
      </c>
      <c r="I536" s="461"/>
      <c r="J536" s="461"/>
      <c r="K536" s="461"/>
      <c r="L536" s="461"/>
      <c r="M536" s="461"/>
      <c r="N536" s="463" t="s">
        <v>2211</v>
      </c>
    </row>
    <row r="537" spans="1:14">
      <c r="A537" s="446">
        <f t="shared" si="12"/>
        <v>531</v>
      </c>
      <c r="B537" s="659" t="s">
        <v>1086</v>
      </c>
      <c r="C537" s="456" t="s">
        <v>2212</v>
      </c>
      <c r="D537" s="457" t="s">
        <v>1741</v>
      </c>
      <c r="E537" s="458" t="s">
        <v>279</v>
      </c>
      <c r="F537" s="464">
        <v>232375</v>
      </c>
      <c r="G537" s="461" t="s">
        <v>1635</v>
      </c>
      <c r="H537" s="461"/>
      <c r="I537" s="461"/>
      <c r="J537" s="461"/>
      <c r="K537" s="461"/>
      <c r="L537" s="461"/>
      <c r="M537" s="461"/>
      <c r="N537" s="463"/>
    </row>
    <row r="538" spans="1:14">
      <c r="A538" s="446">
        <f t="shared" si="12"/>
        <v>532</v>
      </c>
      <c r="B538" s="659"/>
      <c r="D538" s="457"/>
      <c r="G538" s="461"/>
      <c r="H538" s="461"/>
      <c r="I538" s="461"/>
      <c r="J538" s="461"/>
      <c r="K538" s="461"/>
      <c r="L538" s="461"/>
      <c r="M538" s="461"/>
      <c r="N538" s="463"/>
    </row>
    <row r="539" spans="1:14" ht="29">
      <c r="A539" s="446">
        <f t="shared" si="12"/>
        <v>533</v>
      </c>
      <c r="B539" s="659"/>
      <c r="C539" s="448" t="s">
        <v>2213</v>
      </c>
      <c r="D539" s="457"/>
      <c r="G539" s="461"/>
      <c r="H539" s="461"/>
      <c r="I539" s="461"/>
      <c r="J539" s="461"/>
      <c r="K539" s="461"/>
      <c r="L539" s="461"/>
      <c r="M539" s="461"/>
      <c r="N539" s="463"/>
    </row>
    <row r="540" spans="1:14">
      <c r="A540" s="446">
        <f t="shared" si="12"/>
        <v>534</v>
      </c>
      <c r="B540" s="659"/>
      <c r="C540" s="456" t="s">
        <v>1134</v>
      </c>
      <c r="D540" s="457"/>
      <c r="E540" s="458" t="s">
        <v>279</v>
      </c>
      <c r="F540" s="464">
        <v>3488667</v>
      </c>
      <c r="G540" s="461"/>
      <c r="H540" s="461"/>
      <c r="I540" s="461"/>
      <c r="J540" s="461" t="s">
        <v>1635</v>
      </c>
      <c r="K540" s="461"/>
      <c r="L540" s="461"/>
      <c r="M540" s="461"/>
      <c r="N540" s="463"/>
    </row>
    <row r="541" spans="1:14">
      <c r="A541" s="446">
        <f t="shared" si="12"/>
        <v>535</v>
      </c>
      <c r="B541" s="659"/>
      <c r="C541" s="456" t="s">
        <v>1136</v>
      </c>
      <c r="D541" s="457"/>
      <c r="E541" s="458" t="s">
        <v>279</v>
      </c>
      <c r="F541" s="464">
        <v>9536492</v>
      </c>
      <c r="G541" s="461"/>
      <c r="H541" s="461"/>
      <c r="I541" s="461"/>
      <c r="J541" s="461" t="s">
        <v>1635</v>
      </c>
      <c r="K541" s="461"/>
      <c r="L541" s="461"/>
      <c r="M541" s="461"/>
      <c r="N541" s="463"/>
    </row>
    <row r="542" spans="1:14">
      <c r="A542" s="446">
        <f t="shared" si="12"/>
        <v>536</v>
      </c>
      <c r="B542" s="659"/>
      <c r="C542" s="456" t="s">
        <v>1138</v>
      </c>
      <c r="D542" s="457"/>
      <c r="E542" s="458" t="s">
        <v>279</v>
      </c>
      <c r="F542" s="464">
        <v>3934438</v>
      </c>
      <c r="G542" s="461"/>
      <c r="H542" s="461"/>
      <c r="I542" s="461"/>
      <c r="J542" s="461" t="s">
        <v>1635</v>
      </c>
      <c r="K542" s="461"/>
      <c r="L542" s="461"/>
      <c r="M542" s="461"/>
      <c r="N542" s="463"/>
    </row>
    <row r="543" spans="1:14" ht="17.25" customHeight="1">
      <c r="A543" s="446">
        <f t="shared" si="12"/>
        <v>537</v>
      </c>
      <c r="B543" s="659"/>
      <c r="C543" s="456" t="s">
        <v>1140</v>
      </c>
      <c r="D543" s="457"/>
      <c r="E543" s="458" t="s">
        <v>279</v>
      </c>
      <c r="F543" s="464">
        <v>3852064</v>
      </c>
      <c r="G543" s="461"/>
      <c r="H543" s="461"/>
      <c r="I543" s="461"/>
      <c r="J543" s="461" t="s">
        <v>1635</v>
      </c>
      <c r="K543" s="461"/>
      <c r="L543" s="461"/>
      <c r="M543" s="461"/>
      <c r="N543" s="463"/>
    </row>
    <row r="544" spans="1:14" ht="29">
      <c r="A544" s="446">
        <f t="shared" si="12"/>
        <v>538</v>
      </c>
      <c r="B544" s="659"/>
      <c r="C544" s="456" t="s">
        <v>1142</v>
      </c>
      <c r="D544" s="457"/>
      <c r="E544" s="458" t="s">
        <v>279</v>
      </c>
      <c r="F544" s="464">
        <v>2040287</v>
      </c>
      <c r="G544" s="461"/>
      <c r="H544" s="461"/>
      <c r="I544" s="461"/>
      <c r="J544" s="461" t="s">
        <v>1635</v>
      </c>
      <c r="K544" s="461"/>
      <c r="L544" s="461"/>
      <c r="M544" s="461"/>
      <c r="N544" s="463"/>
    </row>
    <row r="545" spans="1:14">
      <c r="A545" s="446">
        <f t="shared" si="12"/>
        <v>539</v>
      </c>
      <c r="B545" s="659"/>
      <c r="C545" s="456" t="s">
        <v>1144</v>
      </c>
      <c r="D545" s="457"/>
      <c r="E545" s="458" t="s">
        <v>279</v>
      </c>
      <c r="F545" s="464">
        <v>794673</v>
      </c>
      <c r="G545" s="461"/>
      <c r="H545" s="461"/>
      <c r="I545" s="461"/>
      <c r="J545" s="461" t="s">
        <v>1635</v>
      </c>
      <c r="K545" s="461"/>
      <c r="L545" s="461"/>
      <c r="M545" s="461"/>
      <c r="N545" s="463"/>
    </row>
    <row r="546" spans="1:14">
      <c r="A546" s="446">
        <f t="shared" si="12"/>
        <v>540</v>
      </c>
      <c r="B546" s="659"/>
      <c r="C546" s="456" t="s">
        <v>1146</v>
      </c>
      <c r="D546" s="457"/>
      <c r="E546" s="458" t="s">
        <v>279</v>
      </c>
      <c r="F546" s="464">
        <v>5626463</v>
      </c>
      <c r="G546" s="461"/>
      <c r="H546" s="461"/>
      <c r="I546" s="461"/>
      <c r="J546" s="461" t="s">
        <v>1635</v>
      </c>
      <c r="K546" s="461"/>
      <c r="L546" s="461"/>
      <c r="M546" s="461"/>
      <c r="N546" s="463"/>
    </row>
    <row r="547" spans="1:14" ht="16.5" customHeight="1">
      <c r="A547" s="446">
        <f t="shared" si="12"/>
        <v>541</v>
      </c>
      <c r="B547" s="659"/>
      <c r="C547" s="456" t="s">
        <v>1148</v>
      </c>
      <c r="D547" s="457"/>
      <c r="E547" s="458" t="s">
        <v>279</v>
      </c>
      <c r="F547" s="464">
        <v>315000</v>
      </c>
      <c r="G547" s="461"/>
      <c r="H547" s="461"/>
      <c r="I547" s="461"/>
      <c r="J547" s="461" t="s">
        <v>1635</v>
      </c>
      <c r="K547" s="461"/>
      <c r="L547" s="461"/>
      <c r="M547" s="461"/>
      <c r="N547" s="463"/>
    </row>
    <row r="548" spans="1:14">
      <c r="A548" s="446">
        <f t="shared" si="12"/>
        <v>542</v>
      </c>
      <c r="B548" s="659"/>
      <c r="C548" s="456" t="s">
        <v>1150</v>
      </c>
      <c r="D548" s="457"/>
      <c r="E548" s="458" t="s">
        <v>1680</v>
      </c>
      <c r="F548" s="464">
        <v>249377</v>
      </c>
      <c r="G548" s="461"/>
      <c r="H548" s="461"/>
      <c r="I548" s="461"/>
      <c r="J548" s="461" t="s">
        <v>1635</v>
      </c>
      <c r="K548" s="461"/>
      <c r="L548" s="461"/>
      <c r="M548" s="461"/>
      <c r="N548" s="463"/>
    </row>
    <row r="549" spans="1:14">
      <c r="A549" s="446">
        <f t="shared" si="12"/>
        <v>543</v>
      </c>
      <c r="B549" s="659"/>
      <c r="C549" s="456" t="s">
        <v>1152</v>
      </c>
      <c r="D549" s="457"/>
      <c r="E549" s="458" t="s">
        <v>279</v>
      </c>
      <c r="F549" s="464">
        <v>2512836</v>
      </c>
      <c r="G549" s="461"/>
      <c r="H549" s="461"/>
      <c r="I549" s="461"/>
      <c r="J549" s="461" t="s">
        <v>1635</v>
      </c>
      <c r="K549" s="461"/>
      <c r="L549" s="461"/>
      <c r="M549" s="461"/>
      <c r="N549" s="463"/>
    </row>
    <row r="550" spans="1:14" ht="15.75" customHeight="1">
      <c r="A550" s="446">
        <f t="shared" si="12"/>
        <v>544</v>
      </c>
      <c r="B550" s="659"/>
      <c r="C550" s="456" t="s">
        <v>1154</v>
      </c>
      <c r="D550" s="457"/>
      <c r="E550" s="458" t="s">
        <v>279</v>
      </c>
      <c r="F550" s="464">
        <v>3841398</v>
      </c>
      <c r="G550" s="461"/>
      <c r="H550" s="461"/>
      <c r="I550" s="461"/>
      <c r="J550" s="461" t="s">
        <v>1635</v>
      </c>
      <c r="K550" s="461"/>
      <c r="L550" s="461"/>
      <c r="M550" s="461"/>
      <c r="N550" s="463"/>
    </row>
    <row r="551" spans="1:14">
      <c r="A551" s="446">
        <f t="shared" si="12"/>
        <v>545</v>
      </c>
      <c r="B551" s="659"/>
      <c r="C551" s="456" t="s">
        <v>1156</v>
      </c>
      <c r="D551" s="457"/>
      <c r="E551" s="458" t="s">
        <v>1680</v>
      </c>
      <c r="F551" s="464">
        <v>21817</v>
      </c>
      <c r="G551" s="461"/>
      <c r="H551" s="461"/>
      <c r="I551" s="461"/>
      <c r="J551" s="461" t="s">
        <v>1635</v>
      </c>
      <c r="K551" s="461"/>
      <c r="L551" s="461"/>
      <c r="M551" s="461"/>
      <c r="N551" s="463"/>
    </row>
    <row r="552" spans="1:14">
      <c r="A552" s="446">
        <f t="shared" si="12"/>
        <v>546</v>
      </c>
      <c r="B552" s="659"/>
      <c r="C552" s="456" t="s">
        <v>1156</v>
      </c>
      <c r="D552" s="457"/>
      <c r="E552" s="458" t="s">
        <v>1680</v>
      </c>
      <c r="F552" s="464">
        <v>1003437</v>
      </c>
      <c r="G552" s="461"/>
      <c r="H552" s="461"/>
      <c r="I552" s="461"/>
      <c r="J552" s="461" t="s">
        <v>1635</v>
      </c>
      <c r="K552" s="461"/>
      <c r="L552" s="461"/>
      <c r="M552" s="461"/>
      <c r="N552" s="463"/>
    </row>
    <row r="553" spans="1:14" ht="17.25" customHeight="1">
      <c r="A553" s="446">
        <f t="shared" si="12"/>
        <v>547</v>
      </c>
      <c r="B553" s="659"/>
      <c r="C553" s="456" t="s">
        <v>1158</v>
      </c>
      <c r="D553" s="457"/>
      <c r="E553" s="458" t="s">
        <v>279</v>
      </c>
      <c r="F553" s="464">
        <v>96884</v>
      </c>
      <c r="G553" s="461"/>
      <c r="H553" s="461"/>
      <c r="I553" s="461"/>
      <c r="J553" s="461" t="s">
        <v>1635</v>
      </c>
      <c r="K553" s="461"/>
      <c r="L553" s="461"/>
      <c r="M553" s="461"/>
      <c r="N553" s="463"/>
    </row>
    <row r="554" spans="1:14">
      <c r="A554" s="446">
        <f t="shared" si="12"/>
        <v>548</v>
      </c>
      <c r="B554" s="659"/>
      <c r="C554" s="456" t="s">
        <v>1160</v>
      </c>
      <c r="D554" s="457"/>
      <c r="E554" s="458" t="s">
        <v>279</v>
      </c>
      <c r="F554" s="464">
        <v>1701681</v>
      </c>
      <c r="G554" s="461"/>
      <c r="H554" s="461"/>
      <c r="I554" s="461"/>
      <c r="J554" s="461" t="s">
        <v>1635</v>
      </c>
      <c r="K554" s="461"/>
      <c r="L554" s="461"/>
      <c r="M554" s="461"/>
      <c r="N554" s="463"/>
    </row>
    <row r="555" spans="1:14">
      <c r="A555" s="446">
        <f t="shared" si="12"/>
        <v>549</v>
      </c>
      <c r="B555" s="659"/>
      <c r="C555" s="456" t="s">
        <v>1162</v>
      </c>
      <c r="D555" s="457"/>
      <c r="E555" s="458" t="s">
        <v>279</v>
      </c>
      <c r="F555" s="464">
        <v>1051383</v>
      </c>
      <c r="G555" s="461"/>
      <c r="H555" s="461"/>
      <c r="I555" s="461"/>
      <c r="J555" s="461" t="s">
        <v>1635</v>
      </c>
      <c r="K555" s="461"/>
      <c r="L555" s="461"/>
      <c r="M555" s="461"/>
      <c r="N555" s="463"/>
    </row>
    <row r="556" spans="1:14" ht="16.5" customHeight="1">
      <c r="A556" s="446">
        <f t="shared" si="12"/>
        <v>550</v>
      </c>
      <c r="B556" s="659"/>
      <c r="C556" s="456" t="s">
        <v>1164</v>
      </c>
      <c r="D556" s="457"/>
      <c r="E556" s="458" t="s">
        <v>279</v>
      </c>
      <c r="F556" s="464">
        <v>2064165</v>
      </c>
      <c r="G556" s="461"/>
      <c r="H556" s="461"/>
      <c r="I556" s="461"/>
      <c r="J556" s="461" t="s">
        <v>1635</v>
      </c>
      <c r="K556" s="461"/>
      <c r="L556" s="461"/>
      <c r="M556" s="461"/>
      <c r="N556" s="463"/>
    </row>
    <row r="557" spans="1:14">
      <c r="A557" s="446">
        <f t="shared" si="12"/>
        <v>551</v>
      </c>
      <c r="B557" s="659"/>
      <c r="C557" s="456" t="s">
        <v>1166</v>
      </c>
      <c r="D557" s="457"/>
      <c r="E557" s="458" t="s">
        <v>279</v>
      </c>
      <c r="F557" s="464">
        <v>3007882</v>
      </c>
      <c r="G557" s="461"/>
      <c r="H557" s="461"/>
      <c r="I557" s="461"/>
      <c r="J557" s="461" t="s">
        <v>1635</v>
      </c>
      <c r="K557" s="461"/>
      <c r="L557" s="461"/>
      <c r="M557" s="461"/>
      <c r="N557" s="463"/>
    </row>
    <row r="558" spans="1:14" ht="16.5" customHeight="1">
      <c r="A558" s="446">
        <f t="shared" si="12"/>
        <v>552</v>
      </c>
      <c r="B558" s="659"/>
      <c r="C558" s="456" t="s">
        <v>1168</v>
      </c>
      <c r="D558" s="457"/>
      <c r="E558" s="458" t="s">
        <v>279</v>
      </c>
      <c r="F558" s="464">
        <v>239920</v>
      </c>
      <c r="G558" s="461"/>
      <c r="H558" s="461"/>
      <c r="I558" s="461"/>
      <c r="J558" s="461" t="s">
        <v>1635</v>
      </c>
      <c r="K558" s="461"/>
      <c r="L558" s="461"/>
      <c r="M558" s="461"/>
      <c r="N558" s="463"/>
    </row>
    <row r="559" spans="1:14">
      <c r="A559" s="446">
        <f t="shared" si="12"/>
        <v>553</v>
      </c>
      <c r="B559" s="659"/>
      <c r="C559" s="456" t="s">
        <v>1170</v>
      </c>
      <c r="D559" s="457"/>
      <c r="E559" s="458" t="s">
        <v>279</v>
      </c>
      <c r="F559" s="464">
        <v>2496402</v>
      </c>
      <c r="G559" s="461"/>
      <c r="H559" s="461"/>
      <c r="I559" s="461"/>
      <c r="J559" s="461" t="s">
        <v>1635</v>
      </c>
      <c r="K559" s="461"/>
      <c r="L559" s="461"/>
      <c r="M559" s="461"/>
      <c r="N559" s="463"/>
    </row>
    <row r="560" spans="1:14">
      <c r="A560" s="446">
        <f t="shared" si="12"/>
        <v>554</v>
      </c>
      <c r="B560" s="659"/>
      <c r="D560" s="457"/>
      <c r="G560" s="461"/>
      <c r="H560" s="461"/>
      <c r="I560" s="461"/>
      <c r="J560" s="461"/>
      <c r="K560" s="461"/>
      <c r="L560" s="461"/>
      <c r="M560" s="461"/>
      <c r="N560" s="463"/>
    </row>
    <row r="561" spans="1:14">
      <c r="A561" s="446">
        <f t="shared" si="12"/>
        <v>555</v>
      </c>
      <c r="B561" s="659"/>
      <c r="C561" s="448" t="s">
        <v>2214</v>
      </c>
      <c r="D561" s="457"/>
      <c r="G561" s="461"/>
      <c r="H561" s="461"/>
      <c r="I561" s="461"/>
      <c r="J561" s="461"/>
      <c r="K561" s="461"/>
      <c r="L561" s="461"/>
      <c r="M561" s="461"/>
      <c r="N561" s="463"/>
    </row>
    <row r="562" spans="1:14" ht="29">
      <c r="A562" s="446">
        <f t="shared" si="12"/>
        <v>556</v>
      </c>
      <c r="B562" s="659"/>
      <c r="C562" s="456" t="s">
        <v>1175</v>
      </c>
      <c r="D562" s="457"/>
      <c r="E562" s="458" t="s">
        <v>279</v>
      </c>
      <c r="F562" s="464">
        <v>4564134</v>
      </c>
      <c r="G562" s="461"/>
      <c r="H562" s="461"/>
      <c r="I562" s="461"/>
      <c r="J562" s="461" t="s">
        <v>1635</v>
      </c>
      <c r="K562" s="461"/>
      <c r="L562" s="461"/>
      <c r="M562" s="461"/>
      <c r="N562" s="463"/>
    </row>
    <row r="563" spans="1:14" ht="29">
      <c r="A563" s="446">
        <f t="shared" si="12"/>
        <v>557</v>
      </c>
      <c r="B563" s="659"/>
      <c r="C563" s="456" t="s">
        <v>1178</v>
      </c>
      <c r="D563" s="457"/>
      <c r="E563" s="458" t="s">
        <v>279</v>
      </c>
      <c r="F563" s="464">
        <v>664798</v>
      </c>
      <c r="G563" s="461"/>
      <c r="H563" s="461"/>
      <c r="I563" s="461"/>
      <c r="J563" s="461" t="s">
        <v>1635</v>
      </c>
      <c r="K563" s="461"/>
      <c r="L563" s="461"/>
      <c r="M563" s="461"/>
      <c r="N563" s="463"/>
    </row>
    <row r="564" spans="1:14" ht="29">
      <c r="A564" s="446">
        <f t="shared" si="12"/>
        <v>558</v>
      </c>
      <c r="B564" s="659"/>
      <c r="C564" s="456" t="s">
        <v>1180</v>
      </c>
      <c r="D564" s="457"/>
      <c r="E564" s="458" t="s">
        <v>279</v>
      </c>
      <c r="F564" s="464">
        <v>8524893</v>
      </c>
      <c r="G564" s="461"/>
      <c r="H564" s="461"/>
      <c r="I564" s="461"/>
      <c r="J564" s="461" t="s">
        <v>1635</v>
      </c>
      <c r="K564" s="461"/>
      <c r="L564" s="461"/>
      <c r="M564" s="461"/>
      <c r="N564" s="463"/>
    </row>
    <row r="565" spans="1:14">
      <c r="A565" s="446">
        <f t="shared" si="12"/>
        <v>559</v>
      </c>
      <c r="B565" s="659"/>
      <c r="D565" s="457"/>
      <c r="G565" s="461"/>
      <c r="H565" s="461"/>
      <c r="I565" s="461"/>
      <c r="J565" s="461"/>
      <c r="K565" s="461"/>
      <c r="L565" s="461"/>
      <c r="M565" s="461"/>
      <c r="N565" s="463"/>
    </row>
    <row r="566" spans="1:14">
      <c r="A566" s="446">
        <f t="shared" si="12"/>
        <v>560</v>
      </c>
      <c r="B566" s="659"/>
      <c r="C566" s="448" t="s">
        <v>2215</v>
      </c>
      <c r="D566" s="457"/>
      <c r="G566" s="461"/>
      <c r="H566" s="461"/>
      <c r="I566" s="461"/>
      <c r="J566" s="461"/>
      <c r="K566" s="461"/>
      <c r="L566" s="461"/>
      <c r="M566" s="461"/>
      <c r="N566" s="463"/>
    </row>
    <row r="567" spans="1:14" ht="16.5" customHeight="1">
      <c r="A567" s="446">
        <f t="shared" si="12"/>
        <v>561</v>
      </c>
      <c r="B567" s="659"/>
      <c r="C567" s="456" t="s">
        <v>1185</v>
      </c>
      <c r="D567" s="457"/>
      <c r="E567" s="458" t="s">
        <v>279</v>
      </c>
      <c r="F567" s="464">
        <v>12328</v>
      </c>
      <c r="G567" s="461" t="s">
        <v>1635</v>
      </c>
      <c r="H567" s="461"/>
      <c r="I567" s="461"/>
      <c r="J567" s="461"/>
      <c r="K567" s="461"/>
      <c r="L567" s="461"/>
      <c r="M567" s="461"/>
      <c r="N567" s="463"/>
    </row>
    <row r="568" spans="1:14" ht="17.25" customHeight="1">
      <c r="A568" s="446">
        <f t="shared" si="12"/>
        <v>562</v>
      </c>
      <c r="B568" s="659"/>
      <c r="C568" s="456" t="s">
        <v>1185</v>
      </c>
      <c r="D568" s="457"/>
      <c r="E568" s="458" t="s">
        <v>279</v>
      </c>
      <c r="F568" s="464">
        <v>57413</v>
      </c>
      <c r="G568" s="461" t="s">
        <v>1635</v>
      </c>
      <c r="H568" s="461"/>
      <c r="I568" s="461"/>
      <c r="J568" s="461"/>
      <c r="K568" s="461"/>
      <c r="L568" s="461"/>
      <c r="M568" s="461"/>
      <c r="N568" s="463"/>
    </row>
    <row r="569" spans="1:14">
      <c r="A569" s="446">
        <f t="shared" si="12"/>
        <v>563</v>
      </c>
      <c r="B569" s="659"/>
      <c r="C569" s="456" t="s">
        <v>1187</v>
      </c>
      <c r="D569" s="457"/>
      <c r="E569" s="458" t="s">
        <v>279</v>
      </c>
      <c r="F569" s="464">
        <v>213000</v>
      </c>
      <c r="G569" s="461" t="s">
        <v>1635</v>
      </c>
      <c r="H569" s="461"/>
      <c r="I569" s="461"/>
      <c r="J569" s="461"/>
      <c r="K569" s="461"/>
      <c r="L569" s="461"/>
      <c r="M569" s="461"/>
      <c r="N569" s="463"/>
    </row>
    <row r="570" spans="1:14">
      <c r="A570" s="446">
        <f t="shared" si="12"/>
        <v>564</v>
      </c>
      <c r="B570" s="659"/>
      <c r="C570" s="456" t="s">
        <v>1189</v>
      </c>
      <c r="D570" s="457"/>
      <c r="E570" s="458" t="s">
        <v>279</v>
      </c>
      <c r="F570" s="464">
        <v>76258</v>
      </c>
      <c r="G570" s="461" t="s">
        <v>1635</v>
      </c>
      <c r="H570" s="461"/>
      <c r="I570" s="461"/>
      <c r="J570" s="461"/>
      <c r="K570" s="461"/>
      <c r="L570" s="461"/>
      <c r="M570" s="461"/>
      <c r="N570" s="463"/>
    </row>
    <row r="571" spans="1:14">
      <c r="A571" s="446">
        <f t="shared" si="12"/>
        <v>565</v>
      </c>
      <c r="B571" s="659"/>
      <c r="C571" s="456" t="s">
        <v>1189</v>
      </c>
      <c r="D571" s="457"/>
      <c r="E571" s="458" t="s">
        <v>279</v>
      </c>
      <c r="F571" s="464">
        <v>142235</v>
      </c>
      <c r="G571" s="461" t="s">
        <v>1635</v>
      </c>
      <c r="H571" s="461"/>
      <c r="I571" s="461"/>
      <c r="J571" s="461"/>
      <c r="K571" s="461"/>
      <c r="L571" s="461"/>
      <c r="M571" s="461"/>
      <c r="N571" s="463"/>
    </row>
    <row r="572" spans="1:14">
      <c r="A572" s="446">
        <f t="shared" si="12"/>
        <v>566</v>
      </c>
      <c r="B572" s="659"/>
      <c r="C572" s="456" t="s">
        <v>1191</v>
      </c>
      <c r="D572" s="457"/>
      <c r="E572" s="458" t="s">
        <v>1680</v>
      </c>
      <c r="F572" s="464">
        <v>556464</v>
      </c>
      <c r="G572" s="461" t="s">
        <v>1635</v>
      </c>
      <c r="H572" s="461"/>
      <c r="I572" s="461"/>
      <c r="J572" s="461"/>
      <c r="K572" s="461"/>
      <c r="L572" s="461"/>
      <c r="M572" s="461"/>
      <c r="N572" s="463"/>
    </row>
    <row r="573" spans="1:14">
      <c r="A573" s="446">
        <f t="shared" si="12"/>
        <v>567</v>
      </c>
      <c r="B573" s="659"/>
      <c r="C573" s="456" t="s">
        <v>1193</v>
      </c>
      <c r="D573" s="457"/>
      <c r="E573" s="458" t="s">
        <v>279</v>
      </c>
      <c r="F573" s="464">
        <v>499220</v>
      </c>
      <c r="G573" s="461" t="s">
        <v>1635</v>
      </c>
      <c r="H573" s="461"/>
      <c r="I573" s="461"/>
      <c r="J573" s="461"/>
      <c r="K573" s="461"/>
      <c r="L573" s="461"/>
      <c r="M573" s="461"/>
      <c r="N573" s="463"/>
    </row>
    <row r="574" spans="1:14" ht="18" customHeight="1">
      <c r="A574" s="446">
        <f t="shared" si="12"/>
        <v>568</v>
      </c>
      <c r="B574" s="659"/>
      <c r="C574" s="456" t="s">
        <v>1195</v>
      </c>
      <c r="D574" s="457"/>
      <c r="E574" s="458" t="s">
        <v>279</v>
      </c>
      <c r="F574" s="464">
        <v>170278</v>
      </c>
      <c r="G574" s="461" t="s">
        <v>1635</v>
      </c>
      <c r="H574" s="461"/>
      <c r="I574" s="461"/>
      <c r="J574" s="461"/>
      <c r="K574" s="461"/>
      <c r="L574" s="461"/>
      <c r="M574" s="461"/>
      <c r="N574" s="463"/>
    </row>
    <row r="575" spans="1:14" ht="29">
      <c r="A575" s="446">
        <f t="shared" si="12"/>
        <v>569</v>
      </c>
      <c r="B575" s="659"/>
      <c r="C575" s="456" t="s">
        <v>1197</v>
      </c>
      <c r="D575" s="457"/>
      <c r="E575" s="458" t="s">
        <v>279</v>
      </c>
      <c r="F575" s="464">
        <v>35071</v>
      </c>
      <c r="G575" s="461" t="s">
        <v>1635</v>
      </c>
      <c r="H575" s="461"/>
      <c r="I575" s="461"/>
      <c r="J575" s="461"/>
      <c r="K575" s="461"/>
      <c r="L575" s="461"/>
      <c r="M575" s="461"/>
      <c r="N575" s="463"/>
    </row>
    <row r="576" spans="1:14" ht="18.75" customHeight="1">
      <c r="A576" s="446">
        <f t="shared" si="12"/>
        <v>570</v>
      </c>
      <c r="B576" s="659"/>
      <c r="C576" s="456" t="s">
        <v>1199</v>
      </c>
      <c r="D576" s="457"/>
      <c r="E576" s="458" t="s">
        <v>279</v>
      </c>
      <c r="F576" s="464">
        <v>163695</v>
      </c>
      <c r="G576" s="461" t="s">
        <v>1635</v>
      </c>
      <c r="H576" s="461"/>
      <c r="I576" s="461"/>
      <c r="J576" s="461"/>
      <c r="K576" s="461"/>
      <c r="L576" s="461"/>
      <c r="M576" s="461"/>
      <c r="N576" s="463"/>
    </row>
    <row r="577" spans="1:14">
      <c r="A577" s="446">
        <f t="shared" ref="A577:A640" si="13">A576+1</f>
        <v>571</v>
      </c>
      <c r="B577" s="659"/>
      <c r="C577" s="456" t="s">
        <v>1201</v>
      </c>
      <c r="D577" s="457"/>
      <c r="E577" s="458" t="s">
        <v>279</v>
      </c>
      <c r="F577" s="464">
        <v>19075</v>
      </c>
      <c r="G577" s="461" t="s">
        <v>1635</v>
      </c>
      <c r="H577" s="461"/>
      <c r="I577" s="461"/>
      <c r="J577" s="461"/>
      <c r="K577" s="461"/>
      <c r="L577" s="461"/>
      <c r="M577" s="461"/>
      <c r="N577" s="463"/>
    </row>
    <row r="578" spans="1:14">
      <c r="A578" s="446">
        <f t="shared" si="13"/>
        <v>572</v>
      </c>
      <c r="B578" s="659"/>
      <c r="C578" s="456" t="s">
        <v>1203</v>
      </c>
      <c r="D578" s="457"/>
      <c r="E578" s="458" t="s">
        <v>279</v>
      </c>
      <c r="F578" s="464">
        <v>127144</v>
      </c>
      <c r="G578" s="461" t="s">
        <v>1635</v>
      </c>
      <c r="H578" s="461"/>
      <c r="I578" s="461"/>
      <c r="J578" s="461"/>
      <c r="K578" s="461"/>
      <c r="L578" s="461"/>
      <c r="M578" s="461"/>
      <c r="N578" s="463"/>
    </row>
    <row r="579" spans="1:14">
      <c r="A579" s="446">
        <f t="shared" si="13"/>
        <v>573</v>
      </c>
      <c r="B579" s="659"/>
      <c r="C579" s="456" t="s">
        <v>1205</v>
      </c>
      <c r="D579" s="457"/>
      <c r="E579" s="458" t="s">
        <v>279</v>
      </c>
      <c r="F579" s="464">
        <v>404166</v>
      </c>
      <c r="G579" s="461" t="s">
        <v>1635</v>
      </c>
      <c r="H579" s="461"/>
      <c r="I579" s="461"/>
      <c r="J579" s="461"/>
      <c r="K579" s="461"/>
      <c r="L579" s="461"/>
      <c r="M579" s="461"/>
      <c r="N579" s="463"/>
    </row>
    <row r="580" spans="1:14">
      <c r="A580" s="446">
        <f t="shared" si="13"/>
        <v>574</v>
      </c>
      <c r="B580" s="659"/>
      <c r="C580" s="456" t="s">
        <v>1207</v>
      </c>
      <c r="D580" s="457"/>
      <c r="E580" s="458" t="s">
        <v>279</v>
      </c>
      <c r="F580" s="464">
        <v>192498</v>
      </c>
      <c r="G580" s="461" t="s">
        <v>1635</v>
      </c>
      <c r="H580" s="461"/>
      <c r="I580" s="461"/>
      <c r="J580" s="461"/>
      <c r="K580" s="461"/>
      <c r="L580" s="461"/>
      <c r="M580" s="461"/>
      <c r="N580" s="463"/>
    </row>
    <row r="581" spans="1:14">
      <c r="A581" s="446">
        <f t="shared" si="13"/>
        <v>575</v>
      </c>
      <c r="B581" s="659"/>
      <c r="C581" s="456" t="s">
        <v>1209</v>
      </c>
      <c r="D581" s="457"/>
      <c r="E581" s="458" t="s">
        <v>279</v>
      </c>
      <c r="F581" s="464">
        <v>71118</v>
      </c>
      <c r="G581" s="461" t="s">
        <v>1635</v>
      </c>
      <c r="H581" s="461"/>
      <c r="I581" s="461"/>
      <c r="J581" s="461"/>
      <c r="K581" s="461"/>
      <c r="L581" s="461"/>
      <c r="M581" s="461"/>
      <c r="N581" s="463"/>
    </row>
    <row r="582" spans="1:14">
      <c r="A582" s="446">
        <f t="shared" si="13"/>
        <v>576</v>
      </c>
      <c r="B582" s="659"/>
      <c r="C582" s="456" t="s">
        <v>1211</v>
      </c>
      <c r="D582" s="457"/>
      <c r="E582" s="458" t="s">
        <v>279</v>
      </c>
      <c r="F582" s="464">
        <v>179328</v>
      </c>
      <c r="G582" s="461" t="s">
        <v>1635</v>
      </c>
      <c r="H582" s="461"/>
      <c r="I582" s="461"/>
      <c r="J582" s="461"/>
      <c r="K582" s="461"/>
      <c r="L582" s="461"/>
      <c r="M582" s="461"/>
      <c r="N582" s="463"/>
    </row>
    <row r="583" spans="1:14">
      <c r="A583" s="446">
        <f t="shared" si="13"/>
        <v>577</v>
      </c>
      <c r="B583" s="659"/>
      <c r="D583" s="457"/>
      <c r="G583" s="461"/>
      <c r="H583" s="461"/>
      <c r="I583" s="461"/>
      <c r="J583" s="461"/>
      <c r="K583" s="461"/>
      <c r="L583" s="461"/>
      <c r="M583" s="461"/>
      <c r="N583" s="463"/>
    </row>
    <row r="584" spans="1:14" ht="29">
      <c r="A584" s="446">
        <f t="shared" si="13"/>
        <v>578</v>
      </c>
      <c r="B584" s="659"/>
      <c r="C584" s="448" t="s">
        <v>2216</v>
      </c>
      <c r="D584" s="457"/>
      <c r="G584" s="461"/>
      <c r="H584" s="461"/>
      <c r="I584" s="461"/>
      <c r="J584" s="461"/>
      <c r="K584" s="461"/>
      <c r="L584" s="461"/>
      <c r="M584" s="461"/>
      <c r="N584" s="463"/>
    </row>
    <row r="585" spans="1:14" ht="29">
      <c r="A585" s="446">
        <f t="shared" si="13"/>
        <v>579</v>
      </c>
      <c r="B585" s="659"/>
      <c r="C585" s="456" t="s">
        <v>1220</v>
      </c>
      <c r="D585" s="457"/>
      <c r="E585" s="458" t="s">
        <v>279</v>
      </c>
      <c r="F585" s="464">
        <v>922164</v>
      </c>
      <c r="G585" s="461" t="s">
        <v>1635</v>
      </c>
      <c r="H585" s="461"/>
      <c r="I585" s="461"/>
      <c r="J585" s="461"/>
      <c r="K585" s="461"/>
      <c r="L585" s="461"/>
      <c r="M585" s="461"/>
      <c r="N585" s="463"/>
    </row>
    <row r="586" spans="1:14" ht="29">
      <c r="A586" s="446">
        <f t="shared" si="13"/>
        <v>580</v>
      </c>
      <c r="B586" s="659"/>
      <c r="C586" s="456" t="s">
        <v>1222</v>
      </c>
      <c r="D586" s="457"/>
      <c r="E586" s="458" t="s">
        <v>279</v>
      </c>
      <c r="F586" s="464">
        <v>690735</v>
      </c>
      <c r="G586" s="461" t="s">
        <v>1635</v>
      </c>
      <c r="H586" s="461"/>
      <c r="I586" s="461"/>
      <c r="J586" s="461"/>
      <c r="K586" s="461"/>
      <c r="L586" s="461"/>
      <c r="M586" s="461"/>
      <c r="N586" s="463"/>
    </row>
    <row r="587" spans="1:14">
      <c r="A587" s="446">
        <f t="shared" si="13"/>
        <v>581</v>
      </c>
      <c r="B587" s="659"/>
      <c r="D587" s="457"/>
      <c r="G587" s="461"/>
      <c r="H587" s="461"/>
      <c r="I587" s="461"/>
      <c r="J587" s="461"/>
      <c r="K587" s="461"/>
      <c r="L587" s="461"/>
      <c r="M587" s="461"/>
      <c r="N587" s="463"/>
    </row>
    <row r="588" spans="1:14">
      <c r="A588" s="446">
        <f t="shared" si="13"/>
        <v>582</v>
      </c>
      <c r="B588" s="659"/>
      <c r="C588" s="448" t="s">
        <v>2217</v>
      </c>
      <c r="D588" s="457"/>
      <c r="G588" s="461"/>
      <c r="H588" s="461"/>
      <c r="I588" s="461"/>
      <c r="J588" s="461"/>
      <c r="K588" s="461"/>
      <c r="L588" s="461"/>
      <c r="M588" s="461"/>
      <c r="N588" s="463"/>
    </row>
    <row r="589" spans="1:14">
      <c r="A589" s="446">
        <f t="shared" si="13"/>
        <v>583</v>
      </c>
      <c r="B589" s="659"/>
      <c r="C589" s="482" t="s">
        <v>849</v>
      </c>
      <c r="D589" s="457" t="s">
        <v>2218</v>
      </c>
      <c r="E589" s="458" t="s">
        <v>279</v>
      </c>
      <c r="F589" s="464">
        <v>6259</v>
      </c>
      <c r="G589" s="461"/>
      <c r="H589" s="461"/>
      <c r="I589" s="461"/>
      <c r="J589" s="461" t="s">
        <v>1635</v>
      </c>
      <c r="K589" s="461"/>
      <c r="L589" s="461"/>
      <c r="M589" s="461"/>
      <c r="N589" s="463"/>
    </row>
    <row r="590" spans="1:14">
      <c r="A590" s="446">
        <f t="shared" si="13"/>
        <v>584</v>
      </c>
      <c r="B590" s="659" t="s">
        <v>856</v>
      </c>
      <c r="C590" s="482" t="s">
        <v>857</v>
      </c>
      <c r="D590" s="457" t="s">
        <v>2219</v>
      </c>
      <c r="E590" s="458" t="s">
        <v>1680</v>
      </c>
      <c r="F590" s="464">
        <v>35005</v>
      </c>
      <c r="G590" s="461"/>
      <c r="H590" s="461"/>
      <c r="I590" s="461"/>
      <c r="J590" s="461" t="s">
        <v>1635</v>
      </c>
      <c r="K590" s="461"/>
      <c r="L590" s="461"/>
      <c r="M590" s="461"/>
      <c r="N590" s="463"/>
    </row>
    <row r="591" spans="1:14">
      <c r="A591" s="446">
        <f t="shared" si="13"/>
        <v>585</v>
      </c>
      <c r="B591" s="659"/>
      <c r="C591" s="482" t="s">
        <v>861</v>
      </c>
      <c r="D591" s="457" t="s">
        <v>2220</v>
      </c>
      <c r="E591" s="458" t="s">
        <v>279</v>
      </c>
      <c r="F591" s="464">
        <v>280629</v>
      </c>
      <c r="G591" s="461"/>
      <c r="H591" s="461"/>
      <c r="I591" s="461"/>
      <c r="J591" s="461" t="s">
        <v>1635</v>
      </c>
      <c r="K591" s="461"/>
      <c r="L591" s="461"/>
      <c r="M591" s="461"/>
      <c r="N591" s="463"/>
    </row>
    <row r="592" spans="1:14" ht="29">
      <c r="A592" s="446">
        <f t="shared" si="13"/>
        <v>586</v>
      </c>
      <c r="B592" s="659"/>
      <c r="C592" s="456" t="s">
        <v>1227</v>
      </c>
      <c r="D592" s="457"/>
      <c r="E592" s="458" t="s">
        <v>279</v>
      </c>
      <c r="F592" s="464">
        <v>11571</v>
      </c>
      <c r="G592" s="461"/>
      <c r="H592" s="461"/>
      <c r="I592" s="461"/>
      <c r="J592" s="461" t="s">
        <v>1635</v>
      </c>
      <c r="K592" s="461"/>
      <c r="L592" s="461"/>
      <c r="M592" s="461"/>
      <c r="N592" s="463"/>
    </row>
    <row r="593" spans="1:14">
      <c r="A593" s="446">
        <f t="shared" si="13"/>
        <v>587</v>
      </c>
      <c r="B593" s="659"/>
      <c r="C593" s="456" t="s">
        <v>1230</v>
      </c>
      <c r="D593" s="457"/>
      <c r="E593" s="458" t="s">
        <v>279</v>
      </c>
      <c r="F593" s="464">
        <v>45730</v>
      </c>
      <c r="G593" s="461"/>
      <c r="H593" s="461"/>
      <c r="I593" s="461"/>
      <c r="J593" s="461" t="s">
        <v>1635</v>
      </c>
      <c r="K593" s="461"/>
      <c r="L593" s="461"/>
      <c r="M593" s="461"/>
      <c r="N593" s="463"/>
    </row>
    <row r="594" spans="1:14">
      <c r="A594" s="446">
        <f t="shared" si="13"/>
        <v>588</v>
      </c>
      <c r="B594" s="659"/>
      <c r="C594" s="456" t="s">
        <v>1232</v>
      </c>
      <c r="D594" s="457"/>
      <c r="E594" s="458" t="s">
        <v>279</v>
      </c>
      <c r="F594" s="464">
        <v>230859</v>
      </c>
      <c r="G594" s="461"/>
      <c r="H594" s="461"/>
      <c r="I594" s="461"/>
      <c r="J594" s="461" t="s">
        <v>1635</v>
      </c>
      <c r="K594" s="461"/>
      <c r="L594" s="461"/>
      <c r="M594" s="461"/>
      <c r="N594" s="463"/>
    </row>
    <row r="595" spans="1:14">
      <c r="A595" s="446">
        <f t="shared" si="13"/>
        <v>589</v>
      </c>
      <c r="B595" s="659"/>
      <c r="C595" s="456" t="s">
        <v>1234</v>
      </c>
      <c r="D595" s="457"/>
      <c r="E595" s="458" t="s">
        <v>279</v>
      </c>
      <c r="F595" s="464">
        <v>164631</v>
      </c>
      <c r="G595" s="461"/>
      <c r="H595" s="461"/>
      <c r="I595" s="461"/>
      <c r="J595" s="461" t="s">
        <v>1635</v>
      </c>
      <c r="K595" s="461"/>
      <c r="L595" s="461"/>
      <c r="M595" s="461"/>
      <c r="N595" s="463"/>
    </row>
    <row r="596" spans="1:14">
      <c r="A596" s="446">
        <f t="shared" si="13"/>
        <v>590</v>
      </c>
      <c r="B596" s="659"/>
      <c r="C596" s="456" t="s">
        <v>1236</v>
      </c>
      <c r="D596" s="457"/>
      <c r="E596" s="458" t="s">
        <v>279</v>
      </c>
      <c r="F596" s="464">
        <v>218089</v>
      </c>
      <c r="G596" s="461"/>
      <c r="H596" s="461"/>
      <c r="I596" s="461"/>
      <c r="J596" s="461" t="s">
        <v>1635</v>
      </c>
      <c r="K596" s="461"/>
      <c r="L596" s="461"/>
      <c r="M596" s="461"/>
      <c r="N596" s="463"/>
    </row>
    <row r="597" spans="1:14">
      <c r="A597" s="446">
        <f t="shared" si="13"/>
        <v>591</v>
      </c>
      <c r="B597" s="659"/>
      <c r="C597" s="456" t="s">
        <v>1238</v>
      </c>
      <c r="D597" s="457"/>
      <c r="E597" s="458" t="s">
        <v>279</v>
      </c>
      <c r="F597" s="464">
        <v>102658</v>
      </c>
      <c r="G597" s="461"/>
      <c r="H597" s="461"/>
      <c r="I597" s="461"/>
      <c r="J597" s="461" t="s">
        <v>1635</v>
      </c>
      <c r="K597" s="461"/>
      <c r="L597" s="461"/>
      <c r="M597" s="461"/>
      <c r="N597" s="463"/>
    </row>
    <row r="598" spans="1:14">
      <c r="A598" s="446">
        <f t="shared" si="13"/>
        <v>592</v>
      </c>
      <c r="B598" s="659"/>
      <c r="C598" s="456" t="s">
        <v>1240</v>
      </c>
      <c r="D598" s="457"/>
      <c r="E598" s="458" t="s">
        <v>279</v>
      </c>
      <c r="F598" s="464">
        <v>24740</v>
      </c>
      <c r="G598" s="461"/>
      <c r="H598" s="461"/>
      <c r="I598" s="461"/>
      <c r="J598" s="461" t="s">
        <v>1635</v>
      </c>
      <c r="K598" s="461"/>
      <c r="L598" s="461"/>
      <c r="M598" s="461"/>
      <c r="N598" s="463"/>
    </row>
    <row r="599" spans="1:14">
      <c r="A599" s="446">
        <f t="shared" si="13"/>
        <v>593</v>
      </c>
      <c r="B599" s="659"/>
      <c r="C599" s="456" t="s">
        <v>1242</v>
      </c>
      <c r="D599" s="457"/>
      <c r="E599" s="458" t="s">
        <v>279</v>
      </c>
      <c r="F599" s="464">
        <v>7185</v>
      </c>
      <c r="G599" s="461"/>
      <c r="H599" s="461"/>
      <c r="I599" s="461"/>
      <c r="J599" s="461" t="s">
        <v>1635</v>
      </c>
      <c r="K599" s="461"/>
      <c r="L599" s="461"/>
      <c r="M599" s="461"/>
      <c r="N599" s="463"/>
    </row>
    <row r="600" spans="1:14">
      <c r="A600" s="446">
        <f t="shared" si="13"/>
        <v>594</v>
      </c>
      <c r="B600" s="659"/>
      <c r="C600" s="456" t="s">
        <v>1244</v>
      </c>
      <c r="D600" s="457"/>
      <c r="E600" s="458" t="s">
        <v>279</v>
      </c>
      <c r="F600" s="464">
        <v>76270</v>
      </c>
      <c r="G600" s="461"/>
      <c r="H600" s="461"/>
      <c r="I600" s="461"/>
      <c r="J600" s="461" t="s">
        <v>1635</v>
      </c>
      <c r="K600" s="461"/>
      <c r="L600" s="461"/>
      <c r="M600" s="461"/>
      <c r="N600" s="463"/>
    </row>
    <row r="601" spans="1:14">
      <c r="A601" s="446">
        <f t="shared" si="13"/>
        <v>595</v>
      </c>
      <c r="B601" s="659"/>
      <c r="C601" s="456" t="s">
        <v>1246</v>
      </c>
      <c r="D601" s="457"/>
      <c r="E601" s="458" t="s">
        <v>279</v>
      </c>
      <c r="F601" s="464">
        <v>394136</v>
      </c>
      <c r="G601" s="461"/>
      <c r="H601" s="461"/>
      <c r="I601" s="461"/>
      <c r="J601" s="461" t="s">
        <v>1635</v>
      </c>
      <c r="K601" s="461"/>
      <c r="L601" s="461"/>
      <c r="M601" s="461"/>
      <c r="N601" s="463"/>
    </row>
    <row r="602" spans="1:14">
      <c r="A602" s="446">
        <f t="shared" si="13"/>
        <v>596</v>
      </c>
      <c r="B602" s="659"/>
      <c r="C602" s="456" t="s">
        <v>1250</v>
      </c>
      <c r="D602" s="457"/>
      <c r="E602" s="458" t="s">
        <v>279</v>
      </c>
      <c r="F602" s="464">
        <v>167147</v>
      </c>
      <c r="G602" s="461"/>
      <c r="H602" s="461"/>
      <c r="I602" s="461"/>
      <c r="J602" s="461" t="s">
        <v>1635</v>
      </c>
      <c r="K602" s="461"/>
      <c r="L602" s="461"/>
      <c r="M602" s="461"/>
      <c r="N602" s="463"/>
    </row>
    <row r="603" spans="1:14">
      <c r="A603" s="446">
        <f t="shared" si="13"/>
        <v>597</v>
      </c>
      <c r="B603" s="659" t="s">
        <v>872</v>
      </c>
      <c r="C603" s="456" t="s">
        <v>2221</v>
      </c>
      <c r="D603" s="457" t="s">
        <v>2222</v>
      </c>
      <c r="E603" s="458" t="s">
        <v>279</v>
      </c>
      <c r="F603" s="464">
        <v>12472</v>
      </c>
      <c r="G603" s="461"/>
      <c r="H603" s="461"/>
      <c r="I603" s="461"/>
      <c r="J603" s="461" t="s">
        <v>1635</v>
      </c>
      <c r="K603" s="461"/>
      <c r="L603" s="461"/>
      <c r="M603" s="461"/>
      <c r="N603" s="463"/>
    </row>
    <row r="604" spans="1:14">
      <c r="A604" s="446">
        <f t="shared" si="13"/>
        <v>598</v>
      </c>
      <c r="B604" s="659"/>
      <c r="C604" s="456" t="s">
        <v>1252</v>
      </c>
      <c r="D604" s="457"/>
      <c r="E604" s="458" t="s">
        <v>279</v>
      </c>
      <c r="F604" s="464">
        <v>153368</v>
      </c>
      <c r="G604" s="461"/>
      <c r="H604" s="461"/>
      <c r="I604" s="461"/>
      <c r="J604" s="461" t="s">
        <v>1635</v>
      </c>
      <c r="K604" s="461"/>
      <c r="L604" s="461"/>
      <c r="M604" s="461"/>
      <c r="N604" s="463"/>
    </row>
    <row r="605" spans="1:14">
      <c r="A605" s="446">
        <f t="shared" si="13"/>
        <v>599</v>
      </c>
      <c r="B605" s="659"/>
      <c r="C605" s="456" t="s">
        <v>1254</v>
      </c>
      <c r="D605" s="457"/>
      <c r="E605" s="458" t="s">
        <v>1680</v>
      </c>
      <c r="F605" s="464">
        <v>100401</v>
      </c>
      <c r="G605" s="461"/>
      <c r="H605" s="461"/>
      <c r="I605" s="461"/>
      <c r="J605" s="461" t="s">
        <v>1635</v>
      </c>
      <c r="K605" s="461"/>
      <c r="L605" s="461"/>
      <c r="M605" s="461"/>
      <c r="N605" s="463"/>
    </row>
    <row r="606" spans="1:14">
      <c r="A606" s="446">
        <f t="shared" si="13"/>
        <v>600</v>
      </c>
      <c r="B606" s="659"/>
      <c r="C606" s="456" t="s">
        <v>1256</v>
      </c>
      <c r="D606" s="457"/>
      <c r="E606" s="458" t="s">
        <v>279</v>
      </c>
      <c r="F606" s="464">
        <v>189361</v>
      </c>
      <c r="G606" s="461"/>
      <c r="H606" s="461"/>
      <c r="I606" s="461"/>
      <c r="J606" s="461" t="s">
        <v>1635</v>
      </c>
      <c r="K606" s="461"/>
      <c r="L606" s="461"/>
      <c r="M606" s="461"/>
      <c r="N606" s="463"/>
    </row>
    <row r="607" spans="1:14">
      <c r="A607" s="446">
        <f t="shared" si="13"/>
        <v>601</v>
      </c>
      <c r="B607" s="659"/>
      <c r="C607" s="456" t="s">
        <v>1258</v>
      </c>
      <c r="D607" s="457"/>
      <c r="E607" s="458" t="s">
        <v>279</v>
      </c>
      <c r="F607" s="464">
        <v>7698</v>
      </c>
      <c r="G607" s="461"/>
      <c r="H607" s="461"/>
      <c r="I607" s="461"/>
      <c r="J607" s="461" t="s">
        <v>1635</v>
      </c>
      <c r="K607" s="461"/>
      <c r="L607" s="461"/>
      <c r="M607" s="461"/>
      <c r="N607" s="463"/>
    </row>
    <row r="608" spans="1:14">
      <c r="A608" s="446">
        <f t="shared" si="13"/>
        <v>602</v>
      </c>
      <c r="B608" s="659"/>
      <c r="C608" s="456" t="s">
        <v>1260</v>
      </c>
      <c r="D608" s="457"/>
      <c r="E608" s="458" t="s">
        <v>279</v>
      </c>
      <c r="F608" s="464">
        <v>62298</v>
      </c>
      <c r="G608" s="461"/>
      <c r="H608" s="461"/>
      <c r="I608" s="461"/>
      <c r="J608" s="461" t="s">
        <v>1635</v>
      </c>
      <c r="K608" s="461"/>
      <c r="L608" s="461"/>
      <c r="M608" s="461"/>
      <c r="N608" s="463"/>
    </row>
    <row r="609" spans="1:14">
      <c r="A609" s="446">
        <f t="shared" si="13"/>
        <v>603</v>
      </c>
      <c r="B609" s="659"/>
      <c r="C609" s="456" t="s">
        <v>1262</v>
      </c>
      <c r="D609" s="457"/>
      <c r="E609" s="458" t="s">
        <v>279</v>
      </c>
      <c r="F609" s="464">
        <v>171598</v>
      </c>
      <c r="G609" s="461"/>
      <c r="H609" s="461"/>
      <c r="I609" s="461"/>
      <c r="J609" s="461" t="s">
        <v>1635</v>
      </c>
      <c r="K609" s="461"/>
      <c r="L609" s="461"/>
      <c r="M609" s="461"/>
      <c r="N609" s="463"/>
    </row>
    <row r="610" spans="1:14">
      <c r="A610" s="446">
        <f t="shared" si="13"/>
        <v>604</v>
      </c>
      <c r="B610" s="659"/>
      <c r="C610" s="456" t="s">
        <v>1264</v>
      </c>
      <c r="D610" s="457"/>
      <c r="E610" s="458" t="s">
        <v>279</v>
      </c>
      <c r="F610" s="464">
        <v>131000</v>
      </c>
      <c r="G610" s="461"/>
      <c r="H610" s="461"/>
      <c r="I610" s="461"/>
      <c r="J610" s="461" t="s">
        <v>1635</v>
      </c>
      <c r="K610" s="461"/>
      <c r="L610" s="461"/>
      <c r="M610" s="461"/>
      <c r="N610" s="463"/>
    </row>
    <row r="611" spans="1:14">
      <c r="A611" s="446">
        <f t="shared" si="13"/>
        <v>605</v>
      </c>
      <c r="B611" s="659"/>
      <c r="C611" s="456" t="s">
        <v>1266</v>
      </c>
      <c r="D611" s="457"/>
      <c r="E611" s="458" t="s">
        <v>279</v>
      </c>
      <c r="F611" s="464">
        <v>466409</v>
      </c>
      <c r="G611" s="461"/>
      <c r="H611" s="461"/>
      <c r="I611" s="461"/>
      <c r="J611" s="461" t="s">
        <v>1635</v>
      </c>
      <c r="K611" s="461"/>
      <c r="L611" s="461"/>
      <c r="M611" s="461"/>
      <c r="N611" s="463"/>
    </row>
    <row r="612" spans="1:14">
      <c r="A612" s="446">
        <f t="shared" si="13"/>
        <v>606</v>
      </c>
      <c r="B612" s="659"/>
      <c r="C612" s="456" t="s">
        <v>1268</v>
      </c>
      <c r="D612" s="457"/>
      <c r="E612" s="458" t="s">
        <v>279</v>
      </c>
      <c r="F612" s="464">
        <v>10541</v>
      </c>
      <c r="G612" s="461"/>
      <c r="H612" s="461"/>
      <c r="I612" s="461"/>
      <c r="J612" s="461" t="s">
        <v>1635</v>
      </c>
      <c r="K612" s="461"/>
      <c r="L612" s="461"/>
      <c r="M612" s="461"/>
      <c r="N612" s="463"/>
    </row>
    <row r="613" spans="1:14">
      <c r="A613" s="446">
        <f t="shared" si="13"/>
        <v>607</v>
      </c>
      <c r="B613" s="659"/>
      <c r="C613" s="456" t="s">
        <v>1270</v>
      </c>
      <c r="D613" s="457"/>
      <c r="E613" s="458" t="s">
        <v>1680</v>
      </c>
      <c r="F613" s="464">
        <v>191107</v>
      </c>
      <c r="G613" s="461"/>
      <c r="H613" s="461"/>
      <c r="I613" s="461"/>
      <c r="J613" s="461" t="s">
        <v>1635</v>
      </c>
      <c r="K613" s="461"/>
      <c r="L613" s="461"/>
      <c r="M613" s="461"/>
      <c r="N613" s="463"/>
    </row>
    <row r="614" spans="1:14">
      <c r="A614" s="446">
        <f t="shared" si="13"/>
        <v>608</v>
      </c>
      <c r="B614" s="659"/>
      <c r="C614" s="456" t="s">
        <v>1272</v>
      </c>
      <c r="D614" s="457"/>
      <c r="E614" s="458" t="s">
        <v>1680</v>
      </c>
      <c r="F614" s="464">
        <v>10289</v>
      </c>
      <c r="G614" s="461"/>
      <c r="H614" s="461"/>
      <c r="I614" s="461"/>
      <c r="J614" s="461" t="s">
        <v>1635</v>
      </c>
      <c r="K614" s="461"/>
      <c r="L614" s="461"/>
      <c r="M614" s="461"/>
      <c r="N614" s="463"/>
    </row>
    <row r="615" spans="1:14">
      <c r="A615" s="446">
        <f t="shared" si="13"/>
        <v>609</v>
      </c>
      <c r="B615" s="659"/>
      <c r="C615" s="456" t="s">
        <v>1274</v>
      </c>
      <c r="D615" s="457"/>
      <c r="E615" s="458" t="s">
        <v>279</v>
      </c>
      <c r="F615" s="464">
        <v>425677</v>
      </c>
      <c r="G615" s="461"/>
      <c r="H615" s="461"/>
      <c r="I615" s="461"/>
      <c r="J615" s="461" t="s">
        <v>1635</v>
      </c>
      <c r="K615" s="461"/>
      <c r="L615" s="461"/>
      <c r="M615" s="461"/>
      <c r="N615" s="463"/>
    </row>
    <row r="616" spans="1:14">
      <c r="A616" s="446">
        <f t="shared" si="13"/>
        <v>610</v>
      </c>
      <c r="B616" s="659"/>
      <c r="C616" s="456" t="s">
        <v>1276</v>
      </c>
      <c r="D616" s="457"/>
      <c r="E616" s="458" t="s">
        <v>279</v>
      </c>
      <c r="F616" s="464">
        <v>177362</v>
      </c>
      <c r="G616" s="461"/>
      <c r="H616" s="461"/>
      <c r="I616" s="461"/>
      <c r="J616" s="461" t="s">
        <v>1635</v>
      </c>
      <c r="K616" s="461"/>
      <c r="L616" s="461"/>
      <c r="M616" s="461"/>
      <c r="N616" s="463"/>
    </row>
    <row r="617" spans="1:14">
      <c r="A617" s="446">
        <f t="shared" si="13"/>
        <v>611</v>
      </c>
      <c r="B617" s="659"/>
      <c r="C617" s="456" t="s">
        <v>1278</v>
      </c>
      <c r="D617" s="457"/>
      <c r="E617" s="458" t="s">
        <v>279</v>
      </c>
      <c r="F617" s="464">
        <v>70833</v>
      </c>
      <c r="G617" s="461"/>
      <c r="H617" s="461"/>
      <c r="I617" s="461"/>
      <c r="J617" s="461" t="s">
        <v>1635</v>
      </c>
      <c r="K617" s="461"/>
      <c r="L617" s="461"/>
      <c r="M617" s="461"/>
      <c r="N617" s="463"/>
    </row>
    <row r="618" spans="1:14">
      <c r="A618" s="446">
        <f t="shared" si="13"/>
        <v>612</v>
      </c>
      <c r="B618" s="659"/>
      <c r="C618" s="456" t="s">
        <v>1280</v>
      </c>
      <c r="D618" s="457"/>
      <c r="E618" s="458" t="s">
        <v>279</v>
      </c>
      <c r="F618" s="464">
        <v>197198</v>
      </c>
      <c r="G618" s="461"/>
      <c r="H618" s="461"/>
      <c r="I618" s="461"/>
      <c r="J618" s="461" t="s">
        <v>1635</v>
      </c>
      <c r="K618" s="461"/>
      <c r="L618" s="461"/>
      <c r="M618" s="461"/>
      <c r="N618" s="463"/>
    </row>
    <row r="619" spans="1:14">
      <c r="A619" s="446">
        <f t="shared" si="13"/>
        <v>613</v>
      </c>
      <c r="B619" s="659"/>
      <c r="C619" s="456" t="s">
        <v>1282</v>
      </c>
      <c r="D619" s="457"/>
      <c r="E619" s="458" t="s">
        <v>1680</v>
      </c>
      <c r="F619" s="464">
        <v>306573</v>
      </c>
      <c r="G619" s="461"/>
      <c r="H619" s="461"/>
      <c r="I619" s="461"/>
      <c r="J619" s="461" t="s">
        <v>1635</v>
      </c>
      <c r="K619" s="461"/>
      <c r="L619" s="461"/>
      <c r="M619" s="461"/>
      <c r="N619" s="463"/>
    </row>
    <row r="620" spans="1:14">
      <c r="A620" s="446">
        <f t="shared" si="13"/>
        <v>614</v>
      </c>
      <c r="B620" s="659"/>
      <c r="C620" s="456" t="s">
        <v>1284</v>
      </c>
      <c r="D620" s="457" t="s">
        <v>2223</v>
      </c>
      <c r="E620" s="458" t="s">
        <v>1680</v>
      </c>
      <c r="F620" s="464">
        <v>1399</v>
      </c>
      <c r="G620" s="461"/>
      <c r="H620" s="461"/>
      <c r="I620" s="461"/>
      <c r="J620" s="461" t="s">
        <v>1635</v>
      </c>
      <c r="K620" s="461"/>
      <c r="L620" s="461"/>
      <c r="M620" s="461"/>
      <c r="N620" s="463"/>
    </row>
    <row r="621" spans="1:14">
      <c r="A621" s="446">
        <f t="shared" si="13"/>
        <v>615</v>
      </c>
      <c r="B621" s="659"/>
      <c r="C621" s="456" t="s">
        <v>1286</v>
      </c>
      <c r="D621" s="457"/>
      <c r="E621" s="458" t="s">
        <v>279</v>
      </c>
      <c r="F621" s="464">
        <v>7473</v>
      </c>
      <c r="G621" s="461"/>
      <c r="H621" s="461"/>
      <c r="I621" s="461"/>
      <c r="J621" s="461" t="s">
        <v>1635</v>
      </c>
      <c r="K621" s="461"/>
      <c r="L621" s="461"/>
      <c r="M621" s="461"/>
      <c r="N621" s="463"/>
    </row>
    <row r="622" spans="1:14">
      <c r="A622" s="446">
        <f t="shared" si="13"/>
        <v>616</v>
      </c>
      <c r="B622" s="659"/>
      <c r="C622" s="456" t="s">
        <v>1288</v>
      </c>
      <c r="D622" s="457"/>
      <c r="E622" s="458" t="s">
        <v>279</v>
      </c>
      <c r="F622" s="464">
        <v>209781</v>
      </c>
      <c r="G622" s="461"/>
      <c r="H622" s="461"/>
      <c r="I622" s="461"/>
      <c r="J622" s="461" t="s">
        <v>1635</v>
      </c>
      <c r="K622" s="461"/>
      <c r="L622" s="461"/>
      <c r="M622" s="461"/>
      <c r="N622" s="463"/>
    </row>
    <row r="623" spans="1:14">
      <c r="A623" s="446">
        <f t="shared" si="13"/>
        <v>617</v>
      </c>
      <c r="B623" s="659"/>
      <c r="C623" s="456" t="s">
        <v>1290</v>
      </c>
      <c r="D623" s="457"/>
      <c r="E623" s="458" t="s">
        <v>279</v>
      </c>
      <c r="F623" s="464">
        <v>35366</v>
      </c>
      <c r="G623" s="461"/>
      <c r="H623" s="461"/>
      <c r="I623" s="461"/>
      <c r="J623" s="461" t="s">
        <v>1635</v>
      </c>
      <c r="K623" s="461"/>
      <c r="L623" s="461"/>
      <c r="M623" s="461"/>
      <c r="N623" s="463"/>
    </row>
    <row r="624" spans="1:14" ht="29">
      <c r="A624" s="446">
        <f t="shared" si="13"/>
        <v>618</v>
      </c>
      <c r="B624" s="659"/>
      <c r="C624" s="456" t="s">
        <v>1292</v>
      </c>
      <c r="D624" s="457"/>
      <c r="E624" s="458" t="s">
        <v>279</v>
      </c>
      <c r="F624" s="464">
        <v>1296</v>
      </c>
      <c r="G624" s="461"/>
      <c r="H624" s="461"/>
      <c r="I624" s="461"/>
      <c r="J624" s="461" t="s">
        <v>1635</v>
      </c>
      <c r="K624" s="461"/>
      <c r="L624" s="461"/>
      <c r="M624" s="461"/>
      <c r="N624" s="463"/>
    </row>
    <row r="625" spans="1:14">
      <c r="A625" s="446">
        <f t="shared" si="13"/>
        <v>619</v>
      </c>
      <c r="B625" s="659"/>
      <c r="C625" s="456" t="s">
        <v>1296</v>
      </c>
      <c r="D625" s="457"/>
      <c r="E625" s="458" t="s">
        <v>279</v>
      </c>
      <c r="F625" s="464">
        <v>54241</v>
      </c>
      <c r="G625" s="461"/>
      <c r="H625" s="461"/>
      <c r="I625" s="461"/>
      <c r="J625" s="461" t="s">
        <v>1635</v>
      </c>
      <c r="K625" s="461"/>
      <c r="L625" s="461"/>
      <c r="M625" s="461"/>
      <c r="N625" s="463"/>
    </row>
    <row r="626" spans="1:14">
      <c r="A626" s="446">
        <f t="shared" si="13"/>
        <v>620</v>
      </c>
      <c r="B626" s="659"/>
      <c r="C626" s="456" t="s">
        <v>1298</v>
      </c>
      <c r="D626" s="457"/>
      <c r="E626" s="458" t="s">
        <v>279</v>
      </c>
      <c r="F626" s="464">
        <v>133229</v>
      </c>
      <c r="G626" s="461"/>
      <c r="H626" s="461"/>
      <c r="I626" s="461"/>
      <c r="J626" s="461" t="s">
        <v>1635</v>
      </c>
      <c r="K626" s="461"/>
      <c r="L626" s="461"/>
      <c r="M626" s="461"/>
      <c r="N626" s="463"/>
    </row>
    <row r="627" spans="1:14">
      <c r="A627" s="446">
        <f t="shared" si="13"/>
        <v>621</v>
      </c>
      <c r="B627" s="659"/>
      <c r="C627" s="456" t="s">
        <v>1300</v>
      </c>
      <c r="D627" s="457"/>
      <c r="E627" s="458" t="s">
        <v>279</v>
      </c>
      <c r="F627" s="464">
        <v>183706</v>
      </c>
      <c r="G627" s="461"/>
      <c r="H627" s="461"/>
      <c r="I627" s="461"/>
      <c r="J627" s="461" t="s">
        <v>1635</v>
      </c>
      <c r="K627" s="461"/>
      <c r="L627" s="461"/>
      <c r="M627" s="461"/>
      <c r="N627" s="463"/>
    </row>
    <row r="628" spans="1:14">
      <c r="A628" s="446">
        <f t="shared" si="13"/>
        <v>622</v>
      </c>
      <c r="B628" s="659"/>
      <c r="C628" s="456" t="s">
        <v>1302</v>
      </c>
      <c r="D628" s="457"/>
      <c r="E628" s="458" t="s">
        <v>279</v>
      </c>
      <c r="F628" s="464">
        <v>337805</v>
      </c>
      <c r="G628" s="461"/>
      <c r="H628" s="461"/>
      <c r="I628" s="461"/>
      <c r="J628" s="461" t="s">
        <v>1635</v>
      </c>
      <c r="K628" s="461"/>
      <c r="L628" s="461"/>
      <c r="M628" s="461"/>
      <c r="N628" s="463"/>
    </row>
    <row r="629" spans="1:14">
      <c r="A629" s="446">
        <f t="shared" si="13"/>
        <v>623</v>
      </c>
      <c r="B629" s="659"/>
      <c r="C629" s="456" t="s">
        <v>915</v>
      </c>
      <c r="D629" s="457" t="s">
        <v>2224</v>
      </c>
      <c r="E629" s="458" t="s">
        <v>279</v>
      </c>
      <c r="F629" s="464">
        <v>23704</v>
      </c>
      <c r="G629" s="461"/>
      <c r="H629" s="461"/>
      <c r="I629" s="461"/>
      <c r="J629" s="461" t="s">
        <v>1635</v>
      </c>
      <c r="K629" s="461"/>
      <c r="L629" s="461"/>
      <c r="M629" s="461"/>
      <c r="N629" s="463"/>
    </row>
    <row r="630" spans="1:14">
      <c r="A630" s="446">
        <f t="shared" si="13"/>
        <v>624</v>
      </c>
      <c r="B630" s="659"/>
      <c r="C630" s="456" t="s">
        <v>1304</v>
      </c>
      <c r="D630" s="457"/>
      <c r="E630" s="458" t="s">
        <v>1680</v>
      </c>
      <c r="F630" s="464">
        <v>593944</v>
      </c>
      <c r="G630" s="461"/>
      <c r="H630" s="461"/>
      <c r="I630" s="461"/>
      <c r="J630" s="461" t="s">
        <v>1635</v>
      </c>
      <c r="K630" s="461"/>
      <c r="L630" s="461"/>
      <c r="M630" s="461"/>
      <c r="N630" s="463"/>
    </row>
    <row r="631" spans="1:14">
      <c r="A631" s="446">
        <f t="shared" si="13"/>
        <v>625</v>
      </c>
      <c r="B631" s="659"/>
      <c r="C631" s="456" t="s">
        <v>1306</v>
      </c>
      <c r="D631" s="457"/>
      <c r="E631" s="458" t="s">
        <v>279</v>
      </c>
      <c r="F631" s="464">
        <v>189249</v>
      </c>
      <c r="G631" s="461"/>
      <c r="H631" s="461"/>
      <c r="I631" s="461"/>
      <c r="J631" s="461" t="s">
        <v>1635</v>
      </c>
      <c r="K631" s="461"/>
      <c r="L631" s="461"/>
      <c r="M631" s="461"/>
      <c r="N631" s="463"/>
    </row>
    <row r="632" spans="1:14">
      <c r="A632" s="446">
        <f t="shared" si="13"/>
        <v>626</v>
      </c>
      <c r="B632" s="659"/>
      <c r="C632" s="456" t="s">
        <v>1308</v>
      </c>
      <c r="D632" s="457"/>
      <c r="E632" s="458" t="s">
        <v>279</v>
      </c>
      <c r="F632" s="464">
        <v>53227</v>
      </c>
      <c r="G632" s="461"/>
      <c r="H632" s="461"/>
      <c r="I632" s="461"/>
      <c r="J632" s="461" t="s">
        <v>1635</v>
      </c>
      <c r="K632" s="461"/>
      <c r="L632" s="461"/>
      <c r="M632" s="461"/>
      <c r="N632" s="463"/>
    </row>
    <row r="633" spans="1:14">
      <c r="A633" s="446">
        <f t="shared" si="13"/>
        <v>627</v>
      </c>
      <c r="B633" s="659"/>
      <c r="C633" s="456" t="s">
        <v>1310</v>
      </c>
      <c r="D633" s="457"/>
      <c r="E633" s="458" t="s">
        <v>279</v>
      </c>
      <c r="F633" s="464">
        <v>1225</v>
      </c>
      <c r="G633" s="461"/>
      <c r="H633" s="461"/>
      <c r="I633" s="461"/>
      <c r="J633" s="461" t="s">
        <v>1635</v>
      </c>
      <c r="K633" s="461"/>
      <c r="L633" s="461"/>
      <c r="M633" s="461"/>
      <c r="N633" s="463"/>
    </row>
    <row r="634" spans="1:14">
      <c r="A634" s="446">
        <f t="shared" si="13"/>
        <v>628</v>
      </c>
      <c r="B634" s="659"/>
      <c r="C634" s="456" t="s">
        <v>1312</v>
      </c>
      <c r="D634" s="457"/>
      <c r="E634" s="458" t="s">
        <v>1680</v>
      </c>
      <c r="F634" s="464">
        <v>50588</v>
      </c>
      <c r="G634" s="461"/>
      <c r="H634" s="461"/>
      <c r="I634" s="461"/>
      <c r="J634" s="461" t="s">
        <v>1635</v>
      </c>
      <c r="K634" s="461"/>
      <c r="L634" s="461"/>
      <c r="M634" s="461"/>
      <c r="N634" s="463"/>
    </row>
    <row r="635" spans="1:14">
      <c r="A635" s="446">
        <f t="shared" si="13"/>
        <v>629</v>
      </c>
      <c r="B635" s="659"/>
      <c r="C635" s="456" t="s">
        <v>919</v>
      </c>
      <c r="D635" s="457" t="s">
        <v>2225</v>
      </c>
      <c r="E635" s="458" t="s">
        <v>279</v>
      </c>
      <c r="F635" s="464">
        <v>91230</v>
      </c>
      <c r="G635" s="461"/>
      <c r="H635" s="461"/>
      <c r="I635" s="461"/>
      <c r="J635" s="461" t="s">
        <v>1635</v>
      </c>
      <c r="K635" s="461"/>
      <c r="L635" s="461"/>
      <c r="M635" s="461"/>
      <c r="N635" s="463"/>
    </row>
    <row r="636" spans="1:14">
      <c r="A636" s="446">
        <f t="shared" si="13"/>
        <v>630</v>
      </c>
      <c r="B636" s="659"/>
      <c r="C636" s="456" t="s">
        <v>1314</v>
      </c>
      <c r="D636" s="457"/>
      <c r="E636" s="458" t="s">
        <v>279</v>
      </c>
      <c r="F636" s="464">
        <v>98929</v>
      </c>
      <c r="G636" s="461"/>
      <c r="H636" s="461"/>
      <c r="I636" s="461"/>
      <c r="J636" s="461" t="s">
        <v>1635</v>
      </c>
      <c r="K636" s="461"/>
      <c r="L636" s="461"/>
      <c r="M636" s="461"/>
      <c r="N636" s="463"/>
    </row>
    <row r="637" spans="1:14">
      <c r="A637" s="446">
        <f t="shared" si="13"/>
        <v>631</v>
      </c>
      <c r="B637" s="659"/>
      <c r="C637" s="456" t="s">
        <v>1316</v>
      </c>
      <c r="D637" s="457"/>
      <c r="E637" s="458" t="s">
        <v>279</v>
      </c>
      <c r="F637" s="464">
        <v>156018</v>
      </c>
      <c r="G637" s="461"/>
      <c r="H637" s="461"/>
      <c r="I637" s="461"/>
      <c r="J637" s="461" t="s">
        <v>1635</v>
      </c>
      <c r="K637" s="461"/>
      <c r="L637" s="461"/>
      <c r="M637" s="461"/>
      <c r="N637" s="463"/>
    </row>
    <row r="638" spans="1:14">
      <c r="A638" s="446">
        <f t="shared" si="13"/>
        <v>632</v>
      </c>
      <c r="B638" s="659"/>
      <c r="C638" s="456" t="s">
        <v>917</v>
      </c>
      <c r="D638" s="457" t="s">
        <v>2226</v>
      </c>
      <c r="E638" s="458" t="s">
        <v>279</v>
      </c>
      <c r="F638" s="464">
        <v>49112</v>
      </c>
      <c r="G638" s="461"/>
      <c r="H638" s="461"/>
      <c r="I638" s="461"/>
      <c r="J638" s="461" t="s">
        <v>1635</v>
      </c>
      <c r="K638" s="461"/>
      <c r="L638" s="461"/>
      <c r="M638" s="461"/>
      <c r="N638" s="463"/>
    </row>
    <row r="639" spans="1:14">
      <c r="A639" s="446">
        <f t="shared" si="13"/>
        <v>633</v>
      </c>
      <c r="B639" s="659"/>
      <c r="C639" s="456" t="s">
        <v>1318</v>
      </c>
      <c r="D639" s="457"/>
      <c r="E639" s="458" t="s">
        <v>279</v>
      </c>
      <c r="F639" s="464">
        <v>111336</v>
      </c>
      <c r="G639" s="461"/>
      <c r="H639" s="461"/>
      <c r="I639" s="461"/>
      <c r="J639" s="461" t="s">
        <v>1635</v>
      </c>
      <c r="K639" s="461"/>
      <c r="L639" s="461"/>
      <c r="M639" s="461"/>
      <c r="N639" s="463"/>
    </row>
    <row r="640" spans="1:14">
      <c r="A640" s="446">
        <f t="shared" si="13"/>
        <v>634</v>
      </c>
      <c r="B640" s="659"/>
      <c r="C640" s="456" t="s">
        <v>1320</v>
      </c>
      <c r="D640" s="457"/>
      <c r="E640" s="458" t="s">
        <v>279</v>
      </c>
      <c r="F640" s="464">
        <v>433673</v>
      </c>
      <c r="G640" s="461"/>
      <c r="H640" s="461"/>
      <c r="I640" s="461"/>
      <c r="J640" s="461" t="s">
        <v>1635</v>
      </c>
      <c r="K640" s="461"/>
      <c r="L640" s="461"/>
      <c r="M640" s="461"/>
      <c r="N640" s="463"/>
    </row>
    <row r="641" spans="1:14">
      <c r="A641" s="446">
        <f t="shared" ref="A641:A704" si="14">A640+1</f>
        <v>635</v>
      </c>
      <c r="B641" s="659"/>
      <c r="C641" s="456" t="s">
        <v>1322</v>
      </c>
      <c r="D641" s="457"/>
      <c r="E641" s="458" t="s">
        <v>279</v>
      </c>
      <c r="F641" s="464">
        <v>137620</v>
      </c>
      <c r="G641" s="461"/>
      <c r="H641" s="461"/>
      <c r="I641" s="461"/>
      <c r="J641" s="461" t="s">
        <v>1635</v>
      </c>
      <c r="K641" s="461"/>
      <c r="L641" s="461"/>
      <c r="M641" s="461"/>
      <c r="N641" s="463"/>
    </row>
    <row r="642" spans="1:14">
      <c r="A642" s="446">
        <f t="shared" si="14"/>
        <v>636</v>
      </c>
      <c r="B642" s="659"/>
      <c r="C642" s="456" t="s">
        <v>1324</v>
      </c>
      <c r="D642" s="457"/>
      <c r="E642" s="458" t="s">
        <v>279</v>
      </c>
      <c r="F642" s="464">
        <v>203034</v>
      </c>
      <c r="G642" s="461"/>
      <c r="H642" s="461"/>
      <c r="I642" s="461"/>
      <c r="J642" s="461" t="s">
        <v>1635</v>
      </c>
      <c r="K642" s="461"/>
      <c r="L642" s="461"/>
      <c r="M642" s="461"/>
      <c r="N642" s="463"/>
    </row>
    <row r="643" spans="1:14">
      <c r="A643" s="446">
        <f t="shared" si="14"/>
        <v>637</v>
      </c>
      <c r="B643" s="659"/>
      <c r="C643" s="456" t="s">
        <v>1326</v>
      </c>
      <c r="D643" s="457"/>
      <c r="E643" s="458" t="s">
        <v>279</v>
      </c>
      <c r="F643" s="464">
        <v>1700</v>
      </c>
      <c r="G643" s="461"/>
      <c r="H643" s="461"/>
      <c r="I643" s="461"/>
      <c r="J643" s="461" t="s">
        <v>1635</v>
      </c>
      <c r="K643" s="461"/>
      <c r="L643" s="461"/>
      <c r="M643" s="461"/>
      <c r="N643" s="463"/>
    </row>
    <row r="644" spans="1:14">
      <c r="A644" s="446">
        <f t="shared" si="14"/>
        <v>638</v>
      </c>
      <c r="B644" s="659"/>
      <c r="C644" s="456" t="s">
        <v>1328</v>
      </c>
      <c r="D644" s="457"/>
      <c r="E644" s="458" t="s">
        <v>279</v>
      </c>
      <c r="F644" s="464">
        <v>51407</v>
      </c>
      <c r="G644" s="461"/>
      <c r="H644" s="461"/>
      <c r="I644" s="461"/>
      <c r="J644" s="461" t="s">
        <v>1635</v>
      </c>
      <c r="K644" s="461"/>
      <c r="L644" s="461"/>
      <c r="M644" s="461"/>
      <c r="N644" s="463"/>
    </row>
    <row r="645" spans="1:14">
      <c r="A645" s="446">
        <f t="shared" si="14"/>
        <v>639</v>
      </c>
      <c r="B645" s="659"/>
      <c r="C645" s="456" t="s">
        <v>1330</v>
      </c>
      <c r="D645" s="457"/>
      <c r="E645" s="458" t="s">
        <v>279</v>
      </c>
      <c r="F645" s="464">
        <v>228099</v>
      </c>
      <c r="G645" s="461"/>
      <c r="H645" s="461"/>
      <c r="I645" s="461"/>
      <c r="J645" s="461" t="s">
        <v>1635</v>
      </c>
      <c r="K645" s="461"/>
      <c r="L645" s="461"/>
      <c r="M645" s="461"/>
      <c r="N645" s="463"/>
    </row>
    <row r="646" spans="1:14">
      <c r="A646" s="446">
        <f t="shared" si="14"/>
        <v>640</v>
      </c>
      <c r="B646" s="659"/>
      <c r="C646" s="456" t="s">
        <v>1332</v>
      </c>
      <c r="D646" s="457"/>
      <c r="E646" s="458" t="s">
        <v>279</v>
      </c>
      <c r="F646" s="464">
        <v>143269</v>
      </c>
      <c r="G646" s="461"/>
      <c r="H646" s="461"/>
      <c r="I646" s="461"/>
      <c r="J646" s="461" t="s">
        <v>1635</v>
      </c>
      <c r="K646" s="461"/>
      <c r="L646" s="461"/>
      <c r="M646" s="461"/>
      <c r="N646" s="463"/>
    </row>
    <row r="647" spans="1:14" ht="29">
      <c r="A647" s="446">
        <f t="shared" si="14"/>
        <v>641</v>
      </c>
      <c r="B647" s="659"/>
      <c r="C647" s="456" t="s">
        <v>1336</v>
      </c>
      <c r="D647" s="457"/>
      <c r="E647" s="458" t="s">
        <v>279</v>
      </c>
      <c r="F647" s="464">
        <v>326689</v>
      </c>
      <c r="G647" s="461"/>
      <c r="H647" s="461"/>
      <c r="I647" s="461"/>
      <c r="J647" s="461" t="s">
        <v>1635</v>
      </c>
      <c r="K647" s="461"/>
      <c r="L647" s="461"/>
      <c r="M647" s="461"/>
      <c r="N647" s="463"/>
    </row>
    <row r="648" spans="1:14">
      <c r="A648" s="446">
        <f t="shared" si="14"/>
        <v>642</v>
      </c>
      <c r="B648" s="659"/>
      <c r="C648" s="456" t="s">
        <v>1338</v>
      </c>
      <c r="D648" s="457"/>
      <c r="E648" s="458" t="s">
        <v>279</v>
      </c>
      <c r="F648" s="464">
        <v>46264</v>
      </c>
      <c r="G648" s="461"/>
      <c r="H648" s="461"/>
      <c r="I648" s="461"/>
      <c r="J648" s="461" t="s">
        <v>1635</v>
      </c>
      <c r="K648" s="461"/>
      <c r="L648" s="461"/>
      <c r="M648" s="461"/>
      <c r="N648" s="463"/>
    </row>
    <row r="649" spans="1:14" ht="29">
      <c r="A649" s="446">
        <f t="shared" si="14"/>
        <v>643</v>
      </c>
      <c r="B649" s="659"/>
      <c r="C649" s="456" t="s">
        <v>1340</v>
      </c>
      <c r="D649" s="457"/>
      <c r="E649" s="458" t="s">
        <v>279</v>
      </c>
      <c r="F649" s="464">
        <v>30489</v>
      </c>
      <c r="G649" s="461"/>
      <c r="H649" s="461"/>
      <c r="I649" s="461"/>
      <c r="J649" s="461" t="s">
        <v>1635</v>
      </c>
      <c r="K649" s="461"/>
      <c r="L649" s="461"/>
      <c r="M649" s="461"/>
      <c r="N649" s="463"/>
    </row>
    <row r="650" spans="1:14">
      <c r="A650" s="446">
        <f t="shared" si="14"/>
        <v>644</v>
      </c>
      <c r="B650" s="659"/>
      <c r="C650" s="456" t="s">
        <v>1342</v>
      </c>
      <c r="D650" s="457" t="s">
        <v>2227</v>
      </c>
      <c r="E650" s="458" t="s">
        <v>1680</v>
      </c>
      <c r="F650" s="464">
        <v>130348</v>
      </c>
      <c r="G650" s="461"/>
      <c r="H650" s="461"/>
      <c r="I650" s="461"/>
      <c r="J650" s="461" t="s">
        <v>1635</v>
      </c>
      <c r="K650" s="483"/>
      <c r="L650" s="461"/>
      <c r="M650" s="484"/>
      <c r="N650" s="485"/>
    </row>
    <row r="651" spans="1:14">
      <c r="A651" s="446">
        <f t="shared" si="14"/>
        <v>645</v>
      </c>
      <c r="B651" s="659"/>
      <c r="C651" s="456" t="s">
        <v>1344</v>
      </c>
      <c r="D651" s="457"/>
      <c r="E651" s="458" t="s">
        <v>2228</v>
      </c>
      <c r="F651" s="464">
        <v>168846</v>
      </c>
      <c r="G651" s="461"/>
      <c r="H651" s="461"/>
      <c r="I651" s="461"/>
      <c r="J651" s="461" t="s">
        <v>1635</v>
      </c>
      <c r="K651" s="461"/>
      <c r="L651" s="461"/>
      <c r="M651" s="461"/>
      <c r="N651" s="463"/>
    </row>
    <row r="652" spans="1:14" ht="43.5">
      <c r="A652" s="446">
        <f t="shared" si="14"/>
        <v>646</v>
      </c>
      <c r="B652" s="659"/>
      <c r="C652" s="456" t="s">
        <v>1346</v>
      </c>
      <c r="D652" s="457"/>
      <c r="E652" s="458" t="s">
        <v>2228</v>
      </c>
      <c r="F652" s="464">
        <v>255807</v>
      </c>
      <c r="G652" s="461"/>
      <c r="H652" s="461"/>
      <c r="I652" s="461"/>
      <c r="J652" s="461" t="s">
        <v>1635</v>
      </c>
      <c r="K652" s="461"/>
      <c r="L652" s="461"/>
      <c r="M652" s="461"/>
      <c r="N652" s="463"/>
    </row>
    <row r="653" spans="1:14">
      <c r="A653" s="446">
        <f t="shared" si="14"/>
        <v>647</v>
      </c>
      <c r="B653" s="659"/>
      <c r="C653" s="456" t="s">
        <v>1348</v>
      </c>
      <c r="D653" s="457"/>
      <c r="E653" s="458" t="s">
        <v>2228</v>
      </c>
      <c r="F653" s="464">
        <v>73382</v>
      </c>
      <c r="G653" s="461"/>
      <c r="H653" s="461"/>
      <c r="I653" s="461"/>
      <c r="J653" s="461" t="s">
        <v>1635</v>
      </c>
      <c r="K653" s="461"/>
      <c r="L653" s="461"/>
      <c r="M653" s="461"/>
      <c r="N653" s="463"/>
    </row>
    <row r="654" spans="1:14">
      <c r="A654" s="446">
        <f t="shared" si="14"/>
        <v>648</v>
      </c>
      <c r="B654" s="659" t="s">
        <v>944</v>
      </c>
      <c r="C654" s="456" t="s">
        <v>2229</v>
      </c>
      <c r="D654" s="457" t="s">
        <v>2230</v>
      </c>
      <c r="E654" s="458" t="s">
        <v>279</v>
      </c>
      <c r="F654" s="464">
        <v>253710.27</v>
      </c>
      <c r="G654" s="461"/>
      <c r="H654" s="461"/>
      <c r="I654" s="461"/>
      <c r="J654" s="461" t="s">
        <v>1635</v>
      </c>
      <c r="K654" s="461"/>
      <c r="L654" s="461"/>
      <c r="M654" s="461"/>
      <c r="N654" s="463"/>
    </row>
    <row r="655" spans="1:14" ht="17.25" customHeight="1">
      <c r="A655" s="446">
        <f t="shared" si="14"/>
        <v>649</v>
      </c>
      <c r="B655" s="659"/>
      <c r="C655" s="456" t="s">
        <v>1352</v>
      </c>
      <c r="D655" s="457"/>
      <c r="E655" s="458" t="s">
        <v>279</v>
      </c>
      <c r="F655" s="464">
        <v>66757</v>
      </c>
      <c r="G655" s="461"/>
      <c r="H655" s="461"/>
      <c r="I655" s="461"/>
      <c r="J655" s="461" t="s">
        <v>1635</v>
      </c>
      <c r="K655" s="461"/>
      <c r="L655" s="461"/>
      <c r="M655" s="461"/>
      <c r="N655" s="463"/>
    </row>
    <row r="656" spans="1:14" ht="29">
      <c r="A656" s="446">
        <f t="shared" si="14"/>
        <v>650</v>
      </c>
      <c r="B656" s="659"/>
      <c r="C656" s="456" t="s">
        <v>1354</v>
      </c>
      <c r="D656" s="457"/>
      <c r="E656" s="458" t="s">
        <v>279</v>
      </c>
      <c r="F656" s="464">
        <v>202926</v>
      </c>
      <c r="G656" s="461"/>
      <c r="H656" s="461"/>
      <c r="I656" s="461"/>
      <c r="J656" s="461" t="s">
        <v>1635</v>
      </c>
      <c r="K656" s="461"/>
      <c r="L656" s="461"/>
      <c r="M656" s="461"/>
      <c r="N656" s="463"/>
    </row>
    <row r="657" spans="1:14">
      <c r="A657" s="446">
        <f t="shared" si="14"/>
        <v>651</v>
      </c>
      <c r="B657" s="659"/>
      <c r="C657" s="456" t="s">
        <v>1356</v>
      </c>
      <c r="D657" s="457"/>
      <c r="E657" s="458" t="s">
        <v>1680</v>
      </c>
      <c r="F657" s="464">
        <v>284658</v>
      </c>
      <c r="G657" s="461"/>
      <c r="H657" s="461"/>
      <c r="I657" s="461"/>
      <c r="J657" s="461" t="s">
        <v>1635</v>
      </c>
      <c r="K657" s="461"/>
      <c r="L657" s="461"/>
      <c r="M657" s="461"/>
      <c r="N657" s="463"/>
    </row>
    <row r="658" spans="1:14" ht="17.25" customHeight="1">
      <c r="A658" s="446">
        <f t="shared" si="14"/>
        <v>652</v>
      </c>
      <c r="B658" s="659"/>
      <c r="C658" s="456" t="s">
        <v>1358</v>
      </c>
      <c r="D658" s="457"/>
      <c r="E658" s="458" t="s">
        <v>279</v>
      </c>
      <c r="F658" s="464">
        <v>41178</v>
      </c>
      <c r="G658" s="461"/>
      <c r="H658" s="461"/>
      <c r="I658" s="461"/>
      <c r="J658" s="461" t="s">
        <v>1635</v>
      </c>
      <c r="K658" s="461"/>
      <c r="L658" s="461"/>
      <c r="M658" s="461"/>
      <c r="N658" s="463"/>
    </row>
    <row r="659" spans="1:14">
      <c r="A659" s="446">
        <f t="shared" si="14"/>
        <v>653</v>
      </c>
      <c r="B659" s="659"/>
      <c r="C659" s="456" t="s">
        <v>1360</v>
      </c>
      <c r="D659" s="457"/>
      <c r="E659" s="458" t="s">
        <v>279</v>
      </c>
      <c r="F659" s="464">
        <v>180146</v>
      </c>
      <c r="G659" s="461"/>
      <c r="H659" s="461"/>
      <c r="I659" s="461"/>
      <c r="J659" s="461" t="s">
        <v>1635</v>
      </c>
      <c r="K659" s="461"/>
      <c r="L659" s="461"/>
      <c r="M659" s="461"/>
      <c r="N659" s="463"/>
    </row>
    <row r="660" spans="1:14">
      <c r="A660" s="446">
        <f t="shared" si="14"/>
        <v>654</v>
      </c>
      <c r="B660" s="659"/>
      <c r="C660" s="456" t="s">
        <v>1362</v>
      </c>
      <c r="D660" s="457"/>
      <c r="E660" s="458" t="s">
        <v>279</v>
      </c>
      <c r="F660" s="464">
        <v>54362</v>
      </c>
      <c r="G660" s="461"/>
      <c r="H660" s="461"/>
      <c r="I660" s="461"/>
      <c r="J660" s="461" t="s">
        <v>1635</v>
      </c>
      <c r="K660" s="461"/>
      <c r="L660" s="461"/>
      <c r="M660" s="461"/>
      <c r="N660" s="463"/>
    </row>
    <row r="661" spans="1:14">
      <c r="A661" s="446">
        <f t="shared" si="14"/>
        <v>655</v>
      </c>
      <c r="B661" s="659"/>
      <c r="C661" s="456" t="s">
        <v>1363</v>
      </c>
      <c r="D661" s="457"/>
      <c r="E661" s="458" t="s">
        <v>279</v>
      </c>
      <c r="F661" s="464">
        <v>100080</v>
      </c>
      <c r="G661" s="461"/>
      <c r="H661" s="461"/>
      <c r="I661" s="461"/>
      <c r="J661" s="461" t="s">
        <v>1635</v>
      </c>
      <c r="K661" s="461"/>
      <c r="L661" s="461"/>
      <c r="M661" s="461"/>
      <c r="N661" s="463"/>
    </row>
    <row r="662" spans="1:14">
      <c r="A662" s="446">
        <f t="shared" si="14"/>
        <v>656</v>
      </c>
      <c r="B662" s="659"/>
      <c r="C662" s="456" t="s">
        <v>1365</v>
      </c>
      <c r="D662" s="457"/>
      <c r="E662" s="458" t="s">
        <v>279</v>
      </c>
      <c r="F662" s="464">
        <v>286574</v>
      </c>
      <c r="G662" s="461"/>
      <c r="H662" s="461"/>
      <c r="I662" s="461"/>
      <c r="J662" s="461" t="s">
        <v>1635</v>
      </c>
      <c r="K662" s="461"/>
      <c r="L662" s="461"/>
      <c r="M662" s="461"/>
      <c r="N662" s="463"/>
    </row>
    <row r="663" spans="1:14">
      <c r="A663" s="446">
        <f t="shared" si="14"/>
        <v>657</v>
      </c>
      <c r="B663" s="659"/>
      <c r="C663" s="456" t="s">
        <v>1367</v>
      </c>
      <c r="D663" s="457"/>
      <c r="E663" s="458" t="s">
        <v>279</v>
      </c>
      <c r="F663" s="464">
        <v>248109</v>
      </c>
      <c r="G663" s="461"/>
      <c r="H663" s="461"/>
      <c r="I663" s="461"/>
      <c r="J663" s="461" t="s">
        <v>1635</v>
      </c>
      <c r="K663" s="461"/>
      <c r="L663" s="461"/>
      <c r="M663" s="461"/>
      <c r="N663" s="463"/>
    </row>
    <row r="664" spans="1:14">
      <c r="A664" s="446">
        <f t="shared" si="14"/>
        <v>658</v>
      </c>
      <c r="B664" s="659"/>
      <c r="C664" s="456" t="s">
        <v>1369</v>
      </c>
      <c r="D664" s="457"/>
      <c r="E664" s="458" t="s">
        <v>279</v>
      </c>
      <c r="F664" s="464">
        <v>197602</v>
      </c>
      <c r="G664" s="461"/>
      <c r="H664" s="461"/>
      <c r="I664" s="461"/>
      <c r="J664" s="461" t="s">
        <v>1635</v>
      </c>
      <c r="K664" s="461"/>
      <c r="L664" s="461"/>
      <c r="M664" s="461"/>
      <c r="N664" s="463"/>
    </row>
    <row r="665" spans="1:14" ht="29">
      <c r="A665" s="446">
        <f t="shared" si="14"/>
        <v>659</v>
      </c>
      <c r="B665" s="659"/>
      <c r="C665" s="456" t="s">
        <v>1371</v>
      </c>
      <c r="D665" s="457"/>
      <c r="E665" s="458" t="s">
        <v>279</v>
      </c>
      <c r="F665" s="464">
        <v>16044</v>
      </c>
      <c r="G665" s="461"/>
      <c r="H665" s="461"/>
      <c r="I665" s="461"/>
      <c r="J665" s="461" t="s">
        <v>1635</v>
      </c>
      <c r="K665" s="461"/>
      <c r="L665" s="461"/>
      <c r="M665" s="461"/>
      <c r="N665" s="463"/>
    </row>
    <row r="666" spans="1:14">
      <c r="A666" s="446">
        <f t="shared" si="14"/>
        <v>660</v>
      </c>
      <c r="B666" s="659"/>
      <c r="C666" s="456" t="s">
        <v>1375</v>
      </c>
      <c r="D666" s="457"/>
      <c r="E666" s="458" t="s">
        <v>279</v>
      </c>
      <c r="F666" s="464">
        <v>50349</v>
      </c>
      <c r="G666" s="461"/>
      <c r="H666" s="461"/>
      <c r="I666" s="461"/>
      <c r="J666" s="461" t="s">
        <v>1635</v>
      </c>
      <c r="K666" s="461"/>
      <c r="L666" s="461"/>
      <c r="M666" s="461"/>
      <c r="N666" s="463"/>
    </row>
    <row r="667" spans="1:14">
      <c r="A667" s="446">
        <f t="shared" si="14"/>
        <v>661</v>
      </c>
      <c r="B667" s="659"/>
      <c r="C667" s="456" t="s">
        <v>1377</v>
      </c>
      <c r="D667" s="457"/>
      <c r="E667" s="458" t="s">
        <v>279</v>
      </c>
      <c r="F667" s="464">
        <v>73810</v>
      </c>
      <c r="G667" s="461"/>
      <c r="H667" s="461"/>
      <c r="I667" s="461"/>
      <c r="J667" s="461" t="s">
        <v>1635</v>
      </c>
      <c r="K667" s="461"/>
      <c r="L667" s="461"/>
      <c r="M667" s="461"/>
      <c r="N667" s="463"/>
    </row>
    <row r="668" spans="1:14">
      <c r="A668" s="446">
        <f t="shared" si="14"/>
        <v>662</v>
      </c>
      <c r="B668" s="659"/>
      <c r="C668" s="456" t="s">
        <v>969</v>
      </c>
      <c r="D668" s="457" t="s">
        <v>2220</v>
      </c>
      <c r="E668" s="458" t="s">
        <v>1680</v>
      </c>
      <c r="F668" s="464">
        <v>98534</v>
      </c>
      <c r="G668" s="461"/>
      <c r="H668" s="461"/>
      <c r="I668" s="461"/>
      <c r="J668" s="461" t="s">
        <v>1635</v>
      </c>
      <c r="K668" s="461"/>
      <c r="L668" s="461"/>
      <c r="M668" s="461"/>
      <c r="N668" s="463"/>
    </row>
    <row r="669" spans="1:14">
      <c r="A669" s="446">
        <f t="shared" si="14"/>
        <v>663</v>
      </c>
      <c r="B669" s="659"/>
      <c r="C669" s="456" t="s">
        <v>1379</v>
      </c>
      <c r="D669" s="457"/>
      <c r="E669" s="458" t="s">
        <v>1680</v>
      </c>
      <c r="F669" s="464">
        <v>593805</v>
      </c>
      <c r="G669" s="461"/>
      <c r="H669" s="461"/>
      <c r="I669" s="461"/>
      <c r="J669" s="461" t="s">
        <v>1635</v>
      </c>
      <c r="K669" s="461"/>
      <c r="L669" s="461"/>
      <c r="M669" s="461"/>
      <c r="N669" s="463"/>
    </row>
    <row r="670" spans="1:14">
      <c r="A670" s="446">
        <f t="shared" si="14"/>
        <v>664</v>
      </c>
      <c r="B670" s="659"/>
      <c r="C670" s="456" t="s">
        <v>1381</v>
      </c>
      <c r="D670" s="457"/>
      <c r="E670" s="458" t="s">
        <v>1680</v>
      </c>
      <c r="F670" s="464">
        <v>46350</v>
      </c>
      <c r="G670" s="461"/>
      <c r="H670" s="461"/>
      <c r="I670" s="461"/>
      <c r="J670" s="461" t="s">
        <v>1635</v>
      </c>
      <c r="K670" s="461"/>
      <c r="L670" s="461"/>
      <c r="M670" s="461"/>
      <c r="N670" s="463"/>
    </row>
    <row r="671" spans="1:14">
      <c r="A671" s="446">
        <f t="shared" si="14"/>
        <v>665</v>
      </c>
      <c r="B671" s="659"/>
      <c r="C671" s="456" t="s">
        <v>1383</v>
      </c>
      <c r="D671" s="457"/>
      <c r="E671" s="458" t="s">
        <v>279</v>
      </c>
      <c r="F671" s="464">
        <v>203657</v>
      </c>
      <c r="G671" s="461"/>
      <c r="H671" s="461"/>
      <c r="I671" s="461"/>
      <c r="J671" s="461" t="s">
        <v>1635</v>
      </c>
      <c r="K671" s="461"/>
      <c r="L671" s="461"/>
      <c r="M671" s="461"/>
      <c r="N671" s="463"/>
    </row>
    <row r="672" spans="1:14">
      <c r="A672" s="446">
        <f t="shared" si="14"/>
        <v>666</v>
      </c>
      <c r="B672" s="659"/>
      <c r="C672" s="456" t="s">
        <v>975</v>
      </c>
      <c r="D672" s="457" t="s">
        <v>2231</v>
      </c>
      <c r="E672" s="458" t="s">
        <v>279</v>
      </c>
      <c r="F672" s="464">
        <v>10832</v>
      </c>
      <c r="G672" s="461"/>
      <c r="H672" s="461"/>
      <c r="I672" s="461"/>
      <c r="J672" s="461" t="s">
        <v>1635</v>
      </c>
      <c r="K672" s="461"/>
      <c r="L672" s="461"/>
      <c r="M672" s="461"/>
      <c r="N672" s="463"/>
    </row>
    <row r="673" spans="1:14">
      <c r="A673" s="446">
        <f t="shared" si="14"/>
        <v>667</v>
      </c>
      <c r="B673" s="659"/>
      <c r="C673" s="456" t="s">
        <v>1385</v>
      </c>
      <c r="D673" s="457"/>
      <c r="E673" s="458" t="s">
        <v>279</v>
      </c>
      <c r="F673" s="464">
        <v>119734</v>
      </c>
      <c r="G673" s="461"/>
      <c r="H673" s="461"/>
      <c r="I673" s="461"/>
      <c r="J673" s="461" t="s">
        <v>1635</v>
      </c>
      <c r="K673" s="461"/>
      <c r="L673" s="461"/>
      <c r="M673" s="461"/>
      <c r="N673" s="463"/>
    </row>
    <row r="674" spans="1:14">
      <c r="A674" s="446">
        <f t="shared" si="14"/>
        <v>668</v>
      </c>
      <c r="B674" s="659"/>
      <c r="C674" s="456" t="s">
        <v>1387</v>
      </c>
      <c r="D674" s="457"/>
      <c r="E674" s="458" t="s">
        <v>279</v>
      </c>
      <c r="F674" s="464">
        <v>98042</v>
      </c>
      <c r="G674" s="461"/>
      <c r="H674" s="461"/>
      <c r="I674" s="461"/>
      <c r="J674" s="461" t="s">
        <v>1635</v>
      </c>
      <c r="K674" s="461"/>
      <c r="L674" s="461"/>
      <c r="M674" s="461"/>
      <c r="N674" s="463"/>
    </row>
    <row r="675" spans="1:14">
      <c r="A675" s="446">
        <f t="shared" si="14"/>
        <v>669</v>
      </c>
      <c r="B675" s="659"/>
      <c r="C675" s="456" t="s">
        <v>1389</v>
      </c>
      <c r="D675" s="457" t="s">
        <v>2232</v>
      </c>
      <c r="E675" s="458" t="s">
        <v>1680</v>
      </c>
      <c r="F675" s="464">
        <v>22896</v>
      </c>
      <c r="G675" s="461"/>
      <c r="H675" s="461"/>
      <c r="I675" s="461"/>
      <c r="J675" s="461" t="s">
        <v>1635</v>
      </c>
      <c r="K675" s="461"/>
      <c r="L675" s="461"/>
      <c r="M675" s="461"/>
      <c r="N675" s="463"/>
    </row>
    <row r="676" spans="1:14">
      <c r="A676" s="446">
        <f t="shared" si="14"/>
        <v>670</v>
      </c>
      <c r="B676" s="659"/>
      <c r="C676" s="456" t="s">
        <v>1391</v>
      </c>
      <c r="D676" s="457"/>
      <c r="E676" s="458" t="s">
        <v>1680</v>
      </c>
      <c r="F676" s="464">
        <v>135796</v>
      </c>
      <c r="G676" s="461"/>
      <c r="H676" s="461"/>
      <c r="I676" s="461"/>
      <c r="J676" s="461" t="s">
        <v>1635</v>
      </c>
      <c r="K676" s="461"/>
      <c r="L676" s="461"/>
      <c r="M676" s="461"/>
      <c r="N676" s="463"/>
    </row>
    <row r="677" spans="1:14">
      <c r="A677" s="446">
        <f t="shared" si="14"/>
        <v>671</v>
      </c>
      <c r="B677" s="659"/>
      <c r="C677" s="456" t="s">
        <v>1393</v>
      </c>
      <c r="D677" s="457"/>
      <c r="E677" s="458" t="s">
        <v>1680</v>
      </c>
      <c r="F677" s="464">
        <v>44738</v>
      </c>
      <c r="G677" s="461"/>
      <c r="H677" s="461"/>
      <c r="I677" s="461"/>
      <c r="J677" s="461" t="s">
        <v>1635</v>
      </c>
      <c r="K677" s="461"/>
      <c r="L677" s="461"/>
      <c r="M677" s="461"/>
      <c r="N677" s="463"/>
    </row>
    <row r="678" spans="1:14">
      <c r="A678" s="446">
        <f t="shared" si="14"/>
        <v>672</v>
      </c>
      <c r="B678" s="659"/>
      <c r="C678" s="456" t="s">
        <v>1395</v>
      </c>
      <c r="D678" s="457"/>
      <c r="E678" s="458" t="s">
        <v>279</v>
      </c>
      <c r="F678" s="464">
        <v>155533</v>
      </c>
      <c r="G678" s="461"/>
      <c r="H678" s="461"/>
      <c r="I678" s="461"/>
      <c r="J678" s="461" t="s">
        <v>1635</v>
      </c>
      <c r="K678" s="461"/>
      <c r="L678" s="461"/>
      <c r="M678" s="461"/>
      <c r="N678" s="463"/>
    </row>
    <row r="679" spans="1:14">
      <c r="A679" s="446">
        <f t="shared" si="14"/>
        <v>673</v>
      </c>
      <c r="B679" s="659"/>
      <c r="C679" s="456" t="s">
        <v>1397</v>
      </c>
      <c r="D679" s="457"/>
      <c r="E679" s="458" t="s">
        <v>279</v>
      </c>
      <c r="F679" s="464">
        <v>141441</v>
      </c>
      <c r="G679" s="461"/>
      <c r="H679" s="461"/>
      <c r="I679" s="461"/>
      <c r="J679" s="461" t="s">
        <v>1635</v>
      </c>
      <c r="K679" s="461"/>
      <c r="L679" s="461"/>
      <c r="M679" s="461"/>
      <c r="N679" s="463"/>
    </row>
    <row r="680" spans="1:14">
      <c r="A680" s="446">
        <f t="shared" si="14"/>
        <v>674</v>
      </c>
      <c r="B680" s="659"/>
      <c r="C680" s="456" t="s">
        <v>1399</v>
      </c>
      <c r="D680" s="457"/>
      <c r="E680" s="458" t="s">
        <v>279</v>
      </c>
      <c r="F680" s="464">
        <v>502619</v>
      </c>
      <c r="G680" s="461"/>
      <c r="H680" s="461"/>
      <c r="I680" s="461"/>
      <c r="J680" s="461" t="s">
        <v>1635</v>
      </c>
      <c r="K680" s="461"/>
      <c r="L680" s="461"/>
      <c r="M680" s="461"/>
      <c r="N680" s="463"/>
    </row>
    <row r="681" spans="1:14">
      <c r="A681" s="446">
        <f t="shared" si="14"/>
        <v>675</v>
      </c>
      <c r="B681" s="659"/>
      <c r="C681" s="456" t="s">
        <v>1401</v>
      </c>
      <c r="D681" s="457"/>
      <c r="E681" s="458" t="s">
        <v>1680</v>
      </c>
      <c r="F681" s="464">
        <v>60705</v>
      </c>
      <c r="G681" s="461"/>
      <c r="H681" s="461"/>
      <c r="I681" s="461"/>
      <c r="J681" s="461" t="s">
        <v>1635</v>
      </c>
      <c r="K681" s="461"/>
      <c r="L681" s="461"/>
      <c r="M681" s="461"/>
      <c r="N681" s="463"/>
    </row>
    <row r="682" spans="1:14">
      <c r="A682" s="446">
        <f t="shared" si="14"/>
        <v>676</v>
      </c>
      <c r="B682" s="659"/>
      <c r="C682" s="456" t="s">
        <v>1403</v>
      </c>
      <c r="D682" s="457"/>
      <c r="E682" s="458" t="s">
        <v>279</v>
      </c>
      <c r="F682" s="464">
        <v>31609</v>
      </c>
      <c r="G682" s="461"/>
      <c r="H682" s="461"/>
      <c r="I682" s="461"/>
      <c r="J682" s="461" t="s">
        <v>1635</v>
      </c>
      <c r="K682" s="461"/>
      <c r="L682" s="461"/>
      <c r="M682" s="461"/>
      <c r="N682" s="463"/>
    </row>
    <row r="683" spans="1:14">
      <c r="A683" s="446">
        <f t="shared" si="14"/>
        <v>677</v>
      </c>
      <c r="B683" s="659"/>
      <c r="C683" s="456" t="s">
        <v>1405</v>
      </c>
      <c r="D683" s="457"/>
      <c r="E683" s="458" t="s">
        <v>279</v>
      </c>
      <c r="F683" s="464">
        <v>168896</v>
      </c>
      <c r="G683" s="461"/>
      <c r="H683" s="461"/>
      <c r="I683" s="461"/>
      <c r="J683" s="461" t="s">
        <v>1635</v>
      </c>
      <c r="K683" s="461"/>
      <c r="L683" s="461"/>
      <c r="M683" s="461"/>
      <c r="N683" s="463"/>
    </row>
    <row r="684" spans="1:14">
      <c r="A684" s="446">
        <f t="shared" si="14"/>
        <v>678</v>
      </c>
      <c r="B684" s="659"/>
      <c r="C684" s="456" t="s">
        <v>1407</v>
      </c>
      <c r="D684" s="457"/>
      <c r="E684" s="458" t="s">
        <v>279</v>
      </c>
      <c r="F684" s="464">
        <v>136058</v>
      </c>
      <c r="G684" s="461"/>
      <c r="H684" s="461"/>
      <c r="I684" s="461"/>
      <c r="J684" s="461" t="s">
        <v>1635</v>
      </c>
      <c r="K684" s="461"/>
      <c r="L684" s="461"/>
      <c r="M684" s="461"/>
      <c r="N684" s="463"/>
    </row>
    <row r="685" spans="1:14">
      <c r="A685" s="446">
        <f t="shared" si="14"/>
        <v>679</v>
      </c>
      <c r="B685" s="659"/>
      <c r="C685" s="456" t="s">
        <v>1409</v>
      </c>
      <c r="D685" s="457"/>
      <c r="E685" s="458" t="s">
        <v>279</v>
      </c>
      <c r="F685" s="464">
        <v>255683</v>
      </c>
      <c r="G685" s="461"/>
      <c r="H685" s="461"/>
      <c r="I685" s="461"/>
      <c r="J685" s="461" t="s">
        <v>1635</v>
      </c>
      <c r="K685" s="461"/>
      <c r="L685" s="461"/>
      <c r="M685" s="461"/>
      <c r="N685" s="463"/>
    </row>
    <row r="686" spans="1:14">
      <c r="A686" s="446">
        <f t="shared" si="14"/>
        <v>680</v>
      </c>
      <c r="B686" s="659"/>
      <c r="C686" s="456" t="s">
        <v>1411</v>
      </c>
      <c r="D686" s="457"/>
      <c r="E686" s="458" t="s">
        <v>1680</v>
      </c>
      <c r="F686" s="464">
        <v>317560</v>
      </c>
      <c r="G686" s="461"/>
      <c r="H686" s="461"/>
      <c r="I686" s="461"/>
      <c r="J686" s="461" t="s">
        <v>1635</v>
      </c>
      <c r="K686" s="461"/>
      <c r="L686" s="461"/>
      <c r="M686" s="461"/>
      <c r="N686" s="463"/>
    </row>
    <row r="687" spans="1:14">
      <c r="A687" s="446">
        <f t="shared" si="14"/>
        <v>681</v>
      </c>
      <c r="B687" s="659"/>
      <c r="C687" s="456" t="s">
        <v>1413</v>
      </c>
      <c r="D687" s="457"/>
      <c r="E687" s="458" t="s">
        <v>279</v>
      </c>
      <c r="F687" s="464">
        <v>515637</v>
      </c>
      <c r="G687" s="461"/>
      <c r="H687" s="461"/>
      <c r="I687" s="461"/>
      <c r="J687" s="461" t="s">
        <v>1635</v>
      </c>
      <c r="K687" s="461"/>
      <c r="L687" s="461"/>
      <c r="M687" s="461"/>
      <c r="N687" s="463"/>
    </row>
    <row r="688" spans="1:14">
      <c r="A688" s="446">
        <f t="shared" si="14"/>
        <v>682</v>
      </c>
      <c r="B688" s="659"/>
      <c r="C688" s="456" t="s">
        <v>1415</v>
      </c>
      <c r="D688" s="457"/>
      <c r="E688" s="458" t="s">
        <v>279</v>
      </c>
      <c r="F688" s="464">
        <v>431481</v>
      </c>
      <c r="G688" s="461"/>
      <c r="H688" s="461"/>
      <c r="I688" s="461"/>
      <c r="J688" s="461" t="s">
        <v>1635</v>
      </c>
      <c r="K688" s="461"/>
      <c r="L688" s="461"/>
      <c r="M688" s="461"/>
      <c r="N688" s="463"/>
    </row>
    <row r="689" spans="1:14">
      <c r="A689" s="446">
        <f t="shared" si="14"/>
        <v>683</v>
      </c>
      <c r="B689" s="659"/>
      <c r="C689" s="456" t="s">
        <v>1417</v>
      </c>
      <c r="D689" s="457"/>
      <c r="E689" s="458" t="s">
        <v>279</v>
      </c>
      <c r="F689" s="464">
        <v>32611</v>
      </c>
      <c r="G689" s="461"/>
      <c r="H689" s="461"/>
      <c r="I689" s="461"/>
      <c r="J689" s="461" t="s">
        <v>1635</v>
      </c>
      <c r="K689" s="461"/>
      <c r="L689" s="461"/>
      <c r="M689" s="461"/>
      <c r="N689" s="463"/>
    </row>
    <row r="690" spans="1:14">
      <c r="A690" s="446">
        <f t="shared" si="14"/>
        <v>684</v>
      </c>
      <c r="B690" s="659"/>
      <c r="C690" s="456" t="s">
        <v>1419</v>
      </c>
      <c r="D690" s="457"/>
      <c r="E690" s="458" t="s">
        <v>279</v>
      </c>
      <c r="F690" s="464">
        <v>53232</v>
      </c>
      <c r="G690" s="461"/>
      <c r="H690" s="461"/>
      <c r="I690" s="461"/>
      <c r="J690" s="461" t="s">
        <v>1635</v>
      </c>
      <c r="K690" s="461"/>
      <c r="L690" s="461"/>
      <c r="M690" s="461"/>
      <c r="N690" s="463"/>
    </row>
    <row r="691" spans="1:14" ht="29">
      <c r="A691" s="446">
        <f t="shared" si="14"/>
        <v>685</v>
      </c>
      <c r="B691" s="659"/>
      <c r="C691" s="456" t="s">
        <v>1421</v>
      </c>
      <c r="D691" s="457"/>
      <c r="E691" s="458" t="s">
        <v>279</v>
      </c>
      <c r="F691" s="464">
        <v>228663</v>
      </c>
      <c r="G691" s="461"/>
      <c r="H691" s="461"/>
      <c r="I691" s="461"/>
      <c r="J691" s="461" t="s">
        <v>1635</v>
      </c>
      <c r="K691" s="461"/>
      <c r="L691" s="461"/>
      <c r="M691" s="461"/>
      <c r="N691" s="463"/>
    </row>
    <row r="692" spans="1:14" ht="16.5" customHeight="1">
      <c r="A692" s="446">
        <f t="shared" si="14"/>
        <v>686</v>
      </c>
      <c r="B692" s="659"/>
      <c r="C692" s="456" t="s">
        <v>1423</v>
      </c>
      <c r="D692" s="457"/>
      <c r="E692" s="458" t="s">
        <v>279</v>
      </c>
      <c r="F692" s="464">
        <v>36678</v>
      </c>
      <c r="G692" s="461"/>
      <c r="H692" s="461"/>
      <c r="I692" s="461"/>
      <c r="J692" s="461" t="s">
        <v>1635</v>
      </c>
      <c r="K692" s="461"/>
      <c r="L692" s="461"/>
      <c r="M692" s="461"/>
      <c r="N692" s="463"/>
    </row>
    <row r="693" spans="1:14">
      <c r="A693" s="446">
        <f t="shared" si="14"/>
        <v>687</v>
      </c>
      <c r="B693" s="659"/>
      <c r="C693" s="456" t="s">
        <v>1425</v>
      </c>
      <c r="D693" s="457"/>
      <c r="E693" s="458" t="s">
        <v>279</v>
      </c>
      <c r="F693" s="464">
        <v>125517</v>
      </c>
      <c r="G693" s="461"/>
      <c r="H693" s="461"/>
      <c r="I693" s="461"/>
      <c r="J693" s="461" t="s">
        <v>1635</v>
      </c>
      <c r="K693" s="461"/>
      <c r="L693" s="461"/>
      <c r="M693" s="461"/>
      <c r="N693" s="463"/>
    </row>
    <row r="694" spans="1:14">
      <c r="A694" s="446">
        <f t="shared" si="14"/>
        <v>688</v>
      </c>
      <c r="B694" s="659"/>
      <c r="C694" s="456" t="s">
        <v>991</v>
      </c>
      <c r="D694" s="457" t="s">
        <v>2233</v>
      </c>
      <c r="E694" s="458" t="s">
        <v>279</v>
      </c>
      <c r="F694" s="464">
        <v>29969</v>
      </c>
      <c r="G694" s="461"/>
      <c r="H694" s="461"/>
      <c r="I694" s="461"/>
      <c r="J694" s="461" t="s">
        <v>1635</v>
      </c>
      <c r="K694" s="461"/>
      <c r="L694" s="461"/>
      <c r="M694" s="461"/>
      <c r="N694" s="463"/>
    </row>
    <row r="695" spans="1:14">
      <c r="A695" s="446">
        <f t="shared" si="14"/>
        <v>689</v>
      </c>
      <c r="B695" s="659"/>
      <c r="C695" s="456" t="s">
        <v>993</v>
      </c>
      <c r="D695" s="457" t="s">
        <v>2220</v>
      </c>
      <c r="E695" s="458" t="s">
        <v>1680</v>
      </c>
      <c r="F695" s="464">
        <v>340848</v>
      </c>
      <c r="G695" s="461"/>
      <c r="H695" s="461"/>
      <c r="I695" s="461"/>
      <c r="J695" s="461" t="s">
        <v>1635</v>
      </c>
      <c r="K695" s="461"/>
      <c r="L695" s="461"/>
      <c r="M695" s="461"/>
      <c r="N695" s="463"/>
    </row>
    <row r="696" spans="1:14">
      <c r="A696" s="446">
        <f t="shared" si="14"/>
        <v>690</v>
      </c>
      <c r="B696" s="659"/>
      <c r="C696" s="456" t="s">
        <v>1427</v>
      </c>
      <c r="D696" s="457"/>
      <c r="E696" s="458" t="s">
        <v>1680</v>
      </c>
      <c r="F696" s="464">
        <v>534098</v>
      </c>
      <c r="G696" s="461"/>
      <c r="H696" s="461"/>
      <c r="I696" s="461"/>
      <c r="J696" s="461" t="s">
        <v>1635</v>
      </c>
      <c r="K696" s="461"/>
      <c r="L696" s="461"/>
      <c r="M696" s="461"/>
      <c r="N696" s="463"/>
    </row>
    <row r="697" spans="1:14">
      <c r="A697" s="446">
        <f t="shared" si="14"/>
        <v>691</v>
      </c>
      <c r="B697" s="659" t="s">
        <v>994</v>
      </c>
      <c r="C697" s="456" t="s">
        <v>2234</v>
      </c>
      <c r="D697" s="457" t="s">
        <v>2235</v>
      </c>
      <c r="E697" s="458" t="s">
        <v>279</v>
      </c>
      <c r="F697" s="464">
        <v>19476</v>
      </c>
      <c r="G697" s="461"/>
      <c r="H697" s="461"/>
      <c r="I697" s="461"/>
      <c r="J697" s="461" t="s">
        <v>1635</v>
      </c>
      <c r="K697" s="461"/>
      <c r="L697" s="461"/>
      <c r="M697" s="461"/>
      <c r="N697" s="463"/>
    </row>
    <row r="698" spans="1:14" ht="17.25" customHeight="1">
      <c r="A698" s="446">
        <f t="shared" si="14"/>
        <v>692</v>
      </c>
      <c r="B698" s="659"/>
      <c r="C698" s="456" t="s">
        <v>1429</v>
      </c>
      <c r="D698" s="457"/>
      <c r="E698" s="458" t="s">
        <v>279</v>
      </c>
      <c r="F698" s="464">
        <v>47088</v>
      </c>
      <c r="G698" s="461"/>
      <c r="H698" s="461"/>
      <c r="I698" s="461"/>
      <c r="J698" s="461" t="s">
        <v>1635</v>
      </c>
      <c r="K698" s="461"/>
      <c r="L698" s="461"/>
      <c r="M698" s="461"/>
      <c r="N698" s="463"/>
    </row>
    <row r="699" spans="1:14">
      <c r="A699" s="446">
        <f t="shared" si="14"/>
        <v>693</v>
      </c>
      <c r="B699" s="659"/>
      <c r="C699" s="456" t="s">
        <v>1431</v>
      </c>
      <c r="D699" s="457"/>
      <c r="E699" s="458" t="s">
        <v>279</v>
      </c>
      <c r="F699" s="464">
        <v>116254</v>
      </c>
      <c r="G699" s="461"/>
      <c r="H699" s="461"/>
      <c r="I699" s="461"/>
      <c r="J699" s="461" t="s">
        <v>1635</v>
      </c>
      <c r="K699" s="461"/>
      <c r="L699" s="461"/>
      <c r="M699" s="461"/>
      <c r="N699" s="463"/>
    </row>
    <row r="700" spans="1:14">
      <c r="A700" s="446">
        <f t="shared" si="14"/>
        <v>694</v>
      </c>
      <c r="B700" s="659"/>
      <c r="C700" s="456" t="s">
        <v>1433</v>
      </c>
      <c r="D700" s="457"/>
      <c r="E700" s="458" t="s">
        <v>279</v>
      </c>
      <c r="F700" s="464">
        <v>202330</v>
      </c>
      <c r="G700" s="461"/>
      <c r="H700" s="461"/>
      <c r="I700" s="461"/>
      <c r="J700" s="461" t="s">
        <v>1635</v>
      </c>
      <c r="K700" s="461"/>
      <c r="L700" s="461"/>
      <c r="M700" s="461"/>
      <c r="N700" s="463"/>
    </row>
    <row r="701" spans="1:14">
      <c r="A701" s="446">
        <f t="shared" si="14"/>
        <v>695</v>
      </c>
      <c r="B701" s="659"/>
      <c r="C701" s="456" t="s">
        <v>1435</v>
      </c>
      <c r="D701" s="457"/>
      <c r="E701" s="458" t="s">
        <v>279</v>
      </c>
      <c r="F701" s="464">
        <v>132289</v>
      </c>
      <c r="G701" s="461"/>
      <c r="H701" s="461"/>
      <c r="I701" s="461"/>
      <c r="J701" s="461" t="s">
        <v>1635</v>
      </c>
      <c r="K701" s="461"/>
      <c r="L701" s="461"/>
      <c r="M701" s="461"/>
      <c r="N701" s="463"/>
    </row>
    <row r="702" spans="1:14">
      <c r="A702" s="446">
        <f t="shared" si="14"/>
        <v>696</v>
      </c>
      <c r="B702" s="659"/>
      <c r="C702" s="456" t="s">
        <v>1437</v>
      </c>
      <c r="D702" s="457"/>
      <c r="E702" s="458" t="s">
        <v>279</v>
      </c>
      <c r="F702" s="464">
        <v>347511</v>
      </c>
      <c r="G702" s="461"/>
      <c r="H702" s="461"/>
      <c r="I702" s="461"/>
      <c r="J702" s="461" t="s">
        <v>1635</v>
      </c>
      <c r="K702" s="461"/>
      <c r="L702" s="461"/>
      <c r="M702" s="461"/>
      <c r="N702" s="463"/>
    </row>
    <row r="703" spans="1:14">
      <c r="A703" s="446">
        <f t="shared" si="14"/>
        <v>697</v>
      </c>
      <c r="B703" s="659"/>
      <c r="C703" s="456" t="s">
        <v>2236</v>
      </c>
      <c r="D703" s="457"/>
      <c r="E703" s="458" t="s">
        <v>279</v>
      </c>
      <c r="F703" s="464">
        <v>205485</v>
      </c>
      <c r="G703" s="461"/>
      <c r="H703" s="461"/>
      <c r="I703" s="461"/>
      <c r="J703" s="461" t="s">
        <v>1635</v>
      </c>
      <c r="K703" s="461"/>
      <c r="L703" s="461"/>
      <c r="M703" s="461"/>
      <c r="N703" s="463"/>
    </row>
    <row r="704" spans="1:14">
      <c r="A704" s="446">
        <f t="shared" si="14"/>
        <v>698</v>
      </c>
      <c r="B704" s="659"/>
      <c r="C704" s="456" t="s">
        <v>1439</v>
      </c>
      <c r="D704" s="457"/>
      <c r="E704" s="458" t="s">
        <v>279</v>
      </c>
      <c r="F704" s="464">
        <v>86970</v>
      </c>
      <c r="G704" s="461"/>
      <c r="H704" s="461"/>
      <c r="I704" s="461"/>
      <c r="J704" s="461" t="s">
        <v>1635</v>
      </c>
      <c r="K704" s="461"/>
      <c r="L704" s="461"/>
      <c r="M704" s="461"/>
      <c r="N704" s="463"/>
    </row>
    <row r="705" spans="1:14">
      <c r="A705" s="446">
        <f t="shared" ref="A705:A768" si="15">A704+1</f>
        <v>699</v>
      </c>
      <c r="B705" s="659"/>
      <c r="C705" s="456" t="s">
        <v>1441</v>
      </c>
      <c r="D705" s="457"/>
      <c r="E705" s="458" t="s">
        <v>279</v>
      </c>
      <c r="F705" s="464">
        <v>169157</v>
      </c>
      <c r="G705" s="461"/>
      <c r="H705" s="461"/>
      <c r="I705" s="461"/>
      <c r="J705" s="461" t="s">
        <v>1635</v>
      </c>
      <c r="K705" s="461"/>
      <c r="L705" s="461"/>
      <c r="M705" s="461"/>
      <c r="N705" s="463"/>
    </row>
    <row r="706" spans="1:14" ht="29">
      <c r="A706" s="446">
        <f t="shared" si="15"/>
        <v>700</v>
      </c>
      <c r="B706" s="659"/>
      <c r="C706" s="456" t="s">
        <v>1443</v>
      </c>
      <c r="D706" s="457"/>
      <c r="E706" s="458" t="s">
        <v>279</v>
      </c>
      <c r="F706" s="464">
        <v>86281</v>
      </c>
      <c r="G706" s="461"/>
      <c r="H706" s="461"/>
      <c r="I706" s="461"/>
      <c r="J706" s="461" t="s">
        <v>1635</v>
      </c>
      <c r="K706" s="461"/>
      <c r="L706" s="461"/>
      <c r="M706" s="461"/>
      <c r="N706" s="463"/>
    </row>
    <row r="707" spans="1:14">
      <c r="A707" s="446">
        <f t="shared" si="15"/>
        <v>701</v>
      </c>
      <c r="B707" s="659"/>
      <c r="C707" s="456" t="s">
        <v>1445</v>
      </c>
      <c r="D707" s="457"/>
      <c r="E707" s="458" t="s">
        <v>279</v>
      </c>
      <c r="F707" s="464">
        <v>145547</v>
      </c>
      <c r="G707" s="461"/>
      <c r="H707" s="461"/>
      <c r="I707" s="461"/>
      <c r="J707" s="461" t="s">
        <v>1635</v>
      </c>
      <c r="K707" s="461"/>
      <c r="L707" s="461"/>
      <c r="M707" s="461"/>
      <c r="N707" s="463"/>
    </row>
    <row r="708" spans="1:14">
      <c r="A708" s="446">
        <f t="shared" si="15"/>
        <v>702</v>
      </c>
      <c r="B708" s="659"/>
      <c r="C708" s="456" t="s">
        <v>1447</v>
      </c>
      <c r="D708" s="457"/>
      <c r="E708" s="458" t="s">
        <v>279</v>
      </c>
      <c r="F708" s="464">
        <v>388794</v>
      </c>
      <c r="G708" s="461"/>
      <c r="H708" s="461"/>
      <c r="I708" s="461"/>
      <c r="J708" s="461" t="s">
        <v>1635</v>
      </c>
      <c r="K708" s="461"/>
      <c r="L708" s="461"/>
      <c r="M708" s="461"/>
      <c r="N708" s="463"/>
    </row>
    <row r="709" spans="1:14">
      <c r="A709" s="446">
        <f t="shared" si="15"/>
        <v>703</v>
      </c>
      <c r="B709" s="659"/>
      <c r="C709" s="456" t="s">
        <v>1449</v>
      </c>
      <c r="D709" s="457"/>
      <c r="E709" s="458" t="s">
        <v>279</v>
      </c>
      <c r="F709" s="464">
        <v>247341</v>
      </c>
      <c r="G709" s="461"/>
      <c r="H709" s="461"/>
      <c r="I709" s="461"/>
      <c r="J709" s="461" t="s">
        <v>1635</v>
      </c>
      <c r="K709" s="461"/>
      <c r="L709" s="461"/>
      <c r="M709" s="461"/>
      <c r="N709" s="463"/>
    </row>
    <row r="710" spans="1:14">
      <c r="A710" s="446">
        <f t="shared" si="15"/>
        <v>704</v>
      </c>
      <c r="B710" s="659"/>
      <c r="C710" s="456" t="s">
        <v>1451</v>
      </c>
      <c r="D710" s="457"/>
      <c r="E710" s="458" t="s">
        <v>279</v>
      </c>
      <c r="F710" s="464">
        <v>29362</v>
      </c>
      <c r="G710" s="461"/>
      <c r="H710" s="461"/>
      <c r="I710" s="461"/>
      <c r="J710" s="461" t="s">
        <v>1635</v>
      </c>
      <c r="K710" s="461"/>
      <c r="L710" s="461"/>
      <c r="M710" s="461"/>
      <c r="N710" s="463"/>
    </row>
    <row r="711" spans="1:14">
      <c r="A711" s="446">
        <f t="shared" si="15"/>
        <v>705</v>
      </c>
      <c r="B711" s="659"/>
      <c r="C711" s="456" t="s">
        <v>1453</v>
      </c>
      <c r="D711" s="457"/>
      <c r="E711" s="458" t="s">
        <v>279</v>
      </c>
      <c r="F711" s="464">
        <v>11064</v>
      </c>
      <c r="G711" s="461"/>
      <c r="H711" s="461"/>
      <c r="I711" s="461"/>
      <c r="J711" s="461" t="s">
        <v>1635</v>
      </c>
      <c r="K711" s="461"/>
      <c r="L711" s="461"/>
      <c r="M711" s="461"/>
      <c r="N711" s="463"/>
    </row>
    <row r="712" spans="1:14" ht="29">
      <c r="A712" s="446">
        <f t="shared" si="15"/>
        <v>706</v>
      </c>
      <c r="B712" s="659"/>
      <c r="C712" s="456" t="s">
        <v>1455</v>
      </c>
      <c r="D712" s="457"/>
      <c r="E712" s="458" t="s">
        <v>279</v>
      </c>
      <c r="F712" s="464">
        <v>5170</v>
      </c>
      <c r="G712" s="461"/>
      <c r="H712" s="461"/>
      <c r="I712" s="461"/>
      <c r="J712" s="461" t="s">
        <v>1635</v>
      </c>
      <c r="K712" s="461"/>
      <c r="L712" s="461"/>
      <c r="M712" s="461"/>
      <c r="N712" s="463"/>
    </row>
    <row r="713" spans="1:14">
      <c r="A713" s="446">
        <f t="shared" si="15"/>
        <v>707</v>
      </c>
      <c r="B713" s="659"/>
      <c r="C713" s="456" t="s">
        <v>1457</v>
      </c>
      <c r="D713" s="457"/>
      <c r="E713" s="458" t="s">
        <v>279</v>
      </c>
      <c r="F713" s="464">
        <v>1107</v>
      </c>
      <c r="G713" s="461"/>
      <c r="H713" s="461"/>
      <c r="I713" s="461"/>
      <c r="J713" s="461" t="s">
        <v>1635</v>
      </c>
      <c r="K713" s="461"/>
      <c r="L713" s="461"/>
      <c r="M713" s="461"/>
      <c r="N713" s="463"/>
    </row>
    <row r="714" spans="1:14">
      <c r="A714" s="446">
        <f t="shared" si="15"/>
        <v>708</v>
      </c>
      <c r="B714" s="659"/>
      <c r="C714" s="456" t="s">
        <v>1459</v>
      </c>
      <c r="D714" s="457"/>
      <c r="E714" s="458" t="s">
        <v>279</v>
      </c>
      <c r="F714" s="464">
        <v>71992</v>
      </c>
      <c r="G714" s="461"/>
      <c r="H714" s="461"/>
      <c r="I714" s="461"/>
      <c r="J714" s="461" t="s">
        <v>1635</v>
      </c>
      <c r="K714" s="461"/>
      <c r="L714" s="461"/>
      <c r="M714" s="461"/>
      <c r="N714" s="463"/>
    </row>
    <row r="715" spans="1:14">
      <c r="A715" s="446">
        <f t="shared" si="15"/>
        <v>709</v>
      </c>
      <c r="B715" s="659"/>
      <c r="C715" s="456" t="s">
        <v>1461</v>
      </c>
      <c r="D715" s="457"/>
      <c r="E715" s="458" t="s">
        <v>279</v>
      </c>
      <c r="F715" s="464">
        <v>56410</v>
      </c>
      <c r="G715" s="461"/>
      <c r="H715" s="461"/>
      <c r="I715" s="461"/>
      <c r="J715" s="461" t="s">
        <v>1635</v>
      </c>
      <c r="K715" s="461"/>
      <c r="L715" s="461"/>
      <c r="M715" s="461"/>
      <c r="N715" s="463"/>
    </row>
    <row r="716" spans="1:14">
      <c r="A716" s="446">
        <f t="shared" si="15"/>
        <v>710</v>
      </c>
      <c r="B716" s="659"/>
      <c r="C716" s="456" t="s">
        <v>1463</v>
      </c>
      <c r="D716" s="457"/>
      <c r="E716" s="458" t="s">
        <v>279</v>
      </c>
      <c r="F716" s="464">
        <v>356893</v>
      </c>
      <c r="G716" s="461"/>
      <c r="H716" s="461"/>
      <c r="I716" s="461"/>
      <c r="J716" s="461" t="s">
        <v>1635</v>
      </c>
      <c r="K716" s="461"/>
      <c r="L716" s="461"/>
      <c r="M716" s="461"/>
      <c r="N716" s="463"/>
    </row>
    <row r="717" spans="1:14">
      <c r="A717" s="446">
        <f t="shared" si="15"/>
        <v>711</v>
      </c>
      <c r="B717" s="659"/>
      <c r="C717" s="456" t="s">
        <v>1467</v>
      </c>
      <c r="D717" s="457"/>
      <c r="E717" s="458" t="s">
        <v>1680</v>
      </c>
      <c r="F717" s="464">
        <v>126322</v>
      </c>
      <c r="G717" s="461"/>
      <c r="H717" s="461"/>
      <c r="I717" s="461"/>
      <c r="J717" s="461" t="s">
        <v>1635</v>
      </c>
      <c r="K717" s="461"/>
      <c r="L717" s="461"/>
      <c r="M717" s="461"/>
      <c r="N717" s="463"/>
    </row>
    <row r="718" spans="1:14">
      <c r="A718" s="446">
        <f t="shared" si="15"/>
        <v>712</v>
      </c>
      <c r="B718" s="659"/>
      <c r="C718" s="456" t="s">
        <v>1469</v>
      </c>
      <c r="D718" s="457" t="s">
        <v>2237</v>
      </c>
      <c r="E718" s="458" t="s">
        <v>279</v>
      </c>
      <c r="F718" s="464">
        <v>3758</v>
      </c>
      <c r="G718" s="461"/>
      <c r="H718" s="461"/>
      <c r="I718" s="461"/>
      <c r="J718" s="461" t="s">
        <v>1635</v>
      </c>
      <c r="K718" s="461"/>
      <c r="L718" s="461"/>
      <c r="M718" s="461"/>
      <c r="N718" s="463"/>
    </row>
    <row r="719" spans="1:14">
      <c r="A719" s="446">
        <f t="shared" si="15"/>
        <v>713</v>
      </c>
      <c r="B719" s="659"/>
      <c r="C719" s="456" t="s">
        <v>1471</v>
      </c>
      <c r="D719" s="457"/>
      <c r="E719" s="458" t="s">
        <v>279</v>
      </c>
      <c r="F719" s="464">
        <v>18343</v>
      </c>
      <c r="G719" s="461"/>
      <c r="H719" s="461"/>
      <c r="I719" s="461"/>
      <c r="J719" s="461" t="s">
        <v>1635</v>
      </c>
      <c r="K719" s="461"/>
      <c r="L719" s="461"/>
      <c r="M719" s="461"/>
      <c r="N719" s="463"/>
    </row>
    <row r="720" spans="1:14">
      <c r="A720" s="446">
        <f t="shared" si="15"/>
        <v>714</v>
      </c>
      <c r="B720" s="659"/>
      <c r="C720" s="456" t="s">
        <v>1473</v>
      </c>
      <c r="D720" s="457"/>
      <c r="E720" s="458" t="s">
        <v>279</v>
      </c>
      <c r="F720" s="464">
        <v>173825</v>
      </c>
      <c r="G720" s="461"/>
      <c r="H720" s="461"/>
      <c r="I720" s="461"/>
      <c r="J720" s="461" t="s">
        <v>1635</v>
      </c>
      <c r="K720" s="461"/>
      <c r="L720" s="461"/>
      <c r="M720" s="461"/>
      <c r="N720" s="463"/>
    </row>
    <row r="721" spans="1:14">
      <c r="A721" s="446">
        <f t="shared" si="15"/>
        <v>715</v>
      </c>
      <c r="B721" s="659"/>
      <c r="C721" s="456" t="s">
        <v>1475</v>
      </c>
      <c r="D721" s="457"/>
      <c r="E721" s="458" t="s">
        <v>279</v>
      </c>
      <c r="F721" s="464">
        <v>229379</v>
      </c>
      <c r="G721" s="461"/>
      <c r="H721" s="461"/>
      <c r="I721" s="461"/>
      <c r="J721" s="461" t="s">
        <v>1635</v>
      </c>
      <c r="K721" s="461"/>
      <c r="L721" s="461"/>
      <c r="M721" s="461"/>
      <c r="N721" s="463"/>
    </row>
    <row r="722" spans="1:14">
      <c r="A722" s="446">
        <f t="shared" si="15"/>
        <v>716</v>
      </c>
      <c r="B722" s="659"/>
      <c r="C722" s="456" t="s">
        <v>1477</v>
      </c>
      <c r="D722" s="457"/>
      <c r="E722" s="458" t="s">
        <v>1680</v>
      </c>
      <c r="F722" s="464">
        <v>108824</v>
      </c>
      <c r="G722" s="461"/>
      <c r="H722" s="461"/>
      <c r="I722" s="461"/>
      <c r="J722" s="461" t="s">
        <v>1635</v>
      </c>
      <c r="K722" s="461"/>
      <c r="L722" s="461"/>
      <c r="M722" s="461"/>
      <c r="N722" s="463"/>
    </row>
    <row r="723" spans="1:14" ht="29">
      <c r="A723" s="446">
        <f t="shared" si="15"/>
        <v>717</v>
      </c>
      <c r="B723" s="659"/>
      <c r="C723" s="456" t="s">
        <v>1479</v>
      </c>
      <c r="D723" s="457"/>
      <c r="E723" s="458" t="s">
        <v>1680</v>
      </c>
      <c r="F723" s="464">
        <v>111897</v>
      </c>
      <c r="G723" s="461"/>
      <c r="H723" s="461"/>
      <c r="I723" s="461"/>
      <c r="J723" s="461" t="s">
        <v>1635</v>
      </c>
      <c r="K723" s="461"/>
      <c r="L723" s="461"/>
      <c r="M723" s="461"/>
      <c r="N723" s="463"/>
    </row>
    <row r="724" spans="1:14" ht="29">
      <c r="A724" s="446">
        <f t="shared" si="15"/>
        <v>718</v>
      </c>
      <c r="B724" s="659"/>
      <c r="C724" s="456" t="s">
        <v>1481</v>
      </c>
      <c r="D724" s="457"/>
      <c r="E724" s="458" t="s">
        <v>1680</v>
      </c>
      <c r="F724" s="464">
        <v>280406</v>
      </c>
      <c r="G724" s="461"/>
      <c r="H724" s="461"/>
      <c r="I724" s="461"/>
      <c r="J724" s="461" t="s">
        <v>1635</v>
      </c>
      <c r="K724" s="461"/>
      <c r="L724" s="461"/>
      <c r="M724" s="461"/>
      <c r="N724" s="463"/>
    </row>
    <row r="725" spans="1:14">
      <c r="A725" s="446">
        <f t="shared" si="15"/>
        <v>719</v>
      </c>
      <c r="B725" s="659"/>
      <c r="C725" s="456" t="s">
        <v>1483</v>
      </c>
      <c r="D725" s="457"/>
      <c r="E725" s="458" t="s">
        <v>279</v>
      </c>
      <c r="F725" s="464">
        <v>152681</v>
      </c>
      <c r="G725" s="461"/>
      <c r="H725" s="461"/>
      <c r="I725" s="461"/>
      <c r="J725" s="461" t="s">
        <v>1635</v>
      </c>
      <c r="K725" s="461"/>
      <c r="L725" s="461"/>
      <c r="M725" s="461"/>
      <c r="N725" s="463"/>
    </row>
    <row r="726" spans="1:14">
      <c r="A726" s="446">
        <f t="shared" si="15"/>
        <v>720</v>
      </c>
      <c r="B726" s="659"/>
      <c r="C726" s="456" t="s">
        <v>1485</v>
      </c>
      <c r="D726" s="457"/>
      <c r="E726" s="458" t="s">
        <v>279</v>
      </c>
      <c r="F726" s="464">
        <v>116342</v>
      </c>
      <c r="G726" s="461"/>
      <c r="H726" s="461"/>
      <c r="I726" s="461"/>
      <c r="J726" s="461" t="s">
        <v>1635</v>
      </c>
      <c r="K726" s="461"/>
      <c r="L726" s="461"/>
      <c r="M726" s="461"/>
      <c r="N726" s="463"/>
    </row>
    <row r="727" spans="1:14">
      <c r="A727" s="446">
        <f t="shared" si="15"/>
        <v>721</v>
      </c>
      <c r="B727" s="659"/>
      <c r="C727" s="456" t="s">
        <v>1487</v>
      </c>
      <c r="D727" s="457"/>
      <c r="E727" s="458" t="s">
        <v>279</v>
      </c>
      <c r="F727" s="464">
        <v>186136</v>
      </c>
      <c r="G727" s="461"/>
      <c r="H727" s="461"/>
      <c r="I727" s="461"/>
      <c r="J727" s="461" t="s">
        <v>1635</v>
      </c>
      <c r="K727" s="461"/>
      <c r="L727" s="461"/>
      <c r="M727" s="461"/>
      <c r="N727" s="463"/>
    </row>
    <row r="728" spans="1:14">
      <c r="A728" s="446">
        <f t="shared" si="15"/>
        <v>722</v>
      </c>
      <c r="B728" s="659"/>
      <c r="C728" s="456" t="s">
        <v>1489</v>
      </c>
      <c r="D728" s="457"/>
      <c r="E728" s="458" t="s">
        <v>279</v>
      </c>
      <c r="F728" s="464">
        <v>261631</v>
      </c>
      <c r="G728" s="461"/>
      <c r="H728" s="461"/>
      <c r="I728" s="461"/>
      <c r="J728" s="461" t="s">
        <v>1635</v>
      </c>
      <c r="K728" s="461"/>
      <c r="L728" s="461"/>
      <c r="M728" s="461"/>
      <c r="N728" s="463"/>
    </row>
    <row r="729" spans="1:14">
      <c r="A729" s="446">
        <f t="shared" si="15"/>
        <v>723</v>
      </c>
      <c r="B729" s="659"/>
      <c r="C729" s="456" t="s">
        <v>1491</v>
      </c>
      <c r="D729" s="457"/>
      <c r="E729" s="458" t="s">
        <v>1680</v>
      </c>
      <c r="F729" s="464">
        <v>832</v>
      </c>
      <c r="G729" s="461"/>
      <c r="H729" s="461"/>
      <c r="I729" s="461"/>
      <c r="J729" s="461" t="s">
        <v>1635</v>
      </c>
      <c r="K729" s="461"/>
      <c r="L729" s="461"/>
      <c r="M729" s="461"/>
      <c r="N729" s="463"/>
    </row>
    <row r="730" spans="1:14">
      <c r="A730" s="446">
        <f t="shared" si="15"/>
        <v>724</v>
      </c>
      <c r="B730" s="659" t="s">
        <v>1048</v>
      </c>
      <c r="C730" s="456" t="s">
        <v>2238</v>
      </c>
      <c r="D730" s="457" t="s">
        <v>2239</v>
      </c>
      <c r="E730" s="458" t="s">
        <v>279</v>
      </c>
      <c r="F730" s="464">
        <v>74403</v>
      </c>
      <c r="G730" s="461"/>
      <c r="H730" s="461"/>
      <c r="I730" s="461"/>
      <c r="J730" s="461" t="s">
        <v>1635</v>
      </c>
      <c r="K730" s="461"/>
      <c r="L730" s="461"/>
      <c r="M730" s="461"/>
      <c r="N730" s="463"/>
    </row>
    <row r="731" spans="1:14">
      <c r="A731" s="446">
        <f t="shared" si="15"/>
        <v>725</v>
      </c>
      <c r="B731" s="659"/>
      <c r="C731" s="456" t="s">
        <v>1493</v>
      </c>
      <c r="D731" s="457"/>
      <c r="E731" s="458" t="s">
        <v>279</v>
      </c>
      <c r="F731" s="464">
        <v>58982</v>
      </c>
      <c r="G731" s="461"/>
      <c r="H731" s="461"/>
      <c r="I731" s="461"/>
      <c r="J731" s="461" t="s">
        <v>1635</v>
      </c>
      <c r="K731" s="461"/>
      <c r="L731" s="461"/>
      <c r="M731" s="461"/>
      <c r="N731" s="463"/>
    </row>
    <row r="732" spans="1:14">
      <c r="A732" s="446">
        <f t="shared" si="15"/>
        <v>726</v>
      </c>
      <c r="B732" s="659"/>
      <c r="C732" s="456" t="s">
        <v>1495</v>
      </c>
      <c r="D732" s="457"/>
      <c r="E732" s="458" t="s">
        <v>1680</v>
      </c>
      <c r="F732" s="464">
        <v>320081</v>
      </c>
      <c r="G732" s="461"/>
      <c r="H732" s="461"/>
      <c r="I732" s="461"/>
      <c r="J732" s="461" t="s">
        <v>1635</v>
      </c>
      <c r="K732" s="461"/>
      <c r="L732" s="461"/>
      <c r="M732" s="461"/>
      <c r="N732" s="463"/>
    </row>
    <row r="733" spans="1:14">
      <c r="A733" s="446">
        <f t="shared" si="15"/>
        <v>727</v>
      </c>
      <c r="B733" s="659"/>
      <c r="C733" s="456" t="s">
        <v>1497</v>
      </c>
      <c r="D733" s="457"/>
      <c r="E733" s="458" t="s">
        <v>279</v>
      </c>
      <c r="F733" s="464">
        <v>367518</v>
      </c>
      <c r="G733" s="461"/>
      <c r="H733" s="461"/>
      <c r="I733" s="461"/>
      <c r="J733" s="461" t="s">
        <v>1635</v>
      </c>
      <c r="K733" s="461"/>
      <c r="L733" s="461"/>
      <c r="M733" s="461"/>
      <c r="N733" s="463"/>
    </row>
    <row r="734" spans="1:14">
      <c r="A734" s="446">
        <f t="shared" si="15"/>
        <v>728</v>
      </c>
      <c r="B734" s="659"/>
      <c r="C734" s="456" t="s">
        <v>1499</v>
      </c>
      <c r="D734" s="457"/>
      <c r="E734" s="458" t="s">
        <v>279</v>
      </c>
      <c r="F734" s="464">
        <v>222507</v>
      </c>
      <c r="G734" s="461"/>
      <c r="H734" s="461"/>
      <c r="I734" s="461"/>
      <c r="J734" s="461" t="s">
        <v>1635</v>
      </c>
      <c r="K734" s="461"/>
      <c r="L734" s="461"/>
      <c r="M734" s="461"/>
      <c r="N734" s="463"/>
    </row>
    <row r="735" spans="1:14">
      <c r="A735" s="446">
        <f t="shared" si="15"/>
        <v>729</v>
      </c>
      <c r="B735" s="659"/>
      <c r="C735" s="456" t="s">
        <v>1501</v>
      </c>
      <c r="D735" s="457"/>
      <c r="E735" s="458" t="s">
        <v>279</v>
      </c>
      <c r="F735" s="464">
        <v>919</v>
      </c>
      <c r="G735" s="461"/>
      <c r="H735" s="461"/>
      <c r="I735" s="461"/>
      <c r="J735" s="461" t="s">
        <v>1635</v>
      </c>
      <c r="K735" s="461"/>
      <c r="L735" s="461"/>
      <c r="M735" s="461"/>
      <c r="N735" s="463"/>
    </row>
    <row r="736" spans="1:14">
      <c r="A736" s="446">
        <f t="shared" si="15"/>
        <v>730</v>
      </c>
      <c r="B736" s="659"/>
      <c r="C736" s="456" t="s">
        <v>1503</v>
      </c>
      <c r="D736" s="457"/>
      <c r="E736" s="458" t="s">
        <v>279</v>
      </c>
      <c r="F736" s="464">
        <v>451389</v>
      </c>
      <c r="G736" s="461"/>
      <c r="H736" s="461"/>
      <c r="I736" s="461"/>
      <c r="J736" s="461" t="s">
        <v>1635</v>
      </c>
      <c r="K736" s="461"/>
      <c r="L736" s="461"/>
      <c r="M736" s="461"/>
      <c r="N736" s="463"/>
    </row>
    <row r="737" spans="1:14">
      <c r="A737" s="446">
        <f t="shared" si="15"/>
        <v>731</v>
      </c>
      <c r="B737" s="659"/>
      <c r="C737" s="456" t="s">
        <v>1505</v>
      </c>
      <c r="D737" s="457"/>
      <c r="E737" s="458" t="s">
        <v>279</v>
      </c>
      <c r="F737" s="464">
        <v>241993</v>
      </c>
      <c r="G737" s="461"/>
      <c r="H737" s="461"/>
      <c r="I737" s="461"/>
      <c r="J737" s="461" t="s">
        <v>1635</v>
      </c>
      <c r="K737" s="461"/>
      <c r="L737" s="461"/>
      <c r="M737" s="461"/>
      <c r="N737" s="463"/>
    </row>
    <row r="738" spans="1:14">
      <c r="A738" s="446">
        <f t="shared" si="15"/>
        <v>732</v>
      </c>
      <c r="B738" s="659"/>
      <c r="C738" s="456" t="s">
        <v>1507</v>
      </c>
      <c r="D738" s="457"/>
      <c r="E738" s="458" t="s">
        <v>279</v>
      </c>
      <c r="F738" s="464">
        <v>199137</v>
      </c>
      <c r="G738" s="461"/>
      <c r="H738" s="461"/>
      <c r="I738" s="461"/>
      <c r="J738" s="461" t="s">
        <v>1635</v>
      </c>
      <c r="K738" s="461"/>
      <c r="L738" s="461"/>
      <c r="M738" s="461"/>
      <c r="N738" s="463"/>
    </row>
    <row r="739" spans="1:14">
      <c r="A739" s="446">
        <f t="shared" si="15"/>
        <v>733</v>
      </c>
      <c r="B739" s="659"/>
      <c r="C739" s="456" t="s">
        <v>1065</v>
      </c>
      <c r="D739" s="457" t="s">
        <v>2240</v>
      </c>
      <c r="E739" s="458" t="s">
        <v>279</v>
      </c>
      <c r="F739" s="464">
        <v>49735</v>
      </c>
      <c r="G739" s="461"/>
      <c r="H739" s="461"/>
      <c r="I739" s="461"/>
      <c r="J739" s="461" t="s">
        <v>1635</v>
      </c>
      <c r="K739" s="461"/>
      <c r="L739" s="461"/>
      <c r="M739" s="461"/>
      <c r="N739" s="463"/>
    </row>
    <row r="740" spans="1:14">
      <c r="A740" s="446">
        <f t="shared" si="15"/>
        <v>734</v>
      </c>
      <c r="B740" s="659"/>
      <c r="C740" s="456" t="s">
        <v>1509</v>
      </c>
      <c r="D740" s="457"/>
      <c r="E740" s="458" t="s">
        <v>279</v>
      </c>
      <c r="F740" s="464">
        <v>1247</v>
      </c>
      <c r="G740" s="461"/>
      <c r="H740" s="461"/>
      <c r="I740" s="461"/>
      <c r="J740" s="461" t="s">
        <v>1635</v>
      </c>
      <c r="K740" s="461"/>
      <c r="L740" s="461"/>
      <c r="M740" s="461"/>
      <c r="N740" s="463"/>
    </row>
    <row r="741" spans="1:14">
      <c r="A741" s="446">
        <f t="shared" si="15"/>
        <v>735</v>
      </c>
      <c r="B741" s="659" t="s">
        <v>1066</v>
      </c>
      <c r="C741" s="456" t="s">
        <v>1067</v>
      </c>
      <c r="D741" s="457" t="s">
        <v>2241</v>
      </c>
      <c r="E741" s="458" t="s">
        <v>279</v>
      </c>
      <c r="F741" s="464">
        <v>74428</v>
      </c>
      <c r="G741" s="461"/>
      <c r="H741" s="461"/>
      <c r="I741" s="461"/>
      <c r="J741" s="461" t="s">
        <v>1635</v>
      </c>
      <c r="K741" s="461"/>
      <c r="L741" s="461"/>
      <c r="M741" s="461"/>
      <c r="N741" s="463"/>
    </row>
    <row r="742" spans="1:14">
      <c r="A742" s="446">
        <f t="shared" si="15"/>
        <v>736</v>
      </c>
      <c r="B742" s="659"/>
      <c r="C742" s="456" t="s">
        <v>1511</v>
      </c>
      <c r="D742" s="457"/>
      <c r="E742" s="458" t="s">
        <v>279</v>
      </c>
      <c r="F742" s="464">
        <v>33676</v>
      </c>
      <c r="G742" s="461"/>
      <c r="H742" s="461"/>
      <c r="I742" s="461"/>
      <c r="J742" s="461" t="s">
        <v>1635</v>
      </c>
      <c r="K742" s="461"/>
      <c r="L742" s="461"/>
      <c r="M742" s="461"/>
      <c r="N742" s="463"/>
    </row>
    <row r="743" spans="1:14" ht="29">
      <c r="A743" s="446">
        <f t="shared" si="15"/>
        <v>737</v>
      </c>
      <c r="B743" s="659"/>
      <c r="C743" s="456" t="s">
        <v>1513</v>
      </c>
      <c r="D743" s="457"/>
      <c r="E743" s="458" t="s">
        <v>279</v>
      </c>
      <c r="F743" s="464">
        <v>196301</v>
      </c>
      <c r="G743" s="461"/>
      <c r="H743" s="461"/>
      <c r="I743" s="461"/>
      <c r="J743" s="461" t="s">
        <v>1635</v>
      </c>
      <c r="K743" s="461"/>
      <c r="L743" s="461"/>
      <c r="M743" s="461"/>
      <c r="N743" s="463"/>
    </row>
    <row r="744" spans="1:14">
      <c r="A744" s="446">
        <f t="shared" si="15"/>
        <v>738</v>
      </c>
      <c r="B744" s="659"/>
      <c r="C744" s="456" t="s">
        <v>1515</v>
      </c>
      <c r="D744" s="457"/>
      <c r="E744" s="458" t="s">
        <v>279</v>
      </c>
      <c r="F744" s="464">
        <v>183266</v>
      </c>
      <c r="G744" s="461"/>
      <c r="H744" s="461"/>
      <c r="I744" s="461"/>
      <c r="J744" s="461" t="s">
        <v>1635</v>
      </c>
      <c r="K744" s="461"/>
      <c r="L744" s="461"/>
      <c r="M744" s="461"/>
      <c r="N744" s="463"/>
    </row>
    <row r="745" spans="1:14" ht="29">
      <c r="A745" s="446">
        <f t="shared" si="15"/>
        <v>739</v>
      </c>
      <c r="B745" s="659"/>
      <c r="C745" s="456" t="s">
        <v>1517</v>
      </c>
      <c r="D745" s="457"/>
      <c r="E745" s="458" t="s">
        <v>279</v>
      </c>
      <c r="F745" s="464">
        <v>5909</v>
      </c>
      <c r="G745" s="461"/>
      <c r="H745" s="461"/>
      <c r="I745" s="461"/>
      <c r="J745" s="461" t="s">
        <v>1635</v>
      </c>
      <c r="K745" s="461"/>
      <c r="L745" s="461"/>
      <c r="M745" s="461"/>
      <c r="N745" s="463"/>
    </row>
    <row r="746" spans="1:14">
      <c r="A746" s="446">
        <f t="shared" si="15"/>
        <v>740</v>
      </c>
      <c r="B746" s="659"/>
      <c r="C746" s="456" t="s">
        <v>1519</v>
      </c>
      <c r="D746" s="457"/>
      <c r="E746" s="458" t="s">
        <v>279</v>
      </c>
      <c r="F746" s="464">
        <v>71381</v>
      </c>
      <c r="G746" s="461"/>
      <c r="H746" s="461"/>
      <c r="I746" s="461"/>
      <c r="J746" s="461" t="s">
        <v>1635</v>
      </c>
      <c r="K746" s="461"/>
      <c r="L746" s="461"/>
      <c r="M746" s="461"/>
      <c r="N746" s="463"/>
    </row>
    <row r="747" spans="1:14">
      <c r="A747" s="446">
        <f t="shared" si="15"/>
        <v>741</v>
      </c>
      <c r="B747" s="659"/>
      <c r="C747" s="456" t="s">
        <v>1521</v>
      </c>
      <c r="D747" s="457"/>
      <c r="E747" s="458" t="s">
        <v>279</v>
      </c>
      <c r="F747" s="464">
        <v>77249</v>
      </c>
      <c r="G747" s="461"/>
      <c r="H747" s="461"/>
      <c r="I747" s="461"/>
      <c r="J747" s="461" t="s">
        <v>1635</v>
      </c>
      <c r="K747" s="461"/>
      <c r="L747" s="461"/>
      <c r="M747" s="461"/>
      <c r="N747" s="463"/>
    </row>
    <row r="748" spans="1:14">
      <c r="A748" s="446">
        <f t="shared" si="15"/>
        <v>742</v>
      </c>
      <c r="B748" s="659"/>
      <c r="C748" s="456" t="s">
        <v>1523</v>
      </c>
      <c r="D748" s="457"/>
      <c r="E748" s="458" t="s">
        <v>279</v>
      </c>
      <c r="F748" s="464">
        <v>430246</v>
      </c>
      <c r="G748" s="461"/>
      <c r="H748" s="461"/>
      <c r="I748" s="461"/>
      <c r="J748" s="461" t="s">
        <v>1635</v>
      </c>
      <c r="K748" s="461"/>
      <c r="L748" s="461"/>
      <c r="M748" s="461"/>
      <c r="N748" s="463"/>
    </row>
    <row r="749" spans="1:14">
      <c r="A749" s="446">
        <f t="shared" si="15"/>
        <v>743</v>
      </c>
      <c r="B749" s="659"/>
      <c r="C749" s="456" t="s">
        <v>1525</v>
      </c>
      <c r="D749" s="457"/>
      <c r="E749" s="458" t="s">
        <v>279</v>
      </c>
      <c r="F749" s="464">
        <v>311632</v>
      </c>
      <c r="G749" s="461"/>
      <c r="H749" s="461"/>
      <c r="I749" s="461"/>
      <c r="J749" s="461" t="s">
        <v>1635</v>
      </c>
      <c r="K749" s="461"/>
      <c r="L749" s="461"/>
      <c r="M749" s="461"/>
      <c r="N749" s="463"/>
    </row>
    <row r="750" spans="1:14">
      <c r="A750" s="446">
        <f t="shared" si="15"/>
        <v>744</v>
      </c>
      <c r="B750" s="659" t="s">
        <v>1084</v>
      </c>
      <c r="C750" s="456" t="s">
        <v>2242</v>
      </c>
      <c r="D750" s="457" t="s">
        <v>2243</v>
      </c>
      <c r="E750" s="458" t="s">
        <v>1680</v>
      </c>
      <c r="F750" s="464">
        <v>25210</v>
      </c>
      <c r="G750" s="461"/>
      <c r="H750" s="461"/>
      <c r="I750" s="461"/>
      <c r="J750" s="461" t="s">
        <v>1635</v>
      </c>
      <c r="K750" s="461"/>
      <c r="L750" s="461"/>
      <c r="M750" s="461"/>
      <c r="N750" s="463"/>
    </row>
    <row r="751" spans="1:14">
      <c r="A751" s="446">
        <f t="shared" si="15"/>
        <v>745</v>
      </c>
      <c r="B751" s="659"/>
      <c r="C751" s="456" t="s">
        <v>1527</v>
      </c>
      <c r="D751" s="457"/>
      <c r="E751" s="458" t="s">
        <v>279</v>
      </c>
      <c r="F751" s="464">
        <v>23905</v>
      </c>
      <c r="G751" s="461"/>
      <c r="H751" s="461"/>
      <c r="I751" s="461"/>
      <c r="J751" s="461" t="s">
        <v>1635</v>
      </c>
      <c r="K751" s="461"/>
      <c r="L751" s="461"/>
      <c r="M751" s="461"/>
      <c r="N751" s="463"/>
    </row>
    <row r="752" spans="1:14">
      <c r="A752" s="446">
        <f t="shared" si="15"/>
        <v>746</v>
      </c>
      <c r="B752" s="659"/>
      <c r="C752" s="456" t="s">
        <v>1529</v>
      </c>
      <c r="D752" s="457"/>
      <c r="E752" s="458" t="s">
        <v>279</v>
      </c>
      <c r="F752" s="464">
        <v>66336</v>
      </c>
      <c r="G752" s="461"/>
      <c r="H752" s="461"/>
      <c r="I752" s="461"/>
      <c r="J752" s="461" t="s">
        <v>1635</v>
      </c>
      <c r="K752" s="461"/>
      <c r="L752" s="461"/>
      <c r="M752" s="461"/>
      <c r="N752" s="463"/>
    </row>
    <row r="753" spans="1:14">
      <c r="A753" s="446">
        <f t="shared" si="15"/>
        <v>747</v>
      </c>
      <c r="B753" s="659"/>
      <c r="C753" s="456" t="s">
        <v>1081</v>
      </c>
      <c r="D753" s="457" t="s">
        <v>2218</v>
      </c>
      <c r="E753" s="458" t="s">
        <v>279</v>
      </c>
      <c r="F753" s="464">
        <v>5553</v>
      </c>
      <c r="G753" s="461"/>
      <c r="H753" s="461"/>
      <c r="I753" s="461"/>
      <c r="J753" s="461" t="s">
        <v>1635</v>
      </c>
      <c r="K753" s="461"/>
      <c r="L753" s="461"/>
      <c r="M753" s="461"/>
      <c r="N753" s="463"/>
    </row>
    <row r="754" spans="1:14">
      <c r="A754" s="446">
        <f t="shared" si="15"/>
        <v>748</v>
      </c>
      <c r="B754" s="659"/>
      <c r="C754" s="456" t="s">
        <v>1531</v>
      </c>
      <c r="D754" s="457"/>
      <c r="E754" s="458" t="s">
        <v>279</v>
      </c>
      <c r="F754" s="464">
        <v>322502</v>
      </c>
      <c r="G754" s="461"/>
      <c r="H754" s="461"/>
      <c r="I754" s="461"/>
      <c r="J754" s="461" t="s">
        <v>1635</v>
      </c>
      <c r="K754" s="461"/>
      <c r="L754" s="461"/>
      <c r="M754" s="461"/>
      <c r="N754" s="463"/>
    </row>
    <row r="755" spans="1:14">
      <c r="A755" s="446">
        <f t="shared" si="15"/>
        <v>749</v>
      </c>
      <c r="B755" s="659"/>
      <c r="C755" s="456" t="s">
        <v>1533</v>
      </c>
      <c r="D755" s="457"/>
      <c r="E755" s="458" t="s">
        <v>279</v>
      </c>
      <c r="F755" s="464">
        <v>479806</v>
      </c>
      <c r="G755" s="461"/>
      <c r="H755" s="461"/>
      <c r="I755" s="461"/>
      <c r="J755" s="461" t="s">
        <v>1635</v>
      </c>
      <c r="K755" s="461"/>
      <c r="L755" s="461"/>
      <c r="M755" s="461"/>
      <c r="N755" s="463"/>
    </row>
    <row r="756" spans="1:14">
      <c r="A756" s="446">
        <f t="shared" si="15"/>
        <v>750</v>
      </c>
      <c r="B756" s="659"/>
      <c r="C756" s="456" t="s">
        <v>1535</v>
      </c>
      <c r="D756" s="457"/>
      <c r="E756" s="458" t="s">
        <v>279</v>
      </c>
      <c r="F756" s="464">
        <v>11963</v>
      </c>
      <c r="G756" s="461"/>
      <c r="H756" s="461"/>
      <c r="I756" s="461"/>
      <c r="J756" s="461" t="s">
        <v>1635</v>
      </c>
      <c r="K756" s="461"/>
      <c r="L756" s="461"/>
      <c r="M756" s="461"/>
      <c r="N756" s="463"/>
    </row>
    <row r="757" spans="1:14" ht="16.5" customHeight="1">
      <c r="A757" s="446">
        <f t="shared" si="15"/>
        <v>751</v>
      </c>
      <c r="B757" s="659"/>
      <c r="C757" s="456" t="s">
        <v>1537</v>
      </c>
      <c r="D757" s="457"/>
      <c r="E757" s="458" t="s">
        <v>279</v>
      </c>
      <c r="F757" s="464">
        <v>420329</v>
      </c>
      <c r="G757" s="461"/>
      <c r="H757" s="461"/>
      <c r="I757" s="461"/>
      <c r="J757" s="461" t="s">
        <v>1635</v>
      </c>
      <c r="K757" s="461"/>
      <c r="L757" s="461"/>
      <c r="M757" s="461"/>
      <c r="N757" s="463"/>
    </row>
    <row r="758" spans="1:14">
      <c r="A758" s="446">
        <f t="shared" si="15"/>
        <v>752</v>
      </c>
      <c r="B758" s="659"/>
      <c r="C758" s="456" t="s">
        <v>1539</v>
      </c>
      <c r="D758" s="457"/>
      <c r="E758" s="458" t="s">
        <v>279</v>
      </c>
      <c r="F758" s="464">
        <v>12785</v>
      </c>
      <c r="G758" s="461"/>
      <c r="H758" s="461"/>
      <c r="I758" s="461"/>
      <c r="J758" s="461" t="s">
        <v>1635</v>
      </c>
      <c r="K758" s="461"/>
      <c r="L758" s="461"/>
      <c r="M758" s="461"/>
      <c r="N758" s="463"/>
    </row>
    <row r="759" spans="1:14">
      <c r="A759" s="446">
        <f t="shared" si="15"/>
        <v>753</v>
      </c>
      <c r="B759" s="659" t="s">
        <v>1107</v>
      </c>
      <c r="C759" s="456" t="s">
        <v>2244</v>
      </c>
      <c r="D759" s="457" t="s">
        <v>2245</v>
      </c>
      <c r="E759" s="458" t="s">
        <v>1680</v>
      </c>
      <c r="F759" s="464">
        <v>40860</v>
      </c>
      <c r="G759" s="461"/>
      <c r="H759" s="461"/>
      <c r="I759" s="461"/>
      <c r="J759" s="461" t="s">
        <v>1635</v>
      </c>
      <c r="K759" s="461"/>
      <c r="L759" s="461"/>
      <c r="M759" s="461"/>
      <c r="N759" s="463"/>
    </row>
    <row r="760" spans="1:14">
      <c r="A760" s="446">
        <f t="shared" si="15"/>
        <v>754</v>
      </c>
      <c r="B760" s="659"/>
      <c r="C760" s="456" t="s">
        <v>1541</v>
      </c>
      <c r="D760" s="457"/>
      <c r="E760" s="458" t="s">
        <v>279</v>
      </c>
      <c r="F760" s="464">
        <v>78401</v>
      </c>
      <c r="G760" s="461"/>
      <c r="H760" s="461"/>
      <c r="I760" s="461"/>
      <c r="J760" s="461" t="s">
        <v>1635</v>
      </c>
      <c r="K760" s="461"/>
      <c r="L760" s="461"/>
      <c r="M760" s="461"/>
      <c r="N760" s="463"/>
    </row>
    <row r="761" spans="1:14">
      <c r="A761" s="446">
        <f t="shared" si="15"/>
        <v>755</v>
      </c>
      <c r="B761" s="659"/>
      <c r="C761" s="456" t="s">
        <v>1543</v>
      </c>
      <c r="D761" s="457"/>
      <c r="E761" s="458" t="s">
        <v>279</v>
      </c>
      <c r="F761" s="464">
        <v>111412</v>
      </c>
      <c r="G761" s="461"/>
      <c r="H761" s="461"/>
      <c r="I761" s="461"/>
      <c r="J761" s="461" t="s">
        <v>1635</v>
      </c>
      <c r="K761" s="461"/>
      <c r="L761" s="461"/>
      <c r="M761" s="461"/>
      <c r="N761" s="463"/>
    </row>
    <row r="762" spans="1:14">
      <c r="A762" s="446">
        <f t="shared" si="15"/>
        <v>756</v>
      </c>
      <c r="B762" s="659"/>
      <c r="C762" s="456" t="s">
        <v>1122</v>
      </c>
      <c r="D762" s="457" t="s">
        <v>2235</v>
      </c>
      <c r="E762" s="458" t="s">
        <v>279</v>
      </c>
      <c r="F762" s="464">
        <v>156417</v>
      </c>
      <c r="G762" s="461"/>
      <c r="H762" s="461"/>
      <c r="I762" s="461"/>
      <c r="J762" s="461" t="s">
        <v>1635</v>
      </c>
      <c r="K762" s="461"/>
      <c r="L762" s="461"/>
      <c r="M762" s="461"/>
      <c r="N762" s="463"/>
    </row>
    <row r="763" spans="1:14">
      <c r="A763" s="446">
        <f t="shared" si="15"/>
        <v>757</v>
      </c>
      <c r="B763" s="659"/>
      <c r="C763" s="456" t="s">
        <v>1547</v>
      </c>
      <c r="D763" s="457"/>
      <c r="E763" s="458" t="s">
        <v>279</v>
      </c>
      <c r="F763" s="464">
        <v>19027</v>
      </c>
      <c r="G763" s="461"/>
      <c r="H763" s="461"/>
      <c r="I763" s="461"/>
      <c r="J763" s="461" t="s">
        <v>1635</v>
      </c>
      <c r="K763" s="461"/>
      <c r="L763" s="461"/>
      <c r="M763" s="461"/>
      <c r="N763" s="463"/>
    </row>
    <row r="764" spans="1:14">
      <c r="A764" s="446">
        <f t="shared" si="15"/>
        <v>758</v>
      </c>
      <c r="B764" s="659"/>
      <c r="C764" s="456" t="s">
        <v>1128</v>
      </c>
      <c r="D764" s="457" t="s">
        <v>2246</v>
      </c>
      <c r="E764" s="458" t="s">
        <v>279</v>
      </c>
      <c r="F764" s="464">
        <v>76396</v>
      </c>
      <c r="G764" s="461"/>
      <c r="H764" s="461"/>
      <c r="I764" s="461"/>
      <c r="J764" s="461" t="s">
        <v>1635</v>
      </c>
      <c r="K764" s="461"/>
      <c r="L764" s="461"/>
      <c r="M764" s="461"/>
      <c r="N764" s="463"/>
    </row>
    <row r="765" spans="1:14" ht="29">
      <c r="A765" s="446">
        <f t="shared" si="15"/>
        <v>759</v>
      </c>
      <c r="B765" s="659"/>
      <c r="C765" s="456" t="s">
        <v>1549</v>
      </c>
      <c r="D765" s="457"/>
      <c r="E765" s="458" t="s">
        <v>1680</v>
      </c>
      <c r="F765" s="464">
        <v>150281</v>
      </c>
      <c r="G765" s="461"/>
      <c r="H765" s="461"/>
      <c r="I765" s="461"/>
      <c r="J765" s="461" t="s">
        <v>1635</v>
      </c>
      <c r="K765" s="461"/>
      <c r="L765" s="461"/>
      <c r="M765" s="461"/>
      <c r="N765" s="463"/>
    </row>
    <row r="766" spans="1:14" ht="16.5" customHeight="1">
      <c r="A766" s="446">
        <f t="shared" si="15"/>
        <v>760</v>
      </c>
      <c r="B766" s="659"/>
      <c r="C766" s="448" t="s">
        <v>2247</v>
      </c>
      <c r="D766" s="457"/>
      <c r="G766" s="461"/>
      <c r="H766" s="461"/>
      <c r="I766" s="461"/>
      <c r="J766" s="461"/>
      <c r="K766" s="461"/>
      <c r="L766" s="461"/>
      <c r="M766" s="461"/>
      <c r="N766" s="463"/>
    </row>
    <row r="767" spans="1:14" ht="29">
      <c r="A767" s="446">
        <f t="shared" si="15"/>
        <v>761</v>
      </c>
      <c r="B767" s="659"/>
      <c r="C767" s="456" t="s">
        <v>1554</v>
      </c>
      <c r="D767" s="457"/>
      <c r="E767" s="458" t="s">
        <v>2228</v>
      </c>
      <c r="F767" s="464">
        <v>20992954</v>
      </c>
      <c r="G767" s="461" t="s">
        <v>1635</v>
      </c>
      <c r="H767" s="461"/>
      <c r="I767" s="461"/>
      <c r="J767" s="461"/>
      <c r="K767" s="461"/>
      <c r="L767" s="461"/>
      <c r="M767" s="461"/>
      <c r="N767" s="463"/>
    </row>
    <row r="768" spans="1:14" ht="29">
      <c r="A768" s="446">
        <f t="shared" si="15"/>
        <v>762</v>
      </c>
      <c r="B768" s="659"/>
      <c r="C768" s="456" t="s">
        <v>1555</v>
      </c>
      <c r="D768" s="457"/>
      <c r="E768" s="458" t="s">
        <v>2228</v>
      </c>
      <c r="F768" s="464">
        <v>2754262</v>
      </c>
      <c r="G768" s="461" t="s">
        <v>1635</v>
      </c>
      <c r="H768" s="461"/>
      <c r="I768" s="461"/>
      <c r="J768" s="461"/>
      <c r="K768" s="461"/>
      <c r="L768" s="461"/>
      <c r="M768" s="461"/>
      <c r="N768" s="463"/>
    </row>
    <row r="769" spans="1:14" ht="29">
      <c r="A769" s="446">
        <f t="shared" ref="A769:A792" si="16">A768+1</f>
        <v>763</v>
      </c>
      <c r="B769" s="659"/>
      <c r="C769" s="448" t="s">
        <v>2248</v>
      </c>
      <c r="D769" s="457"/>
      <c r="G769" s="461"/>
      <c r="H769" s="461"/>
      <c r="I769" s="461"/>
      <c r="J769" s="461"/>
      <c r="K769" s="461"/>
      <c r="L769" s="461"/>
      <c r="M769" s="461"/>
      <c r="N769" s="463"/>
    </row>
    <row r="770" spans="1:14" ht="17.25" customHeight="1">
      <c r="A770" s="446">
        <f t="shared" si="16"/>
        <v>764</v>
      </c>
      <c r="B770" s="659"/>
      <c r="C770" s="456" t="s">
        <v>1596</v>
      </c>
      <c r="D770" s="457"/>
      <c r="E770" s="458" t="s">
        <v>279</v>
      </c>
      <c r="F770" s="464">
        <v>287835</v>
      </c>
      <c r="G770" s="461" t="s">
        <v>1635</v>
      </c>
      <c r="H770" s="461"/>
      <c r="I770" s="461"/>
      <c r="J770" s="461"/>
      <c r="K770" s="461"/>
      <c r="L770" s="461"/>
      <c r="M770" s="461"/>
      <c r="N770" s="463"/>
    </row>
    <row r="771" spans="1:14">
      <c r="A771" s="446">
        <f t="shared" si="16"/>
        <v>765</v>
      </c>
      <c r="B771" s="659" t="s">
        <v>2249</v>
      </c>
      <c r="C771" s="456" t="s">
        <v>1598</v>
      </c>
      <c r="D771" s="457"/>
      <c r="E771" s="458" t="s">
        <v>279</v>
      </c>
      <c r="F771" s="464">
        <v>302609</v>
      </c>
      <c r="G771" s="461" t="s">
        <v>1635</v>
      </c>
      <c r="H771" s="461"/>
      <c r="I771" s="461"/>
      <c r="J771" s="461"/>
      <c r="K771" s="461"/>
      <c r="L771" s="461"/>
      <c r="M771" s="461"/>
      <c r="N771" s="463"/>
    </row>
    <row r="772" spans="1:14">
      <c r="A772" s="446">
        <f t="shared" si="16"/>
        <v>766</v>
      </c>
      <c r="B772" s="659"/>
      <c r="C772" s="456" t="s">
        <v>1600</v>
      </c>
      <c r="D772" s="457"/>
      <c r="E772" s="458" t="s">
        <v>279</v>
      </c>
      <c r="F772" s="464">
        <v>2978205</v>
      </c>
      <c r="G772" s="461" t="s">
        <v>1635</v>
      </c>
      <c r="H772" s="461"/>
      <c r="I772" s="461"/>
      <c r="J772" s="461"/>
      <c r="K772" s="461"/>
      <c r="L772" s="461"/>
      <c r="M772" s="461"/>
      <c r="N772" s="463"/>
    </row>
    <row r="773" spans="1:14">
      <c r="A773" s="446">
        <f t="shared" si="16"/>
        <v>767</v>
      </c>
      <c r="B773" s="659" t="s">
        <v>1607</v>
      </c>
      <c r="C773" s="456" t="s">
        <v>1606</v>
      </c>
      <c r="D773" s="457" t="s">
        <v>2250</v>
      </c>
      <c r="E773" s="458" t="s">
        <v>1680</v>
      </c>
      <c r="F773" s="464">
        <v>3115052</v>
      </c>
      <c r="G773" s="461" t="s">
        <v>1635</v>
      </c>
      <c r="H773" s="461"/>
      <c r="I773" s="461"/>
      <c r="J773" s="461"/>
      <c r="K773" s="461"/>
      <c r="L773" s="461"/>
      <c r="M773" s="461"/>
      <c r="N773" s="463"/>
    </row>
    <row r="774" spans="1:14">
      <c r="A774" s="446">
        <f t="shared" si="16"/>
        <v>768</v>
      </c>
      <c r="B774" s="659"/>
      <c r="D774" s="457"/>
      <c r="F774" s="459"/>
      <c r="G774" s="461"/>
      <c r="H774" s="461"/>
      <c r="I774" s="461"/>
      <c r="J774" s="461"/>
      <c r="K774" s="461"/>
      <c r="L774" s="461"/>
      <c r="M774" s="461"/>
      <c r="N774" s="463"/>
    </row>
    <row r="775" spans="1:14">
      <c r="A775" s="446">
        <f t="shared" si="16"/>
        <v>769</v>
      </c>
      <c r="B775" s="659"/>
      <c r="C775" s="448" t="s">
        <v>2251</v>
      </c>
      <c r="D775" s="457"/>
      <c r="F775" s="464">
        <v>82985149</v>
      </c>
      <c r="G775" s="461"/>
      <c r="H775" s="461"/>
      <c r="I775" s="461"/>
      <c r="J775" s="461"/>
      <c r="K775" s="461"/>
      <c r="L775" s="461"/>
      <c r="M775" s="461"/>
      <c r="N775" s="463"/>
    </row>
    <row r="776" spans="1:14">
      <c r="A776" s="446">
        <f t="shared" si="16"/>
        <v>770</v>
      </c>
      <c r="B776" s="659" t="s">
        <v>1243</v>
      </c>
      <c r="C776" s="456" t="s">
        <v>2252</v>
      </c>
      <c r="D776" s="457" t="s">
        <v>2253</v>
      </c>
      <c r="E776" s="458" t="s">
        <v>279</v>
      </c>
      <c r="F776" s="459"/>
      <c r="G776" s="461" t="s">
        <v>1635</v>
      </c>
      <c r="H776" s="461"/>
      <c r="I776" s="483"/>
      <c r="J776" s="483"/>
      <c r="K776" s="461"/>
      <c r="L776" s="484"/>
      <c r="M776" s="473"/>
      <c r="N776" s="463"/>
    </row>
    <row r="777" spans="1:14">
      <c r="A777" s="446">
        <f t="shared" si="16"/>
        <v>771</v>
      </c>
      <c r="B777" s="659" t="s">
        <v>1217</v>
      </c>
      <c r="C777" s="456" t="s">
        <v>2254</v>
      </c>
      <c r="D777" s="457" t="s">
        <v>2255</v>
      </c>
      <c r="E777" s="458" t="s">
        <v>1680</v>
      </c>
      <c r="F777" s="459"/>
      <c r="G777" s="461" t="s">
        <v>1635</v>
      </c>
      <c r="H777" s="461"/>
      <c r="I777" s="483"/>
      <c r="J777" s="483"/>
      <c r="K777" s="461"/>
      <c r="L777" s="484"/>
      <c r="M777" s="473"/>
      <c r="N777" s="463"/>
    </row>
    <row r="778" spans="1:14">
      <c r="A778" s="446">
        <f t="shared" si="16"/>
        <v>772</v>
      </c>
      <c r="B778" s="659"/>
      <c r="D778" s="457" t="s">
        <v>2256</v>
      </c>
      <c r="E778" s="458" t="s">
        <v>1680</v>
      </c>
      <c r="F778" s="459"/>
      <c r="G778" s="461" t="s">
        <v>1635</v>
      </c>
      <c r="H778" s="461"/>
      <c r="I778" s="483"/>
      <c r="J778" s="483"/>
      <c r="K778" s="461"/>
      <c r="L778" s="484"/>
      <c r="M778" s="473"/>
      <c r="N778" s="463"/>
    </row>
    <row r="779" spans="1:14">
      <c r="A779" s="446">
        <f t="shared" si="16"/>
        <v>773</v>
      </c>
      <c r="B779" s="659"/>
      <c r="D779" s="457" t="s">
        <v>2257</v>
      </c>
      <c r="E779" s="458" t="s">
        <v>279</v>
      </c>
      <c r="F779" s="459"/>
      <c r="G779" s="461" t="s">
        <v>1635</v>
      </c>
      <c r="H779" s="461"/>
      <c r="I779" s="483"/>
      <c r="J779" s="483"/>
      <c r="K779" s="461"/>
      <c r="L779" s="484"/>
      <c r="M779" s="473"/>
      <c r="N779" s="463"/>
    </row>
    <row r="780" spans="1:14">
      <c r="A780" s="446">
        <f t="shared" si="16"/>
        <v>774</v>
      </c>
      <c r="B780" s="659"/>
      <c r="D780" s="457" t="s">
        <v>2258</v>
      </c>
      <c r="E780" s="458" t="s">
        <v>279</v>
      </c>
      <c r="F780" s="459"/>
      <c r="G780" s="461" t="s">
        <v>1635</v>
      </c>
      <c r="H780" s="461"/>
      <c r="I780" s="483"/>
      <c r="J780" s="483"/>
      <c r="K780" s="461"/>
      <c r="L780" s="484"/>
      <c r="M780" s="473"/>
      <c r="N780" s="463"/>
    </row>
    <row r="781" spans="1:14">
      <c r="A781" s="446">
        <f t="shared" si="16"/>
        <v>775</v>
      </c>
      <c r="B781" s="659"/>
      <c r="D781" s="457" t="s">
        <v>2259</v>
      </c>
      <c r="E781" s="458" t="s">
        <v>279</v>
      </c>
      <c r="F781" s="459"/>
      <c r="G781" s="461" t="s">
        <v>1635</v>
      </c>
      <c r="H781" s="461"/>
      <c r="I781" s="483"/>
      <c r="J781" s="483"/>
      <c r="K781" s="461"/>
      <c r="L781" s="484"/>
      <c r="M781" s="473"/>
      <c r="N781" s="463"/>
    </row>
    <row r="782" spans="1:14">
      <c r="A782" s="446">
        <f t="shared" si="16"/>
        <v>776</v>
      </c>
      <c r="B782" s="659"/>
      <c r="D782" s="457" t="s">
        <v>2260</v>
      </c>
      <c r="E782" s="458" t="s">
        <v>279</v>
      </c>
      <c r="F782" s="459"/>
      <c r="G782" s="461" t="s">
        <v>1635</v>
      </c>
      <c r="H782" s="461"/>
      <c r="I782" s="483"/>
      <c r="J782" s="483"/>
      <c r="K782" s="461"/>
      <c r="L782" s="484"/>
      <c r="M782" s="473"/>
      <c r="N782" s="463"/>
    </row>
    <row r="783" spans="1:14" ht="30" customHeight="1">
      <c r="A783" s="446">
        <f t="shared" si="16"/>
        <v>777</v>
      </c>
      <c r="B783" s="659" t="s">
        <v>944</v>
      </c>
      <c r="C783" s="456" t="s">
        <v>2229</v>
      </c>
      <c r="D783" s="457" t="s">
        <v>2261</v>
      </c>
      <c r="E783" s="458" t="s">
        <v>279</v>
      </c>
      <c r="F783" s="459"/>
      <c r="G783" s="461" t="s">
        <v>1635</v>
      </c>
      <c r="H783" s="461"/>
      <c r="I783" s="483"/>
      <c r="J783" s="483"/>
      <c r="K783" s="461"/>
      <c r="L783" s="484"/>
      <c r="M783" s="473"/>
      <c r="N783" s="463"/>
    </row>
    <row r="784" spans="1:14" ht="29">
      <c r="A784" s="446">
        <f t="shared" si="16"/>
        <v>778</v>
      </c>
      <c r="B784" s="659"/>
      <c r="D784" s="457" t="s">
        <v>2262</v>
      </c>
      <c r="E784" s="458" t="s">
        <v>279</v>
      </c>
      <c r="F784" s="459"/>
      <c r="G784" s="461" t="s">
        <v>1635</v>
      </c>
      <c r="H784" s="461"/>
      <c r="I784" s="483"/>
      <c r="J784" s="483"/>
      <c r="K784" s="461"/>
      <c r="L784" s="484"/>
      <c r="M784" s="473"/>
      <c r="N784" s="463"/>
    </row>
    <row r="785" spans="1:14">
      <c r="A785" s="446">
        <f t="shared" si="16"/>
        <v>779</v>
      </c>
      <c r="B785" s="659"/>
      <c r="D785" s="457" t="s">
        <v>2263</v>
      </c>
      <c r="E785" s="458" t="s">
        <v>279</v>
      </c>
      <c r="F785" s="459"/>
      <c r="G785" s="461" t="s">
        <v>1635</v>
      </c>
      <c r="H785" s="461"/>
      <c r="I785" s="483"/>
      <c r="J785" s="483"/>
      <c r="K785" s="461"/>
      <c r="L785" s="484"/>
      <c r="M785" s="473"/>
      <c r="N785" s="463"/>
    </row>
    <row r="786" spans="1:14" ht="29">
      <c r="A786" s="446">
        <f t="shared" si="16"/>
        <v>780</v>
      </c>
      <c r="B786" s="659" t="s">
        <v>1359</v>
      </c>
      <c r="C786" s="456" t="s">
        <v>2264</v>
      </c>
      <c r="D786" s="457" t="s">
        <v>2265</v>
      </c>
      <c r="E786" s="458" t="s">
        <v>279</v>
      </c>
      <c r="F786" s="459"/>
      <c r="G786" s="461" t="s">
        <v>1635</v>
      </c>
      <c r="H786" s="461"/>
      <c r="I786" s="483"/>
      <c r="J786" s="483"/>
      <c r="K786" s="461"/>
      <c r="L786" s="484"/>
      <c r="M786" s="473"/>
      <c r="N786" s="463"/>
    </row>
    <row r="787" spans="1:14" ht="29">
      <c r="A787" s="446">
        <f t="shared" si="16"/>
        <v>781</v>
      </c>
      <c r="B787" s="659"/>
      <c r="D787" s="457" t="s">
        <v>2266</v>
      </c>
      <c r="E787" s="458" t="s">
        <v>279</v>
      </c>
      <c r="F787" s="459"/>
      <c r="G787" s="461" t="s">
        <v>1635</v>
      </c>
      <c r="H787" s="461"/>
      <c r="I787" s="483"/>
      <c r="J787" s="483"/>
      <c r="K787" s="461"/>
      <c r="L787" s="484"/>
      <c r="M787" s="473"/>
      <c r="N787" s="463"/>
    </row>
    <row r="788" spans="1:14">
      <c r="A788" s="446">
        <f t="shared" si="16"/>
        <v>782</v>
      </c>
      <c r="B788" s="659"/>
      <c r="D788" s="457" t="s">
        <v>2259</v>
      </c>
      <c r="E788" s="458" t="s">
        <v>279</v>
      </c>
      <c r="F788" s="459"/>
      <c r="G788" s="461" t="s">
        <v>1635</v>
      </c>
      <c r="H788" s="461"/>
      <c r="I788" s="483"/>
      <c r="J788" s="483"/>
      <c r="K788" s="461"/>
      <c r="L788" s="484"/>
      <c r="M788" s="473"/>
      <c r="N788" s="463"/>
    </row>
    <row r="789" spans="1:14">
      <c r="A789" s="446">
        <f t="shared" si="16"/>
        <v>783</v>
      </c>
      <c r="B789" s="659" t="s">
        <v>145</v>
      </c>
      <c r="C789" s="456" t="s">
        <v>2267</v>
      </c>
      <c r="D789" s="457" t="s">
        <v>2268</v>
      </c>
      <c r="E789" s="458" t="s">
        <v>279</v>
      </c>
      <c r="F789" s="459"/>
      <c r="G789" s="461" t="s">
        <v>1635</v>
      </c>
      <c r="H789" s="461"/>
      <c r="I789" s="483"/>
      <c r="J789" s="483"/>
      <c r="K789" s="461"/>
      <c r="L789" s="484"/>
      <c r="M789" s="473"/>
      <c r="N789" s="463"/>
    </row>
    <row r="790" spans="1:14" ht="29">
      <c r="A790" s="446">
        <f t="shared" si="16"/>
        <v>784</v>
      </c>
      <c r="B790" s="659" t="s">
        <v>1446</v>
      </c>
      <c r="C790" s="456" t="s">
        <v>2269</v>
      </c>
      <c r="D790" s="457" t="s">
        <v>2270</v>
      </c>
      <c r="E790" s="458" t="s">
        <v>279</v>
      </c>
      <c r="F790" s="459"/>
      <c r="G790" s="461" t="s">
        <v>1635</v>
      </c>
      <c r="H790" s="461"/>
      <c r="I790" s="483"/>
      <c r="J790" s="483"/>
      <c r="K790" s="461"/>
      <c r="L790" s="484"/>
      <c r="M790" s="473"/>
      <c r="N790" s="463"/>
    </row>
    <row r="791" spans="1:14" ht="29">
      <c r="A791" s="446">
        <f t="shared" si="16"/>
        <v>785</v>
      </c>
      <c r="B791" s="659"/>
      <c r="D791" s="457" t="s">
        <v>2271</v>
      </c>
      <c r="E791" s="458" t="s">
        <v>279</v>
      </c>
      <c r="F791" s="459"/>
      <c r="G791" s="461" t="s">
        <v>1635</v>
      </c>
      <c r="H791" s="461"/>
      <c r="I791" s="483"/>
      <c r="J791" s="483"/>
      <c r="K791" s="461"/>
      <c r="L791" s="484"/>
      <c r="M791" s="473"/>
      <c r="N791" s="463"/>
    </row>
    <row r="792" spans="1:14">
      <c r="A792" s="446">
        <f t="shared" si="16"/>
        <v>786</v>
      </c>
      <c r="B792" s="659"/>
      <c r="D792" s="457" t="s">
        <v>2263</v>
      </c>
      <c r="E792" s="458" t="s">
        <v>279</v>
      </c>
      <c r="F792" s="459"/>
      <c r="G792" s="461" t="s">
        <v>1635</v>
      </c>
      <c r="H792" s="461"/>
      <c r="I792" s="483"/>
      <c r="J792" s="483"/>
      <c r="K792" s="461"/>
      <c r="L792" s="484"/>
      <c r="M792" s="473"/>
      <c r="N792" s="463"/>
    </row>
    <row r="793" spans="1:14">
      <c r="A793" s="668"/>
      <c r="B793" s="654"/>
      <c r="C793" s="655"/>
      <c r="D793" s="519"/>
      <c r="E793" s="656"/>
      <c r="F793" s="660"/>
      <c r="G793" s="519"/>
      <c r="H793" s="519"/>
      <c r="I793" s="654"/>
      <c r="J793" s="654"/>
      <c r="K793" s="519"/>
      <c r="L793" s="656"/>
      <c r="M793" s="660"/>
      <c r="N793" s="658"/>
    </row>
    <row r="794" spans="1:14">
      <c r="A794" s="668"/>
      <c r="B794" s="654"/>
      <c r="C794" s="661" t="s">
        <v>2272</v>
      </c>
      <c r="D794" s="662"/>
      <c r="E794" s="656"/>
      <c r="F794" s="657"/>
      <c r="G794" s="519"/>
      <c r="H794" s="519"/>
      <c r="I794" s="519"/>
      <c r="J794" s="519"/>
      <c r="K794" s="519"/>
      <c r="L794" s="519"/>
      <c r="M794" s="519"/>
      <c r="N794" s="658"/>
    </row>
    <row r="795" spans="1:14">
      <c r="A795" s="668"/>
      <c r="B795" s="654"/>
      <c r="C795" s="661" t="s">
        <v>2273</v>
      </c>
      <c r="D795" s="519"/>
      <c r="E795" s="656"/>
      <c r="F795" s="657"/>
      <c r="G795" s="519"/>
      <c r="H795" s="519"/>
      <c r="I795" s="519"/>
      <c r="J795" s="519"/>
      <c r="K795" s="519"/>
      <c r="L795" s="519"/>
      <c r="M795" s="519"/>
      <c r="N795" s="658"/>
    </row>
    <row r="796" spans="1:14">
      <c r="A796" s="668"/>
      <c r="B796" s="654"/>
      <c r="C796" s="661"/>
      <c r="D796" s="519"/>
      <c r="E796" s="656"/>
      <c r="F796" s="657"/>
      <c r="G796" s="519"/>
      <c r="H796" s="519"/>
      <c r="I796" s="519"/>
      <c r="J796" s="519"/>
      <c r="K796" s="519"/>
      <c r="L796" s="519"/>
      <c r="M796" s="519"/>
      <c r="N796" s="658"/>
    </row>
    <row r="797" spans="1:14">
      <c r="A797" s="668"/>
      <c r="B797" s="654"/>
      <c r="C797" s="654" t="s">
        <v>2274</v>
      </c>
      <c r="D797" s="519"/>
      <c r="E797" s="656"/>
      <c r="F797" s="657"/>
      <c r="G797" s="663"/>
      <c r="H797" s="663"/>
      <c r="I797" s="663"/>
      <c r="J797" s="663"/>
      <c r="K797" s="663"/>
      <c r="L797" s="663"/>
      <c r="M797" s="663"/>
      <c r="N797" s="658"/>
    </row>
    <row r="798" spans="1:14">
      <c r="A798" s="668"/>
      <c r="B798" s="654"/>
      <c r="C798" s="654" t="s">
        <v>2275</v>
      </c>
      <c r="D798" s="519"/>
      <c r="E798" s="656"/>
      <c r="F798" s="657"/>
      <c r="G798" s="519"/>
      <c r="H798" s="519"/>
      <c r="I798" s="519"/>
      <c r="J798" s="519"/>
      <c r="K798" s="519"/>
      <c r="L798" s="519"/>
      <c r="M798" s="519"/>
      <c r="N798" s="658"/>
    </row>
    <row r="799" spans="1:14">
      <c r="A799" s="668"/>
      <c r="B799" s="654"/>
      <c r="C799" s="654" t="s">
        <v>2276</v>
      </c>
      <c r="D799" s="519"/>
      <c r="E799" s="656"/>
      <c r="F799" s="657"/>
      <c r="G799" s="519"/>
      <c r="H799" s="519"/>
      <c r="I799" s="519"/>
      <c r="J799" s="519"/>
      <c r="K799" s="519"/>
      <c r="L799" s="519"/>
      <c r="M799" s="519"/>
      <c r="N799" s="658"/>
    </row>
    <row r="800" spans="1:14">
      <c r="A800" s="668"/>
      <c r="B800" s="654"/>
      <c r="C800" s="654" t="s">
        <v>2277</v>
      </c>
      <c r="D800" s="519"/>
      <c r="E800" s="656"/>
      <c r="F800" s="657"/>
      <c r="G800" s="519"/>
      <c r="H800" s="519"/>
      <c r="I800" s="519"/>
      <c r="J800" s="519"/>
      <c r="K800" s="519"/>
      <c r="L800" s="519"/>
      <c r="M800" s="519"/>
      <c r="N800" s="658"/>
    </row>
    <row r="801" spans="1:14">
      <c r="A801" s="668"/>
      <c r="B801" s="654"/>
      <c r="C801" s="654" t="s">
        <v>2278</v>
      </c>
      <c r="D801" s="519"/>
      <c r="E801" s="656"/>
      <c r="F801" s="657"/>
      <c r="G801" s="519"/>
      <c r="H801" s="519"/>
      <c r="I801" s="519"/>
      <c r="J801" s="519"/>
      <c r="K801" s="519"/>
      <c r="L801" s="519"/>
      <c r="M801" s="519"/>
      <c r="N801" s="658"/>
    </row>
    <row r="802" spans="1:14">
      <c r="A802" s="668"/>
      <c r="B802" s="654"/>
      <c r="C802" s="654" t="s">
        <v>2279</v>
      </c>
      <c r="D802" s="519"/>
      <c r="E802" s="656"/>
      <c r="F802" s="657"/>
      <c r="G802" s="519"/>
      <c r="H802" s="519"/>
      <c r="I802" s="519"/>
      <c r="J802" s="519"/>
      <c r="K802" s="519"/>
      <c r="L802" s="519"/>
      <c r="M802" s="519"/>
      <c r="N802" s="658"/>
    </row>
    <row r="803" spans="1:14">
      <c r="A803" s="669"/>
      <c r="B803" s="654"/>
      <c r="C803" s="654" t="s">
        <v>2280</v>
      </c>
      <c r="D803" s="519"/>
      <c r="E803" s="656"/>
      <c r="F803" s="657"/>
      <c r="G803" s="519"/>
      <c r="H803" s="519"/>
      <c r="I803" s="519"/>
      <c r="J803" s="519"/>
      <c r="K803" s="519"/>
      <c r="L803" s="519"/>
      <c r="M803" s="519"/>
      <c r="N803" s="658"/>
    </row>
    <row r="804" spans="1:14" ht="15" thickBot="1">
      <c r="A804" s="670"/>
      <c r="B804" s="664"/>
      <c r="C804" s="807" t="s">
        <v>2281</v>
      </c>
      <c r="D804" s="807"/>
      <c r="E804" s="807"/>
      <c r="F804" s="807"/>
      <c r="G804" s="807"/>
      <c r="H804" s="807"/>
      <c r="I804" s="807"/>
      <c r="J804" s="807"/>
      <c r="K804" s="807"/>
      <c r="L804" s="807"/>
      <c r="M804" s="807"/>
      <c r="N804" s="808"/>
    </row>
  </sheetData>
  <mergeCells count="2">
    <mergeCell ref="G4:M4"/>
    <mergeCell ref="C804:N804"/>
  </mergeCells>
  <hyperlinks>
    <hyperlink ref="O1" location="'Cover Sheets'!A16" display="(Back to Worksheet Links)" xr:uid="{00000000-0004-0000-0A00-000000000000}"/>
  </hyperlinks>
  <pageMargins left="0.7" right="0.7" top="0.75" bottom="0.75" header="0.3" footer="0.3"/>
  <pageSetup scale="44"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3"/>
  <sheetViews>
    <sheetView view="pageBreakPreview" zoomScale="80" zoomScaleNormal="100" zoomScaleSheetLayoutView="80" workbookViewId="0"/>
  </sheetViews>
  <sheetFormatPr defaultColWidth="9.26953125" defaultRowHeight="13"/>
  <cols>
    <col min="1" max="1" width="9.26953125" style="496"/>
    <col min="2" max="2" width="9.54296875" style="493" customWidth="1"/>
    <col min="3" max="3" width="25" style="493" bestFit="1" customWidth="1"/>
    <col min="4" max="4" width="75.26953125" style="496" customWidth="1"/>
    <col min="5" max="5" width="68" style="496" customWidth="1"/>
    <col min="6" max="6" width="23" style="496" customWidth="1"/>
    <col min="7" max="16384" width="9.26953125" style="496"/>
  </cols>
  <sheetData>
    <row r="1" spans="1:6" ht="14.5">
      <c r="A1" s="648" t="str">
        <f>'Cover Sheets'!A10:B10</f>
        <v>WAPA-UGP 2021 Rate Estimate Calculation</v>
      </c>
      <c r="B1" s="684"/>
      <c r="C1" s="684"/>
      <c r="D1" s="685"/>
      <c r="E1" s="686"/>
      <c r="F1" s="578" t="s">
        <v>42</v>
      </c>
    </row>
    <row r="2" spans="1:6">
      <c r="A2" s="687" t="s">
        <v>2282</v>
      </c>
      <c r="B2" s="688"/>
      <c r="C2" s="688"/>
      <c r="D2" s="285"/>
      <c r="E2" s="282"/>
    </row>
    <row r="3" spans="1:6" ht="16" thickBot="1">
      <c r="A3" s="689" t="str">
        <f>'WS1-RateBase'!A4</f>
        <v>12 Months Ending 09/30/2021 ESTIMATE</v>
      </c>
      <c r="B3" s="690"/>
      <c r="C3" s="690"/>
      <c r="D3" s="288"/>
      <c r="E3" s="290"/>
    </row>
    <row r="4" spans="1:6" s="487" customFormat="1">
      <c r="A4" s="691" t="s">
        <v>397</v>
      </c>
      <c r="B4" s="692" t="s">
        <v>566</v>
      </c>
      <c r="C4" s="692" t="s">
        <v>1620</v>
      </c>
      <c r="D4" s="693" t="s">
        <v>2283</v>
      </c>
      <c r="E4" s="694" t="s">
        <v>1631</v>
      </c>
    </row>
    <row r="5" spans="1:6" s="490" customFormat="1">
      <c r="A5" s="488">
        <v>1</v>
      </c>
      <c r="B5" s="489"/>
      <c r="C5" s="489" t="s">
        <v>1632</v>
      </c>
      <c r="E5" s="491"/>
    </row>
    <row r="6" spans="1:6">
      <c r="A6" s="492">
        <f>A5+1</f>
        <v>2</v>
      </c>
      <c r="D6" s="494"/>
      <c r="E6" s="495"/>
    </row>
    <row r="7" spans="1:6">
      <c r="A7" s="488">
        <f>A6+1</f>
        <v>3</v>
      </c>
      <c r="B7" s="493" t="s">
        <v>852</v>
      </c>
      <c r="C7" s="493" t="s">
        <v>1637</v>
      </c>
      <c r="D7" s="496" t="s">
        <v>2284</v>
      </c>
      <c r="E7" s="495" t="s">
        <v>2285</v>
      </c>
    </row>
    <row r="8" spans="1:6">
      <c r="A8" s="492">
        <f>A7+1</f>
        <v>4</v>
      </c>
      <c r="D8" s="496" t="s">
        <v>2286</v>
      </c>
      <c r="E8" s="495"/>
    </row>
    <row r="9" spans="1:6">
      <c r="A9" s="488">
        <f>A8+1</f>
        <v>5</v>
      </c>
      <c r="D9" s="496" t="s">
        <v>2287</v>
      </c>
      <c r="E9" s="495"/>
    </row>
    <row r="10" spans="1:6">
      <c r="A10" s="492">
        <f>A9+1</f>
        <v>6</v>
      </c>
      <c r="B10" s="493" t="s">
        <v>858</v>
      </c>
      <c r="C10" s="493" t="s">
        <v>1649</v>
      </c>
      <c r="D10" s="496" t="s">
        <v>2288</v>
      </c>
      <c r="E10" s="495"/>
    </row>
    <row r="11" spans="1:6">
      <c r="A11" s="488">
        <f t="shared" ref="A11:A74" si="0">A10+1</f>
        <v>7</v>
      </c>
      <c r="B11" s="493" t="s">
        <v>864</v>
      </c>
      <c r="C11" s="493" t="s">
        <v>1655</v>
      </c>
      <c r="D11" s="496" t="s">
        <v>2289</v>
      </c>
      <c r="E11" s="495"/>
    </row>
    <row r="12" spans="1:6">
      <c r="A12" s="492">
        <f t="shared" si="0"/>
        <v>8</v>
      </c>
      <c r="B12" s="493" t="s">
        <v>2290</v>
      </c>
      <c r="C12" s="493" t="s">
        <v>1661</v>
      </c>
      <c r="D12" s="496" t="s">
        <v>2291</v>
      </c>
      <c r="E12" s="495" t="s">
        <v>2292</v>
      </c>
    </row>
    <row r="13" spans="1:6">
      <c r="A13" s="488">
        <f t="shared" si="0"/>
        <v>9</v>
      </c>
      <c r="D13" s="496" t="s">
        <v>2293</v>
      </c>
      <c r="E13" s="495" t="s">
        <v>2294</v>
      </c>
    </row>
    <row r="14" spans="1:6">
      <c r="A14" s="492">
        <f t="shared" si="0"/>
        <v>10</v>
      </c>
      <c r="B14" s="493" t="s">
        <v>1243</v>
      </c>
      <c r="C14" s="493" t="s">
        <v>2252</v>
      </c>
      <c r="D14" s="496" t="s">
        <v>2295</v>
      </c>
      <c r="E14" s="495"/>
    </row>
    <row r="15" spans="1:6">
      <c r="A15" s="488">
        <f t="shared" si="0"/>
        <v>11</v>
      </c>
      <c r="B15" s="493" t="s">
        <v>868</v>
      </c>
      <c r="C15" s="493" t="s">
        <v>1669</v>
      </c>
      <c r="D15" s="496" t="s">
        <v>2296</v>
      </c>
      <c r="E15" s="495"/>
    </row>
    <row r="16" spans="1:6">
      <c r="A16" s="492">
        <f t="shared" si="0"/>
        <v>12</v>
      </c>
      <c r="D16" s="496" t="s">
        <v>2297</v>
      </c>
      <c r="E16" s="495" t="s">
        <v>2298</v>
      </c>
    </row>
    <row r="17" spans="1:5">
      <c r="A17" s="488">
        <f t="shared" si="0"/>
        <v>13</v>
      </c>
      <c r="B17" s="493" t="s">
        <v>870</v>
      </c>
      <c r="C17" s="493" t="s">
        <v>1671</v>
      </c>
      <c r="D17" s="496" t="s">
        <v>2299</v>
      </c>
      <c r="E17" s="495" t="s">
        <v>2300</v>
      </c>
    </row>
    <row r="18" spans="1:5">
      <c r="A18" s="492">
        <f t="shared" si="0"/>
        <v>14</v>
      </c>
      <c r="D18" s="496" t="s">
        <v>2301</v>
      </c>
      <c r="E18" s="495" t="s">
        <v>2302</v>
      </c>
    </row>
    <row r="19" spans="1:5">
      <c r="A19" s="488">
        <f t="shared" si="0"/>
        <v>15</v>
      </c>
      <c r="B19" s="493" t="s">
        <v>874</v>
      </c>
      <c r="C19" s="493" t="s">
        <v>1678</v>
      </c>
      <c r="D19" s="496" t="s">
        <v>2303</v>
      </c>
      <c r="E19" s="495" t="s">
        <v>2304</v>
      </c>
    </row>
    <row r="20" spans="1:5">
      <c r="A20" s="492">
        <f t="shared" si="0"/>
        <v>16</v>
      </c>
      <c r="B20" s="493" t="s">
        <v>2305</v>
      </c>
      <c r="C20" s="493" t="s">
        <v>1686</v>
      </c>
      <c r="D20" s="496" t="s">
        <v>2306</v>
      </c>
      <c r="E20" s="495"/>
    </row>
    <row r="21" spans="1:5">
      <c r="A21" s="488">
        <f t="shared" si="0"/>
        <v>17</v>
      </c>
      <c r="D21" s="496" t="s">
        <v>2307</v>
      </c>
      <c r="E21" s="495"/>
    </row>
    <row r="22" spans="1:5">
      <c r="A22" s="492">
        <f t="shared" si="0"/>
        <v>18</v>
      </c>
      <c r="D22" s="496" t="s">
        <v>2308</v>
      </c>
      <c r="E22" s="495" t="s">
        <v>2309</v>
      </c>
    </row>
    <row r="23" spans="1:5">
      <c r="A23" s="488">
        <f t="shared" si="0"/>
        <v>19</v>
      </c>
      <c r="B23" s="493" t="s">
        <v>2310</v>
      </c>
      <c r="C23" s="493" t="s">
        <v>2311</v>
      </c>
      <c r="D23" s="496" t="s">
        <v>2312</v>
      </c>
      <c r="E23" s="495"/>
    </row>
    <row r="24" spans="1:5">
      <c r="A24" s="492">
        <f t="shared" si="0"/>
        <v>20</v>
      </c>
      <c r="B24" s="493" t="s">
        <v>1561</v>
      </c>
      <c r="C24" s="493" t="s">
        <v>2313</v>
      </c>
      <c r="D24" s="496" t="s">
        <v>2312</v>
      </c>
      <c r="E24" s="495"/>
    </row>
    <row r="25" spans="1:5">
      <c r="A25" s="488">
        <f t="shared" si="0"/>
        <v>21</v>
      </c>
      <c r="B25" s="493" t="s">
        <v>1710</v>
      </c>
      <c r="C25" s="493" t="s">
        <v>1711</v>
      </c>
      <c r="D25" s="496" t="s">
        <v>2314</v>
      </c>
      <c r="E25" s="495" t="s">
        <v>2315</v>
      </c>
    </row>
    <row r="26" spans="1:5">
      <c r="A26" s="492">
        <f t="shared" si="0"/>
        <v>22</v>
      </c>
      <c r="D26" s="496" t="s">
        <v>2316</v>
      </c>
      <c r="E26" s="495" t="s">
        <v>2317</v>
      </c>
    </row>
    <row r="27" spans="1:5">
      <c r="A27" s="488">
        <f t="shared" si="0"/>
        <v>23</v>
      </c>
      <c r="B27" s="493" t="s">
        <v>890</v>
      </c>
      <c r="C27" s="493" t="s">
        <v>1718</v>
      </c>
      <c r="D27" s="496" t="s">
        <v>2318</v>
      </c>
      <c r="E27" s="495" t="s">
        <v>2319</v>
      </c>
    </row>
    <row r="28" spans="1:5">
      <c r="A28" s="492">
        <f t="shared" si="0"/>
        <v>24</v>
      </c>
      <c r="D28" s="496" t="s">
        <v>2320</v>
      </c>
      <c r="E28" s="495" t="s">
        <v>2321</v>
      </c>
    </row>
    <row r="29" spans="1:5">
      <c r="A29" s="488">
        <f t="shared" si="0"/>
        <v>25</v>
      </c>
      <c r="D29" s="496" t="s">
        <v>2322</v>
      </c>
      <c r="E29" s="495"/>
    </row>
    <row r="30" spans="1:5">
      <c r="A30" s="492">
        <f t="shared" si="0"/>
        <v>26</v>
      </c>
      <c r="D30" s="496" t="s">
        <v>2323</v>
      </c>
      <c r="E30" s="495" t="s">
        <v>2321</v>
      </c>
    </row>
    <row r="31" spans="1:5">
      <c r="A31" s="488">
        <f t="shared" si="0"/>
        <v>27</v>
      </c>
      <c r="B31" s="493" t="s">
        <v>892</v>
      </c>
      <c r="C31" s="493" t="s">
        <v>1723</v>
      </c>
      <c r="D31" s="496" t="s">
        <v>2324</v>
      </c>
      <c r="E31" s="495" t="s">
        <v>2325</v>
      </c>
    </row>
    <row r="32" spans="1:5">
      <c r="A32" s="492">
        <f t="shared" si="0"/>
        <v>28</v>
      </c>
      <c r="B32" s="493" t="s">
        <v>900</v>
      </c>
      <c r="C32" s="493" t="s">
        <v>1743</v>
      </c>
      <c r="D32" s="496" t="s">
        <v>2326</v>
      </c>
      <c r="E32" s="495" t="s">
        <v>2327</v>
      </c>
    </row>
    <row r="33" spans="1:5">
      <c r="A33" s="488">
        <f t="shared" si="0"/>
        <v>29</v>
      </c>
      <c r="B33" s="493" t="s">
        <v>902</v>
      </c>
      <c r="C33" s="493" t="s">
        <v>2328</v>
      </c>
      <c r="D33" s="496" t="s">
        <v>2312</v>
      </c>
      <c r="E33" s="495"/>
    </row>
    <row r="34" spans="1:5">
      <c r="A34" s="492">
        <f t="shared" si="0"/>
        <v>30</v>
      </c>
      <c r="B34" s="493" t="s">
        <v>904</v>
      </c>
      <c r="C34" s="493" t="s">
        <v>1748</v>
      </c>
      <c r="D34" s="496" t="s">
        <v>2329</v>
      </c>
      <c r="E34" s="495" t="s">
        <v>2315</v>
      </c>
    </row>
    <row r="35" spans="1:5">
      <c r="A35" s="488">
        <f t="shared" si="0"/>
        <v>31</v>
      </c>
      <c r="B35" s="493" t="s">
        <v>906</v>
      </c>
      <c r="C35" s="493" t="s">
        <v>2198</v>
      </c>
      <c r="D35" s="496" t="s">
        <v>2330</v>
      </c>
      <c r="E35" s="495"/>
    </row>
    <row r="36" spans="1:5">
      <c r="A36" s="492">
        <f t="shared" si="0"/>
        <v>32</v>
      </c>
      <c r="B36" s="493" t="s">
        <v>908</v>
      </c>
      <c r="C36" s="493" t="s">
        <v>1755</v>
      </c>
      <c r="D36" s="496" t="s">
        <v>2331</v>
      </c>
      <c r="E36" s="495" t="s">
        <v>2332</v>
      </c>
    </row>
    <row r="37" spans="1:5">
      <c r="A37" s="488">
        <f t="shared" si="0"/>
        <v>33</v>
      </c>
      <c r="B37" s="493" t="s">
        <v>910</v>
      </c>
      <c r="C37" s="493" t="s">
        <v>2333</v>
      </c>
      <c r="D37" s="496" t="s">
        <v>2312</v>
      </c>
      <c r="E37" s="495"/>
    </row>
    <row r="38" spans="1:5">
      <c r="A38" s="492">
        <f t="shared" si="0"/>
        <v>34</v>
      </c>
      <c r="B38" s="493" t="s">
        <v>912</v>
      </c>
      <c r="C38" s="493" t="s">
        <v>1765</v>
      </c>
      <c r="D38" s="496" t="s">
        <v>2334</v>
      </c>
      <c r="E38" s="495" t="s">
        <v>2335</v>
      </c>
    </row>
    <row r="39" spans="1:5">
      <c r="A39" s="488">
        <f t="shared" si="0"/>
        <v>35</v>
      </c>
      <c r="D39" s="496" t="s">
        <v>2336</v>
      </c>
      <c r="E39" s="495" t="s">
        <v>2337</v>
      </c>
    </row>
    <row r="40" spans="1:5">
      <c r="A40" s="492">
        <f t="shared" si="0"/>
        <v>36</v>
      </c>
      <c r="B40" s="493" t="s">
        <v>920</v>
      </c>
      <c r="C40" s="493" t="s">
        <v>1775</v>
      </c>
      <c r="D40" s="496" t="s">
        <v>2338</v>
      </c>
      <c r="E40" s="495"/>
    </row>
    <row r="41" spans="1:5">
      <c r="A41" s="488">
        <f t="shared" si="0"/>
        <v>37</v>
      </c>
      <c r="D41" s="496" t="s">
        <v>2339</v>
      </c>
      <c r="E41" s="495" t="s">
        <v>2340</v>
      </c>
    </row>
    <row r="42" spans="1:5">
      <c r="A42" s="492">
        <f t="shared" si="0"/>
        <v>38</v>
      </c>
      <c r="B42" s="493" t="s">
        <v>922</v>
      </c>
      <c r="C42" s="493" t="s">
        <v>1778</v>
      </c>
      <c r="D42" s="496" t="s">
        <v>2341</v>
      </c>
      <c r="E42" s="495"/>
    </row>
    <row r="43" spans="1:5">
      <c r="A43" s="488">
        <f t="shared" si="0"/>
        <v>39</v>
      </c>
      <c r="D43" s="496" t="s">
        <v>2342</v>
      </c>
      <c r="E43" s="495"/>
    </row>
    <row r="44" spans="1:5">
      <c r="A44" s="492">
        <f t="shared" si="0"/>
        <v>40</v>
      </c>
      <c r="D44" s="496" t="s">
        <v>2343</v>
      </c>
      <c r="E44" s="495" t="s">
        <v>2344</v>
      </c>
    </row>
    <row r="45" spans="1:5">
      <c r="A45" s="488">
        <f t="shared" si="0"/>
        <v>41</v>
      </c>
      <c r="D45" s="496" t="s">
        <v>2345</v>
      </c>
      <c r="E45" s="495"/>
    </row>
    <row r="46" spans="1:5">
      <c r="A46" s="492">
        <f t="shared" si="0"/>
        <v>42</v>
      </c>
      <c r="B46" s="493" t="s">
        <v>924</v>
      </c>
      <c r="C46" s="493" t="s">
        <v>1783</v>
      </c>
      <c r="D46" s="496" t="s">
        <v>2346</v>
      </c>
      <c r="E46" s="495"/>
    </row>
    <row r="47" spans="1:5">
      <c r="A47" s="488">
        <f t="shared" si="0"/>
        <v>43</v>
      </c>
      <c r="B47" s="493" t="s">
        <v>928</v>
      </c>
      <c r="C47" s="493" t="s">
        <v>1786</v>
      </c>
      <c r="D47" s="496" t="s">
        <v>2347</v>
      </c>
      <c r="E47" s="495"/>
    </row>
    <row r="48" spans="1:5">
      <c r="A48" s="492">
        <f t="shared" si="0"/>
        <v>44</v>
      </c>
      <c r="B48" s="493" t="s">
        <v>930</v>
      </c>
      <c r="C48" s="493" t="s">
        <v>1788</v>
      </c>
      <c r="D48" s="494" t="s">
        <v>2348</v>
      </c>
      <c r="E48" s="495"/>
    </row>
    <row r="49" spans="1:5">
      <c r="A49" s="488">
        <f t="shared" si="0"/>
        <v>45</v>
      </c>
      <c r="B49" s="493" t="s">
        <v>932</v>
      </c>
      <c r="C49" s="493" t="s">
        <v>1790</v>
      </c>
      <c r="D49" s="496" t="s">
        <v>2349</v>
      </c>
      <c r="E49" s="495" t="s">
        <v>2350</v>
      </c>
    </row>
    <row r="50" spans="1:5">
      <c r="A50" s="492">
        <f t="shared" si="0"/>
        <v>46</v>
      </c>
      <c r="B50" s="493" t="s">
        <v>936</v>
      </c>
      <c r="C50" s="493" t="s">
        <v>1796</v>
      </c>
      <c r="D50" s="496" t="s">
        <v>2351</v>
      </c>
      <c r="E50" s="495"/>
    </row>
    <row r="51" spans="1:5">
      <c r="A51" s="488">
        <f t="shared" si="0"/>
        <v>47</v>
      </c>
      <c r="D51" s="496" t="s">
        <v>2352</v>
      </c>
      <c r="E51" s="495" t="s">
        <v>2353</v>
      </c>
    </row>
    <row r="52" spans="1:5">
      <c r="A52" s="492">
        <f t="shared" si="0"/>
        <v>48</v>
      </c>
      <c r="B52" s="493" t="s">
        <v>1563</v>
      </c>
      <c r="C52" s="493" t="s">
        <v>2354</v>
      </c>
      <c r="D52" s="496" t="s">
        <v>2312</v>
      </c>
      <c r="E52" s="495"/>
    </row>
    <row r="53" spans="1:5">
      <c r="A53" s="488">
        <f t="shared" si="0"/>
        <v>49</v>
      </c>
      <c r="B53" s="493" t="s">
        <v>1565</v>
      </c>
      <c r="C53" s="493" t="s">
        <v>2355</v>
      </c>
      <c r="D53" s="496" t="s">
        <v>2312</v>
      </c>
      <c r="E53" s="495"/>
    </row>
    <row r="54" spans="1:5">
      <c r="A54" s="492">
        <f t="shared" si="0"/>
        <v>50</v>
      </c>
      <c r="B54" s="493" t="s">
        <v>940</v>
      </c>
      <c r="C54" s="493" t="s">
        <v>1812</v>
      </c>
      <c r="D54" s="496" t="s">
        <v>2356</v>
      </c>
      <c r="E54" s="495" t="s">
        <v>2357</v>
      </c>
    </row>
    <row r="55" spans="1:5">
      <c r="A55" s="488">
        <f t="shared" si="0"/>
        <v>51</v>
      </c>
      <c r="B55" s="493" t="s">
        <v>942</v>
      </c>
      <c r="C55" s="493" t="s">
        <v>1820</v>
      </c>
      <c r="D55" s="496" t="s">
        <v>2358</v>
      </c>
      <c r="E55" s="495"/>
    </row>
    <row r="56" spans="1:5">
      <c r="A56" s="492">
        <f t="shared" si="0"/>
        <v>52</v>
      </c>
      <c r="D56" s="496" t="s">
        <v>2359</v>
      </c>
      <c r="E56" s="495"/>
    </row>
    <row r="57" spans="1:5">
      <c r="A57" s="488">
        <f t="shared" si="0"/>
        <v>53</v>
      </c>
      <c r="D57" s="496" t="s">
        <v>2360</v>
      </c>
      <c r="E57" s="495"/>
    </row>
    <row r="58" spans="1:5">
      <c r="A58" s="492">
        <f t="shared" si="0"/>
        <v>54</v>
      </c>
      <c r="D58" s="496" t="s">
        <v>2361</v>
      </c>
      <c r="E58" s="495" t="s">
        <v>2362</v>
      </c>
    </row>
    <row r="59" spans="1:5">
      <c r="A59" s="488">
        <f t="shared" si="0"/>
        <v>55</v>
      </c>
      <c r="D59" s="496" t="s">
        <v>2363</v>
      </c>
      <c r="E59" s="495"/>
    </row>
    <row r="60" spans="1:5">
      <c r="A60" s="492">
        <f t="shared" si="0"/>
        <v>56</v>
      </c>
      <c r="D60" s="496" t="s">
        <v>2364</v>
      </c>
      <c r="E60" s="495" t="s">
        <v>2365</v>
      </c>
    </row>
    <row r="61" spans="1:5">
      <c r="A61" s="488">
        <f t="shared" si="0"/>
        <v>57</v>
      </c>
      <c r="B61" s="493" t="s">
        <v>944</v>
      </c>
      <c r="C61" s="493" t="s">
        <v>2229</v>
      </c>
      <c r="D61" s="496" t="s">
        <v>2366</v>
      </c>
      <c r="E61" s="495"/>
    </row>
    <row r="62" spans="1:5">
      <c r="A62" s="492">
        <f t="shared" si="0"/>
        <v>58</v>
      </c>
      <c r="B62" s="493" t="s">
        <v>948</v>
      </c>
      <c r="C62" s="493" t="s">
        <v>1827</v>
      </c>
      <c r="D62" s="496" t="s">
        <v>2367</v>
      </c>
      <c r="E62" s="495" t="s">
        <v>2368</v>
      </c>
    </row>
    <row r="63" spans="1:5">
      <c r="A63" s="488">
        <f t="shared" si="0"/>
        <v>59</v>
      </c>
      <c r="B63" s="493" t="s">
        <v>1571</v>
      </c>
      <c r="C63" s="493" t="s">
        <v>2369</v>
      </c>
      <c r="D63" s="496" t="s">
        <v>2312</v>
      </c>
      <c r="E63" s="495"/>
    </row>
    <row r="64" spans="1:5">
      <c r="A64" s="492">
        <f t="shared" si="0"/>
        <v>60</v>
      </c>
      <c r="B64" s="493" t="s">
        <v>1359</v>
      </c>
      <c r="C64" s="493" t="s">
        <v>2264</v>
      </c>
      <c r="D64" s="496" t="s">
        <v>2370</v>
      </c>
      <c r="E64" s="495" t="s">
        <v>2371</v>
      </c>
    </row>
    <row r="65" spans="1:5">
      <c r="A65" s="488">
        <f t="shared" si="0"/>
        <v>61</v>
      </c>
      <c r="B65" s="493" t="s">
        <v>145</v>
      </c>
      <c r="C65" s="493" t="s">
        <v>2267</v>
      </c>
      <c r="D65" s="496" t="s">
        <v>2372</v>
      </c>
      <c r="E65" s="495" t="s">
        <v>2371</v>
      </c>
    </row>
    <row r="66" spans="1:5">
      <c r="A66" s="492">
        <f t="shared" si="0"/>
        <v>62</v>
      </c>
      <c r="B66" s="493" t="s">
        <v>2373</v>
      </c>
      <c r="C66" s="493" t="s">
        <v>2374</v>
      </c>
      <c r="D66" s="496" t="s">
        <v>2312</v>
      </c>
      <c r="E66" s="495"/>
    </row>
    <row r="67" spans="1:5">
      <c r="A67" s="488">
        <f t="shared" si="0"/>
        <v>63</v>
      </c>
      <c r="B67" s="493" t="s">
        <v>1575</v>
      </c>
      <c r="C67" s="493" t="s">
        <v>2375</v>
      </c>
      <c r="D67" s="496" t="s">
        <v>2312</v>
      </c>
      <c r="E67" s="495"/>
    </row>
    <row r="68" spans="1:5">
      <c r="A68" s="492">
        <f t="shared" si="0"/>
        <v>64</v>
      </c>
      <c r="B68" s="493" t="s">
        <v>958</v>
      </c>
      <c r="C68" s="493" t="s">
        <v>1867</v>
      </c>
      <c r="D68" s="496" t="s">
        <v>2376</v>
      </c>
      <c r="E68" s="495" t="s">
        <v>2377</v>
      </c>
    </row>
    <row r="69" spans="1:5">
      <c r="A69" s="488">
        <f t="shared" si="0"/>
        <v>65</v>
      </c>
      <c r="D69" s="496" t="s">
        <v>2378</v>
      </c>
      <c r="E69" s="495"/>
    </row>
    <row r="70" spans="1:5">
      <c r="A70" s="492">
        <f t="shared" si="0"/>
        <v>66</v>
      </c>
      <c r="D70" s="496" t="s">
        <v>2379</v>
      </c>
      <c r="E70" s="495"/>
    </row>
    <row r="71" spans="1:5">
      <c r="A71" s="488">
        <f t="shared" si="0"/>
        <v>67</v>
      </c>
      <c r="B71" s="493" t="s">
        <v>962</v>
      </c>
      <c r="C71" s="493" t="s">
        <v>1884</v>
      </c>
      <c r="D71" s="496" t="s">
        <v>2380</v>
      </c>
      <c r="E71" s="495" t="s">
        <v>2315</v>
      </c>
    </row>
    <row r="72" spans="1:5">
      <c r="A72" s="492">
        <f t="shared" si="0"/>
        <v>68</v>
      </c>
      <c r="D72" s="496" t="s">
        <v>2381</v>
      </c>
      <c r="E72" s="495"/>
    </row>
    <row r="73" spans="1:5">
      <c r="A73" s="488">
        <f t="shared" si="0"/>
        <v>69</v>
      </c>
      <c r="B73" s="493" t="s">
        <v>964</v>
      </c>
      <c r="C73" s="493" t="s">
        <v>1887</v>
      </c>
      <c r="D73" s="496" t="s">
        <v>2291</v>
      </c>
      <c r="E73" s="495" t="s">
        <v>2292</v>
      </c>
    </row>
    <row r="74" spans="1:5">
      <c r="A74" s="492">
        <f t="shared" si="0"/>
        <v>70</v>
      </c>
      <c r="B74" s="493" t="s">
        <v>970</v>
      </c>
      <c r="C74" s="493" t="s">
        <v>1900</v>
      </c>
      <c r="D74" s="496" t="s">
        <v>2382</v>
      </c>
      <c r="E74" s="495" t="s">
        <v>2383</v>
      </c>
    </row>
    <row r="75" spans="1:5">
      <c r="A75" s="488">
        <f t="shared" ref="A75:A138" si="1">A74+1</f>
        <v>71</v>
      </c>
      <c r="B75" s="493" t="s">
        <v>976</v>
      </c>
      <c r="C75" s="493" t="s">
        <v>1910</v>
      </c>
      <c r="D75" s="496" t="s">
        <v>2384</v>
      </c>
      <c r="E75" s="495" t="s">
        <v>2385</v>
      </c>
    </row>
    <row r="76" spans="1:5">
      <c r="A76" s="492">
        <f t="shared" si="1"/>
        <v>72</v>
      </c>
      <c r="B76" s="493" t="s">
        <v>978</v>
      </c>
      <c r="C76" s="493" t="s">
        <v>1912</v>
      </c>
      <c r="D76" s="496" t="s">
        <v>2386</v>
      </c>
      <c r="E76" s="495"/>
    </row>
    <row r="77" spans="1:5">
      <c r="A77" s="488">
        <f t="shared" si="1"/>
        <v>73</v>
      </c>
      <c r="D77" s="496" t="s">
        <v>1816</v>
      </c>
      <c r="E77" s="495"/>
    </row>
    <row r="78" spans="1:5">
      <c r="A78" s="492">
        <f t="shared" si="1"/>
        <v>74</v>
      </c>
      <c r="D78" s="496" t="s">
        <v>2387</v>
      </c>
      <c r="E78" s="495" t="s">
        <v>2292</v>
      </c>
    </row>
    <row r="79" spans="1:5">
      <c r="A79" s="488">
        <f t="shared" si="1"/>
        <v>75</v>
      </c>
      <c r="B79" s="493" t="s">
        <v>1577</v>
      </c>
      <c r="C79" s="493" t="s">
        <v>2388</v>
      </c>
      <c r="D79" s="496" t="s">
        <v>2312</v>
      </c>
      <c r="E79" s="495"/>
    </row>
    <row r="80" spans="1:5">
      <c r="A80" s="492">
        <f t="shared" si="1"/>
        <v>76</v>
      </c>
      <c r="B80" s="493" t="s">
        <v>2389</v>
      </c>
      <c r="C80" s="493" t="s">
        <v>2390</v>
      </c>
      <c r="D80" s="496" t="s">
        <v>2312</v>
      </c>
      <c r="E80" s="495"/>
    </row>
    <row r="81" spans="1:5">
      <c r="A81" s="488">
        <f t="shared" si="1"/>
        <v>77</v>
      </c>
      <c r="B81" s="493" t="s">
        <v>980</v>
      </c>
      <c r="C81" s="493" t="s">
        <v>1919</v>
      </c>
      <c r="D81" s="496" t="s">
        <v>2391</v>
      </c>
      <c r="E81" s="495"/>
    </row>
    <row r="82" spans="1:5">
      <c r="A82" s="492">
        <f t="shared" si="1"/>
        <v>78</v>
      </c>
      <c r="D82" s="496" t="s">
        <v>2392</v>
      </c>
      <c r="E82" s="495"/>
    </row>
    <row r="83" spans="1:5">
      <c r="A83" s="488">
        <f t="shared" si="1"/>
        <v>79</v>
      </c>
      <c r="D83" s="496" t="s">
        <v>2393</v>
      </c>
      <c r="E83" s="495" t="s">
        <v>2394</v>
      </c>
    </row>
    <row r="84" spans="1:5">
      <c r="A84" s="492">
        <f t="shared" si="1"/>
        <v>80</v>
      </c>
      <c r="D84" s="496" t="s">
        <v>2395</v>
      </c>
      <c r="E84" s="495"/>
    </row>
    <row r="85" spans="1:5">
      <c r="A85" s="488">
        <f t="shared" si="1"/>
        <v>81</v>
      </c>
      <c r="B85" s="493" t="s">
        <v>982</v>
      </c>
      <c r="C85" s="493" t="s">
        <v>1930</v>
      </c>
      <c r="D85" s="496" t="s">
        <v>2396</v>
      </c>
      <c r="E85" s="495"/>
    </row>
    <row r="86" spans="1:5">
      <c r="A86" s="492">
        <f t="shared" si="1"/>
        <v>82</v>
      </c>
      <c r="D86" s="496" t="s">
        <v>2397</v>
      </c>
      <c r="E86" s="495" t="s">
        <v>2398</v>
      </c>
    </row>
    <row r="87" spans="1:5">
      <c r="A87" s="488">
        <f t="shared" si="1"/>
        <v>83</v>
      </c>
      <c r="B87" s="493" t="s">
        <v>984</v>
      </c>
      <c r="C87" s="493" t="s">
        <v>1934</v>
      </c>
      <c r="D87" s="496" t="s">
        <v>2399</v>
      </c>
      <c r="E87" s="495" t="s">
        <v>2400</v>
      </c>
    </row>
    <row r="88" spans="1:5">
      <c r="A88" s="492">
        <f t="shared" si="1"/>
        <v>84</v>
      </c>
      <c r="D88" s="496" t="s">
        <v>2401</v>
      </c>
      <c r="E88" s="495"/>
    </row>
    <row r="89" spans="1:5" ht="14.5">
      <c r="A89" s="488">
        <f t="shared" si="1"/>
        <v>85</v>
      </c>
      <c r="D89" s="457" t="s">
        <v>2402</v>
      </c>
      <c r="E89" s="495"/>
    </row>
    <row r="90" spans="1:5">
      <c r="A90" s="492">
        <f t="shared" si="1"/>
        <v>86</v>
      </c>
      <c r="B90" s="493" t="s">
        <v>986</v>
      </c>
      <c r="C90" s="493" t="s">
        <v>1937</v>
      </c>
      <c r="D90" s="496" t="s">
        <v>2403</v>
      </c>
      <c r="E90" s="495"/>
    </row>
    <row r="91" spans="1:5">
      <c r="A91" s="488">
        <f t="shared" si="1"/>
        <v>87</v>
      </c>
      <c r="D91" s="496" t="s">
        <v>2404</v>
      </c>
      <c r="E91" s="495" t="s">
        <v>2298</v>
      </c>
    </row>
    <row r="92" spans="1:5">
      <c r="A92" s="492">
        <f t="shared" si="1"/>
        <v>88</v>
      </c>
      <c r="B92" s="493" t="s">
        <v>996</v>
      </c>
      <c r="C92" s="493" t="s">
        <v>1949</v>
      </c>
      <c r="D92" s="496" t="s">
        <v>2405</v>
      </c>
      <c r="E92" s="495"/>
    </row>
    <row r="93" spans="1:5">
      <c r="A93" s="720">
        <f>A92+1</f>
        <v>89</v>
      </c>
      <c r="B93" s="717"/>
      <c r="C93" s="717"/>
      <c r="D93" s="718" t="s">
        <v>2406</v>
      </c>
      <c r="E93" s="719"/>
    </row>
    <row r="94" spans="1:5">
      <c r="A94" s="721">
        <f>A93+1</f>
        <v>90</v>
      </c>
      <c r="D94" s="496" t="s">
        <v>2407</v>
      </c>
      <c r="E94" s="495" t="s">
        <v>2408</v>
      </c>
    </row>
    <row r="95" spans="1:5">
      <c r="A95" s="492">
        <f t="shared" si="1"/>
        <v>91</v>
      </c>
      <c r="B95" s="493" t="s">
        <v>998</v>
      </c>
      <c r="C95" s="493" t="s">
        <v>1952</v>
      </c>
      <c r="D95" s="496" t="s">
        <v>2409</v>
      </c>
      <c r="E95" s="495"/>
    </row>
    <row r="96" spans="1:5">
      <c r="A96" s="488">
        <f t="shared" si="1"/>
        <v>92</v>
      </c>
      <c r="D96" s="496" t="s">
        <v>2410</v>
      </c>
      <c r="E96" s="495"/>
    </row>
    <row r="97" spans="1:5">
      <c r="A97" s="492">
        <f t="shared" si="1"/>
        <v>93</v>
      </c>
      <c r="D97" s="496" t="s">
        <v>2411</v>
      </c>
      <c r="E97" s="495" t="s">
        <v>2412</v>
      </c>
    </row>
    <row r="98" spans="1:5">
      <c r="A98" s="488">
        <f t="shared" si="1"/>
        <v>94</v>
      </c>
      <c r="B98" s="493" t="s">
        <v>1000</v>
      </c>
      <c r="C98" s="493" t="s">
        <v>1959</v>
      </c>
      <c r="D98" s="496" t="s">
        <v>2413</v>
      </c>
      <c r="E98" s="495"/>
    </row>
    <row r="99" spans="1:5">
      <c r="A99" s="492">
        <f t="shared" si="1"/>
        <v>95</v>
      </c>
      <c r="B99" s="493" t="s">
        <v>1010</v>
      </c>
      <c r="C99" s="493" t="s">
        <v>1977</v>
      </c>
      <c r="D99" s="496" t="s">
        <v>2414</v>
      </c>
      <c r="E99" s="495" t="s">
        <v>2415</v>
      </c>
    </row>
    <row r="100" spans="1:5">
      <c r="A100" s="488">
        <f t="shared" si="1"/>
        <v>96</v>
      </c>
      <c r="B100" s="493" t="s">
        <v>1012</v>
      </c>
      <c r="C100" s="493" t="s">
        <v>1983</v>
      </c>
      <c r="D100" s="496" t="s">
        <v>2416</v>
      </c>
      <c r="E100" s="495"/>
    </row>
    <row r="101" spans="1:5">
      <c r="A101" s="492">
        <f t="shared" si="1"/>
        <v>97</v>
      </c>
      <c r="D101" s="496" t="s">
        <v>2417</v>
      </c>
      <c r="E101" s="495"/>
    </row>
    <row r="102" spans="1:5">
      <c r="A102" s="488">
        <f t="shared" si="1"/>
        <v>98</v>
      </c>
      <c r="D102" s="496" t="s">
        <v>2418</v>
      </c>
      <c r="E102" s="495"/>
    </row>
    <row r="103" spans="1:5">
      <c r="A103" s="492">
        <f t="shared" si="1"/>
        <v>99</v>
      </c>
      <c r="B103" s="493" t="s">
        <v>1014</v>
      </c>
      <c r="C103" s="493" t="s">
        <v>1987</v>
      </c>
      <c r="D103" s="496" t="s">
        <v>2419</v>
      </c>
      <c r="E103" s="495" t="s">
        <v>2292</v>
      </c>
    </row>
    <row r="104" spans="1:5">
      <c r="A104" s="488">
        <f t="shared" si="1"/>
        <v>100</v>
      </c>
      <c r="B104" s="493" t="s">
        <v>2420</v>
      </c>
      <c r="C104" s="493" t="s">
        <v>2421</v>
      </c>
      <c r="D104" s="496" t="s">
        <v>2312</v>
      </c>
      <c r="E104" s="495"/>
    </row>
    <row r="105" spans="1:5">
      <c r="A105" s="492">
        <f t="shared" si="1"/>
        <v>101</v>
      </c>
      <c r="B105" s="493" t="s">
        <v>1017</v>
      </c>
      <c r="C105" s="493" t="s">
        <v>1991</v>
      </c>
      <c r="D105" s="496" t="s">
        <v>2422</v>
      </c>
      <c r="E105" s="495"/>
    </row>
    <row r="106" spans="1:5">
      <c r="A106" s="488">
        <f t="shared" si="1"/>
        <v>102</v>
      </c>
      <c r="B106" s="493" t="s">
        <v>1021</v>
      </c>
      <c r="C106" s="493" t="s">
        <v>1999</v>
      </c>
      <c r="D106" s="496" t="s">
        <v>2423</v>
      </c>
      <c r="E106" s="495" t="s">
        <v>2424</v>
      </c>
    </row>
    <row r="107" spans="1:5">
      <c r="A107" s="492">
        <f t="shared" si="1"/>
        <v>103</v>
      </c>
      <c r="B107" s="493" t="s">
        <v>1019</v>
      </c>
      <c r="C107" s="493" t="s">
        <v>1992</v>
      </c>
      <c r="D107" s="496" t="s">
        <v>2425</v>
      </c>
      <c r="E107" s="495"/>
    </row>
    <row r="108" spans="1:5">
      <c r="A108" s="488">
        <f t="shared" si="1"/>
        <v>104</v>
      </c>
      <c r="B108" s="493" t="s">
        <v>1446</v>
      </c>
      <c r="C108" s="493" t="s">
        <v>2269</v>
      </c>
      <c r="D108" s="496" t="s">
        <v>2426</v>
      </c>
      <c r="E108" s="495" t="s">
        <v>2385</v>
      </c>
    </row>
    <row r="109" spans="1:5">
      <c r="A109" s="492">
        <f t="shared" si="1"/>
        <v>105</v>
      </c>
      <c r="D109" s="496" t="s">
        <v>2318</v>
      </c>
      <c r="E109" s="495" t="s">
        <v>2385</v>
      </c>
    </row>
    <row r="110" spans="1:5">
      <c r="A110" s="488">
        <f t="shared" si="1"/>
        <v>106</v>
      </c>
      <c r="B110" s="493" t="s">
        <v>1023</v>
      </c>
      <c r="C110" s="493" t="s">
        <v>2003</v>
      </c>
      <c r="D110" s="496" t="s">
        <v>2427</v>
      </c>
      <c r="E110" s="495" t="s">
        <v>2428</v>
      </c>
    </row>
    <row r="111" spans="1:5">
      <c r="A111" s="492">
        <f t="shared" si="1"/>
        <v>107</v>
      </c>
      <c r="B111" s="493" t="s">
        <v>1027</v>
      </c>
      <c r="C111" s="493" t="s">
        <v>2202</v>
      </c>
      <c r="D111" s="496" t="s">
        <v>2429</v>
      </c>
      <c r="E111" s="495"/>
    </row>
    <row r="112" spans="1:5">
      <c r="A112" s="488">
        <f t="shared" si="1"/>
        <v>108</v>
      </c>
      <c r="B112" s="493" t="s">
        <v>1029</v>
      </c>
      <c r="C112" s="493" t="s">
        <v>2010</v>
      </c>
      <c r="D112" s="496" t="s">
        <v>2430</v>
      </c>
      <c r="E112" s="495"/>
    </row>
    <row r="113" spans="1:5">
      <c r="A113" s="492">
        <f t="shared" si="1"/>
        <v>109</v>
      </c>
      <c r="D113" s="496" t="s">
        <v>1818</v>
      </c>
      <c r="E113" s="495" t="s">
        <v>2368</v>
      </c>
    </row>
    <row r="114" spans="1:5">
      <c r="A114" s="488">
        <f t="shared" si="1"/>
        <v>110</v>
      </c>
      <c r="B114" s="493" t="s">
        <v>1031</v>
      </c>
      <c r="C114" s="493" t="s">
        <v>2013</v>
      </c>
      <c r="D114" s="496" t="s">
        <v>2431</v>
      </c>
      <c r="E114" s="495"/>
    </row>
    <row r="115" spans="1:5">
      <c r="A115" s="492">
        <f t="shared" si="1"/>
        <v>111</v>
      </c>
      <c r="D115" s="496" t="s">
        <v>2432</v>
      </c>
      <c r="E115" s="495" t="s">
        <v>2433</v>
      </c>
    </row>
    <row r="116" spans="1:5">
      <c r="A116" s="488">
        <f t="shared" si="1"/>
        <v>112</v>
      </c>
      <c r="B116" s="493" t="s">
        <v>1033</v>
      </c>
      <c r="C116" s="493" t="s">
        <v>2203</v>
      </c>
      <c r="D116" s="496" t="s">
        <v>2434</v>
      </c>
      <c r="E116" s="495"/>
    </row>
    <row r="117" spans="1:5">
      <c r="A117" s="492">
        <f t="shared" si="1"/>
        <v>113</v>
      </c>
      <c r="B117" s="493" t="s">
        <v>1037</v>
      </c>
      <c r="C117" s="493" t="s">
        <v>2020</v>
      </c>
      <c r="D117" s="496" t="s">
        <v>2435</v>
      </c>
      <c r="E117" s="495"/>
    </row>
    <row r="118" spans="1:5">
      <c r="A118" s="488">
        <f t="shared" si="1"/>
        <v>114</v>
      </c>
      <c r="B118" s="493" t="s">
        <v>1039</v>
      </c>
      <c r="C118" s="493" t="s">
        <v>2436</v>
      </c>
      <c r="D118" s="496" t="s">
        <v>2312</v>
      </c>
      <c r="E118" s="495"/>
    </row>
    <row r="119" spans="1:5">
      <c r="A119" s="721">
        <f>A118+1</f>
        <v>115</v>
      </c>
      <c r="B119" s="493" t="s">
        <v>1044</v>
      </c>
      <c r="C119" s="493" t="s">
        <v>2031</v>
      </c>
      <c r="D119" s="496" t="s">
        <v>2437</v>
      </c>
      <c r="E119" s="495"/>
    </row>
    <row r="120" spans="1:5">
      <c r="A120" s="492">
        <f t="shared" si="1"/>
        <v>116</v>
      </c>
      <c r="D120" s="496" t="s">
        <v>2438</v>
      </c>
      <c r="E120" s="495" t="s">
        <v>2383</v>
      </c>
    </row>
    <row r="121" spans="1:5">
      <c r="A121" s="488">
        <f t="shared" si="1"/>
        <v>117</v>
      </c>
      <c r="D121" s="496" t="s">
        <v>2439</v>
      </c>
      <c r="E121" s="495" t="s">
        <v>2383</v>
      </c>
    </row>
    <row r="122" spans="1:5">
      <c r="A122" s="492">
        <f t="shared" si="1"/>
        <v>118</v>
      </c>
      <c r="B122" s="493" t="s">
        <v>1046</v>
      </c>
      <c r="C122" s="493" t="s">
        <v>2034</v>
      </c>
      <c r="D122" s="496" t="s">
        <v>2440</v>
      </c>
      <c r="E122" s="495"/>
    </row>
    <row r="123" spans="1:5">
      <c r="A123" s="488">
        <f t="shared" si="1"/>
        <v>119</v>
      </c>
      <c r="D123" s="496" t="s">
        <v>2361</v>
      </c>
      <c r="E123" s="495" t="s">
        <v>2344</v>
      </c>
    </row>
    <row r="124" spans="1:5">
      <c r="A124" s="492">
        <f t="shared" si="1"/>
        <v>120</v>
      </c>
      <c r="B124" s="493" t="s">
        <v>1581</v>
      </c>
      <c r="C124" s="493" t="s">
        <v>2441</v>
      </c>
      <c r="D124" s="496" t="s">
        <v>2312</v>
      </c>
      <c r="E124" s="495"/>
    </row>
    <row r="125" spans="1:5">
      <c r="A125" s="488">
        <f t="shared" si="1"/>
        <v>121</v>
      </c>
      <c r="B125" s="493" t="s">
        <v>1052</v>
      </c>
      <c r="C125" s="493" t="s">
        <v>2442</v>
      </c>
      <c r="D125" s="496" t="s">
        <v>2312</v>
      </c>
      <c r="E125" s="495"/>
    </row>
    <row r="126" spans="1:5">
      <c r="A126" s="492">
        <f t="shared" si="1"/>
        <v>122</v>
      </c>
      <c r="B126" s="493" t="s">
        <v>1052</v>
      </c>
      <c r="C126" s="493" t="s">
        <v>2039</v>
      </c>
      <c r="D126" s="496" t="s">
        <v>2318</v>
      </c>
      <c r="E126" s="495" t="s">
        <v>2443</v>
      </c>
    </row>
    <row r="127" spans="1:5">
      <c r="A127" s="488">
        <f t="shared" si="1"/>
        <v>123</v>
      </c>
      <c r="B127" s="493" t="s">
        <v>1583</v>
      </c>
      <c r="C127" s="493" t="s">
        <v>2444</v>
      </c>
      <c r="D127" s="496" t="s">
        <v>2312</v>
      </c>
      <c r="E127" s="495"/>
    </row>
    <row r="128" spans="1:5">
      <c r="A128" s="492">
        <f t="shared" si="1"/>
        <v>124</v>
      </c>
      <c r="B128" s="493" t="s">
        <v>1060</v>
      </c>
      <c r="C128" s="493" t="s">
        <v>2059</v>
      </c>
      <c r="D128" s="496" t="s">
        <v>2445</v>
      </c>
      <c r="E128" s="495" t="s">
        <v>2292</v>
      </c>
    </row>
    <row r="129" spans="1:5">
      <c r="A129" s="488">
        <f t="shared" si="1"/>
        <v>125</v>
      </c>
      <c r="D129" s="496" t="s">
        <v>2291</v>
      </c>
      <c r="E129" s="495" t="s">
        <v>2292</v>
      </c>
    </row>
    <row r="130" spans="1:5">
      <c r="A130" s="492">
        <f t="shared" si="1"/>
        <v>126</v>
      </c>
      <c r="B130" s="493" t="s">
        <v>1062</v>
      </c>
      <c r="C130" s="493" t="s">
        <v>2066</v>
      </c>
      <c r="D130" s="496" t="s">
        <v>2446</v>
      </c>
      <c r="E130" s="495" t="s">
        <v>2447</v>
      </c>
    </row>
    <row r="131" spans="1:5">
      <c r="A131" s="488">
        <f t="shared" si="1"/>
        <v>127</v>
      </c>
      <c r="B131" s="493" t="s">
        <v>1068</v>
      </c>
      <c r="C131" s="493" t="s">
        <v>2079</v>
      </c>
      <c r="D131" s="496" t="s">
        <v>2448</v>
      </c>
      <c r="E131" s="495"/>
    </row>
    <row r="132" spans="1:5">
      <c r="A132" s="492">
        <f t="shared" si="1"/>
        <v>128</v>
      </c>
      <c r="D132" s="496" t="s">
        <v>2449</v>
      </c>
      <c r="E132" s="495"/>
    </row>
    <row r="133" spans="1:5">
      <c r="A133" s="488">
        <f t="shared" si="1"/>
        <v>129</v>
      </c>
      <c r="D133" s="496" t="s">
        <v>2450</v>
      </c>
      <c r="E133" s="495"/>
    </row>
    <row r="134" spans="1:5">
      <c r="A134" s="492">
        <f t="shared" si="1"/>
        <v>130</v>
      </c>
      <c r="B134" s="493" t="s">
        <v>142</v>
      </c>
      <c r="C134" s="493" t="s">
        <v>2451</v>
      </c>
      <c r="D134" s="496" t="s">
        <v>2312</v>
      </c>
      <c r="E134" s="495"/>
    </row>
    <row r="135" spans="1:5">
      <c r="A135" s="488">
        <f t="shared" si="1"/>
        <v>131</v>
      </c>
      <c r="B135" s="493" t="s">
        <v>1070</v>
      </c>
      <c r="C135" s="493" t="s">
        <v>2207</v>
      </c>
      <c r="D135" s="496" t="s">
        <v>2452</v>
      </c>
      <c r="E135" s="495"/>
    </row>
    <row r="136" spans="1:5">
      <c r="A136" s="492">
        <f t="shared" si="1"/>
        <v>132</v>
      </c>
      <c r="D136" s="496" t="s">
        <v>2453</v>
      </c>
      <c r="E136" s="495" t="s">
        <v>2454</v>
      </c>
    </row>
    <row r="137" spans="1:5">
      <c r="A137" s="488">
        <f t="shared" si="1"/>
        <v>133</v>
      </c>
      <c r="B137" s="493" t="s">
        <v>1588</v>
      </c>
      <c r="C137" s="493" t="s">
        <v>2085</v>
      </c>
      <c r="D137" s="496" t="s">
        <v>2455</v>
      </c>
      <c r="E137" s="495"/>
    </row>
    <row r="138" spans="1:5">
      <c r="A138" s="492">
        <f t="shared" si="1"/>
        <v>134</v>
      </c>
      <c r="D138" s="496" t="s">
        <v>2456</v>
      </c>
      <c r="E138" s="495" t="s">
        <v>2302</v>
      </c>
    </row>
    <row r="139" spans="1:5">
      <c r="A139" s="488">
        <f t="shared" ref="A139:A142" si="2">A138+1</f>
        <v>135</v>
      </c>
      <c r="B139" s="493" t="s">
        <v>1076</v>
      </c>
      <c r="C139" s="493" t="s">
        <v>2091</v>
      </c>
      <c r="D139" s="496" t="s">
        <v>2358</v>
      </c>
      <c r="E139" s="495" t="s">
        <v>2292</v>
      </c>
    </row>
    <row r="140" spans="1:5">
      <c r="A140" s="492">
        <f t="shared" si="2"/>
        <v>136</v>
      </c>
      <c r="D140" s="496" t="s">
        <v>2457</v>
      </c>
      <c r="E140" s="495" t="s">
        <v>2315</v>
      </c>
    </row>
    <row r="141" spans="1:5">
      <c r="A141" s="488">
        <f t="shared" si="2"/>
        <v>137</v>
      </c>
      <c r="B141" s="493" t="s">
        <v>1082</v>
      </c>
      <c r="C141" s="493" t="s">
        <v>2098</v>
      </c>
      <c r="D141" s="496" t="s">
        <v>2458</v>
      </c>
      <c r="E141" s="495" t="s">
        <v>2459</v>
      </c>
    </row>
    <row r="142" spans="1:5">
      <c r="A142" s="492">
        <f t="shared" si="2"/>
        <v>138</v>
      </c>
      <c r="B142" s="493" t="s">
        <v>1090</v>
      </c>
      <c r="C142" s="493" t="s">
        <v>2110</v>
      </c>
      <c r="D142" s="496" t="s">
        <v>2460</v>
      </c>
      <c r="E142" s="495"/>
    </row>
    <row r="143" spans="1:5">
      <c r="A143" s="488">
        <f t="shared" ref="A143:A180" si="3">A142+1</f>
        <v>139</v>
      </c>
      <c r="D143" s="496" t="s">
        <v>2461</v>
      </c>
      <c r="E143" s="495" t="s">
        <v>2462</v>
      </c>
    </row>
    <row r="144" spans="1:5">
      <c r="A144" s="492">
        <f t="shared" si="3"/>
        <v>140</v>
      </c>
      <c r="B144" s="493" t="s">
        <v>1092</v>
      </c>
      <c r="C144" s="493" t="s">
        <v>2463</v>
      </c>
      <c r="D144" s="496" t="s">
        <v>2464</v>
      </c>
      <c r="E144" s="495"/>
    </row>
    <row r="145" spans="1:6">
      <c r="A145" s="488">
        <f t="shared" si="3"/>
        <v>141</v>
      </c>
      <c r="B145" s="493" t="s">
        <v>1093</v>
      </c>
      <c r="C145" s="493" t="s">
        <v>2116</v>
      </c>
      <c r="D145" s="496" t="s">
        <v>2465</v>
      </c>
      <c r="E145" s="495"/>
    </row>
    <row r="146" spans="1:6">
      <c r="A146" s="492">
        <f t="shared" si="3"/>
        <v>142</v>
      </c>
      <c r="B146" s="493" t="s">
        <v>1095</v>
      </c>
      <c r="C146" s="493" t="s">
        <v>2119</v>
      </c>
      <c r="D146" s="496" t="s">
        <v>2466</v>
      </c>
      <c r="E146" s="495"/>
    </row>
    <row r="147" spans="1:6">
      <c r="A147" s="488">
        <f t="shared" si="3"/>
        <v>143</v>
      </c>
      <c r="D147" s="496" t="s">
        <v>2467</v>
      </c>
      <c r="E147" s="495" t="s">
        <v>2468</v>
      </c>
    </row>
    <row r="148" spans="1:6">
      <c r="A148" s="721">
        <f>A147+1</f>
        <v>144</v>
      </c>
      <c r="B148" s="717"/>
      <c r="C148" s="717"/>
      <c r="D148" s="718" t="s">
        <v>2469</v>
      </c>
      <c r="E148" s="719" t="s">
        <v>2470</v>
      </c>
    </row>
    <row r="149" spans="1:6">
      <c r="A149" s="720">
        <f>A148+1</f>
        <v>145</v>
      </c>
      <c r="B149" s="493" t="s">
        <v>1103</v>
      </c>
      <c r="C149" s="493" t="s">
        <v>2140</v>
      </c>
      <c r="D149" s="496" t="s">
        <v>2314</v>
      </c>
      <c r="E149" s="495" t="s">
        <v>2315</v>
      </c>
    </row>
    <row r="150" spans="1:6">
      <c r="A150" s="721">
        <f>A149+1</f>
        <v>146</v>
      </c>
      <c r="B150" s="493" t="s">
        <v>1105</v>
      </c>
      <c r="C150" s="493" t="s">
        <v>2151</v>
      </c>
      <c r="D150" s="496" t="s">
        <v>2471</v>
      </c>
      <c r="E150" s="495" t="s">
        <v>2472</v>
      </c>
    </row>
    <row r="151" spans="1:6">
      <c r="A151" s="720">
        <f t="shared" si="3"/>
        <v>147</v>
      </c>
      <c r="B151" s="722" t="s">
        <v>2154</v>
      </c>
      <c r="C151" s="722" t="s">
        <v>2155</v>
      </c>
      <c r="D151" s="723" t="s">
        <v>2473</v>
      </c>
      <c r="E151" s="724"/>
      <c r="F151" s="723"/>
    </row>
    <row r="152" spans="1:6">
      <c r="A152" s="721">
        <f t="shared" si="3"/>
        <v>148</v>
      </c>
      <c r="B152" s="722"/>
      <c r="C152" s="722"/>
      <c r="D152" s="723" t="s">
        <v>2474</v>
      </c>
      <c r="E152" s="724" t="s">
        <v>2475</v>
      </c>
      <c r="F152" s="723"/>
    </row>
    <row r="153" spans="1:6">
      <c r="A153" s="720">
        <f t="shared" si="3"/>
        <v>149</v>
      </c>
      <c r="B153" s="722" t="s">
        <v>1113</v>
      </c>
      <c r="C153" s="722" t="s">
        <v>2162</v>
      </c>
      <c r="D153" s="723" t="s">
        <v>2457</v>
      </c>
      <c r="E153" s="724" t="s">
        <v>2315</v>
      </c>
      <c r="F153" s="723"/>
    </row>
    <row r="154" spans="1:6">
      <c r="A154" s="721">
        <f t="shared" si="3"/>
        <v>150</v>
      </c>
      <c r="B154" s="722"/>
      <c r="C154" s="722"/>
      <c r="D154" s="723" t="s">
        <v>2476</v>
      </c>
      <c r="E154" s="724" t="s">
        <v>2462</v>
      </c>
      <c r="F154" s="723"/>
    </row>
    <row r="155" spans="1:6">
      <c r="A155" s="720">
        <f t="shared" si="3"/>
        <v>151</v>
      </c>
      <c r="B155" s="722" t="s">
        <v>1117</v>
      </c>
      <c r="C155" s="722" t="s">
        <v>2164</v>
      </c>
      <c r="D155" s="723" t="s">
        <v>2477</v>
      </c>
      <c r="E155" s="724" t="s">
        <v>2478</v>
      </c>
      <c r="F155" s="723"/>
    </row>
    <row r="156" spans="1:6">
      <c r="A156" s="721">
        <f t="shared" si="3"/>
        <v>152</v>
      </c>
      <c r="B156" s="722" t="s">
        <v>1115</v>
      </c>
      <c r="C156" s="722" t="s">
        <v>2169</v>
      </c>
      <c r="D156" s="723" t="s">
        <v>2479</v>
      </c>
      <c r="E156" s="724"/>
      <c r="F156" s="723"/>
    </row>
    <row r="157" spans="1:6">
      <c r="A157" s="720">
        <f t="shared" si="3"/>
        <v>153</v>
      </c>
      <c r="B157" s="722" t="s">
        <v>1119</v>
      </c>
      <c r="C157" s="722" t="s">
        <v>2174</v>
      </c>
      <c r="D157" s="723" t="s">
        <v>2480</v>
      </c>
      <c r="E157" s="724" t="s">
        <v>2481</v>
      </c>
      <c r="F157" s="723"/>
    </row>
    <row r="158" spans="1:6">
      <c r="A158" s="721">
        <f t="shared" si="3"/>
        <v>154</v>
      </c>
      <c r="B158" s="722" t="s">
        <v>2482</v>
      </c>
      <c r="C158" s="722" t="s">
        <v>2483</v>
      </c>
      <c r="D158" s="723" t="s">
        <v>2312</v>
      </c>
      <c r="E158" s="724"/>
      <c r="F158" s="723"/>
    </row>
    <row r="159" spans="1:6">
      <c r="A159" s="720">
        <f t="shared" si="3"/>
        <v>155</v>
      </c>
      <c r="B159" s="722" t="s">
        <v>2482</v>
      </c>
      <c r="C159" s="722" t="s">
        <v>2484</v>
      </c>
      <c r="D159" s="723" t="s">
        <v>2312</v>
      </c>
      <c r="E159" s="724"/>
      <c r="F159" s="723"/>
    </row>
    <row r="160" spans="1:6">
      <c r="A160" s="721">
        <f t="shared" si="3"/>
        <v>156</v>
      </c>
      <c r="B160" s="722" t="s">
        <v>1123</v>
      </c>
      <c r="C160" s="722" t="s">
        <v>2178</v>
      </c>
      <c r="D160" s="723" t="s">
        <v>2485</v>
      </c>
      <c r="E160" s="724"/>
      <c r="F160" s="723"/>
    </row>
    <row r="161" spans="1:6">
      <c r="A161" s="720">
        <f t="shared" si="3"/>
        <v>157</v>
      </c>
      <c r="B161" s="722"/>
      <c r="C161" s="722"/>
      <c r="D161" s="723" t="s">
        <v>2486</v>
      </c>
      <c r="E161" s="724" t="s">
        <v>2487</v>
      </c>
      <c r="F161" s="723"/>
    </row>
    <row r="162" spans="1:6">
      <c r="A162" s="721">
        <f t="shared" si="3"/>
        <v>158</v>
      </c>
      <c r="B162" s="722"/>
      <c r="C162" s="722"/>
      <c r="D162" s="723" t="s">
        <v>2488</v>
      </c>
      <c r="E162" s="724" t="s">
        <v>2489</v>
      </c>
      <c r="F162" s="723"/>
    </row>
    <row r="163" spans="1:6">
      <c r="A163" s="720">
        <f t="shared" si="3"/>
        <v>159</v>
      </c>
      <c r="B163" s="722" t="s">
        <v>1125</v>
      </c>
      <c r="C163" s="722" t="s">
        <v>2181</v>
      </c>
      <c r="D163" s="723" t="s">
        <v>2490</v>
      </c>
      <c r="E163" s="724" t="s">
        <v>2491</v>
      </c>
      <c r="F163" s="723"/>
    </row>
    <row r="164" spans="1:6">
      <c r="A164" s="721">
        <f t="shared" si="3"/>
        <v>160</v>
      </c>
      <c r="B164" s="722"/>
      <c r="C164" s="722"/>
      <c r="D164" s="723" t="s">
        <v>2492</v>
      </c>
      <c r="E164" s="724"/>
      <c r="F164" s="723"/>
    </row>
    <row r="165" spans="1:6">
      <c r="A165" s="720">
        <f t="shared" si="3"/>
        <v>161</v>
      </c>
      <c r="B165" s="722"/>
      <c r="C165" s="722"/>
      <c r="D165" s="723" t="s">
        <v>2493</v>
      </c>
      <c r="E165" s="724"/>
      <c r="F165" s="723"/>
    </row>
    <row r="166" spans="1:6">
      <c r="A166" s="721">
        <f t="shared" si="3"/>
        <v>162</v>
      </c>
      <c r="B166" s="722"/>
      <c r="C166" s="722"/>
      <c r="D166" s="723" t="s">
        <v>2494</v>
      </c>
      <c r="E166" s="724"/>
      <c r="F166" s="723"/>
    </row>
    <row r="167" spans="1:6">
      <c r="A167" s="720">
        <f t="shared" si="3"/>
        <v>163</v>
      </c>
      <c r="B167" s="722"/>
      <c r="C167" s="725" t="s">
        <v>2184</v>
      </c>
      <c r="D167" s="723"/>
      <c r="E167" s="724"/>
      <c r="F167" s="723"/>
    </row>
    <row r="168" spans="1:6">
      <c r="A168" s="721">
        <f t="shared" si="3"/>
        <v>164</v>
      </c>
      <c r="B168" s="722"/>
      <c r="C168" s="722" t="s">
        <v>2495</v>
      </c>
      <c r="D168" s="723" t="s">
        <v>2193</v>
      </c>
      <c r="E168" s="724"/>
      <c r="F168" s="723"/>
    </row>
    <row r="169" spans="1:6">
      <c r="A169" s="720">
        <f t="shared" si="3"/>
        <v>165</v>
      </c>
      <c r="B169" s="722"/>
      <c r="C169" s="725" t="s">
        <v>2251</v>
      </c>
      <c r="D169" s="723"/>
      <c r="E169" s="724"/>
      <c r="F169" s="723"/>
    </row>
    <row r="170" spans="1:6">
      <c r="A170" s="721">
        <f t="shared" si="3"/>
        <v>166</v>
      </c>
      <c r="B170" s="722"/>
      <c r="C170" s="722" t="s">
        <v>2252</v>
      </c>
      <c r="D170" s="723" t="s">
        <v>2496</v>
      </c>
      <c r="E170" s="724"/>
      <c r="F170" s="723"/>
    </row>
    <row r="171" spans="1:6">
      <c r="A171" s="720">
        <f t="shared" si="3"/>
        <v>167</v>
      </c>
      <c r="B171" s="722"/>
      <c r="C171" s="722" t="s">
        <v>2254</v>
      </c>
      <c r="D171" s="723" t="s">
        <v>2497</v>
      </c>
      <c r="E171" s="724"/>
      <c r="F171" s="723"/>
    </row>
    <row r="172" spans="1:6">
      <c r="A172" s="721">
        <f t="shared" si="3"/>
        <v>168</v>
      </c>
      <c r="B172" s="722"/>
      <c r="C172" s="722"/>
      <c r="D172" s="723" t="s">
        <v>2498</v>
      </c>
      <c r="E172" s="724"/>
      <c r="F172" s="723"/>
    </row>
    <row r="173" spans="1:6">
      <c r="A173" s="720">
        <f t="shared" si="3"/>
        <v>169</v>
      </c>
      <c r="B173" s="722"/>
      <c r="C173" s="722" t="s">
        <v>2229</v>
      </c>
      <c r="D173" s="723" t="s">
        <v>2499</v>
      </c>
      <c r="E173" s="724"/>
      <c r="F173" s="723"/>
    </row>
    <row r="174" spans="1:6">
      <c r="A174" s="721">
        <f t="shared" si="3"/>
        <v>170</v>
      </c>
      <c r="B174" s="722"/>
      <c r="C174" s="722"/>
      <c r="D174" s="723" t="s">
        <v>2500</v>
      </c>
      <c r="E174" s="724"/>
      <c r="F174" s="723"/>
    </row>
    <row r="175" spans="1:6">
      <c r="A175" s="720">
        <f t="shared" si="3"/>
        <v>171</v>
      </c>
      <c r="B175" s="722"/>
      <c r="C175" s="722" t="s">
        <v>2264</v>
      </c>
      <c r="D175" s="723" t="s">
        <v>2501</v>
      </c>
      <c r="E175" s="724"/>
      <c r="F175" s="723"/>
    </row>
    <row r="176" spans="1:6">
      <c r="A176" s="721">
        <f t="shared" si="3"/>
        <v>172</v>
      </c>
      <c r="B176" s="722"/>
      <c r="C176" s="722"/>
      <c r="D176" s="723" t="s">
        <v>2502</v>
      </c>
      <c r="E176" s="724"/>
      <c r="F176" s="723"/>
    </row>
    <row r="177" spans="1:6">
      <c r="A177" s="720">
        <f t="shared" si="3"/>
        <v>173</v>
      </c>
      <c r="B177" s="722"/>
      <c r="C177" s="722"/>
      <c r="D177" s="723" t="s">
        <v>2503</v>
      </c>
      <c r="E177" s="724"/>
      <c r="F177" s="723"/>
    </row>
    <row r="178" spans="1:6">
      <c r="A178" s="721">
        <f t="shared" si="3"/>
        <v>174</v>
      </c>
      <c r="B178" s="722"/>
      <c r="C178" s="722" t="s">
        <v>2267</v>
      </c>
      <c r="D178" s="723" t="s">
        <v>2372</v>
      </c>
      <c r="E178" s="724"/>
      <c r="F178" s="723"/>
    </row>
    <row r="179" spans="1:6">
      <c r="A179" s="720">
        <f t="shared" si="3"/>
        <v>175</v>
      </c>
      <c r="B179" s="722"/>
      <c r="C179" s="722" t="s">
        <v>2269</v>
      </c>
      <c r="D179" s="723" t="s">
        <v>2318</v>
      </c>
      <c r="E179" s="724"/>
      <c r="F179" s="723"/>
    </row>
    <row r="180" spans="1:6">
      <c r="A180" s="721">
        <f t="shared" si="3"/>
        <v>176</v>
      </c>
      <c r="B180" s="722"/>
      <c r="C180" s="722"/>
      <c r="D180" s="723" t="s">
        <v>2504</v>
      </c>
      <c r="E180" s="724"/>
      <c r="F180" s="723"/>
    </row>
    <row r="181" spans="1:6">
      <c r="A181" s="720"/>
      <c r="B181" s="722"/>
      <c r="C181" s="722"/>
      <c r="D181" s="723"/>
      <c r="E181" s="724"/>
      <c r="F181" s="723"/>
    </row>
    <row r="182" spans="1:6" ht="14.5">
      <c r="A182" s="721" t="s">
        <v>2505</v>
      </c>
      <c r="B182" s="722"/>
      <c r="C182" s="722"/>
      <c r="D182" s="723"/>
      <c r="E182" s="724"/>
      <c r="F182" s="723"/>
    </row>
    <row r="183" spans="1:6">
      <c r="A183" s="720" t="s">
        <v>2506</v>
      </c>
      <c r="B183" s="722"/>
      <c r="C183" s="722"/>
      <c r="D183" s="723"/>
      <c r="E183" s="724"/>
      <c r="F183" s="723"/>
    </row>
  </sheetData>
  <hyperlinks>
    <hyperlink ref="F1" location="'Cover Sheets'!A16" display="(Back to Worksheet Links)" xr:uid="{897DC3ED-96A8-4649-A8AE-07604A206496}"/>
  </hyperlinks>
  <pageMargins left="0.7" right="0.7" top="0.75" bottom="0.75" header="0.3" footer="0.3"/>
  <pageSetup scale="48" fitToHeight="0"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E18"/>
  <sheetViews>
    <sheetView view="pageBreakPreview" zoomScaleNormal="100" zoomScaleSheetLayoutView="100" workbookViewId="0"/>
  </sheetViews>
  <sheetFormatPr defaultRowHeight="14.5"/>
  <cols>
    <col min="1" max="1" width="43.54296875" customWidth="1"/>
    <col min="2" max="2" width="91.26953125" customWidth="1"/>
    <col min="3" max="3" width="22.81640625" customWidth="1"/>
  </cols>
  <sheetData>
    <row r="1" spans="1:5" s="236" customFormat="1">
      <c r="A1" s="648" t="str">
        <f>'Cover Sheets'!A10:B10</f>
        <v>WAPA-UGP 2021 Rate Estimate Calculation</v>
      </c>
      <c r="B1" s="261"/>
      <c r="C1" s="578" t="s">
        <v>42</v>
      </c>
      <c r="D1" s="376"/>
      <c r="E1" s="233"/>
    </row>
    <row r="2" spans="1:5" s="236" customFormat="1" ht="13">
      <c r="A2" s="560" t="s">
        <v>2507</v>
      </c>
      <c r="B2" s="262"/>
      <c r="C2" s="376"/>
      <c r="D2" s="376"/>
      <c r="E2" s="233"/>
    </row>
    <row r="3" spans="1:5" s="236" customFormat="1" ht="13">
      <c r="A3" s="239" t="str">
        <f>'WS1-RateBase'!A4</f>
        <v>12 Months Ending 09/30/2021 ESTIMATE</v>
      </c>
      <c r="B3" s="262"/>
      <c r="C3" s="376"/>
      <c r="D3" s="376"/>
      <c r="E3" s="233"/>
    </row>
    <row r="4" spans="1:5" s="236" customFormat="1" ht="31.9" customHeight="1">
      <c r="A4" s="700" t="s">
        <v>556</v>
      </c>
      <c r="B4" s="701" t="s">
        <v>2508</v>
      </c>
      <c r="C4" s="376"/>
      <c r="D4" s="376"/>
      <c r="E4" s="233"/>
    </row>
    <row r="5" spans="1:5">
      <c r="A5" s="700" t="s">
        <v>558</v>
      </c>
      <c r="B5" s="701" t="s">
        <v>2509</v>
      </c>
    </row>
    <row r="6" spans="1:5" ht="29">
      <c r="A6" s="700" t="s">
        <v>2510</v>
      </c>
      <c r="B6" s="700" t="s">
        <v>2511</v>
      </c>
    </row>
    <row r="7" spans="1:5">
      <c r="A7" s="702" t="s">
        <v>2025</v>
      </c>
      <c r="B7" s="702" t="s">
        <v>2512</v>
      </c>
    </row>
    <row r="8" spans="1:5" ht="29">
      <c r="A8" s="703" t="s">
        <v>2094</v>
      </c>
      <c r="B8" s="704" t="s">
        <v>2513</v>
      </c>
    </row>
    <row r="9" spans="1:5">
      <c r="A9" s="703" t="s">
        <v>2088</v>
      </c>
      <c r="B9" s="774" t="s">
        <v>2681</v>
      </c>
    </row>
    <row r="10" spans="1:5">
      <c r="A10" s="703" t="s">
        <v>2077</v>
      </c>
      <c r="B10" s="703" t="s">
        <v>2514</v>
      </c>
    </row>
    <row r="11" spans="1:5">
      <c r="A11" s="703" t="s">
        <v>2140</v>
      </c>
      <c r="B11" s="703" t="s">
        <v>2515</v>
      </c>
    </row>
    <row r="12" spans="1:5">
      <c r="A12" s="703" t="s">
        <v>1691</v>
      </c>
      <c r="B12" s="703" t="s">
        <v>2516</v>
      </c>
    </row>
    <row r="13" spans="1:5">
      <c r="A13" s="703" t="s">
        <v>1965</v>
      </c>
      <c r="B13" s="703" t="s">
        <v>2517</v>
      </c>
    </row>
    <row r="14" spans="1:5" ht="29">
      <c r="A14" s="703" t="s">
        <v>1949</v>
      </c>
      <c r="B14" s="705" t="s">
        <v>2518</v>
      </c>
    </row>
    <row r="15" spans="1:5">
      <c r="A15" s="703" t="s">
        <v>2264</v>
      </c>
      <c r="B15" s="703" t="s">
        <v>2519</v>
      </c>
    </row>
    <row r="16" spans="1:5">
      <c r="A16" s="703" t="s">
        <v>2229</v>
      </c>
      <c r="B16" s="703" t="s">
        <v>2520</v>
      </c>
    </row>
    <row r="17" spans="1:2">
      <c r="A17" s="703" t="s">
        <v>2254</v>
      </c>
      <c r="B17" s="703" t="s">
        <v>2521</v>
      </c>
    </row>
    <row r="18" spans="1:2">
      <c r="A18" s="703" t="s">
        <v>2269</v>
      </c>
      <c r="B18" s="703" t="s">
        <v>2522</v>
      </c>
    </row>
  </sheetData>
  <hyperlinks>
    <hyperlink ref="C1" location="'Cover Sheets'!A16" display="(Back to Worksheet Links)" xr:uid="{00000000-0004-0000-0C00-000000000000}"/>
  </hyperlinks>
  <pageMargins left="0.7" right="0.7" top="0.75" bottom="0.75" header="0.3" footer="0.3"/>
  <pageSetup scale="67"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E21"/>
  <sheetViews>
    <sheetView view="pageBreakPreview" zoomScaleNormal="100" zoomScaleSheetLayoutView="100" workbookViewId="0"/>
  </sheetViews>
  <sheetFormatPr defaultColWidth="13.26953125" defaultRowHeight="14.5"/>
  <cols>
    <col min="1" max="1" width="13.26953125" style="33"/>
    <col min="2" max="2" width="89.453125" style="33" bestFit="1" customWidth="1"/>
    <col min="3" max="3" width="14.7265625" style="33" customWidth="1"/>
    <col min="4" max="4" width="41.54296875" style="33" bestFit="1" customWidth="1"/>
    <col min="5" max="5" width="22.26953125" style="33" customWidth="1"/>
    <col min="6" max="16384" width="13.26953125" style="33"/>
  </cols>
  <sheetData>
    <row r="1" spans="1:5">
      <c r="A1" s="232" t="str">
        <f>'Cover Sheets'!A10:B10</f>
        <v>WAPA-UGP 2021 Rate Estimate Calculation</v>
      </c>
      <c r="B1" s="274"/>
      <c r="C1" s="275"/>
      <c r="D1" s="276"/>
      <c r="E1" s="575" t="s">
        <v>42</v>
      </c>
    </row>
    <row r="2" spans="1:5">
      <c r="A2" s="560" t="s">
        <v>2523</v>
      </c>
      <c r="B2" s="503"/>
      <c r="C2" s="277"/>
      <c r="D2" s="278"/>
    </row>
    <row r="3" spans="1:5">
      <c r="A3" s="61" t="str">
        <f>'Summary-ATRR'!A3</f>
        <v>12 Months Ending 09/30/2021 ESTIMATE</v>
      </c>
      <c r="B3" s="277"/>
      <c r="C3" s="277"/>
      <c r="D3" s="278"/>
    </row>
    <row r="4" spans="1:5">
      <c r="A4" s="61"/>
      <c r="B4" s="240" t="s">
        <v>311</v>
      </c>
      <c r="C4" s="241" t="s">
        <v>2524</v>
      </c>
      <c r="D4" s="242" t="s">
        <v>47</v>
      </c>
    </row>
    <row r="5" spans="1:5" ht="15" thickBot="1">
      <c r="A5" s="243" t="s">
        <v>316</v>
      </c>
      <c r="B5" s="244">
        <v>-1</v>
      </c>
      <c r="C5" s="244">
        <v>-2</v>
      </c>
      <c r="D5" s="245">
        <v>-3</v>
      </c>
    </row>
    <row r="6" spans="1:5">
      <c r="A6" s="279">
        <v>1</v>
      </c>
      <c r="B6" s="280" t="s">
        <v>317</v>
      </c>
      <c r="C6" s="281">
        <f>'WS4-CostData'!K121</f>
        <v>10377637.789999999</v>
      </c>
      <c r="D6" s="282" t="s">
        <v>2525</v>
      </c>
    </row>
    <row r="7" spans="1:5">
      <c r="A7" s="279">
        <f t="shared" ref="A7:A21" si="0">A6+1</f>
        <v>2</v>
      </c>
      <c r="B7" s="280" t="s">
        <v>327</v>
      </c>
      <c r="C7" s="281">
        <f>'WS4-CostData'!C96</f>
        <v>187148.08497683142</v>
      </c>
      <c r="D7" s="282" t="s">
        <v>329</v>
      </c>
    </row>
    <row r="8" spans="1:5">
      <c r="A8" s="279">
        <f t="shared" si="0"/>
        <v>3</v>
      </c>
      <c r="B8" s="280" t="s">
        <v>334</v>
      </c>
      <c r="C8" s="281">
        <f>'WS4-CostData'!C49</f>
        <v>397392.04146270332</v>
      </c>
      <c r="D8" s="282" t="s">
        <v>336</v>
      </c>
    </row>
    <row r="9" spans="1:5">
      <c r="A9" s="279">
        <f t="shared" si="0"/>
        <v>4</v>
      </c>
      <c r="B9" s="280" t="s">
        <v>339</v>
      </c>
      <c r="C9" s="281">
        <v>0</v>
      </c>
      <c r="D9" s="282" t="s">
        <v>2526</v>
      </c>
    </row>
    <row r="10" spans="1:5" ht="39.5">
      <c r="A10" s="279">
        <f t="shared" si="0"/>
        <v>5</v>
      </c>
      <c r="B10" s="280" t="s">
        <v>341</v>
      </c>
      <c r="C10" s="281">
        <v>0</v>
      </c>
      <c r="D10" s="283" t="s">
        <v>2527</v>
      </c>
    </row>
    <row r="11" spans="1:5">
      <c r="A11" s="279">
        <f t="shared" si="0"/>
        <v>6</v>
      </c>
      <c r="B11" s="280" t="s">
        <v>343</v>
      </c>
      <c r="C11" s="284"/>
      <c r="D11" s="282"/>
    </row>
    <row r="12" spans="1:5">
      <c r="A12" s="279">
        <f t="shared" si="0"/>
        <v>7</v>
      </c>
      <c r="B12" s="285" t="s">
        <v>344</v>
      </c>
      <c r="C12" s="286">
        <f>'WS4-CostData'!K72</f>
        <v>4.9518058794053493E-2</v>
      </c>
      <c r="D12" s="282" t="s">
        <v>2528</v>
      </c>
    </row>
    <row r="13" spans="1:5">
      <c r="A13" s="279">
        <f t="shared" si="0"/>
        <v>8</v>
      </c>
      <c r="B13" s="285" t="s">
        <v>323</v>
      </c>
      <c r="C13" s="281">
        <f>'WS4-CostData'!C26</f>
        <v>8245772.7336418815</v>
      </c>
      <c r="D13" s="282" t="s">
        <v>2529</v>
      </c>
    </row>
    <row r="14" spans="1:5">
      <c r="A14" s="279">
        <f t="shared" si="0"/>
        <v>9</v>
      </c>
      <c r="B14" s="285" t="s">
        <v>354</v>
      </c>
      <c r="C14" s="281">
        <f>C12*C13</f>
        <v>408314.65902688185</v>
      </c>
      <c r="D14" s="282" t="s">
        <v>2530</v>
      </c>
    </row>
    <row r="15" spans="1:5">
      <c r="A15" s="279">
        <f t="shared" si="0"/>
        <v>10</v>
      </c>
      <c r="B15" s="280" t="s">
        <v>357</v>
      </c>
      <c r="C15" s="286"/>
      <c r="D15" s="287"/>
    </row>
    <row r="16" spans="1:5" ht="15" thickBot="1">
      <c r="A16" s="279">
        <f t="shared" si="0"/>
        <v>11</v>
      </c>
      <c r="B16" s="288" t="s">
        <v>360</v>
      </c>
      <c r="C16" s="289">
        <f>C6+C7+C8+C14</f>
        <v>11370492.575466415</v>
      </c>
      <c r="D16" s="290" t="s">
        <v>2531</v>
      </c>
    </row>
    <row r="17" spans="1:4">
      <c r="A17" s="279">
        <f t="shared" si="0"/>
        <v>12</v>
      </c>
      <c r="B17" s="291" t="s">
        <v>2532</v>
      </c>
      <c r="C17" s="355">
        <f>C16*C21</f>
        <v>804820.38270824729</v>
      </c>
      <c r="D17" s="357" t="s">
        <v>2533</v>
      </c>
    </row>
    <row r="18" spans="1:4">
      <c r="A18" s="279">
        <f t="shared" si="0"/>
        <v>13</v>
      </c>
      <c r="B18" s="291" t="s">
        <v>2534</v>
      </c>
      <c r="C18" s="355">
        <v>115912</v>
      </c>
      <c r="D18" s="628" t="s">
        <v>2535</v>
      </c>
    </row>
    <row r="19" spans="1:4">
      <c r="A19" s="279">
        <f t="shared" si="0"/>
        <v>14</v>
      </c>
      <c r="B19" s="291" t="s">
        <v>2536</v>
      </c>
      <c r="C19" s="609">
        <f>C16-C17+C18</f>
        <v>10681584.192758167</v>
      </c>
      <c r="D19" s="357" t="s">
        <v>2537</v>
      </c>
    </row>
    <row r="20" spans="1:4">
      <c r="A20" s="279">
        <f t="shared" si="0"/>
        <v>15</v>
      </c>
      <c r="B20" s="507"/>
      <c r="C20" s="507"/>
      <c r="D20" s="357"/>
    </row>
    <row r="21" spans="1:4" s="34" customFormat="1" ht="13.5" thickBot="1">
      <c r="A21" s="243">
        <f t="shared" si="0"/>
        <v>16</v>
      </c>
      <c r="B21" s="611" t="s">
        <v>2723</v>
      </c>
      <c r="C21" s="612">
        <f>'WS8-TranFac'!H514/'WS8-TranFac'!K514</f>
        <v>7.0781487905349938E-2</v>
      </c>
      <c r="D21" s="358" t="s">
        <v>2737</v>
      </c>
    </row>
  </sheetData>
  <hyperlinks>
    <hyperlink ref="E1" location="'Cover Sheets'!A16"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22"/>
  <sheetViews>
    <sheetView view="pageBreakPreview" zoomScale="70" zoomScaleNormal="100" zoomScaleSheetLayoutView="70" workbookViewId="0"/>
  </sheetViews>
  <sheetFormatPr defaultColWidth="9.26953125" defaultRowHeight="13"/>
  <cols>
    <col min="1" max="1" width="22.26953125" style="236" customWidth="1"/>
    <col min="2" max="2" width="19.26953125" style="236" bestFit="1" customWidth="1"/>
    <col min="3" max="3" width="76.26953125" style="236" bestFit="1" customWidth="1"/>
    <col min="4" max="4" width="27.7265625" style="236" customWidth="1"/>
    <col min="5" max="5" width="22" style="430" customWidth="1"/>
    <col min="6" max="6" width="16.54296875" style="236" customWidth="1"/>
    <col min="7" max="7" width="15" style="431" customWidth="1"/>
    <col min="8" max="8" width="17.26953125" style="236" customWidth="1"/>
    <col min="9" max="9" width="16.453125" style="432" customWidth="1"/>
    <col min="10" max="10" width="23" style="236" customWidth="1"/>
    <col min="11" max="11" width="11.54296875" style="236" bestFit="1" customWidth="1"/>
    <col min="12" max="16384" width="9.26953125" style="236"/>
  </cols>
  <sheetData>
    <row r="1" spans="1:14" ht="14.5">
      <c r="A1" s="442" t="str">
        <f>'Cover Sheets'!A10:B10</f>
        <v>WAPA-UGP 2021 Rate Estimate Calculation</v>
      </c>
      <c r="B1" s="261"/>
      <c r="C1" s="237"/>
      <c r="D1" s="237"/>
      <c r="E1" s="438"/>
      <c r="F1" s="237"/>
      <c r="G1" s="418"/>
      <c r="H1" s="237"/>
      <c r="I1" s="419"/>
      <c r="J1" s="576" t="s">
        <v>42</v>
      </c>
    </row>
    <row r="2" spans="1:14">
      <c r="A2" s="561" t="s">
        <v>2538</v>
      </c>
      <c r="B2" s="262"/>
      <c r="C2" s="238"/>
      <c r="D2" s="238"/>
      <c r="E2" s="436"/>
      <c r="F2" s="238"/>
      <c r="G2" s="403"/>
      <c r="H2" s="238"/>
      <c r="I2" s="404"/>
    </row>
    <row r="3" spans="1:14">
      <c r="A3" s="562" t="str">
        <f>'WS1-RateBase'!A4</f>
        <v>12 Months Ending 09/30/2021 ESTIMATE</v>
      </c>
      <c r="B3" s="262"/>
      <c r="C3" s="238"/>
      <c r="D3" s="238"/>
      <c r="E3" s="436"/>
      <c r="F3" s="238"/>
      <c r="G3" s="403"/>
      <c r="H3" s="238"/>
      <c r="I3" s="404"/>
    </row>
    <row r="4" spans="1:14" s="3" customFormat="1" ht="52">
      <c r="A4" s="443" t="s">
        <v>565</v>
      </c>
      <c r="B4" s="439" t="s">
        <v>566</v>
      </c>
      <c r="C4" s="396" t="s">
        <v>311</v>
      </c>
      <c r="D4" s="396" t="s">
        <v>567</v>
      </c>
      <c r="E4" s="433" t="s">
        <v>568</v>
      </c>
      <c r="F4" s="433" t="s">
        <v>569</v>
      </c>
      <c r="G4" s="434" t="s">
        <v>615</v>
      </c>
      <c r="H4" s="434" t="s">
        <v>616</v>
      </c>
      <c r="I4" s="435" t="s">
        <v>570</v>
      </c>
      <c r="J4" s="8"/>
      <c r="N4" s="8"/>
    </row>
    <row r="5" spans="1:14" ht="15" customHeight="1">
      <c r="A5" s="444"/>
      <c r="B5" s="440" t="s">
        <v>1174</v>
      </c>
      <c r="C5" s="437" t="s">
        <v>1175</v>
      </c>
      <c r="D5" s="375" t="s">
        <v>2539</v>
      </c>
      <c r="E5" s="216">
        <f>E41</f>
        <v>6006058.1099999985</v>
      </c>
      <c r="F5" s="379">
        <v>0</v>
      </c>
      <c r="G5" s="331">
        <v>0</v>
      </c>
      <c r="H5" s="566">
        <f>I5-E5</f>
        <v>0</v>
      </c>
      <c r="I5" s="380">
        <f>I41</f>
        <v>6006058.1099999985</v>
      </c>
      <c r="J5" s="735"/>
      <c r="L5" s="11"/>
      <c r="M5" s="11"/>
      <c r="N5" s="11"/>
    </row>
    <row r="6" spans="1:14">
      <c r="A6" s="444"/>
      <c r="B6" s="440" t="s">
        <v>1177</v>
      </c>
      <c r="C6" s="375" t="s">
        <v>2540</v>
      </c>
      <c r="D6" s="375" t="s">
        <v>2539</v>
      </c>
      <c r="E6" s="216">
        <f>E47+E50</f>
        <v>1549110.4400000002</v>
      </c>
      <c r="F6" s="216">
        <v>0</v>
      </c>
      <c r="G6" s="331">
        <v>0</v>
      </c>
      <c r="H6" s="566">
        <f>I6-E6</f>
        <v>-265347.79020000016</v>
      </c>
      <c r="I6" s="380">
        <f>I47+I50</f>
        <v>1283762.6498</v>
      </c>
      <c r="J6" s="736"/>
      <c r="L6" s="11"/>
      <c r="M6" s="11"/>
      <c r="N6" s="15"/>
    </row>
    <row r="7" spans="1:14" ht="13.5" thickBot="1">
      <c r="A7" s="445"/>
      <c r="B7" s="441" t="s">
        <v>1179</v>
      </c>
      <c r="C7" s="381" t="s">
        <v>2541</v>
      </c>
      <c r="D7" s="381" t="s">
        <v>2539</v>
      </c>
      <c r="E7" s="382">
        <f>E100+E121</f>
        <v>12069071.580000002</v>
      </c>
      <c r="F7" s="382">
        <v>0</v>
      </c>
      <c r="G7" s="383">
        <v>0</v>
      </c>
      <c r="H7" s="567">
        <f>I7-E7</f>
        <v>-1190998.6974000018</v>
      </c>
      <c r="I7" s="384">
        <f>I100+I121</f>
        <v>10878072.8826</v>
      </c>
      <c r="J7" s="736"/>
      <c r="L7" s="11"/>
      <c r="M7" s="11"/>
      <c r="N7" s="15"/>
    </row>
    <row r="8" spans="1:14">
      <c r="A8" s="385"/>
      <c r="B8" s="378"/>
      <c r="C8" s="386"/>
      <c r="D8" s="387" t="s">
        <v>368</v>
      </c>
      <c r="E8" s="388">
        <f>SUM(E5:E7)</f>
        <v>19624240.130000003</v>
      </c>
      <c r="F8" s="389">
        <f>SUM(F5:F7)</f>
        <v>0</v>
      </c>
      <c r="G8" s="390">
        <f>SUM(G5:G7)</f>
        <v>0</v>
      </c>
      <c r="H8" s="391">
        <f>SUM(H5:H7)</f>
        <v>-1456346.487600002</v>
      </c>
      <c r="I8" s="392">
        <f>SUM(I5:I7)</f>
        <v>18167893.642399997</v>
      </c>
      <c r="J8" s="14"/>
      <c r="K8" s="736"/>
      <c r="L8" s="11"/>
      <c r="M8" s="11"/>
      <c r="N8" s="15"/>
    </row>
    <row r="9" spans="1:14" ht="44.25" customHeight="1">
      <c r="A9" s="393" t="s">
        <v>2542</v>
      </c>
      <c r="B9" s="394" t="s">
        <v>566</v>
      </c>
      <c r="C9" s="395" t="s">
        <v>311</v>
      </c>
      <c r="D9" s="396" t="s">
        <v>578</v>
      </c>
      <c r="E9" s="397" t="s">
        <v>579</v>
      </c>
      <c r="F9" s="398" t="s">
        <v>2543</v>
      </c>
      <c r="G9" s="399" t="s">
        <v>2544</v>
      </c>
      <c r="H9" s="304" t="s">
        <v>2545</v>
      </c>
      <c r="I9" s="400" t="s">
        <v>2546</v>
      </c>
    </row>
    <row r="10" spans="1:14">
      <c r="A10" s="401"/>
      <c r="B10" s="402" t="s">
        <v>2547</v>
      </c>
      <c r="C10" s="401" t="s">
        <v>588</v>
      </c>
      <c r="D10" s="375" t="s">
        <v>588</v>
      </c>
      <c r="E10" s="216">
        <f>298.8</f>
        <v>298.8</v>
      </c>
      <c r="F10" s="572">
        <v>1</v>
      </c>
      <c r="G10" s="403">
        <f t="shared" ref="G10:G40" si="0">F10*E10</f>
        <v>298.8</v>
      </c>
      <c r="H10" s="572">
        <v>1</v>
      </c>
      <c r="I10" s="404">
        <f>E10*H10</f>
        <v>298.8</v>
      </c>
    </row>
    <row r="11" spans="1:14">
      <c r="A11" s="401"/>
      <c r="B11" s="402" t="s">
        <v>2547</v>
      </c>
      <c r="C11" s="401" t="s">
        <v>2548</v>
      </c>
      <c r="D11" s="375" t="s">
        <v>590</v>
      </c>
      <c r="E11" s="216">
        <f>9789.59</f>
        <v>9789.59</v>
      </c>
      <c r="F11" s="572">
        <v>1</v>
      </c>
      <c r="G11" s="403">
        <f t="shared" si="0"/>
        <v>9789.59</v>
      </c>
      <c r="H11" s="572">
        <v>1</v>
      </c>
      <c r="I11" s="404">
        <f t="shared" ref="I11:I40" si="1">E11*H11</f>
        <v>9789.59</v>
      </c>
    </row>
    <row r="12" spans="1:14">
      <c r="A12" s="401"/>
      <c r="B12" s="402" t="s">
        <v>2547</v>
      </c>
      <c r="C12" s="401" t="s">
        <v>2549</v>
      </c>
      <c r="D12" s="375" t="s">
        <v>590</v>
      </c>
      <c r="E12" s="216">
        <f>1538.62</f>
        <v>1538.62</v>
      </c>
      <c r="F12" s="572">
        <v>1</v>
      </c>
      <c r="G12" s="403">
        <f t="shared" si="0"/>
        <v>1538.62</v>
      </c>
      <c r="H12" s="572">
        <v>1</v>
      </c>
      <c r="I12" s="404">
        <f t="shared" si="1"/>
        <v>1538.62</v>
      </c>
    </row>
    <row r="13" spans="1:14">
      <c r="A13" s="401"/>
      <c r="B13" s="402" t="s">
        <v>2547</v>
      </c>
      <c r="C13" s="401" t="s">
        <v>2550</v>
      </c>
      <c r="D13" s="375" t="s">
        <v>593</v>
      </c>
      <c r="E13" s="216">
        <f>295485.92</f>
        <v>295485.92</v>
      </c>
      <c r="F13" s="572">
        <v>1</v>
      </c>
      <c r="G13" s="403">
        <f t="shared" si="0"/>
        <v>295485.92</v>
      </c>
      <c r="H13" s="572">
        <v>1</v>
      </c>
      <c r="I13" s="404">
        <f t="shared" si="1"/>
        <v>295485.92</v>
      </c>
    </row>
    <row r="14" spans="1:14">
      <c r="A14" s="401"/>
      <c r="B14" s="402" t="s">
        <v>2547</v>
      </c>
      <c r="C14" s="401" t="s">
        <v>588</v>
      </c>
      <c r="D14" s="375" t="s">
        <v>588</v>
      </c>
      <c r="E14" s="216">
        <f>57816.18</f>
        <v>57816.18</v>
      </c>
      <c r="F14" s="572">
        <v>1</v>
      </c>
      <c r="G14" s="403">
        <f t="shared" si="0"/>
        <v>57816.18</v>
      </c>
      <c r="H14" s="572">
        <v>1</v>
      </c>
      <c r="I14" s="404">
        <f t="shared" si="1"/>
        <v>57816.18</v>
      </c>
    </row>
    <row r="15" spans="1:14">
      <c r="A15" s="401"/>
      <c r="B15" s="402" t="s">
        <v>2547</v>
      </c>
      <c r="C15" s="401" t="s">
        <v>588</v>
      </c>
      <c r="D15" s="375" t="s">
        <v>596</v>
      </c>
      <c r="E15" s="216">
        <f>5246.19</f>
        <v>5246.19</v>
      </c>
      <c r="F15" s="572">
        <v>1</v>
      </c>
      <c r="G15" s="403">
        <f t="shared" si="0"/>
        <v>5246.19</v>
      </c>
      <c r="H15" s="572">
        <v>1</v>
      </c>
      <c r="I15" s="404">
        <f t="shared" si="1"/>
        <v>5246.19</v>
      </c>
    </row>
    <row r="16" spans="1:14">
      <c r="A16" s="401"/>
      <c r="B16" s="402" t="s">
        <v>2547</v>
      </c>
      <c r="C16" s="401" t="s">
        <v>2551</v>
      </c>
      <c r="D16" s="375" t="s">
        <v>596</v>
      </c>
      <c r="E16" s="216">
        <f>17479.6</f>
        <v>17479.599999999999</v>
      </c>
      <c r="F16" s="572">
        <v>1</v>
      </c>
      <c r="G16" s="403">
        <f t="shared" si="0"/>
        <v>17479.599999999999</v>
      </c>
      <c r="H16" s="572">
        <v>1</v>
      </c>
      <c r="I16" s="404">
        <f t="shared" si="1"/>
        <v>17479.599999999999</v>
      </c>
    </row>
    <row r="17" spans="1:9">
      <c r="A17" s="401"/>
      <c r="B17" s="402" t="s">
        <v>2547</v>
      </c>
      <c r="C17" s="401" t="s">
        <v>2552</v>
      </c>
      <c r="D17" s="375" t="s">
        <v>600</v>
      </c>
      <c r="E17" s="216">
        <f>122582.16</f>
        <v>122582.16</v>
      </c>
      <c r="F17" s="572">
        <v>1</v>
      </c>
      <c r="G17" s="403">
        <f t="shared" si="0"/>
        <v>122582.16</v>
      </c>
      <c r="H17" s="572">
        <v>1</v>
      </c>
      <c r="I17" s="404">
        <f t="shared" si="1"/>
        <v>122582.16</v>
      </c>
    </row>
    <row r="18" spans="1:9">
      <c r="A18" s="401"/>
      <c r="B18" s="402" t="s">
        <v>2547</v>
      </c>
      <c r="C18" s="401" t="s">
        <v>2552</v>
      </c>
      <c r="D18" s="375"/>
      <c r="E18" s="216">
        <f>12407.04</f>
        <v>12407.04</v>
      </c>
      <c r="F18" s="572">
        <v>1</v>
      </c>
      <c r="G18" s="403">
        <f t="shared" si="0"/>
        <v>12407.04</v>
      </c>
      <c r="H18" s="572">
        <v>1</v>
      </c>
      <c r="I18" s="404">
        <f t="shared" si="1"/>
        <v>12407.04</v>
      </c>
    </row>
    <row r="19" spans="1:9">
      <c r="A19" s="401"/>
      <c r="B19" s="402" t="s">
        <v>2547</v>
      </c>
      <c r="C19" s="401" t="s">
        <v>2553</v>
      </c>
      <c r="D19" s="375" t="s">
        <v>590</v>
      </c>
      <c r="E19" s="216">
        <f>20216.81</f>
        <v>20216.810000000001</v>
      </c>
      <c r="F19" s="572">
        <v>1</v>
      </c>
      <c r="G19" s="403">
        <f t="shared" si="0"/>
        <v>20216.810000000001</v>
      </c>
      <c r="H19" s="572">
        <v>1</v>
      </c>
      <c r="I19" s="404">
        <f t="shared" si="1"/>
        <v>20216.810000000001</v>
      </c>
    </row>
    <row r="20" spans="1:9">
      <c r="A20" s="401"/>
      <c r="B20" s="402" t="s">
        <v>2547</v>
      </c>
      <c r="C20" s="401" t="s">
        <v>2548</v>
      </c>
      <c r="D20" s="375" t="s">
        <v>603</v>
      </c>
      <c r="E20" s="216">
        <f>54137.52</f>
        <v>54137.52</v>
      </c>
      <c r="F20" s="572">
        <v>1</v>
      </c>
      <c r="G20" s="403">
        <f t="shared" si="0"/>
        <v>54137.52</v>
      </c>
      <c r="H20" s="572">
        <v>1</v>
      </c>
      <c r="I20" s="404">
        <f t="shared" si="1"/>
        <v>54137.52</v>
      </c>
    </row>
    <row r="21" spans="1:9">
      <c r="A21" s="401"/>
      <c r="B21" s="402" t="s">
        <v>2547</v>
      </c>
      <c r="C21" s="401" t="s">
        <v>2554</v>
      </c>
      <c r="D21" s="375" t="s">
        <v>605</v>
      </c>
      <c r="E21" s="216">
        <f>531049.1</f>
        <v>531049.1</v>
      </c>
      <c r="F21" s="572">
        <v>1</v>
      </c>
      <c r="G21" s="403">
        <f t="shared" si="0"/>
        <v>531049.1</v>
      </c>
      <c r="H21" s="572">
        <v>1</v>
      </c>
      <c r="I21" s="404">
        <f t="shared" si="1"/>
        <v>531049.1</v>
      </c>
    </row>
    <row r="22" spans="1:9">
      <c r="A22" s="401"/>
      <c r="B22" s="402" t="s">
        <v>2547</v>
      </c>
      <c r="C22" s="401" t="s">
        <v>2554</v>
      </c>
      <c r="D22" s="375" t="s">
        <v>607</v>
      </c>
      <c r="E22" s="216">
        <f>90309.47</f>
        <v>90309.47</v>
      </c>
      <c r="F22" s="572">
        <v>1</v>
      </c>
      <c r="G22" s="403">
        <f t="shared" si="0"/>
        <v>90309.47</v>
      </c>
      <c r="H22" s="572">
        <v>1</v>
      </c>
      <c r="I22" s="404">
        <f t="shared" si="1"/>
        <v>90309.47</v>
      </c>
    </row>
    <row r="23" spans="1:9">
      <c r="A23" s="401"/>
      <c r="B23" s="402" t="s">
        <v>2547</v>
      </c>
      <c r="C23" s="401" t="s">
        <v>2555</v>
      </c>
      <c r="D23" s="375" t="s">
        <v>609</v>
      </c>
      <c r="E23" s="216">
        <f>54257.11</f>
        <v>54257.11</v>
      </c>
      <c r="F23" s="572">
        <v>1</v>
      </c>
      <c r="G23" s="403">
        <f t="shared" si="0"/>
        <v>54257.11</v>
      </c>
      <c r="H23" s="572">
        <v>1</v>
      </c>
      <c r="I23" s="404">
        <f t="shared" si="1"/>
        <v>54257.11</v>
      </c>
    </row>
    <row r="24" spans="1:9">
      <c r="A24" s="401"/>
      <c r="B24" s="402" t="s">
        <v>2547</v>
      </c>
      <c r="C24" s="401" t="s">
        <v>2555</v>
      </c>
      <c r="D24" s="375" t="s">
        <v>2556</v>
      </c>
      <c r="E24" s="216">
        <f>475745.99</f>
        <v>475745.99</v>
      </c>
      <c r="F24" s="572">
        <v>1</v>
      </c>
      <c r="G24" s="403">
        <f t="shared" si="0"/>
        <v>475745.99</v>
      </c>
      <c r="H24" s="572">
        <v>1</v>
      </c>
      <c r="I24" s="404">
        <f t="shared" si="1"/>
        <v>475745.99</v>
      </c>
    </row>
    <row r="25" spans="1:9">
      <c r="A25" s="401"/>
      <c r="B25" s="402" t="s">
        <v>2547</v>
      </c>
      <c r="C25" s="401" t="s">
        <v>2557</v>
      </c>
      <c r="D25" s="375" t="s">
        <v>2558</v>
      </c>
      <c r="E25" s="216">
        <f>95962.39</f>
        <v>95962.39</v>
      </c>
      <c r="F25" s="572">
        <v>1</v>
      </c>
      <c r="G25" s="403">
        <f t="shared" si="0"/>
        <v>95962.39</v>
      </c>
      <c r="H25" s="572">
        <v>1</v>
      </c>
      <c r="I25" s="404">
        <f t="shared" si="1"/>
        <v>95962.39</v>
      </c>
    </row>
    <row r="26" spans="1:9">
      <c r="A26" s="401"/>
      <c r="B26" s="402" t="s">
        <v>2547</v>
      </c>
      <c r="C26" s="401" t="s">
        <v>2553</v>
      </c>
      <c r="D26" s="375" t="s">
        <v>2218</v>
      </c>
      <c r="E26" s="216">
        <f>12679.49</f>
        <v>12679.49</v>
      </c>
      <c r="F26" s="572">
        <v>1</v>
      </c>
      <c r="G26" s="403">
        <f t="shared" si="0"/>
        <v>12679.49</v>
      </c>
      <c r="H26" s="572">
        <v>1</v>
      </c>
      <c r="I26" s="404">
        <f t="shared" si="1"/>
        <v>12679.49</v>
      </c>
    </row>
    <row r="27" spans="1:9">
      <c r="A27" s="401"/>
      <c r="B27" s="402" t="s">
        <v>2547</v>
      </c>
      <c r="C27" s="401" t="s">
        <v>2553</v>
      </c>
      <c r="D27" s="375" t="s">
        <v>2559</v>
      </c>
      <c r="E27" s="216">
        <f>1022154.12</f>
        <v>1022154.12</v>
      </c>
      <c r="F27" s="572">
        <v>1</v>
      </c>
      <c r="G27" s="403">
        <f t="shared" si="0"/>
        <v>1022154.12</v>
      </c>
      <c r="H27" s="572">
        <v>1</v>
      </c>
      <c r="I27" s="404">
        <f t="shared" si="1"/>
        <v>1022154.12</v>
      </c>
    </row>
    <row r="28" spans="1:9">
      <c r="A28" s="401"/>
      <c r="B28" s="402" t="s">
        <v>2547</v>
      </c>
      <c r="C28" s="401" t="s">
        <v>2560</v>
      </c>
      <c r="D28" s="375" t="s">
        <v>2552</v>
      </c>
      <c r="E28" s="216">
        <f>122476.25</f>
        <v>122476.25</v>
      </c>
      <c r="F28" s="572">
        <v>1</v>
      </c>
      <c r="G28" s="403">
        <f t="shared" si="0"/>
        <v>122476.25</v>
      </c>
      <c r="H28" s="572">
        <v>1</v>
      </c>
      <c r="I28" s="404">
        <f t="shared" si="1"/>
        <v>122476.25</v>
      </c>
    </row>
    <row r="29" spans="1:9">
      <c r="A29" s="401"/>
      <c r="B29" s="402" t="s">
        <v>2547</v>
      </c>
      <c r="C29" s="401" t="s">
        <v>2560</v>
      </c>
      <c r="D29" s="375" t="s">
        <v>2561</v>
      </c>
      <c r="E29" s="216">
        <f>733679.47</f>
        <v>733679.47</v>
      </c>
      <c r="F29" s="572">
        <v>1</v>
      </c>
      <c r="G29" s="403">
        <f t="shared" si="0"/>
        <v>733679.47</v>
      </c>
      <c r="H29" s="572">
        <v>1</v>
      </c>
      <c r="I29" s="404">
        <f t="shared" si="1"/>
        <v>733679.47</v>
      </c>
    </row>
    <row r="30" spans="1:9">
      <c r="A30" s="401"/>
      <c r="B30" s="402" t="s">
        <v>2547</v>
      </c>
      <c r="C30" s="401" t="s">
        <v>2560</v>
      </c>
      <c r="D30" s="375" t="s">
        <v>2562</v>
      </c>
      <c r="E30" s="216">
        <f>35291.83</f>
        <v>35291.83</v>
      </c>
      <c r="F30" s="572">
        <v>1</v>
      </c>
      <c r="G30" s="403">
        <f t="shared" si="0"/>
        <v>35291.83</v>
      </c>
      <c r="H30" s="572">
        <v>1</v>
      </c>
      <c r="I30" s="404">
        <f t="shared" si="1"/>
        <v>35291.83</v>
      </c>
    </row>
    <row r="31" spans="1:9">
      <c r="A31" s="401"/>
      <c r="B31" s="402" t="s">
        <v>2547</v>
      </c>
      <c r="C31" s="401" t="s">
        <v>2560</v>
      </c>
      <c r="D31" s="375"/>
      <c r="E31" s="216">
        <f>13959.4</f>
        <v>13959.4</v>
      </c>
      <c r="F31" s="572">
        <v>1</v>
      </c>
      <c r="G31" s="403">
        <f t="shared" si="0"/>
        <v>13959.4</v>
      </c>
      <c r="H31" s="572">
        <v>1</v>
      </c>
      <c r="I31" s="404">
        <f t="shared" si="1"/>
        <v>13959.4</v>
      </c>
    </row>
    <row r="32" spans="1:9">
      <c r="A32" s="401"/>
      <c r="B32" s="402" t="s">
        <v>2547</v>
      </c>
      <c r="C32" s="401" t="s">
        <v>2563</v>
      </c>
      <c r="D32" s="375" t="s">
        <v>2564</v>
      </c>
      <c r="E32" s="216">
        <f>53112.38</f>
        <v>53112.38</v>
      </c>
      <c r="F32" s="572">
        <v>1</v>
      </c>
      <c r="G32" s="403">
        <f t="shared" si="0"/>
        <v>53112.38</v>
      </c>
      <c r="H32" s="572">
        <v>1</v>
      </c>
      <c r="I32" s="404">
        <f t="shared" si="1"/>
        <v>53112.38</v>
      </c>
    </row>
    <row r="33" spans="1:9">
      <c r="A33" s="401"/>
      <c r="B33" s="402" t="s">
        <v>2547</v>
      </c>
      <c r="C33" s="401" t="s">
        <v>2565</v>
      </c>
      <c r="D33" s="375" t="s">
        <v>2566</v>
      </c>
      <c r="E33" s="216">
        <f>184306.99</f>
        <v>184306.99</v>
      </c>
      <c r="F33" s="572">
        <v>1</v>
      </c>
      <c r="G33" s="403">
        <f t="shared" si="0"/>
        <v>184306.99</v>
      </c>
      <c r="H33" s="572">
        <v>1</v>
      </c>
      <c r="I33" s="404">
        <f t="shared" si="1"/>
        <v>184306.99</v>
      </c>
    </row>
    <row r="34" spans="1:9">
      <c r="A34" s="401"/>
      <c r="B34" s="402" t="s">
        <v>2547</v>
      </c>
      <c r="C34" s="401" t="s">
        <v>2565</v>
      </c>
      <c r="D34" s="375" t="s">
        <v>2567</v>
      </c>
      <c r="E34" s="216">
        <f>97180.43</f>
        <v>97180.43</v>
      </c>
      <c r="F34" s="572">
        <v>1</v>
      </c>
      <c r="G34" s="403">
        <f t="shared" si="0"/>
        <v>97180.43</v>
      </c>
      <c r="H34" s="572">
        <v>1</v>
      </c>
      <c r="I34" s="404">
        <f t="shared" si="1"/>
        <v>97180.43</v>
      </c>
    </row>
    <row r="35" spans="1:9">
      <c r="A35" s="401"/>
      <c r="B35" s="402" t="s">
        <v>2547</v>
      </c>
      <c r="C35" s="401" t="s">
        <v>2565</v>
      </c>
      <c r="D35" s="375" t="s">
        <v>2568</v>
      </c>
      <c r="E35" s="216">
        <f>28884.55</f>
        <v>28884.55</v>
      </c>
      <c r="F35" s="572">
        <v>1</v>
      </c>
      <c r="G35" s="403">
        <f t="shared" si="0"/>
        <v>28884.55</v>
      </c>
      <c r="H35" s="572">
        <v>1</v>
      </c>
      <c r="I35" s="404">
        <f t="shared" si="1"/>
        <v>28884.55</v>
      </c>
    </row>
    <row r="36" spans="1:9">
      <c r="A36" s="401"/>
      <c r="B36" s="402" t="s">
        <v>2547</v>
      </c>
      <c r="C36" s="401" t="s">
        <v>2565</v>
      </c>
      <c r="D36" s="375" t="s">
        <v>2569</v>
      </c>
      <c r="E36" s="216">
        <f>41065.94</f>
        <v>41065.94</v>
      </c>
      <c r="F36" s="572">
        <v>1</v>
      </c>
      <c r="G36" s="403">
        <f t="shared" si="0"/>
        <v>41065.94</v>
      </c>
      <c r="H36" s="572">
        <v>1</v>
      </c>
      <c r="I36" s="404">
        <f t="shared" si="1"/>
        <v>41065.94</v>
      </c>
    </row>
    <row r="37" spans="1:9">
      <c r="A37" s="401"/>
      <c r="B37" s="402" t="s">
        <v>2547</v>
      </c>
      <c r="C37" s="401" t="s">
        <v>2554</v>
      </c>
      <c r="D37" s="375" t="s">
        <v>603</v>
      </c>
      <c r="E37" s="216">
        <f>1320912.96</f>
        <v>1320912.96</v>
      </c>
      <c r="F37" s="572">
        <v>1</v>
      </c>
      <c r="G37" s="403">
        <f t="shared" si="0"/>
        <v>1320912.96</v>
      </c>
      <c r="H37" s="572">
        <v>1</v>
      </c>
      <c r="I37" s="404">
        <f t="shared" si="1"/>
        <v>1320912.96</v>
      </c>
    </row>
    <row r="38" spans="1:9">
      <c r="A38" s="401"/>
      <c r="B38" s="402" t="s">
        <v>2547</v>
      </c>
      <c r="C38" s="401" t="s">
        <v>588</v>
      </c>
      <c r="D38" s="375" t="s">
        <v>588</v>
      </c>
      <c r="E38" s="216">
        <f>454812.77</f>
        <v>454812.77</v>
      </c>
      <c r="F38" s="572">
        <v>1</v>
      </c>
      <c r="G38" s="403">
        <f t="shared" si="0"/>
        <v>454812.77</v>
      </c>
      <c r="H38" s="572">
        <v>1</v>
      </c>
      <c r="I38" s="404">
        <f t="shared" si="1"/>
        <v>454812.77</v>
      </c>
    </row>
    <row r="39" spans="1:9">
      <c r="A39" s="401"/>
      <c r="B39" s="402" t="s">
        <v>2547</v>
      </c>
      <c r="C39" s="401" t="s">
        <v>2564</v>
      </c>
      <c r="D39" s="375" t="s">
        <v>2564</v>
      </c>
      <c r="E39" s="216">
        <f>40641.57</f>
        <v>40641.57</v>
      </c>
      <c r="F39" s="572">
        <v>1</v>
      </c>
      <c r="G39" s="403">
        <f t="shared" si="0"/>
        <v>40641.57</v>
      </c>
      <c r="H39" s="572">
        <v>1</v>
      </c>
      <c r="I39" s="404">
        <f t="shared" si="1"/>
        <v>40641.57</v>
      </c>
    </row>
    <row r="40" spans="1:9">
      <c r="A40" s="401"/>
      <c r="B40" s="402" t="s">
        <v>2547</v>
      </c>
      <c r="C40" s="401" t="s">
        <v>588</v>
      </c>
      <c r="D40" s="375" t="s">
        <v>588</v>
      </c>
      <c r="E40" s="216">
        <f>577.47</f>
        <v>577.47</v>
      </c>
      <c r="F40" s="572">
        <v>1</v>
      </c>
      <c r="G40" s="403">
        <f t="shared" si="0"/>
        <v>577.47</v>
      </c>
      <c r="H40" s="572">
        <v>1</v>
      </c>
      <c r="I40" s="404">
        <f t="shared" si="1"/>
        <v>577.47</v>
      </c>
    </row>
    <row r="41" spans="1:9" ht="13.5" thickBot="1">
      <c r="A41" s="401"/>
      <c r="B41" s="402"/>
      <c r="C41" s="405" t="s">
        <v>396</v>
      </c>
      <c r="D41" s="406"/>
      <c r="E41" s="407">
        <f>SUM(E10:E40)</f>
        <v>6006058.1099999985</v>
      </c>
      <c r="F41" s="408"/>
      <c r="G41" s="409">
        <f>SUM(G10:G40)</f>
        <v>6006058.1099999985</v>
      </c>
      <c r="H41" s="408"/>
      <c r="I41" s="410">
        <f>SUM(I10:I40)</f>
        <v>6006058.1099999985</v>
      </c>
    </row>
    <row r="42" spans="1:9" ht="13.5" thickTop="1">
      <c r="A42" s="401"/>
      <c r="B42" s="402" t="s">
        <v>1177</v>
      </c>
      <c r="C42" s="696" t="s">
        <v>2570</v>
      </c>
      <c r="D42" s="375" t="s">
        <v>2570</v>
      </c>
      <c r="E42" s="216">
        <v>146013.4</v>
      </c>
      <c r="F42" s="697">
        <v>0.65300000000000002</v>
      </c>
      <c r="G42" s="403">
        <f t="shared" ref="G42:G46" si="2">F42*E42</f>
        <v>95346.750199999995</v>
      </c>
      <c r="H42" s="572">
        <v>0.82</v>
      </c>
      <c r="I42" s="404">
        <f t="shared" ref="I42:I46" si="3">E42*H42</f>
        <v>119730.98799999998</v>
      </c>
    </row>
    <row r="43" spans="1:9">
      <c r="A43" s="401"/>
      <c r="B43" s="402" t="s">
        <v>1177</v>
      </c>
      <c r="C43" s="696" t="s">
        <v>588</v>
      </c>
      <c r="D43" s="375" t="s">
        <v>588</v>
      </c>
      <c r="E43" s="216">
        <v>10941.32</v>
      </c>
      <c r="F43" s="697">
        <v>0.65300000000000002</v>
      </c>
      <c r="G43" s="403">
        <f t="shared" si="2"/>
        <v>7144.6819599999999</v>
      </c>
      <c r="H43" s="572">
        <v>0.82</v>
      </c>
      <c r="I43" s="404">
        <f t="shared" si="3"/>
        <v>8971.8823999999986</v>
      </c>
    </row>
    <row r="44" spans="1:9">
      <c r="A44" s="401"/>
      <c r="B44" s="402" t="s">
        <v>1177</v>
      </c>
      <c r="C44" s="696" t="s">
        <v>605</v>
      </c>
      <c r="D44" s="375" t="s">
        <v>605</v>
      </c>
      <c r="E44" s="216">
        <v>676146.99</v>
      </c>
      <c r="F44" s="697">
        <v>0.65300000000000002</v>
      </c>
      <c r="G44" s="403">
        <f t="shared" si="2"/>
        <v>441523.98447000002</v>
      </c>
      <c r="H44" s="572">
        <v>0.82</v>
      </c>
      <c r="I44" s="404">
        <f t="shared" si="3"/>
        <v>554440.5318</v>
      </c>
    </row>
    <row r="45" spans="1:9">
      <c r="A45" s="401"/>
      <c r="B45" s="402" t="s">
        <v>1177</v>
      </c>
      <c r="C45" s="696" t="s">
        <v>2571</v>
      </c>
      <c r="D45" s="375" t="s">
        <v>2571</v>
      </c>
      <c r="E45" s="216">
        <v>67520.789999999994</v>
      </c>
      <c r="F45" s="697">
        <v>0.65300000000000002</v>
      </c>
      <c r="G45" s="403">
        <f t="shared" si="2"/>
        <v>44091.075870000001</v>
      </c>
      <c r="H45" s="572">
        <v>0.82</v>
      </c>
      <c r="I45" s="404">
        <f t="shared" si="3"/>
        <v>55367.047799999993</v>
      </c>
    </row>
    <row r="46" spans="1:9">
      <c r="A46" s="401"/>
      <c r="B46" s="402" t="s">
        <v>1177</v>
      </c>
      <c r="C46" s="696" t="s">
        <v>2572</v>
      </c>
      <c r="D46" s="375" t="s">
        <v>2572</v>
      </c>
      <c r="E46" s="216">
        <v>573531.89</v>
      </c>
      <c r="F46" s="697">
        <v>0.65300000000000002</v>
      </c>
      <c r="G46" s="403">
        <f t="shared" si="2"/>
        <v>374516.32417000004</v>
      </c>
      <c r="H46" s="572">
        <v>0.82</v>
      </c>
      <c r="I46" s="404">
        <f t="shared" si="3"/>
        <v>470296.14979999996</v>
      </c>
    </row>
    <row r="47" spans="1:9" ht="13.5" thickBot="1">
      <c r="A47" s="401"/>
      <c r="B47" s="402"/>
      <c r="C47" s="405" t="s">
        <v>396</v>
      </c>
      <c r="D47" s="406"/>
      <c r="E47" s="407">
        <f>SUM(E42:E46)</f>
        <v>1474154.3900000001</v>
      </c>
      <c r="F47" s="408"/>
      <c r="G47" s="409">
        <f>SUM(G42:G46)</f>
        <v>962622.81666999997</v>
      </c>
      <c r="H47" s="408"/>
      <c r="I47" s="410">
        <f>SUM(I42:I46)</f>
        <v>1208806.5998</v>
      </c>
    </row>
    <row r="48" spans="1:9" ht="13.5" thickTop="1">
      <c r="A48" s="401"/>
      <c r="B48" s="402" t="s">
        <v>1177</v>
      </c>
      <c r="C48" s="401" t="s">
        <v>2566</v>
      </c>
      <c r="D48" s="375" t="s">
        <v>2564</v>
      </c>
      <c r="E48" s="216">
        <v>54316.73</v>
      </c>
      <c r="F48" s="572">
        <v>1</v>
      </c>
      <c r="G48" s="403">
        <f>F48*E48</f>
        <v>54316.73</v>
      </c>
      <c r="H48" s="572">
        <v>1</v>
      </c>
      <c r="I48" s="404">
        <f>E48*H48</f>
        <v>54316.73</v>
      </c>
    </row>
    <row r="49" spans="1:9">
      <c r="A49" s="401"/>
      <c r="B49" s="402" t="s">
        <v>1177</v>
      </c>
      <c r="C49" s="401" t="s">
        <v>588</v>
      </c>
      <c r="D49" s="375" t="s">
        <v>588</v>
      </c>
      <c r="E49" s="216">
        <v>20639.32</v>
      </c>
      <c r="F49" s="572">
        <v>1</v>
      </c>
      <c r="G49" s="403">
        <f>F49*E49</f>
        <v>20639.32</v>
      </c>
      <c r="H49" s="572">
        <v>1</v>
      </c>
      <c r="I49" s="404">
        <f>E49*H49</f>
        <v>20639.32</v>
      </c>
    </row>
    <row r="50" spans="1:9" ht="13.5" thickBot="1">
      <c r="A50" s="401"/>
      <c r="B50" s="402"/>
      <c r="C50" s="411" t="s">
        <v>396</v>
      </c>
      <c r="D50" s="412"/>
      <c r="E50" s="413">
        <f>SUM(E48:E49)</f>
        <v>74956.05</v>
      </c>
      <c r="F50" s="414"/>
      <c r="G50" s="415">
        <f>SUM(G48:G49)</f>
        <v>74956.05</v>
      </c>
      <c r="H50" s="412"/>
      <c r="I50" s="416">
        <f>SUM(I48:I49)</f>
        <v>74956.05</v>
      </c>
    </row>
    <row r="51" spans="1:9">
      <c r="A51" s="401"/>
      <c r="B51" s="402" t="s">
        <v>1179</v>
      </c>
      <c r="C51" s="417" t="s">
        <v>2573</v>
      </c>
      <c r="D51" s="387" t="s">
        <v>2574</v>
      </c>
      <c r="E51" s="388">
        <f>134174.04</f>
        <v>134174.04</v>
      </c>
      <c r="F51" s="745">
        <v>1</v>
      </c>
      <c r="G51" s="418">
        <f>E51*F51</f>
        <v>134174.04</v>
      </c>
      <c r="H51" s="745">
        <v>1</v>
      </c>
      <c r="I51" s="419">
        <f>E51*H51</f>
        <v>134174.04</v>
      </c>
    </row>
    <row r="52" spans="1:9">
      <c r="A52" s="239"/>
      <c r="B52" s="402" t="s">
        <v>1179</v>
      </c>
      <c r="C52" s="420" t="s">
        <v>2575</v>
      </c>
      <c r="D52" s="375" t="s">
        <v>2567</v>
      </c>
      <c r="E52" s="216">
        <f>59005.31</f>
        <v>59005.31</v>
      </c>
      <c r="F52" s="572">
        <v>1</v>
      </c>
      <c r="G52" s="403">
        <f t="shared" ref="G52:G99" si="4">E52*F52</f>
        <v>59005.31</v>
      </c>
      <c r="H52" s="572">
        <v>1</v>
      </c>
      <c r="I52" s="404">
        <f t="shared" ref="I52:I99" si="5">E52*H52</f>
        <v>59005.31</v>
      </c>
    </row>
    <row r="53" spans="1:9">
      <c r="A53" s="239"/>
      <c r="B53" s="402" t="s">
        <v>1179</v>
      </c>
      <c r="C53" s="420" t="s">
        <v>2576</v>
      </c>
      <c r="D53" s="375" t="s">
        <v>2218</v>
      </c>
      <c r="E53" s="216">
        <f>119667.35</f>
        <v>119667.35</v>
      </c>
      <c r="F53" s="572">
        <v>1</v>
      </c>
      <c r="G53" s="403">
        <f t="shared" si="4"/>
        <v>119667.35</v>
      </c>
      <c r="H53" s="572">
        <v>1</v>
      </c>
      <c r="I53" s="404">
        <f t="shared" si="5"/>
        <v>119667.35</v>
      </c>
    </row>
    <row r="54" spans="1:9">
      <c r="A54" s="239"/>
      <c r="B54" s="402" t="s">
        <v>1179</v>
      </c>
      <c r="C54" s="420" t="s">
        <v>2577</v>
      </c>
      <c r="D54" s="375" t="s">
        <v>2578</v>
      </c>
      <c r="E54" s="216">
        <f>19292.2</f>
        <v>19292.2</v>
      </c>
      <c r="F54" s="572">
        <v>1</v>
      </c>
      <c r="G54" s="403">
        <f t="shared" si="4"/>
        <v>19292.2</v>
      </c>
      <c r="H54" s="572">
        <v>1</v>
      </c>
      <c r="I54" s="404">
        <f t="shared" si="5"/>
        <v>19292.2</v>
      </c>
    </row>
    <row r="55" spans="1:9">
      <c r="A55" s="239"/>
      <c r="B55" s="402" t="s">
        <v>1179</v>
      </c>
      <c r="C55" s="420" t="s">
        <v>2565</v>
      </c>
      <c r="D55" s="375" t="s">
        <v>2566</v>
      </c>
      <c r="E55" s="216">
        <f>53164.52</f>
        <v>53164.52</v>
      </c>
      <c r="F55" s="572">
        <v>1</v>
      </c>
      <c r="G55" s="403">
        <f t="shared" si="4"/>
        <v>53164.52</v>
      </c>
      <c r="H55" s="572">
        <v>1</v>
      </c>
      <c r="I55" s="404">
        <f t="shared" si="5"/>
        <v>53164.52</v>
      </c>
    </row>
    <row r="56" spans="1:9">
      <c r="A56" s="239"/>
      <c r="B56" s="402" t="s">
        <v>1179</v>
      </c>
      <c r="C56" s="420" t="s">
        <v>2565</v>
      </c>
      <c r="D56" s="375" t="s">
        <v>2567</v>
      </c>
      <c r="E56" s="216">
        <f>307465.42</f>
        <v>307465.42</v>
      </c>
      <c r="F56" s="572">
        <v>1</v>
      </c>
      <c r="G56" s="403">
        <f t="shared" si="4"/>
        <v>307465.42</v>
      </c>
      <c r="H56" s="572">
        <v>1</v>
      </c>
      <c r="I56" s="404">
        <f t="shared" si="5"/>
        <v>307465.42</v>
      </c>
    </row>
    <row r="57" spans="1:9">
      <c r="A57" s="239"/>
      <c r="B57" s="402" t="s">
        <v>1179</v>
      </c>
      <c r="C57" s="420" t="s">
        <v>2565</v>
      </c>
      <c r="D57" s="375" t="s">
        <v>2574</v>
      </c>
      <c r="E57" s="216">
        <f>12819.56</f>
        <v>12819.56</v>
      </c>
      <c r="F57" s="572">
        <v>1</v>
      </c>
      <c r="G57" s="403">
        <f t="shared" si="4"/>
        <v>12819.56</v>
      </c>
      <c r="H57" s="572">
        <v>1</v>
      </c>
      <c r="I57" s="404">
        <f t="shared" si="5"/>
        <v>12819.56</v>
      </c>
    </row>
    <row r="58" spans="1:9">
      <c r="A58" s="239"/>
      <c r="B58" s="402" t="s">
        <v>1179</v>
      </c>
      <c r="C58" s="420" t="s">
        <v>2565</v>
      </c>
      <c r="D58" s="375" t="s">
        <v>2569</v>
      </c>
      <c r="E58" s="216">
        <f>415983</f>
        <v>415983</v>
      </c>
      <c r="F58" s="572">
        <v>1</v>
      </c>
      <c r="G58" s="403">
        <f t="shared" si="4"/>
        <v>415983</v>
      </c>
      <c r="H58" s="572">
        <v>1</v>
      </c>
      <c r="I58" s="404">
        <f t="shared" si="5"/>
        <v>415983</v>
      </c>
    </row>
    <row r="59" spans="1:9">
      <c r="A59" s="239"/>
      <c r="B59" s="402" t="s">
        <v>1179</v>
      </c>
      <c r="C59" s="420" t="s">
        <v>588</v>
      </c>
      <c r="D59" s="375" t="s">
        <v>588</v>
      </c>
      <c r="E59" s="216">
        <f>150136.1</f>
        <v>150136.1</v>
      </c>
      <c r="F59" s="572">
        <v>1</v>
      </c>
      <c r="G59" s="403">
        <f t="shared" si="4"/>
        <v>150136.1</v>
      </c>
      <c r="H59" s="572">
        <v>1</v>
      </c>
      <c r="I59" s="404">
        <f t="shared" si="5"/>
        <v>150136.1</v>
      </c>
    </row>
    <row r="60" spans="1:9">
      <c r="A60" s="239"/>
      <c r="B60" s="402" t="s">
        <v>1179</v>
      </c>
      <c r="C60" s="420" t="s">
        <v>588</v>
      </c>
      <c r="D60" s="375" t="s">
        <v>588</v>
      </c>
      <c r="E60" s="216">
        <f>2533.43</f>
        <v>2533.4299999999998</v>
      </c>
      <c r="F60" s="572">
        <v>1</v>
      </c>
      <c r="G60" s="403">
        <f t="shared" si="4"/>
        <v>2533.4299999999998</v>
      </c>
      <c r="H60" s="572">
        <v>1</v>
      </c>
      <c r="I60" s="404">
        <f t="shared" si="5"/>
        <v>2533.4299999999998</v>
      </c>
    </row>
    <row r="61" spans="1:9">
      <c r="A61" s="239"/>
      <c r="B61" s="402" t="s">
        <v>1179</v>
      </c>
      <c r="C61" s="420" t="s">
        <v>2563</v>
      </c>
      <c r="D61" s="375" t="s">
        <v>2579</v>
      </c>
      <c r="E61" s="216">
        <f>31657.69</f>
        <v>31657.69</v>
      </c>
      <c r="F61" s="572">
        <v>1</v>
      </c>
      <c r="G61" s="403">
        <f t="shared" si="4"/>
        <v>31657.69</v>
      </c>
      <c r="H61" s="572">
        <v>1</v>
      </c>
      <c r="I61" s="404">
        <f t="shared" si="5"/>
        <v>31657.69</v>
      </c>
    </row>
    <row r="62" spans="1:9">
      <c r="A62" s="239"/>
      <c r="B62" s="402" t="s">
        <v>1179</v>
      </c>
      <c r="C62" s="420" t="s">
        <v>2560</v>
      </c>
      <c r="D62" s="375" t="s">
        <v>2552</v>
      </c>
      <c r="E62" s="216">
        <f>85009.25</f>
        <v>85009.25</v>
      </c>
      <c r="F62" s="572">
        <v>1</v>
      </c>
      <c r="G62" s="403">
        <f t="shared" si="4"/>
        <v>85009.25</v>
      </c>
      <c r="H62" s="572">
        <v>1</v>
      </c>
      <c r="I62" s="404">
        <f t="shared" si="5"/>
        <v>85009.25</v>
      </c>
    </row>
    <row r="63" spans="1:9">
      <c r="A63" s="239"/>
      <c r="B63" s="402" t="s">
        <v>1179</v>
      </c>
      <c r="C63" s="420" t="s">
        <v>2566</v>
      </c>
      <c r="D63" s="375" t="s">
        <v>2567</v>
      </c>
      <c r="E63" s="216">
        <f>108684.58</f>
        <v>108684.58</v>
      </c>
      <c r="F63" s="572">
        <v>1</v>
      </c>
      <c r="G63" s="403">
        <f t="shared" si="4"/>
        <v>108684.58</v>
      </c>
      <c r="H63" s="572">
        <v>1</v>
      </c>
      <c r="I63" s="404">
        <f t="shared" si="5"/>
        <v>108684.58</v>
      </c>
    </row>
    <row r="64" spans="1:9">
      <c r="A64" s="239"/>
      <c r="B64" s="402" t="s">
        <v>1179</v>
      </c>
      <c r="C64" s="420" t="s">
        <v>2566</v>
      </c>
      <c r="D64" s="375" t="s">
        <v>2569</v>
      </c>
      <c r="E64" s="216">
        <f>1933.73</f>
        <v>1933.73</v>
      </c>
      <c r="F64" s="572">
        <v>1</v>
      </c>
      <c r="G64" s="403">
        <f t="shared" si="4"/>
        <v>1933.73</v>
      </c>
      <c r="H64" s="572">
        <v>1</v>
      </c>
      <c r="I64" s="404">
        <f t="shared" si="5"/>
        <v>1933.73</v>
      </c>
    </row>
    <row r="65" spans="1:9">
      <c r="A65" s="239"/>
      <c r="B65" s="402" t="s">
        <v>1179</v>
      </c>
      <c r="C65" s="420" t="s">
        <v>2566</v>
      </c>
      <c r="D65" s="375" t="s">
        <v>2566</v>
      </c>
      <c r="E65" s="216">
        <f>38122.92</f>
        <v>38122.92</v>
      </c>
      <c r="F65" s="572">
        <v>1</v>
      </c>
      <c r="G65" s="403">
        <f t="shared" si="4"/>
        <v>38122.92</v>
      </c>
      <c r="H65" s="572">
        <v>1</v>
      </c>
      <c r="I65" s="404">
        <f t="shared" si="5"/>
        <v>38122.92</v>
      </c>
    </row>
    <row r="66" spans="1:9">
      <c r="A66" s="239"/>
      <c r="B66" s="402" t="s">
        <v>1179</v>
      </c>
      <c r="C66" s="420" t="s">
        <v>588</v>
      </c>
      <c r="D66" s="375" t="s">
        <v>588</v>
      </c>
      <c r="E66" s="216">
        <f>23485.53</f>
        <v>23485.53</v>
      </c>
      <c r="F66" s="572">
        <v>1</v>
      </c>
      <c r="G66" s="403">
        <f t="shared" si="4"/>
        <v>23485.53</v>
      </c>
      <c r="H66" s="572">
        <v>1</v>
      </c>
      <c r="I66" s="404">
        <f t="shared" si="5"/>
        <v>23485.53</v>
      </c>
    </row>
    <row r="67" spans="1:9">
      <c r="A67" s="239"/>
      <c r="B67" s="402" t="s">
        <v>1179</v>
      </c>
      <c r="C67" s="420" t="s">
        <v>2580</v>
      </c>
      <c r="D67" s="375" t="s">
        <v>2567</v>
      </c>
      <c r="E67" s="216">
        <f>25031.95</f>
        <v>25031.95</v>
      </c>
      <c r="F67" s="572">
        <v>1</v>
      </c>
      <c r="G67" s="403">
        <f t="shared" si="4"/>
        <v>25031.95</v>
      </c>
      <c r="H67" s="572">
        <v>1</v>
      </c>
      <c r="I67" s="404">
        <f t="shared" si="5"/>
        <v>25031.95</v>
      </c>
    </row>
    <row r="68" spans="1:9">
      <c r="A68" s="239"/>
      <c r="B68" s="402" t="s">
        <v>1179</v>
      </c>
      <c r="C68" s="420" t="s">
        <v>2581</v>
      </c>
      <c r="D68" s="375" t="s">
        <v>588</v>
      </c>
      <c r="E68" s="216">
        <f>513.75</f>
        <v>513.75</v>
      </c>
      <c r="F68" s="572">
        <v>1</v>
      </c>
      <c r="G68" s="403">
        <f t="shared" si="4"/>
        <v>513.75</v>
      </c>
      <c r="H68" s="572">
        <v>1</v>
      </c>
      <c r="I68" s="404">
        <f t="shared" si="5"/>
        <v>513.75</v>
      </c>
    </row>
    <row r="69" spans="1:9">
      <c r="A69" s="239"/>
      <c r="B69" s="402" t="s">
        <v>1179</v>
      </c>
      <c r="C69" s="420" t="s">
        <v>588</v>
      </c>
      <c r="D69" s="375" t="s">
        <v>588</v>
      </c>
      <c r="E69" s="216">
        <f>18649.85</f>
        <v>18649.849999999999</v>
      </c>
      <c r="F69" s="572">
        <v>1</v>
      </c>
      <c r="G69" s="403">
        <f t="shared" si="4"/>
        <v>18649.849999999999</v>
      </c>
      <c r="H69" s="572">
        <v>1</v>
      </c>
      <c r="I69" s="404">
        <f t="shared" si="5"/>
        <v>18649.849999999999</v>
      </c>
    </row>
    <row r="70" spans="1:9">
      <c r="A70" s="239"/>
      <c r="B70" s="402" t="s">
        <v>1179</v>
      </c>
      <c r="C70" s="420" t="s">
        <v>2582</v>
      </c>
      <c r="D70" s="375" t="s">
        <v>2574</v>
      </c>
      <c r="E70" s="216">
        <f>2849.9</f>
        <v>2849.9</v>
      </c>
      <c r="F70" s="572">
        <v>1</v>
      </c>
      <c r="G70" s="403">
        <f t="shared" si="4"/>
        <v>2849.9</v>
      </c>
      <c r="H70" s="572">
        <v>1</v>
      </c>
      <c r="I70" s="404">
        <f t="shared" si="5"/>
        <v>2849.9</v>
      </c>
    </row>
    <row r="71" spans="1:9">
      <c r="A71" s="239"/>
      <c r="B71" s="402" t="s">
        <v>1179</v>
      </c>
      <c r="C71" s="420" t="s">
        <v>2583</v>
      </c>
      <c r="D71" s="375" t="s">
        <v>2574</v>
      </c>
      <c r="E71" s="216">
        <f>6624.56</f>
        <v>6624.56</v>
      </c>
      <c r="F71" s="572">
        <v>1</v>
      </c>
      <c r="G71" s="403">
        <f t="shared" si="4"/>
        <v>6624.56</v>
      </c>
      <c r="H71" s="572">
        <v>1</v>
      </c>
      <c r="I71" s="404">
        <f t="shared" si="5"/>
        <v>6624.56</v>
      </c>
    </row>
    <row r="72" spans="1:9">
      <c r="A72" s="239"/>
      <c r="B72" s="402" t="s">
        <v>1179</v>
      </c>
      <c r="C72" s="420" t="s">
        <v>2584</v>
      </c>
      <c r="D72" s="375" t="s">
        <v>2585</v>
      </c>
      <c r="E72" s="216">
        <f>98002.74</f>
        <v>98002.74</v>
      </c>
      <c r="F72" s="572">
        <v>1</v>
      </c>
      <c r="G72" s="403">
        <f t="shared" si="4"/>
        <v>98002.74</v>
      </c>
      <c r="H72" s="572">
        <v>1</v>
      </c>
      <c r="I72" s="404">
        <f t="shared" si="5"/>
        <v>98002.74</v>
      </c>
    </row>
    <row r="73" spans="1:9">
      <c r="A73" s="239"/>
      <c r="B73" s="402" t="s">
        <v>1179</v>
      </c>
      <c r="C73" s="420" t="s">
        <v>588</v>
      </c>
      <c r="D73" s="375" t="s">
        <v>588</v>
      </c>
      <c r="E73" s="216">
        <f>3247.51</f>
        <v>3247.51</v>
      </c>
      <c r="F73" s="572">
        <v>1</v>
      </c>
      <c r="G73" s="403">
        <f t="shared" si="4"/>
        <v>3247.51</v>
      </c>
      <c r="H73" s="572">
        <v>1</v>
      </c>
      <c r="I73" s="404">
        <f t="shared" si="5"/>
        <v>3247.51</v>
      </c>
    </row>
    <row r="74" spans="1:9">
      <c r="A74" s="239"/>
      <c r="B74" s="402" t="s">
        <v>1179</v>
      </c>
      <c r="C74" s="420" t="s">
        <v>2560</v>
      </c>
      <c r="D74" s="375" t="s">
        <v>2552</v>
      </c>
      <c r="E74" s="216">
        <f>226333.26</f>
        <v>226333.26</v>
      </c>
      <c r="F74" s="572">
        <v>1</v>
      </c>
      <c r="G74" s="403">
        <f t="shared" si="4"/>
        <v>226333.26</v>
      </c>
      <c r="H74" s="572">
        <v>1</v>
      </c>
      <c r="I74" s="404">
        <f t="shared" si="5"/>
        <v>226333.26</v>
      </c>
    </row>
    <row r="75" spans="1:9">
      <c r="A75" s="239"/>
      <c r="B75" s="402" t="s">
        <v>1179</v>
      </c>
      <c r="C75" s="420" t="s">
        <v>588</v>
      </c>
      <c r="D75" s="375" t="s">
        <v>588</v>
      </c>
      <c r="E75" s="216">
        <f>13470.93</f>
        <v>13470.93</v>
      </c>
      <c r="F75" s="572">
        <v>1</v>
      </c>
      <c r="G75" s="403">
        <f t="shared" si="4"/>
        <v>13470.93</v>
      </c>
      <c r="H75" s="572">
        <v>1</v>
      </c>
      <c r="I75" s="404">
        <f t="shared" si="5"/>
        <v>13470.93</v>
      </c>
    </row>
    <row r="76" spans="1:9">
      <c r="A76" s="239"/>
      <c r="B76" s="402" t="s">
        <v>1179</v>
      </c>
      <c r="C76" s="420" t="s">
        <v>2586</v>
      </c>
      <c r="D76" s="375" t="s">
        <v>2579</v>
      </c>
      <c r="E76" s="216">
        <f>70114.66</f>
        <v>70114.66</v>
      </c>
      <c r="F76" s="572">
        <v>1</v>
      </c>
      <c r="G76" s="403">
        <f t="shared" si="4"/>
        <v>70114.66</v>
      </c>
      <c r="H76" s="572">
        <v>1</v>
      </c>
      <c r="I76" s="404">
        <f t="shared" si="5"/>
        <v>70114.66</v>
      </c>
    </row>
    <row r="77" spans="1:9">
      <c r="A77" s="239"/>
      <c r="B77" s="402" t="s">
        <v>1179</v>
      </c>
      <c r="C77" s="420" t="s">
        <v>2587</v>
      </c>
      <c r="D77" s="375" t="s">
        <v>588</v>
      </c>
      <c r="E77" s="216">
        <f>1421.38</f>
        <v>1421.38</v>
      </c>
      <c r="F77" s="572">
        <v>1</v>
      </c>
      <c r="G77" s="403">
        <f t="shared" si="4"/>
        <v>1421.38</v>
      </c>
      <c r="H77" s="572">
        <v>1</v>
      </c>
      <c r="I77" s="404">
        <f t="shared" si="5"/>
        <v>1421.38</v>
      </c>
    </row>
    <row r="78" spans="1:9">
      <c r="A78" s="239"/>
      <c r="B78" s="402" t="s">
        <v>1179</v>
      </c>
      <c r="C78" s="420" t="s">
        <v>2588</v>
      </c>
      <c r="D78" s="375" t="s">
        <v>2579</v>
      </c>
      <c r="E78" s="216">
        <f>61004.73</f>
        <v>61004.73</v>
      </c>
      <c r="F78" s="572">
        <v>1</v>
      </c>
      <c r="G78" s="403">
        <f t="shared" si="4"/>
        <v>61004.73</v>
      </c>
      <c r="H78" s="572">
        <v>1</v>
      </c>
      <c r="I78" s="404">
        <f t="shared" si="5"/>
        <v>61004.73</v>
      </c>
    </row>
    <row r="79" spans="1:9">
      <c r="A79" s="239"/>
      <c r="B79" s="402" t="s">
        <v>1179</v>
      </c>
      <c r="C79" s="420" t="s">
        <v>2589</v>
      </c>
      <c r="D79" s="375" t="s">
        <v>2218</v>
      </c>
      <c r="E79" s="216">
        <f>202050</f>
        <v>202050</v>
      </c>
      <c r="F79" s="572">
        <v>1</v>
      </c>
      <c r="G79" s="403">
        <f t="shared" si="4"/>
        <v>202050</v>
      </c>
      <c r="H79" s="572">
        <v>1</v>
      </c>
      <c r="I79" s="404">
        <f t="shared" si="5"/>
        <v>202050</v>
      </c>
    </row>
    <row r="80" spans="1:9">
      <c r="A80" s="239"/>
      <c r="B80" s="402" t="s">
        <v>1179</v>
      </c>
      <c r="C80" s="420" t="s">
        <v>588</v>
      </c>
      <c r="D80" s="375" t="s">
        <v>588</v>
      </c>
      <c r="E80" s="216">
        <f>6760.85</f>
        <v>6760.85</v>
      </c>
      <c r="F80" s="572">
        <v>1</v>
      </c>
      <c r="G80" s="403">
        <f t="shared" si="4"/>
        <v>6760.85</v>
      </c>
      <c r="H80" s="572">
        <v>1</v>
      </c>
      <c r="I80" s="404">
        <f t="shared" si="5"/>
        <v>6760.85</v>
      </c>
    </row>
    <row r="81" spans="1:9">
      <c r="A81" s="239"/>
      <c r="B81" s="402" t="s">
        <v>1179</v>
      </c>
      <c r="C81" s="420" t="s">
        <v>2218</v>
      </c>
      <c r="D81" s="375" t="s">
        <v>2559</v>
      </c>
      <c r="E81" s="216">
        <f>121027.36</f>
        <v>121027.36</v>
      </c>
      <c r="F81" s="572">
        <v>1</v>
      </c>
      <c r="G81" s="403">
        <f t="shared" si="4"/>
        <v>121027.36</v>
      </c>
      <c r="H81" s="572">
        <v>1</v>
      </c>
      <c r="I81" s="404">
        <f t="shared" si="5"/>
        <v>121027.36</v>
      </c>
    </row>
    <row r="82" spans="1:9">
      <c r="A82" s="239"/>
      <c r="B82" s="402" t="s">
        <v>1179</v>
      </c>
      <c r="C82" s="420" t="s">
        <v>588</v>
      </c>
      <c r="D82" s="375" t="s">
        <v>588</v>
      </c>
      <c r="E82" s="216">
        <f>2483.93</f>
        <v>2483.9299999999998</v>
      </c>
      <c r="F82" s="572">
        <v>1</v>
      </c>
      <c r="G82" s="403">
        <f t="shared" si="4"/>
        <v>2483.9299999999998</v>
      </c>
      <c r="H82" s="572">
        <v>1</v>
      </c>
      <c r="I82" s="404">
        <f t="shared" si="5"/>
        <v>2483.9299999999998</v>
      </c>
    </row>
    <row r="83" spans="1:9">
      <c r="A83" s="239"/>
      <c r="B83" s="402" t="s">
        <v>1179</v>
      </c>
      <c r="C83" s="420" t="s">
        <v>2590</v>
      </c>
      <c r="D83" s="375" t="s">
        <v>2556</v>
      </c>
      <c r="E83" s="216">
        <f>454503.96</f>
        <v>454503.96</v>
      </c>
      <c r="F83" s="572">
        <v>1</v>
      </c>
      <c r="G83" s="403">
        <f t="shared" si="4"/>
        <v>454503.96</v>
      </c>
      <c r="H83" s="572">
        <v>1</v>
      </c>
      <c r="I83" s="404">
        <f t="shared" si="5"/>
        <v>454503.96</v>
      </c>
    </row>
    <row r="84" spans="1:9">
      <c r="A84" s="239"/>
      <c r="B84" s="402" t="s">
        <v>1179</v>
      </c>
      <c r="C84" s="420" t="s">
        <v>588</v>
      </c>
      <c r="D84" s="375" t="s">
        <v>588</v>
      </c>
      <c r="E84" s="216">
        <f>12877</f>
        <v>12877</v>
      </c>
      <c r="F84" s="572">
        <v>1</v>
      </c>
      <c r="G84" s="403">
        <f t="shared" si="4"/>
        <v>12877</v>
      </c>
      <c r="H84" s="572">
        <v>1</v>
      </c>
      <c r="I84" s="404">
        <f t="shared" si="5"/>
        <v>12877</v>
      </c>
    </row>
    <row r="85" spans="1:9">
      <c r="A85" s="239"/>
      <c r="B85" s="402" t="s">
        <v>1179</v>
      </c>
      <c r="C85" s="420" t="s">
        <v>2591</v>
      </c>
      <c r="D85" s="375" t="s">
        <v>2218</v>
      </c>
      <c r="E85" s="216">
        <f>20216.8</f>
        <v>20216.8</v>
      </c>
      <c r="F85" s="572">
        <v>1</v>
      </c>
      <c r="G85" s="403">
        <f t="shared" si="4"/>
        <v>20216.8</v>
      </c>
      <c r="H85" s="572">
        <v>1</v>
      </c>
      <c r="I85" s="404">
        <f t="shared" si="5"/>
        <v>20216.8</v>
      </c>
    </row>
    <row r="86" spans="1:9">
      <c r="A86" s="239"/>
      <c r="B86" s="402" t="s">
        <v>1179</v>
      </c>
      <c r="C86" s="420" t="s">
        <v>588</v>
      </c>
      <c r="D86" s="375" t="s">
        <v>588</v>
      </c>
      <c r="E86" s="216">
        <f>1978.87</f>
        <v>1978.87</v>
      </c>
      <c r="F86" s="572">
        <v>1</v>
      </c>
      <c r="G86" s="403">
        <f t="shared" si="4"/>
        <v>1978.87</v>
      </c>
      <c r="H86" s="572">
        <v>1</v>
      </c>
      <c r="I86" s="404">
        <f t="shared" si="5"/>
        <v>1978.87</v>
      </c>
    </row>
    <row r="87" spans="1:9">
      <c r="A87" s="239"/>
      <c r="B87" s="402" t="s">
        <v>1179</v>
      </c>
      <c r="C87" s="420" t="s">
        <v>2592</v>
      </c>
      <c r="D87" s="375" t="s">
        <v>2561</v>
      </c>
      <c r="E87" s="216">
        <f>36320.07</f>
        <v>36320.07</v>
      </c>
      <c r="F87" s="572">
        <v>1</v>
      </c>
      <c r="G87" s="403">
        <f t="shared" si="4"/>
        <v>36320.07</v>
      </c>
      <c r="H87" s="572">
        <v>1</v>
      </c>
      <c r="I87" s="404">
        <f t="shared" si="5"/>
        <v>36320.07</v>
      </c>
    </row>
    <row r="88" spans="1:9">
      <c r="A88" s="239"/>
      <c r="B88" s="402" t="s">
        <v>1179</v>
      </c>
      <c r="C88" s="420" t="s">
        <v>588</v>
      </c>
      <c r="D88" s="375" t="s">
        <v>588</v>
      </c>
      <c r="E88" s="216">
        <f>630.74</f>
        <v>630.74</v>
      </c>
      <c r="F88" s="572">
        <v>1</v>
      </c>
      <c r="G88" s="403">
        <f t="shared" si="4"/>
        <v>630.74</v>
      </c>
      <c r="H88" s="572">
        <v>1</v>
      </c>
      <c r="I88" s="404">
        <f t="shared" si="5"/>
        <v>630.74</v>
      </c>
    </row>
    <row r="89" spans="1:9">
      <c r="A89" s="239"/>
      <c r="B89" s="402" t="s">
        <v>1179</v>
      </c>
      <c r="C89" s="420" t="s">
        <v>2593</v>
      </c>
      <c r="D89" s="375" t="s">
        <v>2218</v>
      </c>
      <c r="E89" s="216">
        <f>23846.74</f>
        <v>23846.74</v>
      </c>
      <c r="F89" s="572">
        <v>1</v>
      </c>
      <c r="G89" s="403">
        <f t="shared" si="4"/>
        <v>23846.74</v>
      </c>
      <c r="H89" s="572">
        <v>1</v>
      </c>
      <c r="I89" s="404">
        <f t="shared" si="5"/>
        <v>23846.74</v>
      </c>
    </row>
    <row r="90" spans="1:9">
      <c r="A90" s="239"/>
      <c r="B90" s="402" t="s">
        <v>1179</v>
      </c>
      <c r="C90" s="420" t="s">
        <v>2594</v>
      </c>
      <c r="D90" s="375" t="s">
        <v>2595</v>
      </c>
      <c r="E90" s="216">
        <f>57731</f>
        <v>57731</v>
      </c>
      <c r="F90" s="572">
        <v>1</v>
      </c>
      <c r="G90" s="403">
        <f t="shared" si="4"/>
        <v>57731</v>
      </c>
      <c r="H90" s="572">
        <v>1</v>
      </c>
      <c r="I90" s="404">
        <f t="shared" si="5"/>
        <v>57731</v>
      </c>
    </row>
    <row r="91" spans="1:9">
      <c r="A91" s="239"/>
      <c r="B91" s="402" t="s">
        <v>1179</v>
      </c>
      <c r="C91" s="420" t="s">
        <v>2563</v>
      </c>
      <c r="D91" s="375" t="s">
        <v>2564</v>
      </c>
      <c r="E91" s="216">
        <f>144190.32</f>
        <v>144190.32</v>
      </c>
      <c r="F91" s="572">
        <v>1</v>
      </c>
      <c r="G91" s="403">
        <f t="shared" si="4"/>
        <v>144190.32</v>
      </c>
      <c r="H91" s="572">
        <v>1</v>
      </c>
      <c r="I91" s="404">
        <f t="shared" si="5"/>
        <v>144190.32</v>
      </c>
    </row>
    <row r="92" spans="1:9">
      <c r="A92" s="239"/>
      <c r="B92" s="402" t="s">
        <v>1179</v>
      </c>
      <c r="C92" s="420" t="s">
        <v>2564</v>
      </c>
      <c r="D92" s="375" t="s">
        <v>2564</v>
      </c>
      <c r="E92" s="216">
        <v>167020.06</v>
      </c>
      <c r="F92" s="572">
        <v>1</v>
      </c>
      <c r="G92" s="403">
        <f t="shared" si="4"/>
        <v>167020.06</v>
      </c>
      <c r="H92" s="572">
        <v>1</v>
      </c>
      <c r="I92" s="404">
        <f t="shared" si="5"/>
        <v>167020.06</v>
      </c>
    </row>
    <row r="93" spans="1:9">
      <c r="A93" s="239"/>
      <c r="B93" s="402" t="s">
        <v>1179</v>
      </c>
      <c r="C93" s="420" t="s">
        <v>588</v>
      </c>
      <c r="D93" s="375" t="s">
        <v>588</v>
      </c>
      <c r="E93" s="216">
        <v>2373.14</v>
      </c>
      <c r="F93" s="572">
        <v>1</v>
      </c>
      <c r="G93" s="403">
        <f t="shared" si="4"/>
        <v>2373.14</v>
      </c>
      <c r="H93" s="572">
        <v>1</v>
      </c>
      <c r="I93" s="404">
        <f t="shared" si="5"/>
        <v>2373.14</v>
      </c>
    </row>
    <row r="94" spans="1:9">
      <c r="A94" s="239"/>
      <c r="B94" s="402" t="s">
        <v>1179</v>
      </c>
      <c r="C94" s="420" t="s">
        <v>2567</v>
      </c>
      <c r="D94" s="375" t="s">
        <v>2567</v>
      </c>
      <c r="E94" s="216">
        <v>267248.89</v>
      </c>
      <c r="F94" s="572">
        <v>1</v>
      </c>
      <c r="G94" s="403">
        <f t="shared" si="4"/>
        <v>267248.89</v>
      </c>
      <c r="H94" s="572">
        <v>1</v>
      </c>
      <c r="I94" s="404">
        <f t="shared" si="5"/>
        <v>267248.89</v>
      </c>
    </row>
    <row r="95" spans="1:9">
      <c r="A95" s="239"/>
      <c r="B95" s="402" t="s">
        <v>1179</v>
      </c>
      <c r="C95" s="420" t="s">
        <v>588</v>
      </c>
      <c r="D95" s="375" t="s">
        <v>588</v>
      </c>
      <c r="E95" s="216">
        <v>16353.85</v>
      </c>
      <c r="F95" s="572">
        <v>1</v>
      </c>
      <c r="G95" s="403">
        <f t="shared" si="4"/>
        <v>16353.85</v>
      </c>
      <c r="H95" s="572">
        <v>1</v>
      </c>
      <c r="I95" s="404">
        <f t="shared" si="5"/>
        <v>16353.85</v>
      </c>
    </row>
    <row r="96" spans="1:9">
      <c r="A96" s="239"/>
      <c r="B96" s="402" t="s">
        <v>1179</v>
      </c>
      <c r="C96" s="420" t="s">
        <v>2596</v>
      </c>
      <c r="D96" s="375" t="s">
        <v>2579</v>
      </c>
      <c r="E96" s="216">
        <v>559892.23</v>
      </c>
      <c r="F96" s="572">
        <v>1</v>
      </c>
      <c r="G96" s="403">
        <f t="shared" si="4"/>
        <v>559892.23</v>
      </c>
      <c r="H96" s="572">
        <v>1</v>
      </c>
      <c r="I96" s="404">
        <f t="shared" si="5"/>
        <v>559892.23</v>
      </c>
    </row>
    <row r="97" spans="1:9">
      <c r="A97" s="239"/>
      <c r="B97" s="402" t="s">
        <v>1179</v>
      </c>
      <c r="C97" s="420" t="s">
        <v>588</v>
      </c>
      <c r="D97" s="375" t="s">
        <v>588</v>
      </c>
      <c r="E97" s="216">
        <v>33279.980000000003</v>
      </c>
      <c r="F97" s="572">
        <v>1</v>
      </c>
      <c r="G97" s="403">
        <f t="shared" si="4"/>
        <v>33279.980000000003</v>
      </c>
      <c r="H97" s="572">
        <v>1</v>
      </c>
      <c r="I97" s="404">
        <f t="shared" si="5"/>
        <v>33279.980000000003</v>
      </c>
    </row>
    <row r="98" spans="1:9">
      <c r="A98" s="239"/>
      <c r="B98" s="402" t="s">
        <v>1179</v>
      </c>
      <c r="C98" s="420" t="s">
        <v>2218</v>
      </c>
      <c r="D98" s="375" t="s">
        <v>2218</v>
      </c>
      <c r="E98" s="216">
        <v>1215753.6000000001</v>
      </c>
      <c r="F98" s="572">
        <v>1</v>
      </c>
      <c r="G98" s="403">
        <f t="shared" si="4"/>
        <v>1215753.6000000001</v>
      </c>
      <c r="H98" s="572">
        <v>1</v>
      </c>
      <c r="I98" s="404">
        <f t="shared" si="5"/>
        <v>1215753.6000000001</v>
      </c>
    </row>
    <row r="99" spans="1:9">
      <c r="A99" s="239"/>
      <c r="B99" s="402" t="s">
        <v>1179</v>
      </c>
      <c r="C99" s="420" t="s">
        <v>588</v>
      </c>
      <c r="D99" s="375" t="s">
        <v>588</v>
      </c>
      <c r="E99" s="216">
        <v>15472.91</v>
      </c>
      <c r="F99" s="572">
        <v>1</v>
      </c>
      <c r="G99" s="403">
        <f t="shared" si="4"/>
        <v>15472.91</v>
      </c>
      <c r="H99" s="572">
        <v>1</v>
      </c>
      <c r="I99" s="404">
        <f t="shared" si="5"/>
        <v>15472.91</v>
      </c>
    </row>
    <row r="100" spans="1:9" s="422" customFormat="1" ht="13.5" thickBot="1">
      <c r="A100" s="239"/>
      <c r="B100" s="402"/>
      <c r="C100" s="421" t="s">
        <v>396</v>
      </c>
      <c r="D100" s="406"/>
      <c r="E100" s="407">
        <f>SUM(E51:E99)</f>
        <v>5452412.1500000004</v>
      </c>
      <c r="F100" s="408"/>
      <c r="G100" s="409">
        <f>SUM(G51:G99)</f>
        <v>5452412.1500000004</v>
      </c>
      <c r="H100" s="406"/>
      <c r="I100" s="410">
        <f>SUM(I51:I99)</f>
        <v>5452412.1500000004</v>
      </c>
    </row>
    <row r="101" spans="1:9" ht="13.5" thickTop="1">
      <c r="A101" s="239"/>
      <c r="B101" s="402" t="s">
        <v>1179</v>
      </c>
      <c r="C101" s="420" t="s">
        <v>2597</v>
      </c>
      <c r="D101" s="375" t="s">
        <v>2598</v>
      </c>
      <c r="E101" s="216">
        <f>636801.91</f>
        <v>636801.91</v>
      </c>
      <c r="F101" s="697">
        <v>0.65300000000000002</v>
      </c>
      <c r="G101" s="403">
        <f>E101*F101</f>
        <v>415831.64723000006</v>
      </c>
      <c r="H101" s="572">
        <v>0.82</v>
      </c>
      <c r="I101" s="404">
        <f>E101*H101</f>
        <v>522177.5662</v>
      </c>
    </row>
    <row r="102" spans="1:9">
      <c r="A102" s="239"/>
      <c r="B102" s="402" t="s">
        <v>1179</v>
      </c>
      <c r="C102" s="420" t="s">
        <v>588</v>
      </c>
      <c r="D102" s="375" t="s">
        <v>588</v>
      </c>
      <c r="E102" s="216">
        <f>3422.21</f>
        <v>3422.21</v>
      </c>
      <c r="F102" s="697">
        <v>0.65300000000000002</v>
      </c>
      <c r="G102" s="403">
        <f t="shared" ref="G102:G120" si="6">E102*F102</f>
        <v>2234.7031300000003</v>
      </c>
      <c r="H102" s="572">
        <v>0.82</v>
      </c>
      <c r="I102" s="404">
        <f t="shared" ref="I102:I120" si="7">E102*H102</f>
        <v>2806.2121999999999</v>
      </c>
    </row>
    <row r="103" spans="1:9">
      <c r="A103" s="239"/>
      <c r="B103" s="402" t="s">
        <v>1179</v>
      </c>
      <c r="C103" s="420" t="s">
        <v>2599</v>
      </c>
      <c r="D103" s="375" t="s">
        <v>2600</v>
      </c>
      <c r="E103" s="216">
        <f>152203.76</f>
        <v>152203.76</v>
      </c>
      <c r="F103" s="697">
        <v>0.65300000000000002</v>
      </c>
      <c r="G103" s="403">
        <f t="shared" si="6"/>
        <v>99389.055280000015</v>
      </c>
      <c r="H103" s="572">
        <v>0.82</v>
      </c>
      <c r="I103" s="404">
        <f t="shared" si="7"/>
        <v>124807.08319999999</v>
      </c>
    </row>
    <row r="104" spans="1:9">
      <c r="A104" s="239"/>
      <c r="B104" s="402" t="s">
        <v>1179</v>
      </c>
      <c r="C104" s="420" t="s">
        <v>2601</v>
      </c>
      <c r="D104" s="375" t="s">
        <v>2601</v>
      </c>
      <c r="E104" s="216">
        <v>276283.57</v>
      </c>
      <c r="F104" s="697">
        <v>0.65300000000000002</v>
      </c>
      <c r="G104" s="403">
        <f t="shared" si="6"/>
        <v>180413.17121</v>
      </c>
      <c r="H104" s="572">
        <v>0.82</v>
      </c>
      <c r="I104" s="404">
        <f t="shared" si="7"/>
        <v>226552.52739999999</v>
      </c>
    </row>
    <row r="105" spans="1:9">
      <c r="A105" s="239"/>
      <c r="B105" s="402" t="s">
        <v>1179</v>
      </c>
      <c r="C105" s="420" t="s">
        <v>588</v>
      </c>
      <c r="D105" s="375" t="s">
        <v>588</v>
      </c>
      <c r="E105" s="216">
        <v>2835.11</v>
      </c>
      <c r="F105" s="697">
        <v>0.65300000000000002</v>
      </c>
      <c r="G105" s="403">
        <f t="shared" si="6"/>
        <v>1851.3268300000002</v>
      </c>
      <c r="H105" s="572">
        <v>0.82</v>
      </c>
      <c r="I105" s="404">
        <f t="shared" si="7"/>
        <v>2324.7901999999999</v>
      </c>
    </row>
    <row r="106" spans="1:9">
      <c r="A106" s="239"/>
      <c r="B106" s="402" t="s">
        <v>1179</v>
      </c>
      <c r="C106" s="420" t="s">
        <v>2560</v>
      </c>
      <c r="D106" s="375" t="s">
        <v>2602</v>
      </c>
      <c r="E106" s="216">
        <f>20893.47</f>
        <v>20893.47</v>
      </c>
      <c r="F106" s="697">
        <v>0.65300000000000002</v>
      </c>
      <c r="G106" s="403">
        <f t="shared" si="6"/>
        <v>13643.435910000002</v>
      </c>
      <c r="H106" s="572">
        <v>0.82</v>
      </c>
      <c r="I106" s="404">
        <f t="shared" si="7"/>
        <v>17132.645400000001</v>
      </c>
    </row>
    <row r="107" spans="1:9">
      <c r="A107" s="239"/>
      <c r="B107" s="402" t="s">
        <v>1179</v>
      </c>
      <c r="C107" s="420" t="s">
        <v>2560</v>
      </c>
      <c r="D107" s="375" t="s">
        <v>2603</v>
      </c>
      <c r="E107" s="216">
        <f>20481.87</f>
        <v>20481.87</v>
      </c>
      <c r="F107" s="697">
        <v>0.65300000000000002</v>
      </c>
      <c r="G107" s="403">
        <f t="shared" si="6"/>
        <v>13374.661109999999</v>
      </c>
      <c r="H107" s="572">
        <v>0.82</v>
      </c>
      <c r="I107" s="404">
        <f t="shared" si="7"/>
        <v>16795.133399999999</v>
      </c>
    </row>
    <row r="108" spans="1:9">
      <c r="A108" s="239"/>
      <c r="B108" s="402" t="s">
        <v>1179</v>
      </c>
      <c r="C108" s="420" t="s">
        <v>588</v>
      </c>
      <c r="D108" s="375" t="s">
        <v>588</v>
      </c>
      <c r="E108" s="216">
        <f>405078.07</f>
        <v>405078.07</v>
      </c>
      <c r="F108" s="697">
        <v>0.65300000000000002</v>
      </c>
      <c r="G108" s="403">
        <f t="shared" si="6"/>
        <v>264515.97971000004</v>
      </c>
      <c r="H108" s="572">
        <v>0.82</v>
      </c>
      <c r="I108" s="404">
        <f t="shared" si="7"/>
        <v>332164.01740000001</v>
      </c>
    </row>
    <row r="109" spans="1:9">
      <c r="A109" s="239"/>
      <c r="B109" s="402" t="s">
        <v>1179</v>
      </c>
      <c r="C109" s="420" t="s">
        <v>2604</v>
      </c>
      <c r="D109" s="375" t="s">
        <v>2605</v>
      </c>
      <c r="E109" s="216">
        <f>651815.82</f>
        <v>651815.81999999995</v>
      </c>
      <c r="F109" s="697">
        <v>0.65300000000000002</v>
      </c>
      <c r="G109" s="403">
        <f t="shared" si="6"/>
        <v>425635.73045999999</v>
      </c>
      <c r="H109" s="572">
        <v>0.82</v>
      </c>
      <c r="I109" s="404">
        <f t="shared" si="7"/>
        <v>534488.97239999997</v>
      </c>
    </row>
    <row r="110" spans="1:9">
      <c r="A110" s="239"/>
      <c r="B110" s="402" t="s">
        <v>1179</v>
      </c>
      <c r="C110" s="420" t="s">
        <v>588</v>
      </c>
      <c r="D110" s="375" t="s">
        <v>588</v>
      </c>
      <c r="E110" s="216">
        <f>39508.27</f>
        <v>39508.269999999997</v>
      </c>
      <c r="F110" s="697">
        <v>0.65300000000000002</v>
      </c>
      <c r="G110" s="403">
        <f t="shared" si="6"/>
        <v>25798.900309999997</v>
      </c>
      <c r="H110" s="572">
        <v>0.82</v>
      </c>
      <c r="I110" s="404">
        <f t="shared" si="7"/>
        <v>32396.781399999996</v>
      </c>
    </row>
    <row r="111" spans="1:9">
      <c r="A111" s="239"/>
      <c r="B111" s="402" t="s">
        <v>1179</v>
      </c>
      <c r="C111" s="420" t="s">
        <v>2606</v>
      </c>
      <c r="D111" s="375" t="s">
        <v>2606</v>
      </c>
      <c r="E111" s="216">
        <v>153427.82999999999</v>
      </c>
      <c r="F111" s="697">
        <v>0.65300000000000002</v>
      </c>
      <c r="G111" s="403">
        <f t="shared" si="6"/>
        <v>100188.37298999999</v>
      </c>
      <c r="H111" s="572">
        <v>0.82</v>
      </c>
      <c r="I111" s="404">
        <f t="shared" si="7"/>
        <v>125810.82059999998</v>
      </c>
    </row>
    <row r="112" spans="1:9">
      <c r="A112" s="239"/>
      <c r="B112" s="402" t="s">
        <v>1179</v>
      </c>
      <c r="C112" s="420" t="s">
        <v>588</v>
      </c>
      <c r="D112" s="375" t="s">
        <v>588</v>
      </c>
      <c r="E112" s="216">
        <v>2051.63</v>
      </c>
      <c r="F112" s="697">
        <v>0.65300000000000002</v>
      </c>
      <c r="G112" s="403">
        <f t="shared" si="6"/>
        <v>1339.7143900000001</v>
      </c>
      <c r="H112" s="572">
        <v>0.82</v>
      </c>
      <c r="I112" s="404">
        <f t="shared" si="7"/>
        <v>1682.3366000000001</v>
      </c>
    </row>
    <row r="113" spans="1:9">
      <c r="A113" s="239"/>
      <c r="B113" s="402" t="s">
        <v>1179</v>
      </c>
      <c r="C113" s="420" t="s">
        <v>2563</v>
      </c>
      <c r="D113" s="375" t="s">
        <v>2579</v>
      </c>
      <c r="E113" s="216">
        <f>146114.62</f>
        <v>146114.62</v>
      </c>
      <c r="F113" s="697">
        <v>0.65300000000000002</v>
      </c>
      <c r="G113" s="403">
        <f t="shared" si="6"/>
        <v>95412.846860000005</v>
      </c>
      <c r="H113" s="572">
        <v>0.82</v>
      </c>
      <c r="I113" s="404">
        <f t="shared" si="7"/>
        <v>119813.98839999999</v>
      </c>
    </row>
    <row r="114" spans="1:9">
      <c r="A114" s="239"/>
      <c r="B114" s="402" t="s">
        <v>1179</v>
      </c>
      <c r="C114" s="420" t="s">
        <v>2607</v>
      </c>
      <c r="D114" s="375" t="s">
        <v>588</v>
      </c>
      <c r="E114" s="216">
        <f>1844.89</f>
        <v>1844.89</v>
      </c>
      <c r="F114" s="697">
        <v>0.65300000000000002</v>
      </c>
      <c r="G114" s="403">
        <f t="shared" si="6"/>
        <v>1204.7131700000002</v>
      </c>
      <c r="H114" s="572">
        <v>0.82</v>
      </c>
      <c r="I114" s="404">
        <f t="shared" si="7"/>
        <v>1512.8098</v>
      </c>
    </row>
    <row r="115" spans="1:9">
      <c r="A115" s="239"/>
      <c r="B115" s="402" t="s">
        <v>1179</v>
      </c>
      <c r="C115" s="420" t="s">
        <v>2608</v>
      </c>
      <c r="D115" s="375" t="s">
        <v>588</v>
      </c>
      <c r="E115" s="216">
        <f>3844.64</f>
        <v>3844.64</v>
      </c>
      <c r="F115" s="697">
        <v>0.65300000000000002</v>
      </c>
      <c r="G115" s="403">
        <f t="shared" si="6"/>
        <v>2510.5499199999999</v>
      </c>
      <c r="H115" s="572">
        <v>0.82</v>
      </c>
      <c r="I115" s="404">
        <f t="shared" si="7"/>
        <v>3152.6047999999996</v>
      </c>
    </row>
    <row r="116" spans="1:9">
      <c r="A116" s="239"/>
      <c r="B116" s="402" t="s">
        <v>1179</v>
      </c>
      <c r="C116" s="420" t="s">
        <v>2609</v>
      </c>
      <c r="D116" s="375" t="s">
        <v>2610</v>
      </c>
      <c r="E116" s="216">
        <f>219050.16</f>
        <v>219050.16</v>
      </c>
      <c r="F116" s="697">
        <v>0.65300000000000002</v>
      </c>
      <c r="G116" s="403">
        <f t="shared" si="6"/>
        <v>143039.75448</v>
      </c>
      <c r="H116" s="572">
        <v>0.82</v>
      </c>
      <c r="I116" s="404">
        <f t="shared" si="7"/>
        <v>179621.1312</v>
      </c>
    </row>
    <row r="117" spans="1:9">
      <c r="A117" s="239"/>
      <c r="B117" s="402" t="s">
        <v>1179</v>
      </c>
      <c r="C117" s="420" t="s">
        <v>588</v>
      </c>
      <c r="D117" s="375" t="s">
        <v>588</v>
      </c>
      <c r="E117" s="216">
        <f>285734.43</f>
        <v>285734.43</v>
      </c>
      <c r="F117" s="697">
        <v>0.65300000000000002</v>
      </c>
      <c r="G117" s="403">
        <f t="shared" si="6"/>
        <v>186584.58279000001</v>
      </c>
      <c r="H117" s="572">
        <v>0.82</v>
      </c>
      <c r="I117" s="404">
        <f t="shared" si="7"/>
        <v>234302.23259999999</v>
      </c>
    </row>
    <row r="118" spans="1:9">
      <c r="A118" s="239"/>
      <c r="B118" s="402" t="s">
        <v>1179</v>
      </c>
      <c r="C118" s="420" t="s">
        <v>2611</v>
      </c>
      <c r="D118" s="375" t="s">
        <v>2612</v>
      </c>
      <c r="E118" s="216">
        <f>1929776.32</f>
        <v>1929776.32</v>
      </c>
      <c r="F118" s="697">
        <v>0.65300000000000002</v>
      </c>
      <c r="G118" s="403">
        <f t="shared" si="6"/>
        <v>1260143.9369600001</v>
      </c>
      <c r="H118" s="572">
        <v>0.82</v>
      </c>
      <c r="I118" s="404">
        <f t="shared" si="7"/>
        <v>1582416.5824</v>
      </c>
    </row>
    <row r="119" spans="1:9">
      <c r="A119" s="239"/>
      <c r="B119" s="402" t="s">
        <v>1179</v>
      </c>
      <c r="C119" s="420" t="s">
        <v>2613</v>
      </c>
      <c r="D119" s="375" t="s">
        <v>2612</v>
      </c>
      <c r="E119" s="216">
        <f>303096.04</f>
        <v>303096.03999999998</v>
      </c>
      <c r="F119" s="697">
        <v>0.65300000000000002</v>
      </c>
      <c r="G119" s="403">
        <f t="shared" si="6"/>
        <v>197921.71411999999</v>
      </c>
      <c r="H119" s="572">
        <v>0.82</v>
      </c>
      <c r="I119" s="404">
        <f t="shared" si="7"/>
        <v>248538.75279999996</v>
      </c>
    </row>
    <row r="120" spans="1:9">
      <c r="A120" s="239"/>
      <c r="B120" s="402" t="s">
        <v>1179</v>
      </c>
      <c r="C120" s="423" t="s">
        <v>2614</v>
      </c>
      <c r="D120" s="375" t="s">
        <v>2612</v>
      </c>
      <c r="E120" s="216">
        <f>1362394.81</f>
        <v>1362394.81</v>
      </c>
      <c r="F120" s="697">
        <v>0.65300000000000002</v>
      </c>
      <c r="G120" s="403">
        <f t="shared" si="6"/>
        <v>889643.81093000004</v>
      </c>
      <c r="H120" s="572">
        <v>0.82</v>
      </c>
      <c r="I120" s="404">
        <f t="shared" si="7"/>
        <v>1117163.7442000001</v>
      </c>
    </row>
    <row r="121" spans="1:9" ht="13.5" thickBot="1">
      <c r="A121" s="424"/>
      <c r="B121" s="356"/>
      <c r="C121" s="425" t="s">
        <v>396</v>
      </c>
      <c r="D121" s="426"/>
      <c r="E121" s="427">
        <f>SUM(E101:E120)</f>
        <v>6616659.4300000016</v>
      </c>
      <c r="F121" s="426"/>
      <c r="G121" s="428">
        <f>SUM(G101:G120)</f>
        <v>4320678.6077899998</v>
      </c>
      <c r="H121" s="426"/>
      <c r="I121" s="429">
        <f>SUM(I101:I120)</f>
        <v>5425660.7325999998</v>
      </c>
    </row>
    <row r="122" spans="1:9">
      <c r="B122" s="422"/>
    </row>
  </sheetData>
  <hyperlinks>
    <hyperlink ref="J1" location="'Cover Sheets'!A16" display="(Back to Worksheet Links)" xr:uid="{00000000-0004-0000-0E00-000000000000}"/>
  </hyperlinks>
  <pageMargins left="0.7" right="0.7" top="0.75" bottom="0.75" header="0.3" footer="0.3"/>
  <pageSetup scale="52"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heetViews>
  <sheetFormatPr defaultColWidth="9.26953125" defaultRowHeight="13"/>
  <cols>
    <col min="1" max="1" width="9.26953125" style="236"/>
    <col min="2" max="2" width="47.26953125" style="236" customWidth="1"/>
    <col min="3" max="3" width="38.54296875" style="236" customWidth="1"/>
    <col min="4" max="4" width="21" style="236" customWidth="1"/>
    <col min="5" max="5" width="22.26953125" style="236" customWidth="1"/>
    <col min="6" max="16384" width="9.26953125" style="236"/>
  </cols>
  <sheetData>
    <row r="1" spans="1:5" ht="14.5">
      <c r="A1" s="232" t="str">
        <f>'Cover Sheets'!A10:B10</f>
        <v>WAPA-UGP 2021 Rate Estimate Calculation</v>
      </c>
      <c r="B1" s="237"/>
      <c r="C1" s="237"/>
      <c r="D1" s="261"/>
      <c r="E1" s="576" t="s">
        <v>42</v>
      </c>
    </row>
    <row r="2" spans="1:5">
      <c r="A2" s="560" t="s">
        <v>2615</v>
      </c>
      <c r="B2" s="238"/>
      <c r="C2" s="238"/>
      <c r="D2" s="262"/>
    </row>
    <row r="3" spans="1:5">
      <c r="A3" s="239" t="str">
        <f>'WS1-RateBase'!A4</f>
        <v>12 Months Ending 09/30/2021 ESTIMATE</v>
      </c>
      <c r="B3" s="238"/>
      <c r="C3" s="238"/>
      <c r="D3" s="262"/>
    </row>
    <row r="4" spans="1:5">
      <c r="A4" s="61"/>
      <c r="B4" s="240" t="s">
        <v>311</v>
      </c>
      <c r="C4" s="241" t="s">
        <v>2616</v>
      </c>
      <c r="D4" s="242" t="s">
        <v>47</v>
      </c>
    </row>
    <row r="5" spans="1:5" ht="13.5" thickBot="1">
      <c r="A5" s="243" t="s">
        <v>316</v>
      </c>
      <c r="B5" s="244">
        <v>-1</v>
      </c>
      <c r="C5" s="244">
        <v>-2</v>
      </c>
      <c r="D5" s="245">
        <v>-3</v>
      </c>
    </row>
    <row r="6" spans="1:5">
      <c r="A6" s="246">
        <v>1</v>
      </c>
      <c r="B6" s="367" t="s">
        <v>2617</v>
      </c>
      <c r="C6" s="263">
        <f>C19</f>
        <v>336754.55521234818</v>
      </c>
      <c r="D6" s="264" t="s">
        <v>2618</v>
      </c>
    </row>
    <row r="7" spans="1:5" ht="14.5">
      <c r="A7" s="246">
        <v>2</v>
      </c>
      <c r="B7" s="367" t="s">
        <v>2619</v>
      </c>
      <c r="C7" s="265">
        <v>110939</v>
      </c>
      <c r="D7" s="615" t="s">
        <v>2535</v>
      </c>
      <c r="E7" s="576"/>
    </row>
    <row r="8" spans="1:5">
      <c r="A8" s="246">
        <v>3</v>
      </c>
      <c r="B8" s="367" t="s">
        <v>2620</v>
      </c>
      <c r="C8" s="267">
        <f>SUM(C6,C7)</f>
        <v>447693.55521234818</v>
      </c>
      <c r="D8" s="266" t="s">
        <v>2670</v>
      </c>
    </row>
    <row r="9" spans="1:5">
      <c r="A9" s="268"/>
      <c r="B9" s="367"/>
      <c r="C9" s="238"/>
      <c r="D9" s="266"/>
    </row>
    <row r="10" spans="1:5">
      <c r="A10" s="239"/>
      <c r="B10" s="368" t="s">
        <v>2621</v>
      </c>
      <c r="C10" s="238"/>
      <c r="D10" s="266"/>
    </row>
    <row r="11" spans="1:5">
      <c r="A11" s="269">
        <v>4</v>
      </c>
      <c r="B11" s="249" t="s">
        <v>2622</v>
      </c>
      <c r="C11" s="270">
        <f>'WS2-AllocFactor'!E35</f>
        <v>0.13973969137998388</v>
      </c>
      <c r="D11" s="256" t="s">
        <v>2623</v>
      </c>
    </row>
    <row r="12" spans="1:5" ht="13.5" thickBot="1">
      <c r="A12" s="269">
        <v>5</v>
      </c>
      <c r="B12" s="369" t="s">
        <v>2624</v>
      </c>
      <c r="C12" s="271">
        <f>'WS2-AllocFactor'!E36</f>
        <v>581186455.96057808</v>
      </c>
      <c r="D12" s="256" t="s">
        <v>2625</v>
      </c>
    </row>
    <row r="13" spans="1:5" ht="13.5" thickTop="1">
      <c r="A13" s="269">
        <v>6</v>
      </c>
      <c r="B13" s="369" t="s">
        <v>2626</v>
      </c>
      <c r="C13" s="251">
        <f>C11*C12</f>
        <v>81214815.990157768</v>
      </c>
      <c r="D13" s="266" t="s">
        <v>2627</v>
      </c>
    </row>
    <row r="14" spans="1:5" ht="13.5" thickBot="1">
      <c r="A14" s="269">
        <v>7</v>
      </c>
      <c r="B14" s="369" t="s">
        <v>2628</v>
      </c>
      <c r="C14" s="750">
        <v>2137000</v>
      </c>
      <c r="D14" s="256" t="s">
        <v>53</v>
      </c>
    </row>
    <row r="15" spans="1:5" ht="13.5" thickTop="1">
      <c r="A15" s="269">
        <v>8</v>
      </c>
      <c r="B15" s="249" t="s">
        <v>2629</v>
      </c>
      <c r="C15" s="253">
        <f>C13/C14</f>
        <v>38.004125404846874</v>
      </c>
      <c r="D15" s="266" t="s">
        <v>2630</v>
      </c>
    </row>
    <row r="16" spans="1:5">
      <c r="A16" s="269">
        <v>9</v>
      </c>
      <c r="B16" s="249" t="s">
        <v>2631</v>
      </c>
      <c r="C16" s="272">
        <f>8861</f>
        <v>8861</v>
      </c>
      <c r="D16" s="256" t="s">
        <v>54</v>
      </c>
    </row>
    <row r="17" spans="1:4">
      <c r="A17" s="269">
        <v>10</v>
      </c>
      <c r="B17" s="249" t="s">
        <v>2632</v>
      </c>
      <c r="C17" s="273">
        <f>C16*C15</f>
        <v>336754.55521234818</v>
      </c>
      <c r="D17" s="266" t="s">
        <v>2633</v>
      </c>
    </row>
    <row r="18" spans="1:4">
      <c r="A18" s="269">
        <v>18</v>
      </c>
      <c r="B18" s="249" t="s">
        <v>2634</v>
      </c>
      <c r="C18" s="359">
        <v>0</v>
      </c>
      <c r="D18" s="256" t="s">
        <v>55</v>
      </c>
    </row>
    <row r="19" spans="1:4">
      <c r="A19" s="269">
        <v>19</v>
      </c>
      <c r="B19" s="249" t="s">
        <v>2635</v>
      </c>
      <c r="C19" s="273">
        <f>C17+C18</f>
        <v>336754.55521234818</v>
      </c>
      <c r="D19" s="266"/>
    </row>
    <row r="20" spans="1:4">
      <c r="A20" s="616" t="s">
        <v>2636</v>
      </c>
      <c r="B20" s="238" t="s">
        <v>2637</v>
      </c>
      <c r="C20" s="238"/>
      <c r="D20" s="262"/>
    </row>
    <row r="21" spans="1:4">
      <c r="A21" s="616" t="s">
        <v>2638</v>
      </c>
      <c r="B21" s="238" t="s">
        <v>2738</v>
      </c>
      <c r="C21" s="238"/>
      <c r="D21" s="262"/>
    </row>
    <row r="22" spans="1:4" ht="13.5" thickBot="1">
      <c r="A22" s="695" t="s">
        <v>2639</v>
      </c>
      <c r="B22" s="260" t="s">
        <v>2640</v>
      </c>
      <c r="C22" s="260"/>
      <c r="D22" s="327"/>
    </row>
  </sheetData>
  <hyperlinks>
    <hyperlink ref="E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E23"/>
  <sheetViews>
    <sheetView view="pageBreakPreview" zoomScaleNormal="100" zoomScaleSheetLayoutView="100" workbookViewId="0">
      <selection activeCell="C18" sqref="C18"/>
    </sheetView>
  </sheetViews>
  <sheetFormatPr defaultColWidth="9.26953125" defaultRowHeight="13"/>
  <cols>
    <col min="1" max="1" width="9.26953125" style="236"/>
    <col min="2" max="2" width="44.26953125" style="236" customWidth="1"/>
    <col min="3" max="3" width="39.26953125" style="236" customWidth="1"/>
    <col min="4" max="4" width="20.81640625" style="236" customWidth="1"/>
    <col min="5" max="5" width="22.54296875" style="236" customWidth="1"/>
    <col min="6" max="16384" width="9.26953125" style="236"/>
  </cols>
  <sheetData>
    <row r="1" spans="1:5" ht="14.5">
      <c r="A1" s="232" t="str">
        <f>'Cover Sheets'!A10:B10</f>
        <v>WAPA-UGP 2021 Rate Estimate Calculation</v>
      </c>
      <c r="B1" s="237"/>
      <c r="C1" s="237"/>
      <c r="D1" s="261"/>
      <c r="E1" s="576" t="s">
        <v>42</v>
      </c>
    </row>
    <row r="2" spans="1:5">
      <c r="A2" s="560" t="s">
        <v>2641</v>
      </c>
      <c r="B2" s="238"/>
      <c r="C2" s="238"/>
      <c r="D2" s="262"/>
    </row>
    <row r="3" spans="1:5">
      <c r="A3" s="239" t="str">
        <f>'WS1-RateBase'!A4</f>
        <v>12 Months Ending 09/30/2021 ESTIMATE</v>
      </c>
      <c r="B3" s="238"/>
      <c r="C3" s="238"/>
      <c r="D3" s="262"/>
    </row>
    <row r="4" spans="1:5">
      <c r="A4" s="61"/>
      <c r="B4" s="240" t="s">
        <v>311</v>
      </c>
      <c r="C4" s="241" t="s">
        <v>2642</v>
      </c>
      <c r="D4" s="242" t="s">
        <v>47</v>
      </c>
    </row>
    <row r="5" spans="1:5" ht="13.5" thickBot="1">
      <c r="A5" s="243" t="s">
        <v>316</v>
      </c>
      <c r="B5" s="244">
        <v>-1</v>
      </c>
      <c r="C5" s="244">
        <v>-2</v>
      </c>
      <c r="D5" s="245">
        <v>-3</v>
      </c>
    </row>
    <row r="6" spans="1:5">
      <c r="A6" s="246">
        <v>1</v>
      </c>
      <c r="B6" s="247" t="s">
        <v>2622</v>
      </c>
      <c r="C6" s="248">
        <f>'WS2-AllocFactor'!E35</f>
        <v>0.13973969137998388</v>
      </c>
      <c r="D6" s="256" t="s">
        <v>2623</v>
      </c>
    </row>
    <row r="7" spans="1:5" ht="13.5" thickBot="1">
      <c r="A7" s="246">
        <v>2</v>
      </c>
      <c r="B7" s="249" t="s">
        <v>2624</v>
      </c>
      <c r="C7" s="250">
        <f>'WS2-AllocFactor'!E36</f>
        <v>581186455.96057808</v>
      </c>
      <c r="D7" s="256" t="s">
        <v>2625</v>
      </c>
    </row>
    <row r="8" spans="1:5" ht="13.5" thickTop="1">
      <c r="A8" s="246">
        <v>3</v>
      </c>
      <c r="B8" s="249" t="s">
        <v>2626</v>
      </c>
      <c r="C8" s="251">
        <f>C6*C7</f>
        <v>81214815.990157768</v>
      </c>
      <c r="D8" s="266" t="s">
        <v>2627</v>
      </c>
    </row>
    <row r="9" spans="1:5" ht="13.5" thickBot="1">
      <c r="A9" s="246">
        <v>4</v>
      </c>
      <c r="B9" s="252" t="s">
        <v>2628</v>
      </c>
      <c r="C9" s="746">
        <v>2137000</v>
      </c>
      <c r="D9" s="256" t="s">
        <v>53</v>
      </c>
    </row>
    <row r="10" spans="1:5" ht="13.5" thickTop="1">
      <c r="A10" s="246">
        <v>5</v>
      </c>
      <c r="B10" s="252" t="s">
        <v>2643</v>
      </c>
      <c r="C10" s="253">
        <f>C8/C9</f>
        <v>38.004125404846874</v>
      </c>
      <c r="D10" s="266" t="s">
        <v>2630</v>
      </c>
    </row>
    <row r="11" spans="1:5">
      <c r="A11" s="246">
        <v>6</v>
      </c>
      <c r="B11" s="252" t="s">
        <v>2644</v>
      </c>
      <c r="C11" s="254">
        <f>C10/12</f>
        <v>3.1670104504039061</v>
      </c>
      <c r="D11" s="266" t="s">
        <v>2645</v>
      </c>
    </row>
    <row r="12" spans="1:5">
      <c r="A12" s="246">
        <v>7</v>
      </c>
      <c r="B12" s="255" t="s">
        <v>2646</v>
      </c>
      <c r="C12" s="747">
        <v>159000</v>
      </c>
      <c r="D12" s="256" t="s">
        <v>54</v>
      </c>
    </row>
    <row r="13" spans="1:5">
      <c r="A13" s="246">
        <v>8</v>
      </c>
      <c r="B13" s="255" t="s">
        <v>2647</v>
      </c>
      <c r="C13" s="747">
        <v>92000</v>
      </c>
      <c r="D13" s="256" t="s">
        <v>55</v>
      </c>
    </row>
    <row r="14" spans="1:5">
      <c r="A14" s="246">
        <v>9</v>
      </c>
      <c r="B14" s="255" t="s">
        <v>2648</v>
      </c>
      <c r="C14" s="257">
        <f xml:space="preserve"> (0.03*C12) + (0.03 *C13)</f>
        <v>7530</v>
      </c>
      <c r="D14" s="266" t="s">
        <v>2649</v>
      </c>
    </row>
    <row r="15" spans="1:5">
      <c r="A15" s="246">
        <v>10</v>
      </c>
      <c r="B15" s="258" t="s">
        <v>2650</v>
      </c>
      <c r="C15" s="557">
        <f>C10*C14</f>
        <v>286171.06429849699</v>
      </c>
      <c r="D15" s="266" t="s">
        <v>2651</v>
      </c>
    </row>
    <row r="16" spans="1:5">
      <c r="A16" s="246">
        <v>11</v>
      </c>
      <c r="B16" s="367" t="s">
        <v>2652</v>
      </c>
      <c r="C16" s="558">
        <v>135769</v>
      </c>
      <c r="D16" s="614" t="s">
        <v>2535</v>
      </c>
    </row>
    <row r="17" spans="1:4">
      <c r="A17" s="246">
        <v>12</v>
      </c>
      <c r="B17" s="367" t="s">
        <v>2653</v>
      </c>
      <c r="C17" s="748">
        <v>65525</v>
      </c>
      <c r="D17" s="256" t="s">
        <v>57</v>
      </c>
    </row>
    <row r="18" spans="1:4">
      <c r="A18" s="246">
        <v>13</v>
      </c>
      <c r="B18" s="367" t="s">
        <v>2654</v>
      </c>
      <c r="C18" s="559">
        <f>C15+C16+C17</f>
        <v>487465.06429849699</v>
      </c>
      <c r="D18" s="262" t="s">
        <v>2655</v>
      </c>
    </row>
    <row r="19" spans="1:4">
      <c r="A19" s="259" t="s">
        <v>53</v>
      </c>
      <c r="B19" s="233" t="s">
        <v>2637</v>
      </c>
      <c r="C19" s="238"/>
      <c r="D19" s="262"/>
    </row>
    <row r="20" spans="1:4">
      <c r="A20" s="259" t="s">
        <v>54</v>
      </c>
      <c r="B20" s="370" t="s">
        <v>2656</v>
      </c>
      <c r="C20" s="238"/>
      <c r="D20" s="262"/>
    </row>
    <row r="21" spans="1:4">
      <c r="A21" s="259" t="s">
        <v>55</v>
      </c>
      <c r="B21" s="370" t="s">
        <v>2657</v>
      </c>
      <c r="C21" s="238"/>
      <c r="D21" s="262"/>
    </row>
    <row r="22" spans="1:4">
      <c r="A22" s="259" t="s">
        <v>56</v>
      </c>
      <c r="B22" s="238" t="s">
        <v>2658</v>
      </c>
      <c r="C22" s="238"/>
      <c r="D22" s="262"/>
    </row>
    <row r="23" spans="1:4" ht="13.5" thickBot="1">
      <c r="A23" s="613" t="s">
        <v>57</v>
      </c>
      <c r="B23" s="260" t="s">
        <v>2659</v>
      </c>
      <c r="C23" s="260"/>
      <c r="D23" s="327"/>
    </row>
  </sheetData>
  <hyperlinks>
    <hyperlink ref="E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8FC503EE364448A989AFB4678EBA3C" ma:contentTypeVersion="5" ma:contentTypeDescription="Create a new document." ma:contentTypeScope="" ma:versionID="11400750d445e1aed8f035838de62ec8">
  <xsd:schema xmlns:xsd="http://www.w3.org/2001/XMLSchema" xmlns:xs="http://www.w3.org/2001/XMLSchema" xmlns:p="http://schemas.microsoft.com/office/2006/metadata/properties" xmlns:ns3="0af8ee29-9a91-4d8d-8c43-fe1c1ae2b499" xmlns:ns4="53784fbd-b375-4017-8f2e-e3f791e3fca3" targetNamespace="http://schemas.microsoft.com/office/2006/metadata/properties" ma:root="true" ma:fieldsID="efe8a4df19b4573e4c3ef645d23abf08" ns3:_="" ns4:_="">
    <xsd:import namespace="0af8ee29-9a91-4d8d-8c43-fe1c1ae2b499"/>
    <xsd:import namespace="53784fbd-b375-4017-8f2e-e3f791e3fc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8ee29-9a91-4d8d-8c43-fe1c1ae2b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784fbd-b375-4017-8f2e-e3f791e3fc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D0378D-6065-49F7-8C64-7C994AC1ADC7}">
  <ds:schemaRefs>
    <ds:schemaRef ds:uri="http://schemas.microsoft.com/sharepoint/v3/contenttype/forms"/>
  </ds:schemaRefs>
</ds:datastoreItem>
</file>

<file path=customXml/itemProps2.xml><?xml version="1.0" encoding="utf-8"?>
<ds:datastoreItem xmlns:ds="http://schemas.openxmlformats.org/officeDocument/2006/customXml" ds:itemID="{B3CC2264-7C8A-4F9D-B6F3-CA37C62F7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8ee29-9a91-4d8d-8c43-fe1c1ae2b499"/>
    <ds:schemaRef ds:uri="53784fbd-b375-4017-8f2e-e3f791e3f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F8C9F3-7F4D-4FE8-964A-5445C194410F}">
  <ds:schemaRefs>
    <ds:schemaRef ds:uri="http://schemas.microsoft.com/office/2006/documentManagement/types"/>
    <ds:schemaRef ds:uri="http://schemas.openxmlformats.org/package/2006/metadata/core-properties"/>
    <ds:schemaRef ds:uri="http://www.w3.org/XML/1998/namespace"/>
    <ds:schemaRef ds:uri="http://purl.org/dc/elements/1.1/"/>
    <ds:schemaRef ds:uri="53784fbd-b375-4017-8f2e-e3f791e3fca3"/>
    <ds:schemaRef ds:uri="0af8ee29-9a91-4d8d-8c43-fe1c1ae2b499"/>
    <ds:schemaRef ds:uri="http://purl.org/dc/term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Rev Log</vt:lpstr>
      <vt:lpstr>Cover Sheets</vt:lpstr>
      <vt:lpstr>Summary-ATRR</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'Rev Log'!Print_Area</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'WS8-TranFac'!Print_Area</vt:lpstr>
      <vt:lpstr>'WS9-AI-Incl'!Print_Area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2020-11-01T19:58:28Z</cp:lastPrinted>
  <dcterms:created xsi:type="dcterms:W3CDTF">2016-09-02T16:44:11Z</dcterms:created>
  <dcterms:modified xsi:type="dcterms:W3CDTF">2020-11-02T01:06:50Z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0x010100458FC503EE364448A989AFB4678EBA3C</vt:lpwstr>
  </property>
</Properties>
</file>