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C:\Users\sanders\Documents\aa-rates\2022\"/>
    </mc:Choice>
  </mc:AlternateContent>
  <xr:revisionPtr revIDLastSave="0" documentId="13_ncr:1_{FCCC27B5-73B1-4E6F-A08D-8B23B29B6A2E}" xr6:coauthVersionLast="47" xr6:coauthVersionMax="47" xr10:uidLastSave="{00000000-0000-0000-0000-000000000000}"/>
  <bookViews>
    <workbookView xWindow="-110" yWindow="-110" windowWidth="19420" windowHeight="10420" tabRatio="745" activeTab="1" xr2:uid="{00000000-000D-0000-FFFF-FFFF00000000}"/>
  </bookViews>
  <sheets>
    <sheet name="Rev Log" sheetId="34" r:id="rId1"/>
    <sheet name="Cover Sheets" sheetId="12" r:id="rId2"/>
    <sheet name="Summary-ATRR" sheetId="32" r:id="rId3"/>
    <sheet name="WS1-RateBase" sheetId="5" r:id="rId4"/>
    <sheet name="WS2-AllocFactor" sheetId="7" r:id="rId5"/>
    <sheet name="WS3-RevCredits" sheetId="33" r:id="rId6"/>
    <sheet name="WS4-CostData" sheetId="6" r:id="rId7"/>
    <sheet name="WS5-BPUz" sheetId="31" r:id="rId8"/>
    <sheet name="WS6-BPUr" sheetId="29" r:id="rId9"/>
    <sheet name="WS7-BPUFac" sheetId="30" r:id="rId10"/>
    <sheet name="WS8-TransFac" sheetId="13" r:id="rId11"/>
    <sheet name="WS9-AI-Incl" sheetId="27" r:id="rId12"/>
    <sheet name="WS10-AI-Excl" sheetId="28" r:id="rId13"/>
    <sheet name="WS11-FacChanges" sheetId="18" r:id="rId14"/>
    <sheet name="WS12-SSCD" sheetId="4" r:id="rId15"/>
    <sheet name="WS13-SSCDFac" sheetId="2" r:id="rId16"/>
    <sheet name="WS14-Reg" sheetId="8" r:id="rId17"/>
    <sheet name="WS15-Res" sheetId="9" r:id="rId18"/>
  </sheets>
  <externalReferences>
    <externalReference r:id="rId19"/>
    <externalReference r:id="rId20"/>
  </externalReferences>
  <definedNames>
    <definedName name="Act14_ActRegRevRqmt" localSheetId="0">'[1]Input Sheet'!#REF!</definedName>
    <definedName name="Act14_ActRegRevRqmt" localSheetId="13">'[2]Input Sheet'!#REF!</definedName>
    <definedName name="Act14_ActRegRevRqmt" localSheetId="5">'[2]Input Sheet'!#REF!</definedName>
    <definedName name="Act14_ActRegRevRqmt" localSheetId="7">'[2]Input Sheet'!#REF!</definedName>
    <definedName name="Act14_ActRegRevRqmt" localSheetId="8">'[2]Input Sheet'!#REF!</definedName>
    <definedName name="Act14_ActRegRevRqmt" localSheetId="9">'[2]Input Sheet'!#REF!</definedName>
    <definedName name="Act14_ActRegRevRqmt" localSheetId="10">'[2]Input Sheet'!#REF!</definedName>
    <definedName name="Act14_ActRegRevRqmt">'[2]Input Sheet'!#REF!</definedName>
    <definedName name="Act14_AveControlAreaLoad" localSheetId="0">'[1]Input Sheet'!$H$143</definedName>
    <definedName name="Act14_AveControlAreaLoad">'[2]Input Sheet'!$H$143</definedName>
    <definedName name="Act14_BOR_AccumDepr" localSheetId="0">'[1]Input Sheet'!$H$42</definedName>
    <definedName name="Act14_BOR_AccumDepr">'[2]Input Sheet'!$H$42</definedName>
    <definedName name="Act14_BOR_DeprExp" localSheetId="0">'[1]Input Sheet'!$H$87</definedName>
    <definedName name="Act14_BOR_DeprExp">'[2]Input Sheet'!$H$87</definedName>
    <definedName name="Act14_BOR_LTDebt" localSheetId="0">'[1]Input Sheet'!$H$96</definedName>
    <definedName name="Act14_BOR_LTDebt">'[2]Input Sheet'!$H$96</definedName>
    <definedName name="Act14_BOR_LTInt" localSheetId="0">'[1]Input Sheet'!$H$97</definedName>
    <definedName name="Act14_BOR_LTInt">'[2]Input Sheet'!$H$97</definedName>
    <definedName name="Act14_BOR_OM" localSheetId="0">'[1]Input Sheet'!$H$81</definedName>
    <definedName name="Act14_BOR_OM">'[2]Input Sheet'!$H$81</definedName>
    <definedName name="Act14_BOR_Plant" localSheetId="0">'[1]Input Sheet'!$H$31</definedName>
    <definedName name="Act14_BOR_Plant">'[2]Input Sheet'!$H$31</definedName>
    <definedName name="Act14_BxPS_BEFP_1411" localSheetId="0">'[1]Input Sheet'!$H$100</definedName>
    <definedName name="Act14_BxPS_BEFP_1411">'[2]Input Sheet'!$H$100</definedName>
    <definedName name="Act14_BxPS_BEFP_1412" localSheetId="0">'[1]Input Sheet'!$H$101</definedName>
    <definedName name="Act14_BxPS_BEFP_1412">'[2]Input Sheet'!$H$101</definedName>
    <definedName name="Act14_BxPS_BEFP_1415" localSheetId="0">'[1]Input Sheet'!$H$102</definedName>
    <definedName name="Act14_BxPS_BEFP_1415">'[2]Input Sheet'!$H$102</definedName>
    <definedName name="Act14_BxPS_BEFP_1416" localSheetId="0">'[1]Input Sheet'!$H$103</definedName>
    <definedName name="Act14_BxPS_BEFP_1416">'[2]Input Sheet'!$H$103</definedName>
    <definedName name="Act14_BxPS_BEFP_1421" localSheetId="0">'[1]Input Sheet'!$H$104</definedName>
    <definedName name="Act14_BxPS_BEFP_1421">'[2]Input Sheet'!$H$104</definedName>
    <definedName name="Act14_BxPS_BEFP_1422" localSheetId="0">'[1]Input Sheet'!$H$105</definedName>
    <definedName name="Act14_BxPS_BEFP_1422">'[2]Input Sheet'!$H$105</definedName>
    <definedName name="Act14_BxPS_BEFP_1425" localSheetId="0">'[1]Input Sheet'!$H$106</definedName>
    <definedName name="Act14_BxPS_BEFP_1425">'[2]Input Sheet'!$H$106</definedName>
    <definedName name="Act14_BxPS_BEFP_1426" localSheetId="0">'[1]Input Sheet'!$H$107</definedName>
    <definedName name="Act14_BxPS_BEFP_1426">'[2]Input Sheet'!$H$107</definedName>
    <definedName name="Act14_BxPS_BEFP_1431" localSheetId="0">'[1]Input Sheet'!$H$108</definedName>
    <definedName name="Act14_BxPS_BEFP_1431">'[2]Input Sheet'!$H$108</definedName>
    <definedName name="Act14_BxPS_BEFP_1432" localSheetId="0">'[1]Input Sheet'!$H$109</definedName>
    <definedName name="Act14_BxPS_BEFP_1432">'[2]Input Sheet'!$H$109</definedName>
    <definedName name="Act14_BxPS_BEFP_1441" localSheetId="0">'[1]Input Sheet'!$H$110</definedName>
    <definedName name="Act14_BxPS_BEFP_1441">'[2]Input Sheet'!$H$110</definedName>
    <definedName name="Act14_BxPS_BEFP_1442" localSheetId="0">'[1]Input Sheet'!$H$111</definedName>
    <definedName name="Act14_BxPS_BEFP_1442">'[2]Input Sheet'!$H$111</definedName>
    <definedName name="Act14_BxPS_BEFP_AccumDepr" localSheetId="0">'[1]Input Sheet'!$H$34</definedName>
    <definedName name="Act14_BxPS_BEFP_AccumDepr">'[2]Input Sheet'!$H$34</definedName>
    <definedName name="Act14_BxPS_BEFP_Additions" localSheetId="0">'[1]Input Sheet'!$H$45</definedName>
    <definedName name="Act14_BxPS_BEFP_Additions">'[2]Input Sheet'!$H$45</definedName>
    <definedName name="Act14_BxPS_BEFP_AdjTrans" localSheetId="0">'[1]Input Sheet'!$H$47</definedName>
    <definedName name="Act14_BxPS_BEFP_AdjTrans">'[2]Input Sheet'!$H$47</definedName>
    <definedName name="Act14_BxPS_BEFP_AGExp" localSheetId="0">'[1]Input Sheet'!$H$65</definedName>
    <definedName name="Act14_BxPS_BEFP_AGExp">'[2]Input Sheet'!$H$65</definedName>
    <definedName name="Act14_BxPS_BEFP_CME" localSheetId="0">'[1]Input Sheet'!$H$69</definedName>
    <definedName name="Act14_BxPS_BEFP_CME">'[2]Input Sheet'!$H$69</definedName>
    <definedName name="Act14_BxPS_BEFP_DepMOVP" localSheetId="0">'[1]Input Sheet'!$H$67</definedName>
    <definedName name="Act14_BxPS_BEFP_DepMOVP">'[2]Input Sheet'!$H$67</definedName>
    <definedName name="Act14_BxPS_BEFP_DeprExp" localSheetId="0">'[1]Input Sheet'!$H$84</definedName>
    <definedName name="Act14_BxPS_BEFP_DeprExp">'[2]Input Sheet'!$H$84</definedName>
    <definedName name="Act14_BxPS_BEFP_DispofAssets" localSheetId="0">'[1]Input Sheet'!$H$68</definedName>
    <definedName name="Act14_BxPS_BEFP_DispofAssets">'[2]Input Sheet'!$H$68</definedName>
    <definedName name="Act14_BxPS_BEFP_GenAccumDepr" localSheetId="0">'[1]Input Sheet'!$H$36</definedName>
    <definedName name="Act14_BxPS_BEFP_GenAccumDepr">'[2]Input Sheet'!$H$36</definedName>
    <definedName name="Act14_BxPS_BEFP_GenPlant" localSheetId="0">'[1]Input Sheet'!$H$19</definedName>
    <definedName name="Act14_BxPS_BEFP_GenPlant">'[2]Input Sheet'!$H$19</definedName>
    <definedName name="Act14_BxPS_BEFP_LTDebt" localSheetId="0">'[1]Input Sheet'!$H$90</definedName>
    <definedName name="Act14_BxPS_BEFP_LTDebt">'[2]Input Sheet'!$H$90</definedName>
    <definedName name="Act14_BxPS_BEFP_LTInt" localSheetId="0">'[1]Input Sheet'!$H$91</definedName>
    <definedName name="Act14_BxPS_BEFP_LTInt">'[2]Input Sheet'!$H$91</definedName>
    <definedName name="Act14_BxPS_BEFP_OtherPowerExp" localSheetId="0">'[1]Input Sheet'!$H$64</definedName>
    <definedName name="Act14_BxPS_BEFP_OtherPowerExp">'[2]Input Sheet'!$H$64</definedName>
    <definedName name="Act14_BxPS_BEFP_Plant" localSheetId="0">'[1]Input Sheet'!$H$16</definedName>
    <definedName name="Act14_BxPS_BEFP_Plant">'[2]Input Sheet'!$H$16</definedName>
    <definedName name="Act14_BxPS_BEFP_PY_Adj" localSheetId="0">'[1]Input Sheet'!$H$66</definedName>
    <definedName name="Act14_BxPS_BEFP_PY_Adj">'[2]Input Sheet'!$H$66</definedName>
    <definedName name="Act14_BxPS_BEFP_Repl" localSheetId="0">'[1]Input Sheet'!$H$46</definedName>
    <definedName name="Act14_BxPS_BEFP_Repl">'[2]Input Sheet'!$H$46</definedName>
    <definedName name="Act14_BxPS_BEFP_Retr" localSheetId="0">'[1]Input Sheet'!$H$48</definedName>
    <definedName name="Act14_BxPS_BEFP_Retr">'[2]Input Sheet'!$H$48</definedName>
    <definedName name="Act14_BxPS_BEFP_SSCD_OpExp" localSheetId="0">'[1]Input Sheet'!$H$71</definedName>
    <definedName name="Act14_BxPS_BEFP_SSCD_OpExp">'[2]Input Sheet'!$H$71</definedName>
    <definedName name="Act14_BxPS_BEFP_SSCDPlant" localSheetId="0">'[1]Input Sheet'!$H$21</definedName>
    <definedName name="Act14_BxPS_BEFP_SSCDPlant">'[2]Input Sheet'!$H$21</definedName>
    <definedName name="Act14_BxPS_BEFP_TotalOpExpense" localSheetId="0">'[1]Input Sheet'!$H$62</definedName>
    <definedName name="Act14_BxPS_BEFP_TotalOpExpense">'[2]Input Sheet'!$H$62</definedName>
    <definedName name="Act14_BxPS_BEFP_TPlant" localSheetId="0">'[1]Input Sheet'!$H$17</definedName>
    <definedName name="Act14_BxPS_BEFP_TPlant">'[2]Input Sheet'!$H$17</definedName>
    <definedName name="Act14_BxPS_BEFP_TransAccumDepr" localSheetId="0">'[1]Input Sheet'!$H$35</definedName>
    <definedName name="Act14_BxPS_BEFP_TransAccumDepr">'[2]Input Sheet'!$H$35</definedName>
    <definedName name="Act14_BxPS_BEFP_WageSalary" localSheetId="0">'[1]Input Sheet'!$H$125</definedName>
    <definedName name="Act14_BxPS_BEFP_WageSalary">'[2]Input Sheet'!$H$125</definedName>
    <definedName name="Act14_BxPS_BEFP_Warehouse_Stores" localSheetId="0">'[1]Input Sheet'!$H$70</definedName>
    <definedName name="Act14_BxPS_BEFP_Warehouse_Stores">'[2]Input Sheet'!$H$70</definedName>
    <definedName name="Act14_BXPS_OM" localSheetId="0">'[1]2014 COST DATA'!$C$120</definedName>
    <definedName name="Act14_BXPS_OM">'[2]2014 COST DATA'!$C$120</definedName>
    <definedName name="Act14_COE_AccumDepr" localSheetId="0">'[1]Input Sheet'!$H$39</definedName>
    <definedName name="Act14_COE_AccumDepr">'[2]Input Sheet'!$H$39</definedName>
    <definedName name="Act14_COE_AccumDeprGen" localSheetId="0">'[1]Input Sheet'!$H$41</definedName>
    <definedName name="Act14_COE_AccumDeprGen">'[2]Input Sheet'!$H$41</definedName>
    <definedName name="Act14_COE_AG" localSheetId="0">'[1]2014 COST DATA'!$G$95</definedName>
    <definedName name="Act14_COE_AG">'[2]2014 COST DATA'!$G$95</definedName>
    <definedName name="Act14_COE_DeprExp" localSheetId="0">'[1]Input Sheet'!$H$86</definedName>
    <definedName name="Act14_COE_DeprExp">'[2]Input Sheet'!$H$86</definedName>
    <definedName name="Act14_COE_Gen" localSheetId="0">'[1]Input Sheet'!$H$29</definedName>
    <definedName name="Act14_COE_Gen">'[2]Input Sheet'!$H$29</definedName>
    <definedName name="Act14_COE_GenDepr" localSheetId="0">'[1]2014 COST DATA'!$G$38</definedName>
    <definedName name="Act14_COE_GenDepr">'[2]2014 COST DATA'!$G$38</definedName>
    <definedName name="Act14_COE_GenOM" localSheetId="0">'[1]2014 COST DATA'!$G$122</definedName>
    <definedName name="Act14_COE_GenOM">'[2]2014 COST DATA'!$G$122</definedName>
    <definedName name="Act14_COE_GenPlant" localSheetId="0">'[1]2014 COST DATA'!$G$17</definedName>
    <definedName name="Act14_COE_GenPlant">'[2]2014 COST DATA'!$G$17</definedName>
    <definedName name="Act14_COE_LTDebt" localSheetId="0">'[1]Input Sheet'!$H$94</definedName>
    <definedName name="Act14_COE_LTDebt">'[2]Input Sheet'!$H$94</definedName>
    <definedName name="Act14_COE_LTInt" localSheetId="0">'[1]Input Sheet'!$H$95</definedName>
    <definedName name="Act14_COE_LTInt">'[2]Input Sheet'!$H$95</definedName>
    <definedName name="Act14_COE_OM" localSheetId="0">'[1]Input Sheet'!$H$80</definedName>
    <definedName name="Act14_COE_OM">'[2]Input Sheet'!$H$80</definedName>
    <definedName name="Act14_COE_Plant" localSheetId="0">'[1]Input Sheet'!$H$26</definedName>
    <definedName name="Act14_COE_Plant">'[2]Input Sheet'!$H$26</definedName>
    <definedName name="Act14_COE_TPlant" localSheetId="0">'[1]Input Sheet'!$H$27</definedName>
    <definedName name="Act14_COE_TPlant">'[2]Input Sheet'!$H$27</definedName>
    <definedName name="Act14_COE_TransAccumDepr" localSheetId="0">'[1]Input Sheet'!$H$40</definedName>
    <definedName name="Act14_COE_TransAccumDepr">'[2]Input Sheet'!$H$40</definedName>
    <definedName name="Act14_ControlAreaLoad" localSheetId="0">'[1]Input Sheet'!$H$146</definedName>
    <definedName name="Act14_ControlAreaLoad">'[2]Input Sheet'!$H$146</definedName>
    <definedName name="Act14_Credit_Acct454" localSheetId="0">'[1]Input Sheet'!$H$14</definedName>
    <definedName name="Act14_Credit_Acct454">'[2]Input Sheet'!$H$14</definedName>
    <definedName name="Act14_Credit_ExstRev" localSheetId="0">'[1]Input Sheet'!$H$12</definedName>
    <definedName name="Act14_Credit_ExstRev">'[2]Input Sheet'!$H$12</definedName>
    <definedName name="Act14_Credit_NFPTP" localSheetId="0">'[1]Input Sheet'!$H$11</definedName>
    <definedName name="Act14_Credit_NFPTP">'[2]Input Sheet'!$H$11</definedName>
    <definedName name="Act14_Credit_SSCD" localSheetId="0">'[1]Input Sheet'!$H$13</definedName>
    <definedName name="Act14_Credit_SSCD">'[2]Input Sheet'!$H$13</definedName>
    <definedName name="Act14_Credit_STPTP" localSheetId="0">'[1]Input Sheet'!$H$10</definedName>
    <definedName name="Act14_Credit_STPTP">'[2]Input Sheet'!$H$10</definedName>
    <definedName name="Act14_GenAG" localSheetId="0">'[1]2014 COST DATA'!$K$95</definedName>
    <definedName name="Act14_GenAG">'[2]2014 COST DATA'!$K$95</definedName>
    <definedName name="Act14_GenCompRate" localSheetId="0">'[1]2014 COST DATA'!$K$62</definedName>
    <definedName name="Act14_GenCompRate">'[2]2014 COST DATA'!$K$62</definedName>
    <definedName name="Act14_GenDepr" localSheetId="0">'[1]2014 COST DATA'!$K$38</definedName>
    <definedName name="Act14_GenDepr">'[2]2014 COST DATA'!$K$38</definedName>
    <definedName name="Act14_GenOM" localSheetId="0">'[1]2014 COST DATA'!$K$122</definedName>
    <definedName name="Act14_GenOM">'[2]2014 COST DATA'!$K$122</definedName>
    <definedName name="Act14_GenPlant" localSheetId="0">'[1]2014 COST DATA'!$K$17</definedName>
    <definedName name="Act14_GenPlant">'[2]2014 COST DATA'!$K$17</definedName>
    <definedName name="Act14_MaxControlAreaLoad" localSheetId="0">'[1]Input Sheet'!$H$144</definedName>
    <definedName name="Act14_MaxControlAreaLoad">'[2]Input Sheet'!$H$144</definedName>
    <definedName name="Act14_MaxGenControlArea" localSheetId="0">'[1]Input Sheet'!$H$145</definedName>
    <definedName name="Act14_MaxGenControlArea">'[2]Input Sheet'!$H$145</definedName>
    <definedName name="Act14_RateLoadControlArea" localSheetId="0">'[1]Input Sheet'!$H$147</definedName>
    <definedName name="Act14_RateLoadControlArea">'[2]Input Sheet'!$H$147</definedName>
    <definedName name="Act14_RegRateRevRqmt" localSheetId="0">'[1]Input Sheet'!$H$150</definedName>
    <definedName name="Act14_RegRateRevRqmt">'[2]Input Sheet'!$H$150</definedName>
    <definedName name="Act14_RMR_1411" localSheetId="0">'[1]Input Sheet'!$H$112</definedName>
    <definedName name="Act14_RMR_1411">'[2]Input Sheet'!$H$112</definedName>
    <definedName name="Act14_RMR_1412" localSheetId="0">'[1]Input Sheet'!$H$113</definedName>
    <definedName name="Act14_RMR_1412">'[2]Input Sheet'!$H$113</definedName>
    <definedName name="Act14_RMR_1415" localSheetId="0">'[1]Input Sheet'!$H$114</definedName>
    <definedName name="Act14_RMR_1415">'[2]Input Sheet'!$H$114</definedName>
    <definedName name="Act14_RMR_1416" localSheetId="0">'[1]Input Sheet'!$H$115</definedName>
    <definedName name="Act14_RMR_1416">'[2]Input Sheet'!$H$115</definedName>
    <definedName name="Act14_RMR_1421" localSheetId="0">'[1]Input Sheet'!$H$116</definedName>
    <definedName name="Act14_RMR_1421">'[2]Input Sheet'!$H$116</definedName>
    <definedName name="Act14_RMR_1422" localSheetId="0">'[1]Input Sheet'!$H$117</definedName>
    <definedName name="Act14_RMR_1422">'[2]Input Sheet'!$H$117</definedName>
    <definedName name="Act14_RMR_1425" localSheetId="0">'[1]Input Sheet'!$H$118</definedName>
    <definedName name="Act14_RMR_1425">'[2]Input Sheet'!$H$118</definedName>
    <definedName name="Act14_RMR_1426" localSheetId="0">'[1]Input Sheet'!$H$119</definedName>
    <definedName name="Act14_RMR_1426">'[2]Input Sheet'!$H$119</definedName>
    <definedName name="Act14_RMR_1431" localSheetId="0">'[1]Input Sheet'!$H$120</definedName>
    <definedName name="Act14_RMR_1431">'[2]Input Sheet'!$H$120</definedName>
    <definedName name="Act14_RMR_1432" localSheetId="0">'[1]Input Sheet'!$H$121</definedName>
    <definedName name="Act14_RMR_1432">'[2]Input Sheet'!$H$121</definedName>
    <definedName name="Act14_RMR_1441" localSheetId="0">'[1]Input Sheet'!$H$122</definedName>
    <definedName name="Act14_RMR_1441">'[2]Input Sheet'!$H$122</definedName>
    <definedName name="Act14_RMR_1442" localSheetId="0">'[1]Input Sheet'!$H$123</definedName>
    <definedName name="Act14_RMR_1442">'[2]Input Sheet'!$H$123</definedName>
    <definedName name="Act14_RMR_AccumDepr" localSheetId="0">'[1]Input Sheet'!$H$37</definedName>
    <definedName name="Act14_RMR_AccumDepr">'[2]Input Sheet'!$H$37</definedName>
    <definedName name="Act14_RMR_AGExp" localSheetId="0">'[1]Input Sheet'!$H$75</definedName>
    <definedName name="Act14_RMR_AGExp">'[2]Input Sheet'!$H$75</definedName>
    <definedName name="Act14_RMR_CME" localSheetId="0">'[1]Input Sheet'!$H$78</definedName>
    <definedName name="Act14_RMR_CME">'[2]Input Sheet'!$H$78</definedName>
    <definedName name="Act14_RMR_DeprExp" localSheetId="0">'[1]Input Sheet'!$H$85</definedName>
    <definedName name="Act14_RMR_DeprExp">'[2]Input Sheet'!$H$85</definedName>
    <definedName name="Act14_RMR_DispofAssets" localSheetId="0">'[1]Input Sheet'!$H$77</definedName>
    <definedName name="Act14_RMR_DispofAssets">'[2]Input Sheet'!$H$77</definedName>
    <definedName name="Act14_RMR_LTDebt" localSheetId="0">'[1]Input Sheet'!$H$92</definedName>
    <definedName name="Act14_RMR_LTDebt">'[2]Input Sheet'!$H$92</definedName>
    <definedName name="Act14_RMR_LTInt" localSheetId="0">'[1]Input Sheet'!$H$93</definedName>
    <definedName name="Act14_RMR_LTInt">'[2]Input Sheet'!$H$93</definedName>
    <definedName name="Act14_RMR_MOVP_Depr" localSheetId="0">'[1]Input Sheet'!$H$76</definedName>
    <definedName name="Act14_RMR_MOVP_Depr">'[2]Input Sheet'!$H$76</definedName>
    <definedName name="Act14_RMR_OM" localSheetId="0">'[1]2014 COST DATA'!$E$120</definedName>
    <definedName name="Act14_RMR_OM">'[2]2014 COST DATA'!$E$120</definedName>
    <definedName name="Act14_RMR_Other_Power_Exp" localSheetId="0">'[1]Input Sheet'!$H$74</definedName>
    <definedName name="Act14_RMR_Other_Power_Exp">'[2]Input Sheet'!$H$74</definedName>
    <definedName name="Act14_RMR_Plant" localSheetId="0">'[1]Input Sheet'!$H$23</definedName>
    <definedName name="Act14_RMR_Plant">'[2]Input Sheet'!$H$23</definedName>
    <definedName name="Act14_RMR_Total_OM" localSheetId="0">'[1]Input Sheet'!$H$73</definedName>
    <definedName name="Act14_RMR_Total_OM">'[2]Input Sheet'!$H$73</definedName>
    <definedName name="Act14_RMR_Total_OpExp" localSheetId="0">'[1]Input Sheet'!$H$72</definedName>
    <definedName name="Act14_RMR_Total_OpExp">'[2]Input Sheet'!$H$72</definedName>
    <definedName name="Act14_RMR_TPlant" localSheetId="0">'[1]Input Sheet'!$H$24</definedName>
    <definedName name="Act14_RMR_TPlant">'[2]Input Sheet'!$H$24</definedName>
    <definedName name="Act14_RMR_TransAccumDepr" localSheetId="0">'[1]Input Sheet'!$H$38</definedName>
    <definedName name="Act14_RMR_TransAccumDepr">'[2]Input Sheet'!$H$38</definedName>
    <definedName name="Act14_RMR_Warehouse_Stores" localSheetId="0">'[1]Input Sheet'!$H$79</definedName>
    <definedName name="Act14_RMR_Warehouse_Stores">'[2]Input Sheet'!$H$79</definedName>
    <definedName name="Act14_TotalTransPlant" localSheetId="0">'[1]2014 COST DATA'!$K$6</definedName>
    <definedName name="Act14_TotalTransPlant">'[2]2014 COST DATA'!$K$6</definedName>
    <definedName name="Act14_TransAG" localSheetId="0">'[1]2014 COST DATA'!$K$94</definedName>
    <definedName name="Act14_TransAG">'[2]2014 COST DATA'!$K$94</definedName>
    <definedName name="Act14_TransCompRate" localSheetId="0">'[1]2014 COST DATA'!$K$60</definedName>
    <definedName name="Act14_TransCompRate">'[2]2014 COST DATA'!$K$60</definedName>
    <definedName name="Act14_TransDepr" localSheetId="0">'[1]2014 COST DATA'!$K$37</definedName>
    <definedName name="Act14_TransDepr">'[2]2014 COST DATA'!$K$37</definedName>
    <definedName name="Act14_TransOM" localSheetId="0">'[1]2014 COST DATA'!$K$121</definedName>
    <definedName name="Act14_TransOM">'[2]2014 COST DATA'!$K$121</definedName>
    <definedName name="Act14_TransPlant" localSheetId="0">'[1]2014 COST DATA'!$K$16</definedName>
    <definedName name="Act14_TransPlant">'[2]2014 COST DATA'!$K$16</definedName>
    <definedName name="Act15_BxPS_BEFP_Additions" localSheetId="0">'[1]Input Sheet'!$E$45</definedName>
    <definedName name="Act15_BxPS_BEFP_Additions">'[2]Input Sheet'!$E$45</definedName>
    <definedName name="Act15_BxPS_BEFP_AdjTrans" localSheetId="0">'[1]Input Sheet'!$E$47</definedName>
    <definedName name="Act15_BxPS_BEFP_AdjTrans">'[2]Input Sheet'!$E$47</definedName>
    <definedName name="Act15_BxPS_BEFP_AGExp" localSheetId="0">'[1]Input Sheet'!$E$65</definedName>
    <definedName name="Act15_BxPS_BEFP_AGExp">'[2]Input Sheet'!$E$65</definedName>
    <definedName name="Act15_BxPS_BEFP_CME" localSheetId="0">'[1]Input Sheet'!$E$69</definedName>
    <definedName name="Act15_BxPS_BEFP_CME">'[2]Input Sheet'!$E$69</definedName>
    <definedName name="Act15_BxPS_BEFP_OtherPowerExp" localSheetId="0">'[1]Input Sheet'!$E$64</definedName>
    <definedName name="Act15_BxPS_BEFP_OtherPowerExp">'[2]Input Sheet'!$E$64</definedName>
    <definedName name="Act15_BxPS_BEFP_Plant" localSheetId="0">'[1]Input Sheet'!$E$16</definedName>
    <definedName name="Act15_BxPS_BEFP_Plant">'[2]Input Sheet'!$E$16</definedName>
    <definedName name="Act15_BxPS_BEFP_PY_Adj" localSheetId="0">'[1]Input Sheet'!$E$66</definedName>
    <definedName name="Act15_BxPS_BEFP_PY_Adj">'[2]Input Sheet'!$E$66</definedName>
    <definedName name="Act15_BxPS_BEFP_Repl" localSheetId="0">'[1]Input Sheet'!$E$46</definedName>
    <definedName name="Act15_BxPS_BEFP_Repl">'[2]Input Sheet'!$E$46</definedName>
    <definedName name="Act15_BxPS_BEFP_Retr" localSheetId="0">'[1]Input Sheet'!$E$48</definedName>
    <definedName name="Act15_BxPS_BEFP_Retr">'[2]Input Sheet'!$E$48</definedName>
    <definedName name="Act15_BxPS_BEFP_TotalOpExpense" localSheetId="0">'[1]Input Sheet'!$E$62</definedName>
    <definedName name="Act15_BxPS_BEFP_TotalOpExpense">'[2]Input Sheet'!$E$62</definedName>
    <definedName name="Act15_BxPS_BEFP_Warehouse_Stores" localSheetId="0">'[1]Input Sheet'!$E$70</definedName>
    <definedName name="Act15_BxPS_BEFP_Warehouse_Stores">'[2]Input Sheet'!$E$70</definedName>
    <definedName name="Act15_RMR_AGExp" localSheetId="0">'[1]Input Sheet'!$E$75</definedName>
    <definedName name="Act15_RMR_AGExp">'[2]Input Sheet'!$E$75</definedName>
    <definedName name="Act15_RMR_CME" localSheetId="0">'[1]Input Sheet'!$E$78</definedName>
    <definedName name="Act15_RMR_CME">'[2]Input Sheet'!$E$78</definedName>
    <definedName name="Act15_RMR_Other_Power_Exp" localSheetId="0">'[1]Input Sheet'!$E$74</definedName>
    <definedName name="Act15_RMR_Other_Power_Exp">'[2]Input Sheet'!$E$74</definedName>
    <definedName name="Act15_RMR_Plant" localSheetId="0">'[1]Input Sheet'!$E$23</definedName>
    <definedName name="Act15_RMR_Plant">'[2]Input Sheet'!$E$23</definedName>
    <definedName name="Act15_RMR_Total_OpExp" localSheetId="0">'[1]Input Sheet'!$E$72</definedName>
    <definedName name="Act15_RMR_Total_OpExp">'[2]Input Sheet'!$E$72</definedName>
    <definedName name="Act15_RMR_Warehouse_Stores" localSheetId="0">'[1]Input Sheet'!$E$79</definedName>
    <definedName name="Act15_RMR_Warehouse_Stores">'[2]Input Sheet'!$E$79</definedName>
    <definedName name="CUSTAR" localSheetId="1">#REF!</definedName>
    <definedName name="CUSTAR" localSheetId="13">#REF!</definedName>
    <definedName name="CUSTAR" localSheetId="14">#REF!</definedName>
    <definedName name="CUSTAR" localSheetId="16">#REF!</definedName>
    <definedName name="CUSTAR" localSheetId="17">#REF!</definedName>
    <definedName name="CUSTAR" localSheetId="3">#REF!</definedName>
    <definedName name="CUSTAR" localSheetId="4">#REF!</definedName>
    <definedName name="CUSTAR" localSheetId="5">#REF!</definedName>
    <definedName name="CUSTAR" localSheetId="6">#REF!</definedName>
    <definedName name="CUSTAR" localSheetId="7">#REF!</definedName>
    <definedName name="CUSTAR" localSheetId="8">#REF!</definedName>
    <definedName name="CUSTAR" localSheetId="9">#REF!</definedName>
    <definedName name="CUSTAR" localSheetId="10">#REF!</definedName>
    <definedName name="CUSTAR">#REF!</definedName>
    <definedName name="Custar1" localSheetId="1">#REF!</definedName>
    <definedName name="Custar1" localSheetId="13">#REF!</definedName>
    <definedName name="Custar1" localSheetId="14">#REF!</definedName>
    <definedName name="Custar1" localSheetId="16">#REF!</definedName>
    <definedName name="Custar1" localSheetId="17">#REF!</definedName>
    <definedName name="Custar1" localSheetId="3">#REF!</definedName>
    <definedName name="Custar1" localSheetId="4">#REF!</definedName>
    <definedName name="Custar1" localSheetId="5">#REF!</definedName>
    <definedName name="Custar1" localSheetId="6">#REF!</definedName>
    <definedName name="Custar1" localSheetId="7">#REF!</definedName>
    <definedName name="Custar1" localSheetId="8">#REF!</definedName>
    <definedName name="Custar1" localSheetId="9">#REF!</definedName>
    <definedName name="Custar1" localSheetId="10">#REF!</definedName>
    <definedName name="Custar1">#REF!</definedName>
    <definedName name="CUYAHOGA_FALLS" localSheetId="1">#REF!</definedName>
    <definedName name="CUYAHOGA_FALLS" localSheetId="13">#REF!</definedName>
    <definedName name="CUYAHOGA_FALLS" localSheetId="14">#REF!</definedName>
    <definedName name="CUYAHOGA_FALLS" localSheetId="16">#REF!</definedName>
    <definedName name="CUYAHOGA_FALLS" localSheetId="17">#REF!</definedName>
    <definedName name="CUYAHOGA_FALLS" localSheetId="3">#REF!</definedName>
    <definedName name="CUYAHOGA_FALLS" localSheetId="4">#REF!</definedName>
    <definedName name="CUYAHOGA_FALLS" localSheetId="5">#REF!</definedName>
    <definedName name="CUYAHOGA_FALLS" localSheetId="6">#REF!</definedName>
    <definedName name="CUYAHOGA_FALLS" localSheetId="7">#REF!</definedName>
    <definedName name="CUYAHOGA_FALLS" localSheetId="8">#REF!</definedName>
    <definedName name="CUYAHOGA_FALLS" localSheetId="9">#REF!</definedName>
    <definedName name="CUYAHOGA_FALLS" localSheetId="10">#REF!</definedName>
    <definedName name="CUYAHOGA_FALLS">#REF!</definedName>
    <definedName name="DETERMINATION_OF_PICK_SLOAN_MISSOURI_BASIN_PROGRAM__EASTERN_DIVISION" localSheetId="1">#REF!</definedName>
    <definedName name="DETERMINATION_OF_PICK_SLOAN_MISSOURI_BASIN_PROGRAM__EASTERN_DIVISION" localSheetId="13">#REF!</definedName>
    <definedName name="DETERMINATION_OF_PICK_SLOAN_MISSOURI_BASIN_PROGRAM__EASTERN_DIVISION" localSheetId="14">#REF!</definedName>
    <definedName name="DETERMINATION_OF_PICK_SLOAN_MISSOURI_BASIN_PROGRAM__EASTERN_DIVISION" localSheetId="16">#REF!</definedName>
    <definedName name="DETERMINATION_OF_PICK_SLOAN_MISSOURI_BASIN_PROGRAM__EASTERN_DIVISION" localSheetId="17">#REF!</definedName>
    <definedName name="DETERMINATION_OF_PICK_SLOAN_MISSOURI_BASIN_PROGRAM__EASTERN_DIVISION" localSheetId="3">#REF!</definedName>
    <definedName name="DETERMINATION_OF_PICK_SLOAN_MISSOURI_BASIN_PROGRAM__EASTERN_DIVISION" localSheetId="4">#REF!</definedName>
    <definedName name="DETERMINATION_OF_PICK_SLOAN_MISSOURI_BASIN_PROGRAM__EASTERN_DIVISION" localSheetId="5">#REF!</definedName>
    <definedName name="DETERMINATION_OF_PICK_SLOAN_MISSOURI_BASIN_PROGRAM__EASTERN_DIVISION" localSheetId="6">#REF!</definedName>
    <definedName name="DETERMINATION_OF_PICK_SLOAN_MISSOURI_BASIN_PROGRAM__EASTERN_DIVISION" localSheetId="7">#REF!</definedName>
    <definedName name="DETERMINATION_OF_PICK_SLOAN_MISSOURI_BASIN_PROGRAM__EASTERN_DIVISION" localSheetId="8">#REF!</definedName>
    <definedName name="DETERMINATION_OF_PICK_SLOAN_MISSOURI_BASIN_PROGRAM__EASTERN_DIVISION" localSheetId="9">#REF!</definedName>
    <definedName name="DETERMINATION_OF_PICK_SLOAN_MISSOURI_BASIN_PROGRAM__EASTERN_DIVISION" localSheetId="10">#REF!</definedName>
    <definedName name="DETERMINATION_OF_PICK_SLOAN_MISSOURI_BASIN_PROGRAM__EASTERN_DIVISION">#REF!</definedName>
    <definedName name="EDGERTON" localSheetId="1">#REF!</definedName>
    <definedName name="EDGERTON" localSheetId="13">#REF!</definedName>
    <definedName name="EDGERTON" localSheetId="14">#REF!</definedName>
    <definedName name="EDGERTON" localSheetId="16">#REF!</definedName>
    <definedName name="EDGERTON" localSheetId="17">#REF!</definedName>
    <definedName name="EDGERTON" localSheetId="3">#REF!</definedName>
    <definedName name="EDGERTON" localSheetId="4">#REF!</definedName>
    <definedName name="EDGERTON" localSheetId="5">#REF!</definedName>
    <definedName name="EDGERTON" localSheetId="6">#REF!</definedName>
    <definedName name="EDGERTON" localSheetId="7">#REF!</definedName>
    <definedName name="EDGERTON" localSheetId="8">#REF!</definedName>
    <definedName name="EDGERTON" localSheetId="9">#REF!</definedName>
    <definedName name="EDGERTON" localSheetId="10">#REF!</definedName>
    <definedName name="EDGERTON">#REF!</definedName>
    <definedName name="Ellwood_City" localSheetId="1">#REF!</definedName>
    <definedName name="Ellwood_City" localSheetId="13">#REF!</definedName>
    <definedName name="Ellwood_City" localSheetId="14">#REF!</definedName>
    <definedName name="Ellwood_City" localSheetId="16">#REF!</definedName>
    <definedName name="Ellwood_City" localSheetId="17">#REF!</definedName>
    <definedName name="Ellwood_City" localSheetId="3">#REF!</definedName>
    <definedName name="Ellwood_City" localSheetId="4">#REF!</definedName>
    <definedName name="Ellwood_City" localSheetId="5">#REF!</definedName>
    <definedName name="Ellwood_City" localSheetId="6">#REF!</definedName>
    <definedName name="Ellwood_City" localSheetId="7">#REF!</definedName>
    <definedName name="Ellwood_City" localSheetId="8">#REF!</definedName>
    <definedName name="Ellwood_City" localSheetId="9">#REF!</definedName>
    <definedName name="Ellwood_City" localSheetId="10">#REF!</definedName>
    <definedName name="Ellwood_City">#REF!</definedName>
    <definedName name="ELMORE" localSheetId="1">#REF!</definedName>
    <definedName name="ELMORE" localSheetId="13">#REF!</definedName>
    <definedName name="ELMORE" localSheetId="14">#REF!</definedName>
    <definedName name="ELMORE" localSheetId="16">#REF!</definedName>
    <definedName name="ELMORE" localSheetId="17">#REF!</definedName>
    <definedName name="ELMORE" localSheetId="3">#REF!</definedName>
    <definedName name="ELMORE" localSheetId="4">#REF!</definedName>
    <definedName name="ELMORE" localSheetId="5">#REF!</definedName>
    <definedName name="ELMORE" localSheetId="6">#REF!</definedName>
    <definedName name="ELMORE" localSheetId="7">#REF!</definedName>
    <definedName name="ELMORE" localSheetId="8">#REF!</definedName>
    <definedName name="ELMORE" localSheetId="9">#REF!</definedName>
    <definedName name="ELMORE" localSheetId="10">#REF!</definedName>
    <definedName name="ELMORE">#REF!</definedName>
    <definedName name="Est16_BOR_AccumDepr" localSheetId="0">'[1]Input Sheet'!$C$42</definedName>
    <definedName name="Est16_BOR_AccumDepr">'[2]Input Sheet'!$C$42</definedName>
    <definedName name="Est16_BOR_DeprExp" localSheetId="0">'[1]Input Sheet'!$C$87</definedName>
    <definedName name="Est16_BOR_DeprExp">'[2]Input Sheet'!$C$87</definedName>
    <definedName name="Est16_BOR_LTDebt" localSheetId="0">'[1]Input Sheet'!$C$96</definedName>
    <definedName name="Est16_BOR_LTDebt">'[2]Input Sheet'!$C$96</definedName>
    <definedName name="Est16_BOR_LTInt" localSheetId="0">'[1]Input Sheet'!$C$97</definedName>
    <definedName name="Est16_BOR_LTInt">'[2]Input Sheet'!$C$97</definedName>
    <definedName name="Est16_BOR_OM" localSheetId="0">'[1]Input Sheet'!$C$81</definedName>
    <definedName name="Est16_BOR_OM">'[2]Input Sheet'!$C$81</definedName>
    <definedName name="Est16_BOR_Plant" localSheetId="0">'[1]Input Sheet'!$C$31</definedName>
    <definedName name="Est16_BOR_Plant">'[2]Input Sheet'!$C$31</definedName>
    <definedName name="Est16_BxPS_BEFP_AccumDepr" localSheetId="0">'[1]Input Sheet'!$C$34</definedName>
    <definedName name="Est16_BxPS_BEFP_AccumDepr">'[2]Input Sheet'!$C$34</definedName>
    <definedName name="Est16_BxPS_BEFP_AGExp" localSheetId="0">'[1]Input Sheet'!$C$65</definedName>
    <definedName name="Est16_BxPS_BEFP_AGExp">'[2]Input Sheet'!$C$65</definedName>
    <definedName name="Est16_BxPS_BEFP_CME" localSheetId="0">'[1]Input Sheet'!$C$69</definedName>
    <definedName name="Est16_BxPS_BEFP_CME">'[2]Input Sheet'!$C$69</definedName>
    <definedName name="Est16_BxPS_BEFP_DepMOVP" localSheetId="0">'[1]Input Sheet'!$C$67</definedName>
    <definedName name="Est16_BxPS_BEFP_DepMOVP">'[2]Input Sheet'!$C$67</definedName>
    <definedName name="Est16_BxPS_BEFP_DeprExp" localSheetId="0">'[1]Input Sheet'!$C$84</definedName>
    <definedName name="Est16_BxPS_BEFP_DeprExp">'[2]Input Sheet'!$C$84</definedName>
    <definedName name="Est16_BxPS_BEFP_DispofAssets" localSheetId="0">'[1]Input Sheet'!$C$68</definedName>
    <definedName name="Est16_BxPS_BEFP_DispofAssets">'[2]Input Sheet'!$C$68</definedName>
    <definedName name="Est16_BxPS_BEFP_GenAccumDepr" localSheetId="0">'[1]Input Sheet'!$C$36</definedName>
    <definedName name="Est16_BxPS_BEFP_GenAccumDepr">'[2]Input Sheet'!$C$36</definedName>
    <definedName name="Est16_BxPS_BEFP_GenPlant" localSheetId="0">'[1]Input Sheet'!$C$19</definedName>
    <definedName name="Est16_BxPS_BEFP_GenPlant">'[2]Input Sheet'!$C$19</definedName>
    <definedName name="Est16_BxPS_BEFP_LTDebt" localSheetId="0">'[1]Input Sheet'!$C$90</definedName>
    <definedName name="Est16_BxPS_BEFP_LTDebt">'[2]Input Sheet'!$C$90</definedName>
    <definedName name="Est16_BxPS_BEFP_LTInt" localSheetId="0">'[1]Input Sheet'!$C$91</definedName>
    <definedName name="Est16_BxPS_BEFP_LTInt">'[2]Input Sheet'!$C$91</definedName>
    <definedName name="Est16_BxPS_BEFP_Plant" localSheetId="0">'[1]Input Sheet'!$C$16</definedName>
    <definedName name="Est16_BxPS_BEFP_Plant">'[2]Input Sheet'!$C$16</definedName>
    <definedName name="Est16_BxPS_BEFP_SSCD_OpExp" localSheetId="0">'[1]Input Sheet'!$C$71</definedName>
    <definedName name="Est16_BxPS_BEFP_SSCD_OpExp">'[2]Input Sheet'!$C$71</definedName>
    <definedName name="Est16_BxPS_BEFP_SSCDAllocator" localSheetId="0">'[1]Input Sheet'!$C$22</definedName>
    <definedName name="Est16_BxPS_BEFP_SSCDAllocator">'[2]Input Sheet'!$C$22</definedName>
    <definedName name="Est16_BxPS_BEFP_SSCDPlant" localSheetId="0">'[1]Input Sheet'!$C$21</definedName>
    <definedName name="Est16_BxPS_BEFP_SSCDPlant">'[2]Input Sheet'!$C$21</definedName>
    <definedName name="Est16_BxPS_BEFP_TotalOM" localSheetId="0">'[1]Input Sheet'!$C$63</definedName>
    <definedName name="Est16_BxPS_BEFP_TotalOM">'[2]Input Sheet'!$C$63</definedName>
    <definedName name="Est16_BxPS_BEFP_TPlant" localSheetId="0">'[1]Input Sheet'!$C$17</definedName>
    <definedName name="Est16_BxPS_BEFP_TPlant">'[2]Input Sheet'!$C$17</definedName>
    <definedName name="Est16_BxPS_BEFP_TransAccumDepr" localSheetId="0">'[1]Input Sheet'!$C$35</definedName>
    <definedName name="Est16_BxPS_BEFP_TransAccumDepr">'[2]Input Sheet'!$C$35</definedName>
    <definedName name="Est16_BxPS_BEFP_WageSalary" localSheetId="0">'[1]Input Sheet'!$C$125</definedName>
    <definedName name="Est16_BxPS_BEFP_WageSalary">'[2]Input Sheet'!$C$125</definedName>
    <definedName name="Est16_BxPS_BEFP_Warehouse_Stores" localSheetId="0">'[1]Input Sheet'!$C$70</definedName>
    <definedName name="Est16_BxPS_BEFP_Warehouse_Stores">'[2]Input Sheet'!$C$70</definedName>
    <definedName name="Est16_BXPS_OM" localSheetId="0">'[1]2016 EST COST DATA'!$C$119</definedName>
    <definedName name="Est16_BXPS_OM">'[2]2016 EST COST DATA'!$C$119</definedName>
    <definedName name="Est16_COE_AccumDepr" localSheetId="0">'[1]Input Sheet'!$C$39</definedName>
    <definedName name="Est16_COE_AccumDepr">'[2]Input Sheet'!$C$39</definedName>
    <definedName name="Est16_COE_AG" localSheetId="0">'[1]2016 EST COST DATA'!$G$95</definedName>
    <definedName name="Est16_COE_AG">'[2]2016 EST COST DATA'!$G$95</definedName>
    <definedName name="Est16_COE_DeprExp" localSheetId="0">'[1]Input Sheet'!$C$86</definedName>
    <definedName name="Est16_COE_DeprExp">'[2]Input Sheet'!$C$86</definedName>
    <definedName name="Est16_COE_FixedChargeRate" localSheetId="0">'[1]2016 est ANNUAL COSTS'!$E$34</definedName>
    <definedName name="Est16_COE_FixedChargeRate">'[2]2016 est ANNUAL COSTS'!$E$34</definedName>
    <definedName name="Est16_COE_Gen" localSheetId="0">'[1]Input Sheet'!$C$29</definedName>
    <definedName name="Est16_COE_Gen">'[2]Input Sheet'!$C$29</definedName>
    <definedName name="Est16_COE_GenAccumDepr" localSheetId="0">'[1]Input Sheet'!$C$41</definedName>
    <definedName name="Est16_COE_GenAccumDepr">'[2]Input Sheet'!$C$41</definedName>
    <definedName name="Est16_COE_GenDepr" localSheetId="0">'[1]2016 EST COST DATA'!$G$38</definedName>
    <definedName name="Est16_COE_GenDepr">'[2]2016 EST COST DATA'!$G$38</definedName>
    <definedName name="Est16_COE_GenOM" localSheetId="0">'[1]2016 EST COST DATA'!$G$121</definedName>
    <definedName name="Est16_COE_GenOM">'[2]2016 EST COST DATA'!$G$121</definedName>
    <definedName name="Est16_COE_GenPlant" localSheetId="0">'[1]2016 EST COST DATA'!$G$17</definedName>
    <definedName name="Est16_COE_GenPlant">'[2]2016 EST COST DATA'!$G$17</definedName>
    <definedName name="Est16_COE_LTDebt" localSheetId="0">'[1]Input Sheet'!$C$94</definedName>
    <definedName name="Est16_COE_LTDebt">'[2]Input Sheet'!$C$94</definedName>
    <definedName name="Est16_COE_LTInt" localSheetId="0">'[1]Input Sheet'!$C$95</definedName>
    <definedName name="Est16_COE_LTInt">'[2]Input Sheet'!$C$95</definedName>
    <definedName name="Est16_COE_NetPlantInvest" localSheetId="0">'[1]2016 est ANNUAL COSTS'!$E$35</definedName>
    <definedName name="Est16_COE_NetPlantInvest">'[2]2016 est ANNUAL COSTS'!$E$35</definedName>
    <definedName name="Est16_COE_OM" localSheetId="0">'[1]Input Sheet'!$C$80</definedName>
    <definedName name="Est16_COE_OM">'[2]Input Sheet'!$C$80</definedName>
    <definedName name="Est16_COE_Plant" localSheetId="0">'[1]Input Sheet'!$C$26</definedName>
    <definedName name="Est16_COE_Plant">'[2]Input Sheet'!$C$26</definedName>
    <definedName name="Est16_COE_TPlant" localSheetId="0">'[1]Input Sheet'!$C$27</definedName>
    <definedName name="Est16_COE_TPlant">'[2]Input Sheet'!$C$27</definedName>
    <definedName name="Est16_COE_TransAccumDepr" localSheetId="0">'[1]Input Sheet'!$C$40</definedName>
    <definedName name="Est16_COE_TransAccumDepr">'[2]Input Sheet'!$C$40</definedName>
    <definedName name="Est16_Credit_Acct454" localSheetId="0">'[1]Input Sheet'!$C$14</definedName>
    <definedName name="Est16_Credit_Acct454">'[2]Input Sheet'!$C$14</definedName>
    <definedName name="Est16_Credit_ExstRev" localSheetId="0">'[1]Input Sheet'!$C$12</definedName>
    <definedName name="Est16_Credit_ExstRev">'[2]Input Sheet'!$C$12</definedName>
    <definedName name="Est16_Credit_NFPTP" localSheetId="0">'[1]Input Sheet'!$C$11</definedName>
    <definedName name="Est16_Credit_NFPTP">'[2]Input Sheet'!$C$11</definedName>
    <definedName name="Est16_Credit_STPTP" localSheetId="0">'[1]Input Sheet'!$C$10</definedName>
    <definedName name="Est16_Credit_STPTP">'[2]Input Sheet'!$C$10</definedName>
    <definedName name="Est16_GenAG" localSheetId="0">'[1]2016 EST COST DATA'!$K$95</definedName>
    <definedName name="Est16_GenAG">'[2]2016 EST COST DATA'!$K$95</definedName>
    <definedName name="Est16_GenCompRate" localSheetId="0">'[1]2016 EST COST DATA'!$K$62</definedName>
    <definedName name="Est16_GenCompRate">'[2]2016 EST COST DATA'!$K$62</definedName>
    <definedName name="Est16_GenDepr" localSheetId="0">'[1]2016 EST COST DATA'!$K$38</definedName>
    <definedName name="Est16_GenDepr">'[2]2016 EST COST DATA'!$K$38</definedName>
    <definedName name="Est16_GenOM" localSheetId="0">'[1]2016 EST COST DATA'!$K$121</definedName>
    <definedName name="Est16_GenOM">'[2]2016 EST COST DATA'!$K$121</definedName>
    <definedName name="Est16_GenPlant" localSheetId="0">'[1]2016 EST COST DATA'!$K$17</definedName>
    <definedName name="Est16_GenPlant">'[2]2016 EST COST DATA'!$K$17</definedName>
    <definedName name="Est16_PlantCapacity" localSheetId="0">'[1]Input Sheet'!$C$148</definedName>
    <definedName name="Est16_PlantCapacity">'[2]Input Sheet'!$C$148</definedName>
    <definedName name="Est16_RegCapacity" localSheetId="0">'[1]Input Sheet'!$C$149</definedName>
    <definedName name="Est16_RegCapacity">'[2]Input Sheet'!$C$149</definedName>
    <definedName name="Est16_RMR_AccumDepr" localSheetId="0">'[1]Input Sheet'!$C$37</definedName>
    <definedName name="Est16_RMR_AccumDepr">'[2]Input Sheet'!$C$37</definedName>
    <definedName name="Est16_RMR_AGExp" localSheetId="0">'[1]Input Sheet'!$C$75</definedName>
    <definedName name="Est16_RMR_AGExp">'[2]Input Sheet'!$C$75</definedName>
    <definedName name="Est16_RMR_CME" localSheetId="0">'[1]Input Sheet'!$C$78</definedName>
    <definedName name="Est16_RMR_CME">'[2]Input Sheet'!$C$78</definedName>
    <definedName name="Est16_RMR_DeprExp" localSheetId="0">'[1]Input Sheet'!$C$85</definedName>
    <definedName name="Est16_RMR_DeprExp">'[2]Input Sheet'!$C$85</definedName>
    <definedName name="Est16_RMR_LTDebt" localSheetId="0">'[1]Input Sheet'!$C$92</definedName>
    <definedName name="Est16_RMR_LTDebt">'[2]Input Sheet'!$C$92</definedName>
    <definedName name="Est16_RMR_LTInt" localSheetId="0">'[1]Input Sheet'!$C$93</definedName>
    <definedName name="Est16_RMR_LTInt">'[2]Input Sheet'!$C$93</definedName>
    <definedName name="Est16_RMR_OM" localSheetId="0">'[1]2016 EST COST DATA'!$E$119</definedName>
    <definedName name="Est16_RMR_OM">'[2]2016 EST COST DATA'!$E$119</definedName>
    <definedName name="Est16_RMR_Plant" localSheetId="0">'[1]Input Sheet'!$C$23</definedName>
    <definedName name="Est16_RMR_Plant">'[2]Input Sheet'!$C$23</definedName>
    <definedName name="Est16_RMR_Total_OM" localSheetId="0">'[1]Input Sheet'!$C$73</definedName>
    <definedName name="Est16_RMR_Total_OM">'[2]Input Sheet'!$C$73</definedName>
    <definedName name="Est16_RMR_TPlant" localSheetId="0">'[1]Input Sheet'!$C$24</definedName>
    <definedName name="Est16_RMR_TPlant">'[2]Input Sheet'!$C$24</definedName>
    <definedName name="Est16_RMR_TransAccumDepr" localSheetId="0">'[1]Input Sheet'!$C$38</definedName>
    <definedName name="Est16_RMR_TransAccumDepr">'[2]Input Sheet'!$C$38</definedName>
    <definedName name="Est16_RMR_Warehouse_Stores" localSheetId="0">'[1]Input Sheet'!$C$79</definedName>
    <definedName name="Est16_RMR_Warehouse_Stores">'[2]Input Sheet'!$C$79</definedName>
    <definedName name="Est16_SSCD_Other_Revenue" localSheetId="0">'[1]Input Sheet'!$C$142</definedName>
    <definedName name="Est16_SSCD_Other_Revenue">'[2]Input Sheet'!$C$142</definedName>
    <definedName name="Est16_SSCD_RevRqmt" localSheetId="0">'[1]WAUGP-AS1 2016 est'!$C$17</definedName>
    <definedName name="Est16_SSCD_RevRqmt">'[2]WAUGP-AS1 2016 est'!$C$17</definedName>
    <definedName name="Est16_Trans_Composite_IntRate" localSheetId="0">'[1]2016 EST COST DATA'!$K$60</definedName>
    <definedName name="Est16_Trans_Composite_IntRate">'[2]2016 EST COST DATA'!$K$60</definedName>
    <definedName name="Est16_TransAG" localSheetId="0">'[1]2016 EST COST DATA'!$K$94</definedName>
    <definedName name="Est16_TransAG">'[2]2016 EST COST DATA'!$K$94</definedName>
    <definedName name="Est16_TransDepr" localSheetId="0">'[1]2016 EST COST DATA'!$K$37</definedName>
    <definedName name="Est16_TransDepr">'[2]2016 EST COST DATA'!$K$37</definedName>
    <definedName name="Est16_TransOM" localSheetId="0">'[1]2016 EST COST DATA'!$K$120</definedName>
    <definedName name="Est16_TransOM">'[2]2016 EST COST DATA'!$K$120</definedName>
    <definedName name="Est16_TransPlant" localSheetId="0">'[1]2016 EST COST DATA'!$K$16</definedName>
    <definedName name="Est16_TransPlant">'[2]2016 EST COST DATA'!$K$16</definedName>
    <definedName name="Est17_BOR_OM" localSheetId="0">'[1]Input Sheet'!$B$81</definedName>
    <definedName name="Est17_BOR_OM">'[2]Input Sheet'!$B$81</definedName>
    <definedName name="Est17_BxPS_BEFP_AccumDepr" localSheetId="0">'[1]Input Sheet'!$B$34</definedName>
    <definedName name="Est17_BxPS_BEFP_AccumDepr">'[2]Input Sheet'!$B$34</definedName>
    <definedName name="Est17_BxPS_BEFP_AGExp" localSheetId="0">'[1]Input Sheet'!$B$65</definedName>
    <definedName name="Est17_BxPS_BEFP_AGExp">'[2]Input Sheet'!$B$65</definedName>
    <definedName name="Est17_BxPS_BEFP_CME" localSheetId="0">'[1]Input Sheet'!$B$69</definedName>
    <definedName name="Est17_BxPS_BEFP_CME">'[2]Input Sheet'!$B$69</definedName>
    <definedName name="Est17_BxPS_BEFP_DepMOVP" localSheetId="0">'[1]Input Sheet'!$B$67</definedName>
    <definedName name="Est17_BxPS_BEFP_DepMOVP">'[2]Input Sheet'!$B$67</definedName>
    <definedName name="Est17_BxPS_BEFP_DeprExp" localSheetId="0">'[1]Input Sheet'!$B$84</definedName>
    <definedName name="Est17_BxPS_BEFP_DeprExp">'[2]Input Sheet'!$B$84</definedName>
    <definedName name="Est17_BxPS_BEFP_DispofAssets" localSheetId="0">'[1]Input Sheet'!$B$68</definedName>
    <definedName name="Est17_BxPS_BEFP_DispofAssets">'[2]Input Sheet'!$B$68</definedName>
    <definedName name="Est17_BxPS_BEFP_GenAccumDepr" localSheetId="0">'[1]Input Sheet'!$B$36</definedName>
    <definedName name="Est17_BxPS_BEFP_GenAccumDepr">'[2]Input Sheet'!$B$36</definedName>
    <definedName name="Est17_BxPS_BEFP_GenPlant" localSheetId="0">'[1]Input Sheet'!$B$19</definedName>
    <definedName name="Est17_BxPS_BEFP_GenPlant">'[2]Input Sheet'!$B$19</definedName>
    <definedName name="Est17_BxPS_BEFP_Plant" localSheetId="0">'[1]Input Sheet'!$B$16</definedName>
    <definedName name="Est17_BxPS_BEFP_Plant">'[2]Input Sheet'!$B$16</definedName>
    <definedName name="Est17_BxPS_BEFP_TotalOM" localSheetId="0">'[1]Input Sheet'!$B$63</definedName>
    <definedName name="Est17_BxPS_BEFP_TotalOM">'[2]Input Sheet'!$B$63</definedName>
    <definedName name="Est17_BxPS_BEFP_TPlant" localSheetId="0">'[1]Input Sheet'!$B$17</definedName>
    <definedName name="Est17_BxPS_BEFP_TPlant">'[2]Input Sheet'!$B$17</definedName>
    <definedName name="Est17_BxPS_BEFP_TransAccumDepr" localSheetId="0">'[1]Input Sheet'!$B$35</definedName>
    <definedName name="Est17_BxPS_BEFP_TransAccumDepr">'[2]Input Sheet'!$B$35</definedName>
    <definedName name="Est17_BxPS_BEFP_WageSalary" localSheetId="0">'[1]Input Sheet'!$B$125</definedName>
    <definedName name="Est17_BxPS_BEFP_WageSalary">'[2]Input Sheet'!$B$125</definedName>
    <definedName name="Est17_BxPS_BEFP_Warehouse_Stores" localSheetId="0">'[1]Input Sheet'!$B$70</definedName>
    <definedName name="Est17_BxPS_BEFP_Warehouse_Stores">'[2]Input Sheet'!$B$70</definedName>
    <definedName name="Est17_BXPS_OM" localSheetId="0">'[1]2017 EST COST DATA'!$C$119</definedName>
    <definedName name="Est17_BXPS_OM">'[2]2017 EST COST DATA'!$C$119</definedName>
    <definedName name="Est17_COE_AccumDeprGen" localSheetId="0">'[1]Input Sheet'!$B$41</definedName>
    <definedName name="Est17_COE_AccumDeprGen">'[2]Input Sheet'!$B$41</definedName>
    <definedName name="Est17_COE_DeprExp" localSheetId="0">'[1]Input Sheet'!$B$86</definedName>
    <definedName name="Est17_COE_DeprExp">'[2]Input Sheet'!$B$86</definedName>
    <definedName name="Est17_COE_Gen" localSheetId="0">'[1]Input Sheet'!$B$29</definedName>
    <definedName name="Est17_COE_Gen">'[2]Input Sheet'!$B$29</definedName>
    <definedName name="Est17_COE_OM" localSheetId="0">'[1]Input Sheet'!$B$80</definedName>
    <definedName name="Est17_COE_OM">'[2]Input Sheet'!$B$80</definedName>
    <definedName name="Est17_COE_Plant" localSheetId="0">'[1]Input Sheet'!$B$26</definedName>
    <definedName name="Est17_COE_Plant">'[2]Input Sheet'!$B$26</definedName>
    <definedName name="Est17_COE_TPlant" localSheetId="0">'[1]Input Sheet'!$B$27</definedName>
    <definedName name="Est17_COE_TPlant">'[2]Input Sheet'!$B$27</definedName>
    <definedName name="Est17_COE_TransAccumDepr" localSheetId="0">'[1]Input Sheet'!$B$40</definedName>
    <definedName name="Est17_COE_TransAccumDepr">'[2]Input Sheet'!$B$40</definedName>
    <definedName name="Est17_Credit_Acct454" localSheetId="0">'[1]Input Sheet'!$B$14</definedName>
    <definedName name="Est17_Credit_Acct454">'[2]Input Sheet'!$B$14</definedName>
    <definedName name="Est17_Credit_ExstRev" localSheetId="0">'[1]Input Sheet'!$B$12</definedName>
    <definedName name="Est17_Credit_ExstRev">'[2]Input Sheet'!$B$12</definedName>
    <definedName name="Est17_Credit_NFPTP" localSheetId="0">'[1]Input Sheet'!$B$11</definedName>
    <definedName name="Est17_Credit_NFPTP">'[2]Input Sheet'!$B$11</definedName>
    <definedName name="Est17_Credit_SSCD" localSheetId="0">'[1]Input Sheet'!$B$13</definedName>
    <definedName name="Est17_Credit_SSCD">'[2]Input Sheet'!$B$13</definedName>
    <definedName name="Est17_Credit_STPTP" localSheetId="0">'[1]Input Sheet'!$B$10</definedName>
    <definedName name="Est17_Credit_STPTP">'[2]Input Sheet'!$B$10</definedName>
    <definedName name="Est17_RMR_AGExp" localSheetId="0">'[1]Input Sheet'!$B$75</definedName>
    <definedName name="Est17_RMR_AGExp">'[2]Input Sheet'!$B$75</definedName>
    <definedName name="Est17_RMR_CME" localSheetId="0">'[1]Input Sheet'!$B$78</definedName>
    <definedName name="Est17_RMR_CME">'[2]Input Sheet'!$B$78</definedName>
    <definedName name="Est17_RMR_DeprExp" localSheetId="0">'[1]Input Sheet'!$B$85</definedName>
    <definedName name="Est17_RMR_DeprExp">'[2]Input Sheet'!$B$85</definedName>
    <definedName name="Est17_RMR_OM" localSheetId="0">'[1]2017 EST COST DATA'!$E$119</definedName>
    <definedName name="Est17_RMR_OM">'[2]2017 EST COST DATA'!$E$119</definedName>
    <definedName name="Est17_RMR_Plant" localSheetId="0">'[1]Input Sheet'!$B$23</definedName>
    <definedName name="Est17_RMR_Plant">'[2]Input Sheet'!$B$23</definedName>
    <definedName name="Est17_RMR_Total_OM" localSheetId="0">'[1]Input Sheet'!$B$73</definedName>
    <definedName name="Est17_RMR_Total_OM">'[2]Input Sheet'!$B$73</definedName>
    <definedName name="Est17_RMR_TPlant" localSheetId="0">'[1]Input Sheet'!$B$24</definedName>
    <definedName name="Est17_RMR_TPlant">'[2]Input Sheet'!$B$24</definedName>
    <definedName name="Est17_RMR_TransAccumDepr" localSheetId="0">'[1]Input Sheet'!$B$38</definedName>
    <definedName name="Est17_RMR_TransAccumDepr">'[2]Input Sheet'!$B$38</definedName>
    <definedName name="Est17_RMR_Warehouse_Stores" localSheetId="0">'[1]Input Sheet'!$B$79</definedName>
    <definedName name="Est17_RMR_Warehouse_Stores">'[2]Input Sheet'!$B$79</definedName>
    <definedName name="GALION" localSheetId="1">#REF!</definedName>
    <definedName name="GALION" localSheetId="13">#REF!</definedName>
    <definedName name="GALION" localSheetId="14">#REF!</definedName>
    <definedName name="GALION" localSheetId="16">#REF!</definedName>
    <definedName name="GALION" localSheetId="17">#REF!</definedName>
    <definedName name="GALION" localSheetId="3">#REF!</definedName>
    <definedName name="GALION" localSheetId="4">#REF!</definedName>
    <definedName name="GALION" localSheetId="5">#REF!</definedName>
    <definedName name="GALION" localSheetId="6">#REF!</definedName>
    <definedName name="GALION" localSheetId="7">#REF!</definedName>
    <definedName name="GALION" localSheetId="8">#REF!</definedName>
    <definedName name="GALION" localSheetId="9">#REF!</definedName>
    <definedName name="GALION" localSheetId="10">#REF!</definedName>
    <definedName name="GALION">#REF!</definedName>
    <definedName name="GENOA" localSheetId="1">#REF!</definedName>
    <definedName name="GENOA" localSheetId="13">#REF!</definedName>
    <definedName name="GENOA" localSheetId="14">#REF!</definedName>
    <definedName name="GENOA" localSheetId="16">#REF!</definedName>
    <definedName name="GENOA" localSheetId="17">#REF!</definedName>
    <definedName name="GENOA" localSheetId="3">#REF!</definedName>
    <definedName name="GENOA" localSheetId="4">#REF!</definedName>
    <definedName name="GENOA" localSheetId="5">#REF!</definedName>
    <definedName name="GENOA" localSheetId="6">#REF!</definedName>
    <definedName name="GENOA" localSheetId="7">#REF!</definedName>
    <definedName name="GENOA" localSheetId="8">#REF!</definedName>
    <definedName name="GENOA" localSheetId="9">#REF!</definedName>
    <definedName name="GENOA" localSheetId="10">#REF!</definedName>
    <definedName name="GENOA">#REF!</definedName>
    <definedName name="GENOA_NORTH" localSheetId="1">#REF!</definedName>
    <definedName name="GENOA_NORTH" localSheetId="13">#REF!</definedName>
    <definedName name="GENOA_NORTH" localSheetId="14">#REF!</definedName>
    <definedName name="GENOA_NORTH" localSheetId="16">#REF!</definedName>
    <definedName name="GENOA_NORTH" localSheetId="17">#REF!</definedName>
    <definedName name="GENOA_NORTH" localSheetId="3">#REF!</definedName>
    <definedName name="GENOA_NORTH" localSheetId="4">#REF!</definedName>
    <definedName name="GENOA_NORTH" localSheetId="5">#REF!</definedName>
    <definedName name="GENOA_NORTH" localSheetId="6">#REF!</definedName>
    <definedName name="GENOA_NORTH" localSheetId="7">#REF!</definedName>
    <definedName name="GENOA_NORTH" localSheetId="8">#REF!</definedName>
    <definedName name="GENOA_NORTH" localSheetId="9">#REF!</definedName>
    <definedName name="GENOA_NORTH" localSheetId="10">#REF!</definedName>
    <definedName name="GENOA_NORTH">#REF!</definedName>
    <definedName name="GENOA_SOUTH" localSheetId="1">#REF!</definedName>
    <definedName name="GENOA_SOUTH" localSheetId="13">#REF!</definedName>
    <definedName name="GENOA_SOUTH" localSheetId="14">#REF!</definedName>
    <definedName name="GENOA_SOUTH" localSheetId="16">#REF!</definedName>
    <definedName name="GENOA_SOUTH" localSheetId="17">#REF!</definedName>
    <definedName name="GENOA_SOUTH" localSheetId="3">#REF!</definedName>
    <definedName name="GENOA_SOUTH" localSheetId="4">#REF!</definedName>
    <definedName name="GENOA_SOUTH" localSheetId="5">#REF!</definedName>
    <definedName name="GENOA_SOUTH" localSheetId="6">#REF!</definedName>
    <definedName name="GENOA_SOUTH" localSheetId="7">#REF!</definedName>
    <definedName name="GENOA_SOUTH" localSheetId="8">#REF!</definedName>
    <definedName name="GENOA_SOUTH" localSheetId="9">#REF!</definedName>
    <definedName name="GENOA_SOUTH" localSheetId="10">#REF!</definedName>
    <definedName name="GENOA_SOUTH">#REF!</definedName>
    <definedName name="GRAFTON" localSheetId="1">#REF!</definedName>
    <definedName name="GRAFTON" localSheetId="13">#REF!</definedName>
    <definedName name="GRAFTON" localSheetId="14">#REF!</definedName>
    <definedName name="GRAFTON" localSheetId="16">#REF!</definedName>
    <definedName name="GRAFTON" localSheetId="17">#REF!</definedName>
    <definedName name="GRAFTON" localSheetId="3">#REF!</definedName>
    <definedName name="GRAFTON" localSheetId="4">#REF!</definedName>
    <definedName name="GRAFTON" localSheetId="5">#REF!</definedName>
    <definedName name="GRAFTON" localSheetId="6">#REF!</definedName>
    <definedName name="GRAFTON" localSheetId="7">#REF!</definedName>
    <definedName name="GRAFTON" localSheetId="8">#REF!</definedName>
    <definedName name="GRAFTON" localSheetId="9">#REF!</definedName>
    <definedName name="GRAFTON" localSheetId="10">#REF!</definedName>
    <definedName name="GRAFTON">#REF!</definedName>
    <definedName name="Grove_City" localSheetId="1">#REF!</definedName>
    <definedName name="Grove_City" localSheetId="13">#REF!</definedName>
    <definedName name="Grove_City" localSheetId="14">#REF!</definedName>
    <definedName name="Grove_City" localSheetId="16">#REF!</definedName>
    <definedName name="Grove_City" localSheetId="17">#REF!</definedName>
    <definedName name="Grove_City" localSheetId="3">#REF!</definedName>
    <definedName name="Grove_City" localSheetId="4">#REF!</definedName>
    <definedName name="Grove_City" localSheetId="5">#REF!</definedName>
    <definedName name="Grove_City" localSheetId="6">#REF!</definedName>
    <definedName name="Grove_City" localSheetId="7">#REF!</definedName>
    <definedName name="Grove_City" localSheetId="8">#REF!</definedName>
    <definedName name="Grove_City" localSheetId="9">#REF!</definedName>
    <definedName name="Grove_City" localSheetId="10">#REF!</definedName>
    <definedName name="Grove_City">#REF!</definedName>
    <definedName name="HASKINS" localSheetId="1">#REF!</definedName>
    <definedName name="HASKINS" localSheetId="13">#REF!</definedName>
    <definedName name="HASKINS" localSheetId="14">#REF!</definedName>
    <definedName name="HASKINS" localSheetId="16">#REF!</definedName>
    <definedName name="HASKINS" localSheetId="17">#REF!</definedName>
    <definedName name="HASKINS" localSheetId="3">#REF!</definedName>
    <definedName name="HASKINS" localSheetId="4">#REF!</definedName>
    <definedName name="HASKINS" localSheetId="5">#REF!</definedName>
    <definedName name="HASKINS" localSheetId="6">#REF!</definedName>
    <definedName name="HASKINS" localSheetId="7">#REF!</definedName>
    <definedName name="HASKINS" localSheetId="8">#REF!</definedName>
    <definedName name="HASKINS" localSheetId="9">#REF!</definedName>
    <definedName name="HASKINS" localSheetId="10">#REF!</definedName>
    <definedName name="HASKINS">#REF!</definedName>
    <definedName name="hourending" localSheetId="1">#REF!</definedName>
    <definedName name="hourending" localSheetId="13">#REF!</definedName>
    <definedName name="hourending" localSheetId="14">#REF!</definedName>
    <definedName name="hourending" localSheetId="16">#REF!</definedName>
    <definedName name="hourending" localSheetId="17">#REF!</definedName>
    <definedName name="hourending" localSheetId="3">#REF!</definedName>
    <definedName name="hourending" localSheetId="4">#REF!</definedName>
    <definedName name="hourending" localSheetId="5">#REF!</definedName>
    <definedName name="hourending" localSheetId="6">#REF!</definedName>
    <definedName name="hourending" localSheetId="7">#REF!</definedName>
    <definedName name="hourending" localSheetId="8">#REF!</definedName>
    <definedName name="hourending" localSheetId="9">#REF!</definedName>
    <definedName name="hourending" localSheetId="10">#REF!</definedName>
    <definedName name="hourending">#REF!</definedName>
    <definedName name="HUBBARD" localSheetId="1">#REF!</definedName>
    <definedName name="HUBBARD" localSheetId="13">#REF!</definedName>
    <definedName name="HUBBARD" localSheetId="14">#REF!</definedName>
    <definedName name="HUBBARD" localSheetId="16">#REF!</definedName>
    <definedName name="HUBBARD" localSheetId="17">#REF!</definedName>
    <definedName name="HUBBARD" localSheetId="3">#REF!</definedName>
    <definedName name="HUBBARD" localSheetId="4">#REF!</definedName>
    <definedName name="HUBBARD" localSheetId="5">#REF!</definedName>
    <definedName name="HUBBARD" localSheetId="6">#REF!</definedName>
    <definedName name="HUBBARD" localSheetId="7">#REF!</definedName>
    <definedName name="HUBBARD" localSheetId="8">#REF!</definedName>
    <definedName name="HUBBARD" localSheetId="9">#REF!</definedName>
    <definedName name="HUBBARD" localSheetId="10">#REF!</definedName>
    <definedName name="HUBBARD">#REF!</definedName>
    <definedName name="HUBBARD1" localSheetId="1">#REF!</definedName>
    <definedName name="HUBBARD1" localSheetId="13">#REF!</definedName>
    <definedName name="HUBBARD1" localSheetId="14">#REF!</definedName>
    <definedName name="HUBBARD1" localSheetId="16">#REF!</definedName>
    <definedName name="HUBBARD1" localSheetId="17">#REF!</definedName>
    <definedName name="HUBBARD1" localSheetId="3">#REF!</definedName>
    <definedName name="HUBBARD1" localSheetId="4">#REF!</definedName>
    <definedName name="HUBBARD1" localSheetId="5">#REF!</definedName>
    <definedName name="HUBBARD1" localSheetId="6">#REF!</definedName>
    <definedName name="HUBBARD1" localSheetId="7">#REF!</definedName>
    <definedName name="HUBBARD1" localSheetId="8">#REF!</definedName>
    <definedName name="HUBBARD1" localSheetId="9">#REF!</definedName>
    <definedName name="HUBBARD1" localSheetId="10">#REF!</definedName>
    <definedName name="HUBBARD1">#REF!</definedName>
    <definedName name="LODI" localSheetId="1">#REF!</definedName>
    <definedName name="LODI" localSheetId="13">#REF!</definedName>
    <definedName name="LODI" localSheetId="14">#REF!</definedName>
    <definedName name="LODI" localSheetId="16">#REF!</definedName>
    <definedName name="LODI" localSheetId="17">#REF!</definedName>
    <definedName name="LODI" localSheetId="3">#REF!</definedName>
    <definedName name="LODI" localSheetId="4">#REF!</definedName>
    <definedName name="LODI" localSheetId="5">#REF!</definedName>
    <definedName name="LODI" localSheetId="6">#REF!</definedName>
    <definedName name="LODI" localSheetId="7">#REF!</definedName>
    <definedName name="LODI" localSheetId="8">#REF!</definedName>
    <definedName name="LODI" localSheetId="9">#REF!</definedName>
    <definedName name="LODI" localSheetId="10">#REF!</definedName>
    <definedName name="LODI">#REF!</definedName>
    <definedName name="LUCAS" localSheetId="1">#REF!</definedName>
    <definedName name="LUCAS" localSheetId="13">#REF!</definedName>
    <definedName name="LUCAS" localSheetId="14">#REF!</definedName>
    <definedName name="LUCAS" localSheetId="16">#REF!</definedName>
    <definedName name="LUCAS" localSheetId="17">#REF!</definedName>
    <definedName name="LUCAS" localSheetId="3">#REF!</definedName>
    <definedName name="LUCAS" localSheetId="4">#REF!</definedName>
    <definedName name="LUCAS" localSheetId="5">#REF!</definedName>
    <definedName name="LUCAS" localSheetId="6">#REF!</definedName>
    <definedName name="LUCAS" localSheetId="7">#REF!</definedName>
    <definedName name="LUCAS" localSheetId="8">#REF!</definedName>
    <definedName name="LUCAS" localSheetId="9">#REF!</definedName>
    <definedName name="LUCAS" localSheetId="10">#REF!</definedName>
    <definedName name="LUCAS">#REF!</definedName>
    <definedName name="MILAN" localSheetId="1">#REF!</definedName>
    <definedName name="MILAN" localSheetId="13">#REF!</definedName>
    <definedName name="MILAN" localSheetId="14">#REF!</definedName>
    <definedName name="MILAN" localSheetId="16">#REF!</definedName>
    <definedName name="MILAN" localSheetId="17">#REF!</definedName>
    <definedName name="MILAN" localSheetId="3">#REF!</definedName>
    <definedName name="MILAN" localSheetId="4">#REF!</definedName>
    <definedName name="MILAN" localSheetId="5">#REF!</definedName>
    <definedName name="MILAN" localSheetId="6">#REF!</definedName>
    <definedName name="MILAN" localSheetId="7">#REF!</definedName>
    <definedName name="MILAN" localSheetId="8">#REF!</definedName>
    <definedName name="MILAN" localSheetId="9">#REF!</definedName>
    <definedName name="MILAN" localSheetId="10">#REF!</definedName>
    <definedName name="MILAN">#REF!</definedName>
    <definedName name="MONROEVILLE" localSheetId="1">#REF!</definedName>
    <definedName name="MONROEVILLE" localSheetId="13">#REF!</definedName>
    <definedName name="MONROEVILLE" localSheetId="14">#REF!</definedName>
    <definedName name="MONROEVILLE" localSheetId="16">#REF!</definedName>
    <definedName name="MONROEVILLE" localSheetId="17">#REF!</definedName>
    <definedName name="MONROEVILLE" localSheetId="3">#REF!</definedName>
    <definedName name="MONROEVILLE" localSheetId="4">#REF!</definedName>
    <definedName name="MONROEVILLE" localSheetId="5">#REF!</definedName>
    <definedName name="MONROEVILLE" localSheetId="6">#REF!</definedName>
    <definedName name="MONROEVILLE" localSheetId="7">#REF!</definedName>
    <definedName name="MONROEVILLE" localSheetId="8">#REF!</definedName>
    <definedName name="MONROEVILLE" localSheetId="9">#REF!</definedName>
    <definedName name="MONROEVILLE" localSheetId="10">#REF!</definedName>
    <definedName name="MONROEVILLE">#REF!</definedName>
    <definedName name="NAPOLEON" localSheetId="1">#REF!</definedName>
    <definedName name="NAPOLEON" localSheetId="13">#REF!</definedName>
    <definedName name="NAPOLEON" localSheetId="14">#REF!</definedName>
    <definedName name="NAPOLEON" localSheetId="16">#REF!</definedName>
    <definedName name="NAPOLEON" localSheetId="17">#REF!</definedName>
    <definedName name="NAPOLEON" localSheetId="3">#REF!</definedName>
    <definedName name="NAPOLEON" localSheetId="4">#REF!</definedName>
    <definedName name="NAPOLEON" localSheetId="5">#REF!</definedName>
    <definedName name="NAPOLEON" localSheetId="6">#REF!</definedName>
    <definedName name="NAPOLEON" localSheetId="7">#REF!</definedName>
    <definedName name="NAPOLEON" localSheetId="8">#REF!</definedName>
    <definedName name="NAPOLEON" localSheetId="9">#REF!</definedName>
    <definedName name="NAPOLEON" localSheetId="10">#REF!</definedName>
    <definedName name="NAPOLEON">#REF!</definedName>
    <definedName name="NEASG" localSheetId="1">#REF!</definedName>
    <definedName name="NEASG" localSheetId="13">#REF!</definedName>
    <definedName name="NEASG" localSheetId="14">#REF!</definedName>
    <definedName name="NEASG" localSheetId="16">#REF!</definedName>
    <definedName name="NEASG" localSheetId="17">#REF!</definedName>
    <definedName name="NEASG" localSheetId="3">#REF!</definedName>
    <definedName name="NEASG" localSheetId="4">#REF!</definedName>
    <definedName name="NEASG" localSheetId="5">#REF!</definedName>
    <definedName name="NEASG" localSheetId="6">#REF!</definedName>
    <definedName name="NEASG" localSheetId="7">#REF!</definedName>
    <definedName name="NEASG" localSheetId="8">#REF!</definedName>
    <definedName name="NEASG" localSheetId="9">#REF!</definedName>
    <definedName name="NEASG" localSheetId="10">#REF!</definedName>
    <definedName name="NEASG">#REF!</definedName>
    <definedName name="New_Wilmington" localSheetId="1">#REF!</definedName>
    <definedName name="New_Wilmington" localSheetId="13">#REF!</definedName>
    <definedName name="New_Wilmington" localSheetId="14">#REF!</definedName>
    <definedName name="New_Wilmington" localSheetId="16">#REF!</definedName>
    <definedName name="New_Wilmington" localSheetId="17">#REF!</definedName>
    <definedName name="New_Wilmington" localSheetId="3">#REF!</definedName>
    <definedName name="New_Wilmington" localSheetId="4">#REF!</definedName>
    <definedName name="New_Wilmington" localSheetId="5">#REF!</definedName>
    <definedName name="New_Wilmington" localSheetId="6">#REF!</definedName>
    <definedName name="New_Wilmington" localSheetId="7">#REF!</definedName>
    <definedName name="New_Wilmington" localSheetId="8">#REF!</definedName>
    <definedName name="New_Wilmington" localSheetId="9">#REF!</definedName>
    <definedName name="New_Wilmington" localSheetId="10">#REF!</definedName>
    <definedName name="New_Wilmington">#REF!</definedName>
    <definedName name="NEWTON_FALLS" localSheetId="1">#REF!</definedName>
    <definedName name="NEWTON_FALLS" localSheetId="13">#REF!</definedName>
    <definedName name="NEWTON_FALLS" localSheetId="14">#REF!</definedName>
    <definedName name="NEWTON_FALLS" localSheetId="16">#REF!</definedName>
    <definedName name="NEWTON_FALLS" localSheetId="17">#REF!</definedName>
    <definedName name="NEWTON_FALLS" localSheetId="3">#REF!</definedName>
    <definedName name="NEWTON_FALLS" localSheetId="4">#REF!</definedName>
    <definedName name="NEWTON_FALLS" localSheetId="5">#REF!</definedName>
    <definedName name="NEWTON_FALLS" localSheetId="6">#REF!</definedName>
    <definedName name="NEWTON_FALLS" localSheetId="7">#REF!</definedName>
    <definedName name="NEWTON_FALLS" localSheetId="8">#REF!</definedName>
    <definedName name="NEWTON_FALLS" localSheetId="9">#REF!</definedName>
    <definedName name="NEWTON_FALLS" localSheetId="10">#REF!</definedName>
    <definedName name="NEWTON_FALLS">#REF!</definedName>
    <definedName name="NILES" localSheetId="1">#REF!</definedName>
    <definedName name="NILES" localSheetId="13">#REF!</definedName>
    <definedName name="NILES" localSheetId="14">#REF!</definedName>
    <definedName name="NILES" localSheetId="16">#REF!</definedName>
    <definedName name="NILES" localSheetId="17">#REF!</definedName>
    <definedName name="NILES" localSheetId="3">#REF!</definedName>
    <definedName name="NILES" localSheetId="4">#REF!</definedName>
    <definedName name="NILES" localSheetId="5">#REF!</definedName>
    <definedName name="NILES" localSheetId="6">#REF!</definedName>
    <definedName name="NILES" localSheetId="7">#REF!</definedName>
    <definedName name="NILES" localSheetId="8">#REF!</definedName>
    <definedName name="NILES" localSheetId="9">#REF!</definedName>
    <definedName name="NILES" localSheetId="10">#REF!</definedName>
    <definedName name="NILES">#REF!</definedName>
    <definedName name="NWASG" localSheetId="1">#REF!</definedName>
    <definedName name="NWASG" localSheetId="13">#REF!</definedName>
    <definedName name="NWASG" localSheetId="14">#REF!</definedName>
    <definedName name="NWASG" localSheetId="16">#REF!</definedName>
    <definedName name="NWASG" localSheetId="17">#REF!</definedName>
    <definedName name="NWASG" localSheetId="3">#REF!</definedName>
    <definedName name="NWASG" localSheetId="4">#REF!</definedName>
    <definedName name="NWASG" localSheetId="5">#REF!</definedName>
    <definedName name="NWASG" localSheetId="6">#REF!</definedName>
    <definedName name="NWASG" localSheetId="7">#REF!</definedName>
    <definedName name="NWASG" localSheetId="8">#REF!</definedName>
    <definedName name="NWASG" localSheetId="9">#REF!</definedName>
    <definedName name="NWASG" localSheetId="10">#REF!</definedName>
    <definedName name="NWASG">#REF!</definedName>
    <definedName name="OAK_HARBOR" localSheetId="1">#REF!</definedName>
    <definedName name="OAK_HARBOR" localSheetId="13">#REF!</definedName>
    <definedName name="OAK_HARBOR" localSheetId="14">#REF!</definedName>
    <definedName name="OAK_HARBOR" localSheetId="16">#REF!</definedName>
    <definedName name="OAK_HARBOR" localSheetId="17">#REF!</definedName>
    <definedName name="OAK_HARBOR" localSheetId="3">#REF!</definedName>
    <definedName name="OAK_HARBOR" localSheetId="4">#REF!</definedName>
    <definedName name="OAK_HARBOR" localSheetId="5">#REF!</definedName>
    <definedName name="OAK_HARBOR" localSheetId="6">#REF!</definedName>
    <definedName name="OAK_HARBOR" localSheetId="7">#REF!</definedName>
    <definedName name="OAK_HARBOR" localSheetId="8">#REF!</definedName>
    <definedName name="OAK_HARBOR" localSheetId="9">#REF!</definedName>
    <definedName name="OAK_HARBOR" localSheetId="10">#REF!</definedName>
    <definedName name="OAK_HARBOR">#REF!</definedName>
    <definedName name="OBERLIN" localSheetId="1">#REF!</definedName>
    <definedName name="OBERLIN" localSheetId="13">#REF!</definedName>
    <definedName name="OBERLIN" localSheetId="14">#REF!</definedName>
    <definedName name="OBERLIN" localSheetId="16">#REF!</definedName>
    <definedName name="OBERLIN" localSheetId="17">#REF!</definedName>
    <definedName name="OBERLIN" localSheetId="3">#REF!</definedName>
    <definedName name="OBERLIN" localSheetId="4">#REF!</definedName>
    <definedName name="OBERLIN" localSheetId="5">#REF!</definedName>
    <definedName name="OBERLIN" localSheetId="6">#REF!</definedName>
    <definedName name="OBERLIN" localSheetId="7">#REF!</definedName>
    <definedName name="OBERLIN" localSheetId="8">#REF!</definedName>
    <definedName name="OBERLIN" localSheetId="9">#REF!</definedName>
    <definedName name="OBERLIN" localSheetId="10">#REF!</definedName>
    <definedName name="OBERLIN">#REF!</definedName>
    <definedName name="PEMBERVILLE" localSheetId="1">#REF!</definedName>
    <definedName name="PEMBERVILLE" localSheetId="13">#REF!</definedName>
    <definedName name="PEMBERVILLE" localSheetId="14">#REF!</definedName>
    <definedName name="PEMBERVILLE" localSheetId="16">#REF!</definedName>
    <definedName name="PEMBERVILLE" localSheetId="17">#REF!</definedName>
    <definedName name="PEMBERVILLE" localSheetId="3">#REF!</definedName>
    <definedName name="PEMBERVILLE" localSheetId="4">#REF!</definedName>
    <definedName name="PEMBERVILLE" localSheetId="5">#REF!</definedName>
    <definedName name="PEMBERVILLE" localSheetId="6">#REF!</definedName>
    <definedName name="PEMBERVILLE" localSheetId="7">#REF!</definedName>
    <definedName name="PEMBERVILLE" localSheetId="8">#REF!</definedName>
    <definedName name="PEMBERVILLE" localSheetId="9">#REF!</definedName>
    <definedName name="PEMBERVILLE" localSheetId="10">#REF!</definedName>
    <definedName name="PEMBERVILLE">#REF!</definedName>
    <definedName name="PIONEER" localSheetId="1">#REF!</definedName>
    <definedName name="PIONEER" localSheetId="13">#REF!</definedName>
    <definedName name="PIONEER" localSheetId="14">#REF!</definedName>
    <definedName name="PIONEER" localSheetId="16">#REF!</definedName>
    <definedName name="PIONEER" localSheetId="17">#REF!</definedName>
    <definedName name="PIONEER" localSheetId="3">#REF!</definedName>
    <definedName name="PIONEER" localSheetId="4">#REF!</definedName>
    <definedName name="PIONEER" localSheetId="5">#REF!</definedName>
    <definedName name="PIONEER" localSheetId="6">#REF!</definedName>
    <definedName name="PIONEER" localSheetId="7">#REF!</definedName>
    <definedName name="PIONEER" localSheetId="8">#REF!</definedName>
    <definedName name="PIONEER" localSheetId="9">#REF!</definedName>
    <definedName name="PIONEER" localSheetId="10">#REF!</definedName>
    <definedName name="PIONEER">#REF!</definedName>
    <definedName name="_xlnm.Print_Area" localSheetId="0">'Rev Log'!$A:$I</definedName>
    <definedName name="_xlnm.Print_Area" localSheetId="2">'Summary-ATRR'!$A$1:$J$31</definedName>
    <definedName name="_xlnm.Print_Area" localSheetId="12">'WS10-AI-Excl'!$A$1:$E$185</definedName>
    <definedName name="_xlnm.Print_Area" localSheetId="13">'WS11-FacChanges'!$A$1:$B$15</definedName>
    <definedName name="_xlnm.Print_Area" localSheetId="14">'WS12-SSCD'!$A$1:$D$21</definedName>
    <definedName name="_xlnm.Print_Area" localSheetId="15">'WS13-SSCDFac'!$A$1:$I$129</definedName>
    <definedName name="_xlnm.Print_Area" localSheetId="16">'WS14-Reg'!$A$1:$D$22</definedName>
    <definedName name="_xlnm.Print_Area" localSheetId="17">'WS15-Res'!$A$1:$D$23</definedName>
    <definedName name="_xlnm.Print_Area" localSheetId="3">'WS1-RateBase'!$A$1:$I$173</definedName>
    <definedName name="_xlnm.Print_Area" localSheetId="4">'WS2-AllocFactor'!$A$1:$H$37</definedName>
    <definedName name="_xlnm.Print_Area" localSheetId="5">'WS3-RevCredits'!$A$1:$J$38</definedName>
    <definedName name="_xlnm.Print_Area" localSheetId="6">'WS4-CostData'!$A$1:$L$134</definedName>
    <definedName name="_xlnm.Print_Area" localSheetId="7">'WS5-BPUz'!$A$1:$P$19</definedName>
    <definedName name="_xlnm.Print_Area" localSheetId="8">'WS6-BPUr'!$A$1:$P$20</definedName>
    <definedName name="_xlnm.Print_Area" localSheetId="9">'WS7-BPUFac'!$A$1:$I$51</definedName>
    <definedName name="_xlnm.Print_Area" localSheetId="10">'WS8-TransFac'!$A$1:$K$521</definedName>
    <definedName name="_xlnm.Print_Area" localSheetId="11">'WS9-AI-Incl'!$A$1:$N$804</definedName>
    <definedName name="PROSPECT" localSheetId="1">#REF!</definedName>
    <definedName name="PROSPECT" localSheetId="13">#REF!</definedName>
    <definedName name="PROSPECT" localSheetId="14">#REF!</definedName>
    <definedName name="PROSPECT" localSheetId="16">#REF!</definedName>
    <definedName name="PROSPECT" localSheetId="17">#REF!</definedName>
    <definedName name="PROSPECT" localSheetId="3">#REF!</definedName>
    <definedName name="PROSPECT" localSheetId="4">#REF!</definedName>
    <definedName name="PROSPECT" localSheetId="5">#REF!</definedName>
    <definedName name="PROSPECT" localSheetId="6">#REF!</definedName>
    <definedName name="PROSPECT" localSheetId="7">#REF!</definedName>
    <definedName name="PROSPECT" localSheetId="8">#REF!</definedName>
    <definedName name="PROSPECT" localSheetId="9">#REF!</definedName>
    <definedName name="PROSPECT" localSheetId="10">#REF!</definedName>
    <definedName name="PROSPECT">#REF!</definedName>
    <definedName name="revreq" localSheetId="1">#REF!</definedName>
    <definedName name="revreq" localSheetId="13">#REF!</definedName>
    <definedName name="revreq" localSheetId="14">#REF!</definedName>
    <definedName name="revreq" localSheetId="16">#REF!</definedName>
    <definedName name="revreq" localSheetId="17">#REF!</definedName>
    <definedName name="revreq" localSheetId="3">#REF!</definedName>
    <definedName name="revreq" localSheetId="4">#REF!</definedName>
    <definedName name="revreq" localSheetId="5">#REF!</definedName>
    <definedName name="revreq" localSheetId="6">#REF!</definedName>
    <definedName name="revreq" localSheetId="7">#REF!</definedName>
    <definedName name="revreq" localSheetId="8">#REF!</definedName>
    <definedName name="revreq" localSheetId="9">#REF!</definedName>
    <definedName name="revreq" localSheetId="10">#REF!</definedName>
    <definedName name="revreq">#REF!</definedName>
    <definedName name="SEVILLE" localSheetId="1">#REF!</definedName>
    <definedName name="SEVILLE" localSheetId="13">#REF!</definedName>
    <definedName name="SEVILLE" localSheetId="14">#REF!</definedName>
    <definedName name="SEVILLE" localSheetId="16">#REF!</definedName>
    <definedName name="SEVILLE" localSheetId="17">#REF!</definedName>
    <definedName name="SEVILLE" localSheetId="3">#REF!</definedName>
    <definedName name="SEVILLE" localSheetId="4">#REF!</definedName>
    <definedName name="SEVILLE" localSheetId="5">#REF!</definedName>
    <definedName name="SEVILLE" localSheetId="6">#REF!</definedName>
    <definedName name="SEVILLE" localSheetId="7">#REF!</definedName>
    <definedName name="SEVILLE" localSheetId="8">#REF!</definedName>
    <definedName name="SEVILLE" localSheetId="9">#REF!</definedName>
    <definedName name="SEVILLE" localSheetId="10">#REF!</definedName>
    <definedName name="SEVILLE">#REF!</definedName>
    <definedName name="SOUTH_VIENNA" localSheetId="1">#REF!</definedName>
    <definedName name="SOUTH_VIENNA" localSheetId="13">#REF!</definedName>
    <definedName name="SOUTH_VIENNA" localSheetId="14">#REF!</definedName>
    <definedName name="SOUTH_VIENNA" localSheetId="16">#REF!</definedName>
    <definedName name="SOUTH_VIENNA" localSheetId="17">#REF!</definedName>
    <definedName name="SOUTH_VIENNA" localSheetId="3">#REF!</definedName>
    <definedName name="SOUTH_VIENNA" localSheetId="4">#REF!</definedName>
    <definedName name="SOUTH_VIENNA" localSheetId="5">#REF!</definedName>
    <definedName name="SOUTH_VIENNA" localSheetId="6">#REF!</definedName>
    <definedName name="SOUTH_VIENNA" localSheetId="7">#REF!</definedName>
    <definedName name="SOUTH_VIENNA" localSheetId="8">#REF!</definedName>
    <definedName name="SOUTH_VIENNA" localSheetId="9">#REF!</definedName>
    <definedName name="SOUTH_VIENNA" localSheetId="10">#REF!</definedName>
    <definedName name="SOUTH_VIENNA">#REF!</definedName>
    <definedName name="TOTAL_COLUMBIANA" localSheetId="1">#REF!</definedName>
    <definedName name="TOTAL_COLUMBIANA" localSheetId="13">#REF!</definedName>
    <definedName name="TOTAL_COLUMBIANA" localSheetId="14">#REF!</definedName>
    <definedName name="TOTAL_COLUMBIANA" localSheetId="16">#REF!</definedName>
    <definedName name="TOTAL_COLUMBIANA" localSheetId="17">#REF!</definedName>
    <definedName name="TOTAL_COLUMBIANA" localSheetId="3">#REF!</definedName>
    <definedName name="TOTAL_COLUMBIANA" localSheetId="4">#REF!</definedName>
    <definedName name="TOTAL_COLUMBIANA" localSheetId="5">#REF!</definedName>
    <definedName name="TOTAL_COLUMBIANA" localSheetId="6">#REF!</definedName>
    <definedName name="TOTAL_COLUMBIANA" localSheetId="7">#REF!</definedName>
    <definedName name="TOTAL_COLUMBIANA" localSheetId="8">#REF!</definedName>
    <definedName name="TOTAL_COLUMBIANA" localSheetId="9">#REF!</definedName>
    <definedName name="TOTAL_COLUMBIANA" localSheetId="10">#REF!</definedName>
    <definedName name="TOTAL_COLUMBIANA">#REF!</definedName>
    <definedName name="Total_Grove_City" localSheetId="1">#REF!</definedName>
    <definedName name="Total_Grove_City" localSheetId="13">#REF!</definedName>
    <definedName name="Total_Grove_City" localSheetId="14">#REF!</definedName>
    <definedName name="Total_Grove_City" localSheetId="16">#REF!</definedName>
    <definedName name="Total_Grove_City" localSheetId="17">#REF!</definedName>
    <definedName name="Total_Grove_City" localSheetId="3">#REF!</definedName>
    <definedName name="Total_Grove_City" localSheetId="4">#REF!</definedName>
    <definedName name="Total_Grove_City" localSheetId="5">#REF!</definedName>
    <definedName name="Total_Grove_City" localSheetId="6">#REF!</definedName>
    <definedName name="Total_Grove_City" localSheetId="7">#REF!</definedName>
    <definedName name="Total_Grove_City" localSheetId="8">#REF!</definedName>
    <definedName name="Total_Grove_City" localSheetId="9">#REF!</definedName>
    <definedName name="Total_Grove_City" localSheetId="10">#REF!</definedName>
    <definedName name="Total_Grove_City">#REF!</definedName>
    <definedName name="TOTAL_HUDSON" localSheetId="1">#REF!</definedName>
    <definedName name="TOTAL_HUDSON" localSheetId="13">#REF!</definedName>
    <definedName name="TOTAL_HUDSON" localSheetId="14">#REF!</definedName>
    <definedName name="TOTAL_HUDSON" localSheetId="16">#REF!</definedName>
    <definedName name="TOTAL_HUDSON" localSheetId="17">#REF!</definedName>
    <definedName name="TOTAL_HUDSON" localSheetId="3">#REF!</definedName>
    <definedName name="TOTAL_HUDSON" localSheetId="4">#REF!</definedName>
    <definedName name="TOTAL_HUDSON" localSheetId="5">#REF!</definedName>
    <definedName name="TOTAL_HUDSON" localSheetId="6">#REF!</definedName>
    <definedName name="TOTAL_HUDSON" localSheetId="7">#REF!</definedName>
    <definedName name="TOTAL_HUDSON" localSheetId="8">#REF!</definedName>
    <definedName name="TOTAL_HUDSON" localSheetId="9">#REF!</definedName>
    <definedName name="TOTAL_HUDSON" localSheetId="10">#REF!</definedName>
    <definedName name="TOTAL_HUDSON">#REF!</definedName>
    <definedName name="TOTAL_MONTPELIER" localSheetId="1">#REF!</definedName>
    <definedName name="TOTAL_MONTPELIER" localSheetId="13">#REF!</definedName>
    <definedName name="TOTAL_MONTPELIER" localSheetId="14">#REF!</definedName>
    <definedName name="TOTAL_MONTPELIER" localSheetId="16">#REF!</definedName>
    <definedName name="TOTAL_MONTPELIER" localSheetId="17">#REF!</definedName>
    <definedName name="TOTAL_MONTPELIER" localSheetId="3">#REF!</definedName>
    <definedName name="TOTAL_MONTPELIER" localSheetId="4">#REF!</definedName>
    <definedName name="TOTAL_MONTPELIER" localSheetId="5">#REF!</definedName>
    <definedName name="TOTAL_MONTPELIER" localSheetId="6">#REF!</definedName>
    <definedName name="TOTAL_MONTPELIER" localSheetId="7">#REF!</definedName>
    <definedName name="TOTAL_MONTPELIER" localSheetId="8">#REF!</definedName>
    <definedName name="TOTAL_MONTPELIER" localSheetId="9">#REF!</definedName>
    <definedName name="TOTAL_MONTPELIER" localSheetId="10">#REF!</definedName>
    <definedName name="TOTAL_MONTPELIER">#REF!</definedName>
    <definedName name="TOTAL_WOODVILLE" localSheetId="1">#REF!</definedName>
    <definedName name="TOTAL_WOODVILLE" localSheetId="13">#REF!</definedName>
    <definedName name="TOTAL_WOODVILLE" localSheetId="14">#REF!</definedName>
    <definedName name="TOTAL_WOODVILLE" localSheetId="16">#REF!</definedName>
    <definedName name="TOTAL_WOODVILLE" localSheetId="17">#REF!</definedName>
    <definedName name="TOTAL_WOODVILLE" localSheetId="3">#REF!</definedName>
    <definedName name="TOTAL_WOODVILLE" localSheetId="4">#REF!</definedName>
    <definedName name="TOTAL_WOODVILLE" localSheetId="5">#REF!</definedName>
    <definedName name="TOTAL_WOODVILLE" localSheetId="6">#REF!</definedName>
    <definedName name="TOTAL_WOODVILLE" localSheetId="7">#REF!</definedName>
    <definedName name="TOTAL_WOODVILLE" localSheetId="8">#REF!</definedName>
    <definedName name="TOTAL_WOODVILLE" localSheetId="9">#REF!</definedName>
    <definedName name="TOTAL_WOODVILLE" localSheetId="10">#REF!</definedName>
    <definedName name="TOTAL_WOODVILLE">#REF!</definedName>
    <definedName name="WADSWORTH" localSheetId="1">#REF!</definedName>
    <definedName name="WADSWORTH" localSheetId="13">#REF!</definedName>
    <definedName name="WADSWORTH" localSheetId="14">#REF!</definedName>
    <definedName name="WADSWORTH" localSheetId="16">#REF!</definedName>
    <definedName name="WADSWORTH" localSheetId="17">#REF!</definedName>
    <definedName name="WADSWORTH" localSheetId="3">#REF!</definedName>
    <definedName name="WADSWORTH" localSheetId="4">#REF!</definedName>
    <definedName name="WADSWORTH" localSheetId="5">#REF!</definedName>
    <definedName name="WADSWORTH" localSheetId="6">#REF!</definedName>
    <definedName name="WADSWORTH" localSheetId="7">#REF!</definedName>
    <definedName name="WADSWORTH" localSheetId="8">#REF!</definedName>
    <definedName name="WADSWORTH" localSheetId="9">#REF!</definedName>
    <definedName name="WADSWORTH" localSheetId="10">#REF!</definedName>
    <definedName name="WADSWORTH">#REF!</definedName>
    <definedName name="wrn.Ancillary._.Services._.1996." localSheetId="1" hidden="1">{#N/A,#N/A,FALSE,"FXCH-GEN Net";#N/A,#N/A,FALSE,"S&amp;D-net";#N/A,#N/A,FALSE,"Reactive-net";#N/A,#N/A,FALSE,"Reactive-IS-net";#N/A,#N/A,FALSE,"Regulation-net";#N/A,#N/A,FALSE,"Reserves-net";#N/A,#N/A,FALSE,"FXCH-COE Net"}</definedName>
    <definedName name="wrn.Ancillary._.Services._.1996." localSheetId="0" hidden="1">{#N/A,#N/A,FALSE,"FXCH-GEN Net";#N/A,#N/A,FALSE,"S&amp;D-net";#N/A,#N/A,FALSE,"Reactive-net";#N/A,#N/A,FALSE,"Reactive-IS-net";#N/A,#N/A,FALSE,"Regulation-net";#N/A,#N/A,FALSE,"Reserves-net";#N/A,#N/A,FALSE,"FXCH-COE Net"}</definedName>
    <definedName name="wrn.Ancillary._.Services._.1996." localSheetId="13" hidden="1">{#N/A,#N/A,FALSE,"FXCH-GEN Net";#N/A,#N/A,FALSE,"S&amp;D-net";#N/A,#N/A,FALSE,"Reactive-net";#N/A,#N/A,FALSE,"Reactive-IS-net";#N/A,#N/A,FALSE,"Regulation-net";#N/A,#N/A,FALSE,"Reserves-net";#N/A,#N/A,FALSE,"FXCH-COE Net"}</definedName>
    <definedName name="wrn.Ancillary._.Services._.1996." localSheetId="14" hidden="1">{#N/A,#N/A,FALSE,"FXCH-GEN Net";#N/A,#N/A,FALSE,"S&amp;D-net";#N/A,#N/A,FALSE,"Reactive-net";#N/A,#N/A,FALSE,"Reactive-IS-net";#N/A,#N/A,FALSE,"Regulation-net";#N/A,#N/A,FALSE,"Reserves-net";#N/A,#N/A,FALSE,"FXCH-COE Net"}</definedName>
    <definedName name="wrn.Ancillary._.Services._.1996." localSheetId="15" hidden="1">{#N/A,#N/A,FALSE,"FXCH-GEN Net";#N/A,#N/A,FALSE,"S&amp;D-net";#N/A,#N/A,FALSE,"Reactive-net";#N/A,#N/A,FALSE,"Reactive-IS-net";#N/A,#N/A,FALSE,"Regulation-net";#N/A,#N/A,FALSE,"Reserves-net";#N/A,#N/A,FALSE,"FXCH-COE Net"}</definedName>
    <definedName name="wrn.Ancillary._.Services._.1996." localSheetId="16" hidden="1">{#N/A,#N/A,FALSE,"FXCH-GEN Net";#N/A,#N/A,FALSE,"S&amp;D-net";#N/A,#N/A,FALSE,"Reactive-net";#N/A,#N/A,FALSE,"Reactive-IS-net";#N/A,#N/A,FALSE,"Regulation-net";#N/A,#N/A,FALSE,"Reserves-net";#N/A,#N/A,FALSE,"FXCH-COE Net"}</definedName>
    <definedName name="wrn.Ancillary._.Services._.1996." localSheetId="17" hidden="1">{#N/A,#N/A,FALSE,"FXCH-GEN Net";#N/A,#N/A,FALSE,"S&amp;D-net";#N/A,#N/A,FALSE,"Reactive-net";#N/A,#N/A,FALSE,"Reactive-IS-net";#N/A,#N/A,FALSE,"Regulation-net";#N/A,#N/A,FALSE,"Reserves-net";#N/A,#N/A,FALSE,"FXCH-COE Net"}</definedName>
    <definedName name="wrn.Ancillary._.Services._.1996." localSheetId="3" hidden="1">{#N/A,#N/A,FALSE,"FXCH-GEN Net";#N/A,#N/A,FALSE,"S&amp;D-net";#N/A,#N/A,FALSE,"Reactive-net";#N/A,#N/A,FALSE,"Reactive-IS-net";#N/A,#N/A,FALSE,"Regulation-net";#N/A,#N/A,FALSE,"Reserves-net";#N/A,#N/A,FALSE,"FXCH-COE Net"}</definedName>
    <definedName name="wrn.Ancillary._.Services._.1996." localSheetId="4" hidden="1">{#N/A,#N/A,FALSE,"FXCH-GEN Net";#N/A,#N/A,FALSE,"S&amp;D-net";#N/A,#N/A,FALSE,"Reactive-net";#N/A,#N/A,FALSE,"Reactive-IS-net";#N/A,#N/A,FALSE,"Regulation-net";#N/A,#N/A,FALSE,"Reserves-net";#N/A,#N/A,FALSE,"FXCH-COE Net"}</definedName>
    <definedName name="wrn.Ancillary._.Services._.1996." localSheetId="5" hidden="1">{#N/A,#N/A,FALSE,"FXCH-GEN Net";#N/A,#N/A,FALSE,"S&amp;D-net";#N/A,#N/A,FALSE,"Reactive-net";#N/A,#N/A,FALSE,"Reactive-IS-net";#N/A,#N/A,FALSE,"Regulation-net";#N/A,#N/A,FALSE,"Reserves-net";#N/A,#N/A,FALSE,"FXCH-COE Net"}</definedName>
    <definedName name="wrn.Ancillary._.Services._.1996." localSheetId="6" hidden="1">{#N/A,#N/A,FALSE,"FXCH-GEN Net";#N/A,#N/A,FALSE,"S&amp;D-net";#N/A,#N/A,FALSE,"Reactive-net";#N/A,#N/A,FALSE,"Reactive-IS-net";#N/A,#N/A,FALSE,"Regulation-net";#N/A,#N/A,FALSE,"Reserves-net";#N/A,#N/A,FALSE,"FXCH-COE Net"}</definedName>
    <definedName name="wrn.Ancillary._.Services._.1996." localSheetId="7" hidden="1">{#N/A,#N/A,FALSE,"FXCH-GEN Net";#N/A,#N/A,FALSE,"S&amp;D-net";#N/A,#N/A,FALSE,"Reactive-net";#N/A,#N/A,FALSE,"Reactive-IS-net";#N/A,#N/A,FALSE,"Regulation-net";#N/A,#N/A,FALSE,"Reserves-net";#N/A,#N/A,FALSE,"FXCH-COE Net"}</definedName>
    <definedName name="wrn.Ancillary._.Services._.1996." localSheetId="8" hidden="1">{#N/A,#N/A,FALSE,"FXCH-GEN Net";#N/A,#N/A,FALSE,"S&amp;D-net";#N/A,#N/A,FALSE,"Reactive-net";#N/A,#N/A,FALSE,"Reactive-IS-net";#N/A,#N/A,FALSE,"Regulation-net";#N/A,#N/A,FALSE,"Reserves-net";#N/A,#N/A,FALSE,"FXCH-COE Net"}</definedName>
    <definedName name="wrn.Ancillary._.Services._.1996." localSheetId="9" hidden="1">{#N/A,#N/A,FALSE,"FXCH-GEN Net";#N/A,#N/A,FALSE,"S&amp;D-net";#N/A,#N/A,FALSE,"Reactive-net";#N/A,#N/A,FALSE,"Reactive-IS-net";#N/A,#N/A,FALSE,"Regulation-net";#N/A,#N/A,FALSE,"Reserves-net";#N/A,#N/A,FALSE,"FXCH-COE Net"}</definedName>
    <definedName name="wrn.Ancillary._.Services._.1996." localSheetId="10" hidden="1">{#N/A,#N/A,FALSE,"FXCH-GEN Net";#N/A,#N/A,FALSE,"S&amp;D-net";#N/A,#N/A,FALSE,"Reactive-net";#N/A,#N/A,FALSE,"Reactive-IS-net";#N/A,#N/A,FALSE,"Regulation-net";#N/A,#N/A,FALSE,"Reserves-net";#N/A,#N/A,FALSE,"FXCH-COE Net"}</definedName>
    <definedName name="wrn.Ancillary._.Services._.1996." hidden="1">{#N/A,#N/A,FALSE,"FXCH-GEN Net";#N/A,#N/A,FALSE,"S&amp;D-net";#N/A,#N/A,FALSE,"Reactive-net";#N/A,#N/A,FALSE,"Reactive-IS-net";#N/A,#N/A,FALSE,"Regulation-net";#N/A,#N/A,FALSE,"Reserves-net";#N/A,#N/A,FALSE,"FXCH-COE Net"}</definedName>
    <definedName name="wrn.Ancillary._.Services._.1996._1" localSheetId="1" hidden="1">{#N/A,#N/A,FALSE,"FXCH-GEN Net";#N/A,#N/A,FALSE,"S&amp;D-net";#N/A,#N/A,FALSE,"Reactive-net";#N/A,#N/A,FALSE,"Reactive-IS-net";#N/A,#N/A,FALSE,"Regulation-net";#N/A,#N/A,FALSE,"Reserves-net";#N/A,#N/A,FALSE,"FXCH-COE Net"}</definedName>
    <definedName name="wrn.Ancillary._.Services._.1996._1" localSheetId="0" hidden="1">{#N/A,#N/A,FALSE,"FXCH-GEN Net";#N/A,#N/A,FALSE,"S&amp;D-net";#N/A,#N/A,FALSE,"Reactive-net";#N/A,#N/A,FALSE,"Reactive-IS-net";#N/A,#N/A,FALSE,"Regulation-net";#N/A,#N/A,FALSE,"Reserves-net";#N/A,#N/A,FALSE,"FXCH-COE Net"}</definedName>
    <definedName name="wrn.Ancillary._.Services._.1996._1" localSheetId="13" hidden="1">{#N/A,#N/A,FALSE,"FXCH-GEN Net";#N/A,#N/A,FALSE,"S&amp;D-net";#N/A,#N/A,FALSE,"Reactive-net";#N/A,#N/A,FALSE,"Reactive-IS-net";#N/A,#N/A,FALSE,"Regulation-net";#N/A,#N/A,FALSE,"Reserves-net";#N/A,#N/A,FALSE,"FXCH-COE Net"}</definedName>
    <definedName name="wrn.Ancillary._.Services._.1996._1" localSheetId="14" hidden="1">{#N/A,#N/A,FALSE,"FXCH-GEN Net";#N/A,#N/A,FALSE,"S&amp;D-net";#N/A,#N/A,FALSE,"Reactive-net";#N/A,#N/A,FALSE,"Reactive-IS-net";#N/A,#N/A,FALSE,"Regulation-net";#N/A,#N/A,FALSE,"Reserves-net";#N/A,#N/A,FALSE,"FXCH-COE Net"}</definedName>
    <definedName name="wrn.Ancillary._.Services._.1996._1" localSheetId="15" hidden="1">{#N/A,#N/A,FALSE,"FXCH-GEN Net";#N/A,#N/A,FALSE,"S&amp;D-net";#N/A,#N/A,FALSE,"Reactive-net";#N/A,#N/A,FALSE,"Reactive-IS-net";#N/A,#N/A,FALSE,"Regulation-net";#N/A,#N/A,FALSE,"Reserves-net";#N/A,#N/A,FALSE,"FXCH-COE Net"}</definedName>
    <definedName name="wrn.Ancillary._.Services._.1996._1" localSheetId="16" hidden="1">{#N/A,#N/A,FALSE,"FXCH-GEN Net";#N/A,#N/A,FALSE,"S&amp;D-net";#N/A,#N/A,FALSE,"Reactive-net";#N/A,#N/A,FALSE,"Reactive-IS-net";#N/A,#N/A,FALSE,"Regulation-net";#N/A,#N/A,FALSE,"Reserves-net";#N/A,#N/A,FALSE,"FXCH-COE Net"}</definedName>
    <definedName name="wrn.Ancillary._.Services._.1996._1" localSheetId="17" hidden="1">{#N/A,#N/A,FALSE,"FXCH-GEN Net";#N/A,#N/A,FALSE,"S&amp;D-net";#N/A,#N/A,FALSE,"Reactive-net";#N/A,#N/A,FALSE,"Reactive-IS-net";#N/A,#N/A,FALSE,"Regulation-net";#N/A,#N/A,FALSE,"Reserves-net";#N/A,#N/A,FALSE,"FXCH-COE Net"}</definedName>
    <definedName name="wrn.Ancillary._.Services._.1996._1" localSheetId="3" hidden="1">{#N/A,#N/A,FALSE,"FXCH-GEN Net";#N/A,#N/A,FALSE,"S&amp;D-net";#N/A,#N/A,FALSE,"Reactive-net";#N/A,#N/A,FALSE,"Reactive-IS-net";#N/A,#N/A,FALSE,"Regulation-net";#N/A,#N/A,FALSE,"Reserves-net";#N/A,#N/A,FALSE,"FXCH-COE Net"}</definedName>
    <definedName name="wrn.Ancillary._.Services._.1996._1" localSheetId="4" hidden="1">{#N/A,#N/A,FALSE,"FXCH-GEN Net";#N/A,#N/A,FALSE,"S&amp;D-net";#N/A,#N/A,FALSE,"Reactive-net";#N/A,#N/A,FALSE,"Reactive-IS-net";#N/A,#N/A,FALSE,"Regulation-net";#N/A,#N/A,FALSE,"Reserves-net";#N/A,#N/A,FALSE,"FXCH-COE Net"}</definedName>
    <definedName name="wrn.Ancillary._.Services._.1996._1" localSheetId="5" hidden="1">{#N/A,#N/A,FALSE,"FXCH-GEN Net";#N/A,#N/A,FALSE,"S&amp;D-net";#N/A,#N/A,FALSE,"Reactive-net";#N/A,#N/A,FALSE,"Reactive-IS-net";#N/A,#N/A,FALSE,"Regulation-net";#N/A,#N/A,FALSE,"Reserves-net";#N/A,#N/A,FALSE,"FXCH-COE Net"}</definedName>
    <definedName name="wrn.Ancillary._.Services._.1996._1" localSheetId="6" hidden="1">{#N/A,#N/A,FALSE,"FXCH-GEN Net";#N/A,#N/A,FALSE,"S&amp;D-net";#N/A,#N/A,FALSE,"Reactive-net";#N/A,#N/A,FALSE,"Reactive-IS-net";#N/A,#N/A,FALSE,"Regulation-net";#N/A,#N/A,FALSE,"Reserves-net";#N/A,#N/A,FALSE,"FXCH-COE Net"}</definedName>
    <definedName name="wrn.Ancillary._.Services._.1996._1" localSheetId="7" hidden="1">{#N/A,#N/A,FALSE,"FXCH-GEN Net";#N/A,#N/A,FALSE,"S&amp;D-net";#N/A,#N/A,FALSE,"Reactive-net";#N/A,#N/A,FALSE,"Reactive-IS-net";#N/A,#N/A,FALSE,"Regulation-net";#N/A,#N/A,FALSE,"Reserves-net";#N/A,#N/A,FALSE,"FXCH-COE Net"}</definedName>
    <definedName name="wrn.Ancillary._.Services._.1996._1" localSheetId="8" hidden="1">{#N/A,#N/A,FALSE,"FXCH-GEN Net";#N/A,#N/A,FALSE,"S&amp;D-net";#N/A,#N/A,FALSE,"Reactive-net";#N/A,#N/A,FALSE,"Reactive-IS-net";#N/A,#N/A,FALSE,"Regulation-net";#N/A,#N/A,FALSE,"Reserves-net";#N/A,#N/A,FALSE,"FXCH-COE Net"}</definedName>
    <definedName name="wrn.Ancillary._.Services._.1996._1" localSheetId="9" hidden="1">{#N/A,#N/A,FALSE,"FXCH-GEN Net";#N/A,#N/A,FALSE,"S&amp;D-net";#N/A,#N/A,FALSE,"Reactive-net";#N/A,#N/A,FALSE,"Reactive-IS-net";#N/A,#N/A,FALSE,"Regulation-net";#N/A,#N/A,FALSE,"Reserves-net";#N/A,#N/A,FALSE,"FXCH-COE Net"}</definedName>
    <definedName name="wrn.Ancillary._.Services._.1996._1" localSheetId="10" hidden="1">{#N/A,#N/A,FALSE,"FXCH-GEN Net";#N/A,#N/A,FALSE,"S&amp;D-net";#N/A,#N/A,FALSE,"Reactive-net";#N/A,#N/A,FALSE,"Reactive-IS-net";#N/A,#N/A,FALSE,"Regulation-net";#N/A,#N/A,FALSE,"Reserves-net";#N/A,#N/A,FALSE,"FXCH-COE Net"}</definedName>
    <definedName name="wrn.Ancillary._.Services._.1996._1" hidden="1">{#N/A,#N/A,FALSE,"FXCH-GEN Net";#N/A,#N/A,FALSE,"S&amp;D-net";#N/A,#N/A,FALSE,"Reactive-net";#N/A,#N/A,FALSE,"Reactive-IS-net";#N/A,#N/A,FALSE,"Regulation-net";#N/A,#N/A,FALSE,"Reserves-net";#N/A,#N/A,FALSE,"FXCH-COE Net"}</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1" i="6" l="1"/>
  <c r="E51" i="30" l="1"/>
  <c r="I48" i="30"/>
  <c r="I26" i="30"/>
  <c r="G26" i="30"/>
  <c r="E48" i="30"/>
  <c r="E26" i="30"/>
  <c r="A80" i="13"/>
  <c r="A19" i="13"/>
  <c r="A20" i="13" s="1"/>
  <c r="A21" i="13" s="1"/>
  <c r="A23" i="13"/>
  <c r="K18" i="13"/>
  <c r="G18" i="13"/>
  <c r="G21" i="32"/>
  <c r="A90" i="6" l="1"/>
  <c r="A18" i="31"/>
  <c r="A19" i="31" s="1"/>
  <c r="A19" i="29"/>
  <c r="A20" i="29" s="1"/>
  <c r="N18" i="29"/>
  <c r="N17" i="31"/>
  <c r="I7" i="2"/>
  <c r="H7" i="2"/>
  <c r="I129" i="2"/>
  <c r="G129" i="2"/>
  <c r="E129" i="2"/>
  <c r="I128" i="2"/>
  <c r="G128" i="2"/>
  <c r="G107" i="2"/>
  <c r="I107" i="2" l="1"/>
  <c r="E107" i="2"/>
  <c r="I106" i="2"/>
  <c r="G106" i="2"/>
  <c r="F7" i="2"/>
  <c r="I25" i="6"/>
  <c r="A86" i="6"/>
  <c r="C68" i="6"/>
  <c r="O17" i="31" l="1"/>
  <c r="O18" i="29"/>
  <c r="G236" i="13" l="1"/>
  <c r="K236" i="13" s="1"/>
  <c r="G111" i="6"/>
  <c r="C120" i="6"/>
  <c r="F310" i="13" l="1"/>
  <c r="G80" i="13"/>
  <c r="K80" i="13" s="1"/>
  <c r="G7" i="6" l="1"/>
  <c r="F293" i="13" l="1"/>
  <c r="F516" i="13"/>
  <c r="G309" i="13"/>
  <c r="K309" i="13" s="1"/>
  <c r="G308" i="13"/>
  <c r="K308" i="13"/>
  <c r="I310" i="13"/>
  <c r="H310" i="13"/>
  <c r="G79" i="13"/>
  <c r="K79" i="13" s="1"/>
  <c r="A10" i="31"/>
  <c r="A11" i="31" s="1"/>
  <c r="A12" i="31" s="1"/>
  <c r="A13" i="31" s="1"/>
  <c r="A14" i="31" s="1"/>
  <c r="A15" i="31" s="1"/>
  <c r="A16" i="31" s="1"/>
  <c r="A17" i="31" s="1"/>
  <c r="A10" i="29"/>
  <c r="A11" i="29" s="1"/>
  <c r="A12" i="29" s="1"/>
  <c r="A13" i="29" s="1"/>
  <c r="A14" i="29" s="1"/>
  <c r="A15" i="29" s="1"/>
  <c r="A16" i="29" s="1"/>
  <c r="A17" i="29" s="1"/>
  <c r="A18" i="29" s="1"/>
  <c r="F51" i="30"/>
  <c r="H51" i="30"/>
  <c r="H136" i="13" l="1"/>
  <c r="F140" i="13"/>
  <c r="H191" i="13"/>
  <c r="H161" i="13"/>
  <c r="H227" i="13"/>
  <c r="F9" i="30" l="1"/>
  <c r="E9" i="30"/>
  <c r="I56" i="2"/>
  <c r="G56" i="2"/>
  <c r="E56" i="2"/>
  <c r="G49" i="2"/>
  <c r="I52" i="2"/>
  <c r="I53" i="2"/>
  <c r="I54" i="2"/>
  <c r="I55" i="2"/>
  <c r="G52" i="2"/>
  <c r="G53" i="2"/>
  <c r="G54" i="2"/>
  <c r="G55" i="2"/>
  <c r="I43" i="2"/>
  <c r="I42" i="2"/>
  <c r="I41" i="2"/>
  <c r="G42" i="2"/>
  <c r="G43" i="2" s="1"/>
  <c r="G41" i="2"/>
  <c r="E43" i="2"/>
  <c r="I34" i="30"/>
  <c r="I35" i="30"/>
  <c r="I36" i="30"/>
  <c r="I37" i="30"/>
  <c r="I38" i="30"/>
  <c r="I39" i="30"/>
  <c r="I40" i="30"/>
  <c r="I41" i="30"/>
  <c r="I42" i="30"/>
  <c r="I43" i="30"/>
  <c r="I44" i="30"/>
  <c r="I45" i="30"/>
  <c r="I46" i="30"/>
  <c r="I47" i="30"/>
  <c r="G33" i="30"/>
  <c r="G34" i="30"/>
  <c r="G35" i="30"/>
  <c r="G36" i="30"/>
  <c r="G37" i="30"/>
  <c r="G38" i="30"/>
  <c r="G39" i="30"/>
  <c r="G40" i="30"/>
  <c r="G41" i="30"/>
  <c r="G42" i="30"/>
  <c r="G43" i="30"/>
  <c r="G44" i="30"/>
  <c r="G45" i="30"/>
  <c r="G46" i="30"/>
  <c r="G47" i="30"/>
  <c r="I20" i="30"/>
  <c r="I21" i="30"/>
  <c r="I22" i="30"/>
  <c r="I23" i="30"/>
  <c r="I24" i="30"/>
  <c r="I25" i="30"/>
  <c r="G20" i="30"/>
  <c r="G21" i="30"/>
  <c r="G22" i="30"/>
  <c r="G23" i="30"/>
  <c r="G24" i="30"/>
  <c r="G25" i="30"/>
  <c r="G83" i="13"/>
  <c r="K83" i="13" s="1"/>
  <c r="E50" i="30" l="1"/>
  <c r="I49" i="30"/>
  <c r="I50" i="30" s="1"/>
  <c r="H8" i="30" s="1"/>
  <c r="D9" i="31" s="1"/>
  <c r="G49" i="30"/>
  <c r="E68" i="6"/>
  <c r="I66" i="6"/>
  <c r="G66" i="6"/>
  <c r="E66" i="6"/>
  <c r="C66" i="6"/>
  <c r="C69" i="6" l="1"/>
  <c r="G502" i="13"/>
  <c r="K502" i="13" s="1"/>
  <c r="G38" i="13"/>
  <c r="K38" i="13" s="1"/>
  <c r="G104" i="13"/>
  <c r="K104" i="13" s="1"/>
  <c r="I18" i="6"/>
  <c r="I7" i="6"/>
  <c r="E18" i="6"/>
  <c r="E7" i="6"/>
  <c r="C114" i="6" l="1"/>
  <c r="C121" i="6" s="1"/>
  <c r="G306" i="13" l="1"/>
  <c r="K306" i="13" s="1"/>
  <c r="G305" i="13"/>
  <c r="K305" i="13" s="1"/>
  <c r="I121" i="6" l="1"/>
  <c r="G121" i="6"/>
  <c r="E26" i="33" l="1"/>
  <c r="H25" i="33"/>
  <c r="H24" i="33"/>
  <c r="G191" i="13"/>
  <c r="K191" i="13" s="1"/>
  <c r="I98" i="2"/>
  <c r="I99" i="2"/>
  <c r="I100" i="2"/>
  <c r="I101" i="2"/>
  <c r="I102" i="2"/>
  <c r="I103" i="2"/>
  <c r="G98" i="2"/>
  <c r="G99" i="2"/>
  <c r="G100" i="2"/>
  <c r="G101" i="2"/>
  <c r="G102" i="2"/>
  <c r="G103" i="2"/>
  <c r="G104" i="2"/>
  <c r="G475" i="13"/>
  <c r="I475" i="13" s="1"/>
  <c r="G435" i="13"/>
  <c r="G349" i="13"/>
  <c r="I349" i="13" s="1"/>
  <c r="G249" i="13"/>
  <c r="K249" i="13" s="1"/>
  <c r="G22" i="13"/>
  <c r="K22" i="13" s="1"/>
  <c r="A3" i="7"/>
  <c r="A4" i="5"/>
  <c r="A3" i="28" s="1"/>
  <c r="G11" i="30"/>
  <c r="I14" i="30"/>
  <c r="A1" i="18"/>
  <c r="A8" i="27"/>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86" i="27" s="1"/>
  <c r="A87" i="27" s="1"/>
  <c r="A88" i="27" s="1"/>
  <c r="A89" i="27" s="1"/>
  <c r="A90" i="27" s="1"/>
  <c r="A91" i="27" s="1"/>
  <c r="A92" i="27" s="1"/>
  <c r="A93" i="27" s="1"/>
  <c r="G125" i="13"/>
  <c r="K125" i="13" s="1"/>
  <c r="G126" i="13"/>
  <c r="K126" i="13" s="1"/>
  <c r="A94" i="27"/>
  <c r="A95" i="27" s="1"/>
  <c r="A96" i="27" s="1"/>
  <c r="A97" i="27" s="1"/>
  <c r="A98" i="27" s="1"/>
  <c r="A99" i="27" s="1"/>
  <c r="A100" i="27" s="1"/>
  <c r="A101" i="27" s="1"/>
  <c r="A102" i="27" s="1"/>
  <c r="A103" i="27" s="1"/>
  <c r="A104" i="27" s="1"/>
  <c r="A105" i="27" s="1"/>
  <c r="A106" i="27" s="1"/>
  <c r="A107" i="27" s="1"/>
  <c r="A108" i="27" s="1"/>
  <c r="A109" i="27" s="1"/>
  <c r="A110" i="27" s="1"/>
  <c r="A111" i="27" s="1"/>
  <c r="A112" i="27" s="1"/>
  <c r="A113" i="27" s="1"/>
  <c r="A114" i="27" s="1"/>
  <c r="A115" i="27" s="1"/>
  <c r="A116" i="27" s="1"/>
  <c r="A117" i="27" s="1"/>
  <c r="A118" i="27" s="1"/>
  <c r="A119" i="27" s="1"/>
  <c r="A120" i="27" s="1"/>
  <c r="A121" i="27" s="1"/>
  <c r="A122" i="27" s="1"/>
  <c r="A123" i="27" s="1"/>
  <c r="A124" i="27" s="1"/>
  <c r="A125" i="27" s="1"/>
  <c r="A126" i="27" s="1"/>
  <c r="A127" i="27" s="1"/>
  <c r="A128" i="27" s="1"/>
  <c r="A129" i="27" s="1"/>
  <c r="A130" i="27" s="1"/>
  <c r="A131" i="27" s="1"/>
  <c r="A132" i="27" s="1"/>
  <c r="A133" i="27" s="1"/>
  <c r="A134" i="27" s="1"/>
  <c r="A135" i="27" s="1"/>
  <c r="A136" i="27" s="1"/>
  <c r="A137" i="27" s="1"/>
  <c r="A138" i="27" s="1"/>
  <c r="A139" i="27" s="1"/>
  <c r="A140" i="27" s="1"/>
  <c r="A141" i="27" s="1"/>
  <c r="A142" i="27" s="1"/>
  <c r="A143" i="27" s="1"/>
  <c r="A144" i="27" s="1"/>
  <c r="A145" i="27" s="1"/>
  <c r="A146" i="27" s="1"/>
  <c r="A147" i="27" s="1"/>
  <c r="A148" i="27" s="1"/>
  <c r="A149" i="27" s="1"/>
  <c r="A150" i="27" s="1"/>
  <c r="A151" i="27" s="1"/>
  <c r="A152" i="27" s="1"/>
  <c r="A153" i="27" s="1"/>
  <c r="A154" i="27" s="1"/>
  <c r="A155" i="27" s="1"/>
  <c r="A156" i="27" s="1"/>
  <c r="A157" i="27" s="1"/>
  <c r="A158" i="27" s="1"/>
  <c r="A159" i="27" s="1"/>
  <c r="A160" i="27" s="1"/>
  <c r="A161" i="27" s="1"/>
  <c r="A162" i="27" s="1"/>
  <c r="A163" i="27" s="1"/>
  <c r="A164" i="27" s="1"/>
  <c r="A165" i="27" s="1"/>
  <c r="A166" i="27" s="1"/>
  <c r="A167" i="27" s="1"/>
  <c r="A168" i="27" s="1"/>
  <c r="A169" i="27" s="1"/>
  <c r="A170" i="27" s="1"/>
  <c r="A171" i="27" s="1"/>
  <c r="A172" i="27" s="1"/>
  <c r="A173" i="27" s="1"/>
  <c r="A174" i="27" s="1"/>
  <c r="A175" i="27" s="1"/>
  <c r="A176" i="27" s="1"/>
  <c r="A177" i="27" s="1"/>
  <c r="A178" i="27" s="1"/>
  <c r="A179" i="27" s="1"/>
  <c r="A180" i="27" s="1"/>
  <c r="A181" i="27" s="1"/>
  <c r="A182" i="27" s="1"/>
  <c r="A183" i="27" s="1"/>
  <c r="A184" i="27" s="1"/>
  <c r="A185" i="27" s="1"/>
  <c r="A186" i="27" s="1"/>
  <c r="A187" i="27" s="1"/>
  <c r="A188" i="27" s="1"/>
  <c r="A189" i="27" s="1"/>
  <c r="A190" i="27" s="1"/>
  <c r="A191" i="27" s="1"/>
  <c r="A192" i="27" s="1"/>
  <c r="A193" i="27" s="1"/>
  <c r="A194" i="27" s="1"/>
  <c r="A195" i="27" s="1"/>
  <c r="A196" i="27" s="1"/>
  <c r="A197" i="27" s="1"/>
  <c r="A198" i="27" s="1"/>
  <c r="A199" i="27" s="1"/>
  <c r="A200" i="27" s="1"/>
  <c r="A201" i="27" s="1"/>
  <c r="A202" i="27" s="1"/>
  <c r="A203" i="27" s="1"/>
  <c r="A204" i="27" s="1"/>
  <c r="A205" i="27" s="1"/>
  <c r="A206" i="27" s="1"/>
  <c r="A207" i="27" s="1"/>
  <c r="A208" i="27" s="1"/>
  <c r="A209" i="27" s="1"/>
  <c r="A210" i="27" s="1"/>
  <c r="A211" i="27" s="1"/>
  <c r="A212" i="27" s="1"/>
  <c r="A213" i="27" s="1"/>
  <c r="A214" i="27" s="1"/>
  <c r="A215" i="27" s="1"/>
  <c r="A216" i="27" s="1"/>
  <c r="A217" i="27" s="1"/>
  <c r="A218" i="27" s="1"/>
  <c r="A219" i="27" s="1"/>
  <c r="A220" i="27" s="1"/>
  <c r="A221" i="27" s="1"/>
  <c r="A222" i="27" s="1"/>
  <c r="A223" i="27" s="1"/>
  <c r="A224" i="27" s="1"/>
  <c r="A225" i="27" s="1"/>
  <c r="A226" i="27" s="1"/>
  <c r="A227" i="27" s="1"/>
  <c r="A228" i="27" s="1"/>
  <c r="A229" i="27" s="1"/>
  <c r="A230" i="27" s="1"/>
  <c r="A231" i="27" s="1"/>
  <c r="A232" i="27" s="1"/>
  <c r="A233" i="27" s="1"/>
  <c r="A234" i="27" s="1"/>
  <c r="A235" i="27" s="1"/>
  <c r="A236" i="27" s="1"/>
  <c r="A237" i="27" s="1"/>
  <c r="A238" i="27" s="1"/>
  <c r="A239" i="27" s="1"/>
  <c r="A240" i="27" s="1"/>
  <c r="A241" i="27" s="1"/>
  <c r="A242" i="27" s="1"/>
  <c r="A243" i="27" s="1"/>
  <c r="A244" i="27" s="1"/>
  <c r="A245" i="27" s="1"/>
  <c r="A246" i="27" s="1"/>
  <c r="A247" i="27" s="1"/>
  <c r="A248" i="27" s="1"/>
  <c r="A249" i="27" s="1"/>
  <c r="A250" i="27" s="1"/>
  <c r="A251" i="27" s="1"/>
  <c r="A252" i="27" s="1"/>
  <c r="A253" i="27" s="1"/>
  <c r="A254" i="27" s="1"/>
  <c r="A255" i="27" s="1"/>
  <c r="A256" i="27" s="1"/>
  <c r="A257" i="27" s="1"/>
  <c r="A258" i="27" s="1"/>
  <c r="A259" i="27" s="1"/>
  <c r="A260" i="27" s="1"/>
  <c r="A261" i="27" s="1"/>
  <c r="A262" i="27" s="1"/>
  <c r="A263" i="27" s="1"/>
  <c r="A264" i="27" s="1"/>
  <c r="A265" i="27" s="1"/>
  <c r="A266" i="27" s="1"/>
  <c r="A267" i="27" s="1"/>
  <c r="A268" i="27" s="1"/>
  <c r="A269" i="27" s="1"/>
  <c r="A270" i="27" s="1"/>
  <c r="A271" i="27" s="1"/>
  <c r="A272" i="27" s="1"/>
  <c r="A273" i="27" s="1"/>
  <c r="A274" i="27" s="1"/>
  <c r="A275" i="27" s="1"/>
  <c r="A276" i="27" s="1"/>
  <c r="A277" i="27" s="1"/>
  <c r="A278" i="27" s="1"/>
  <c r="A279" i="27" s="1"/>
  <c r="A280" i="27" s="1"/>
  <c r="A281" i="27" s="1"/>
  <c r="A282" i="27" s="1"/>
  <c r="A283" i="27" s="1"/>
  <c r="A284" i="27" s="1"/>
  <c r="A285" i="27" s="1"/>
  <c r="A286" i="27" s="1"/>
  <c r="A287" i="27" s="1"/>
  <c r="A288" i="27" s="1"/>
  <c r="A289" i="27" s="1"/>
  <c r="A290" i="27" s="1"/>
  <c r="A291" i="27" s="1"/>
  <c r="A292" i="27" s="1"/>
  <c r="A293" i="27" s="1"/>
  <c r="A294" i="27" s="1"/>
  <c r="A295" i="27" s="1"/>
  <c r="A296" i="27" s="1"/>
  <c r="A297" i="27" s="1"/>
  <c r="A298" i="27" s="1"/>
  <c r="A299" i="27" s="1"/>
  <c r="A300" i="27" s="1"/>
  <c r="A301" i="27" s="1"/>
  <c r="A302" i="27" s="1"/>
  <c r="A303" i="27" s="1"/>
  <c r="A304" i="27" s="1"/>
  <c r="A305" i="27" s="1"/>
  <c r="A306" i="27" s="1"/>
  <c r="A307" i="27" s="1"/>
  <c r="A308" i="27" s="1"/>
  <c r="A309" i="27" s="1"/>
  <c r="A310" i="27" s="1"/>
  <c r="A311" i="27" s="1"/>
  <c r="A312" i="27" s="1"/>
  <c r="A313" i="27" s="1"/>
  <c r="A314" i="27" s="1"/>
  <c r="A315" i="27" s="1"/>
  <c r="A316" i="27" s="1"/>
  <c r="A317" i="27" s="1"/>
  <c r="A318" i="27" s="1"/>
  <c r="A319" i="27" s="1"/>
  <c r="A320" i="27" s="1"/>
  <c r="A321" i="27" s="1"/>
  <c r="A322" i="27" s="1"/>
  <c r="A323" i="27" s="1"/>
  <c r="A324" i="27" s="1"/>
  <c r="A325" i="27" s="1"/>
  <c r="A326" i="27" s="1"/>
  <c r="A327" i="27" s="1"/>
  <c r="A328" i="27" s="1"/>
  <c r="A329" i="27" s="1"/>
  <c r="A330" i="27" s="1"/>
  <c r="A331" i="27" s="1"/>
  <c r="A332" i="27" s="1"/>
  <c r="A333" i="27" s="1"/>
  <c r="A334" i="27" s="1"/>
  <c r="A335" i="27" s="1"/>
  <c r="A336" i="27" s="1"/>
  <c r="A337" i="27" s="1"/>
  <c r="A338" i="27" s="1"/>
  <c r="A339" i="27" s="1"/>
  <c r="A340" i="27" s="1"/>
  <c r="A341" i="27" s="1"/>
  <c r="A342" i="27" s="1"/>
  <c r="A343" i="27" s="1"/>
  <c r="A344" i="27" s="1"/>
  <c r="A345" i="27" s="1"/>
  <c r="A346" i="27" s="1"/>
  <c r="A347" i="27" s="1"/>
  <c r="A348" i="27" s="1"/>
  <c r="A349" i="27" s="1"/>
  <c r="A350" i="27" s="1"/>
  <c r="A351" i="27" s="1"/>
  <c r="A352" i="27" s="1"/>
  <c r="A353" i="27" s="1"/>
  <c r="A354" i="27" s="1"/>
  <c r="A355" i="27" s="1"/>
  <c r="A356" i="27" s="1"/>
  <c r="A357" i="27" s="1"/>
  <c r="A358" i="27" s="1"/>
  <c r="A359" i="27" s="1"/>
  <c r="A360" i="27" s="1"/>
  <c r="A361" i="27" s="1"/>
  <c r="A362" i="27" s="1"/>
  <c r="A363" i="27" s="1"/>
  <c r="A364" i="27" s="1"/>
  <c r="A365" i="27" s="1"/>
  <c r="A366" i="27" s="1"/>
  <c r="A367" i="27" s="1"/>
  <c r="A368" i="27" s="1"/>
  <c r="A369" i="27" s="1"/>
  <c r="A370" i="27" s="1"/>
  <c r="A371" i="27" s="1"/>
  <c r="A372" i="27" s="1"/>
  <c r="A373" i="27" s="1"/>
  <c r="A374" i="27" s="1"/>
  <c r="A375" i="27" s="1"/>
  <c r="A376" i="27" s="1"/>
  <c r="A377" i="27" s="1"/>
  <c r="A378" i="27" s="1"/>
  <c r="A379" i="27" s="1"/>
  <c r="A380" i="27" s="1"/>
  <c r="A381" i="27" s="1"/>
  <c r="A382" i="27" s="1"/>
  <c r="A383" i="27" s="1"/>
  <c r="A384" i="27" s="1"/>
  <c r="A385" i="27" s="1"/>
  <c r="A386" i="27" s="1"/>
  <c r="A387" i="27" s="1"/>
  <c r="A388" i="27" s="1"/>
  <c r="A389" i="27" s="1"/>
  <c r="A390" i="27" s="1"/>
  <c r="A391" i="27" s="1"/>
  <c r="A392" i="27" s="1"/>
  <c r="A393" i="27" s="1"/>
  <c r="A394" i="27" s="1"/>
  <c r="A395" i="27" s="1"/>
  <c r="A396" i="27" s="1"/>
  <c r="A397" i="27" s="1"/>
  <c r="A398" i="27" s="1"/>
  <c r="A399" i="27" s="1"/>
  <c r="A400" i="27" s="1"/>
  <c r="A401" i="27" s="1"/>
  <c r="A402" i="27" s="1"/>
  <c r="A403" i="27" s="1"/>
  <c r="A404" i="27" s="1"/>
  <c r="A405" i="27" s="1"/>
  <c r="A406" i="27" s="1"/>
  <c r="A407" i="27" s="1"/>
  <c r="A408" i="27" s="1"/>
  <c r="A409" i="27" s="1"/>
  <c r="A410" i="27" s="1"/>
  <c r="A411" i="27" s="1"/>
  <c r="A412" i="27" s="1"/>
  <c r="A413" i="27" s="1"/>
  <c r="A414" i="27" s="1"/>
  <c r="A415" i="27" s="1"/>
  <c r="A416" i="27" s="1"/>
  <c r="A417" i="27" s="1"/>
  <c r="A418" i="27" s="1"/>
  <c r="A419" i="27" s="1"/>
  <c r="A420" i="27" s="1"/>
  <c r="A421" i="27" s="1"/>
  <c r="A422" i="27" s="1"/>
  <c r="A423" i="27" s="1"/>
  <c r="A424" i="27" s="1"/>
  <c r="A425" i="27" s="1"/>
  <c r="A426" i="27" s="1"/>
  <c r="A427" i="27" s="1"/>
  <c r="A428" i="27" s="1"/>
  <c r="A429" i="27" s="1"/>
  <c r="A430" i="27" s="1"/>
  <c r="A431" i="27" s="1"/>
  <c r="A432" i="27" s="1"/>
  <c r="A433" i="27" s="1"/>
  <c r="A434" i="27" s="1"/>
  <c r="A435" i="27" s="1"/>
  <c r="A436" i="27" s="1"/>
  <c r="A437" i="27" s="1"/>
  <c r="A438" i="27" s="1"/>
  <c r="A439" i="27" s="1"/>
  <c r="A440" i="27" s="1"/>
  <c r="A441" i="27" s="1"/>
  <c r="A442" i="27" s="1"/>
  <c r="A443" i="27" s="1"/>
  <c r="A444" i="27" s="1"/>
  <c r="A445" i="27" s="1"/>
  <c r="A446" i="27" s="1"/>
  <c r="A447" i="27" s="1"/>
  <c r="A448" i="27" s="1"/>
  <c r="A449" i="27" s="1"/>
  <c r="A450" i="27" s="1"/>
  <c r="A451" i="27" s="1"/>
  <c r="A452" i="27" s="1"/>
  <c r="A453" i="27" s="1"/>
  <c r="A454" i="27" s="1"/>
  <c r="A455" i="27" s="1"/>
  <c r="A456" i="27" s="1"/>
  <c r="A457" i="27" s="1"/>
  <c r="A458" i="27" s="1"/>
  <c r="A459" i="27" s="1"/>
  <c r="A460" i="27" s="1"/>
  <c r="A461" i="27" s="1"/>
  <c r="A462" i="27" s="1"/>
  <c r="A463" i="27" s="1"/>
  <c r="A464" i="27" s="1"/>
  <c r="A465" i="27" s="1"/>
  <c r="A466" i="27" s="1"/>
  <c r="A467" i="27" s="1"/>
  <c r="A468" i="27" s="1"/>
  <c r="A469" i="27" s="1"/>
  <c r="A470" i="27" s="1"/>
  <c r="A471" i="27" s="1"/>
  <c r="A472" i="27" s="1"/>
  <c r="A473" i="27" s="1"/>
  <c r="A474" i="27" s="1"/>
  <c r="A475" i="27" s="1"/>
  <c r="A476" i="27" s="1"/>
  <c r="A477" i="27" s="1"/>
  <c r="A478" i="27" s="1"/>
  <c r="A479" i="27" s="1"/>
  <c r="A480" i="27" s="1"/>
  <c r="A481" i="27" s="1"/>
  <c r="A482" i="27" s="1"/>
  <c r="A483" i="27" s="1"/>
  <c r="A484" i="27" s="1"/>
  <c r="A485" i="27" s="1"/>
  <c r="A486" i="27" s="1"/>
  <c r="A487" i="27" s="1"/>
  <c r="A488" i="27" s="1"/>
  <c r="A489" i="27" s="1"/>
  <c r="A490" i="27" s="1"/>
  <c r="A491" i="27" s="1"/>
  <c r="A492" i="27" s="1"/>
  <c r="A493" i="27" s="1"/>
  <c r="A494" i="27" s="1"/>
  <c r="A495" i="27" s="1"/>
  <c r="A496" i="27" s="1"/>
  <c r="A497" i="27" s="1"/>
  <c r="A498" i="27" s="1"/>
  <c r="A499" i="27" s="1"/>
  <c r="A500" i="27" s="1"/>
  <c r="A501" i="27" s="1"/>
  <c r="A502" i="27" s="1"/>
  <c r="A503" i="27" s="1"/>
  <c r="A504" i="27" s="1"/>
  <c r="A505" i="27" s="1"/>
  <c r="A506" i="27" s="1"/>
  <c r="A507" i="27" s="1"/>
  <c r="A508" i="27" s="1"/>
  <c r="A509" i="27" s="1"/>
  <c r="A510" i="27" s="1"/>
  <c r="A511" i="27" s="1"/>
  <c r="A512" i="27" s="1"/>
  <c r="A513" i="27" s="1"/>
  <c r="A514" i="27" s="1"/>
  <c r="A515" i="27" s="1"/>
  <c r="A516" i="27" s="1"/>
  <c r="A517" i="27" s="1"/>
  <c r="A518" i="27" s="1"/>
  <c r="A519" i="27" s="1"/>
  <c r="A520" i="27" s="1"/>
  <c r="A521" i="27" s="1"/>
  <c r="A522" i="27" s="1"/>
  <c r="A523" i="27" s="1"/>
  <c r="A524" i="27" s="1"/>
  <c r="A525" i="27" s="1"/>
  <c r="A526" i="27" s="1"/>
  <c r="A527" i="27" s="1"/>
  <c r="A528" i="27" s="1"/>
  <c r="A529" i="27" s="1"/>
  <c r="A530" i="27" s="1"/>
  <c r="A531" i="27" s="1"/>
  <c r="A532" i="27" s="1"/>
  <c r="A533" i="27" s="1"/>
  <c r="A534" i="27" s="1"/>
  <c r="A535" i="27" s="1"/>
  <c r="A536" i="27" s="1"/>
  <c r="A537" i="27" s="1"/>
  <c r="A538" i="27" s="1"/>
  <c r="A539" i="27" s="1"/>
  <c r="A540" i="27" s="1"/>
  <c r="A541" i="27" s="1"/>
  <c r="A542" i="27" s="1"/>
  <c r="A543" i="27" s="1"/>
  <c r="A544" i="27" s="1"/>
  <c r="A545" i="27" s="1"/>
  <c r="A546" i="27" s="1"/>
  <c r="A547" i="27" s="1"/>
  <c r="A548" i="27" s="1"/>
  <c r="A549" i="27" s="1"/>
  <c r="A550" i="27" s="1"/>
  <c r="A551" i="27" s="1"/>
  <c r="A552" i="27" s="1"/>
  <c r="A553" i="27" s="1"/>
  <c r="A554" i="27" s="1"/>
  <c r="A555" i="27" s="1"/>
  <c r="A556" i="27" s="1"/>
  <c r="A557" i="27" s="1"/>
  <c r="A558" i="27" s="1"/>
  <c r="A559" i="27" s="1"/>
  <c r="A560" i="27" s="1"/>
  <c r="A561" i="27" s="1"/>
  <c r="A562" i="27" s="1"/>
  <c r="A563" i="27" s="1"/>
  <c r="A564" i="27" s="1"/>
  <c r="A565" i="27" s="1"/>
  <c r="A566" i="27" s="1"/>
  <c r="A567" i="27" s="1"/>
  <c r="A568" i="27" s="1"/>
  <c r="A569" i="27" s="1"/>
  <c r="A570" i="27" s="1"/>
  <c r="A571" i="27" s="1"/>
  <c r="A572" i="27" s="1"/>
  <c r="A573" i="27" s="1"/>
  <c r="A574" i="27" s="1"/>
  <c r="A575" i="27" s="1"/>
  <c r="A576" i="27" s="1"/>
  <c r="A577" i="27" s="1"/>
  <c r="A578" i="27" s="1"/>
  <c r="A579" i="27" s="1"/>
  <c r="A580" i="27" s="1"/>
  <c r="A581" i="27" s="1"/>
  <c r="A582" i="27" s="1"/>
  <c r="A583" i="27" s="1"/>
  <c r="A584" i="27" s="1"/>
  <c r="A585" i="27" s="1"/>
  <c r="A586" i="27" s="1"/>
  <c r="A587" i="27" s="1"/>
  <c r="A588" i="27" s="1"/>
  <c r="A589" i="27" s="1"/>
  <c r="A590" i="27" s="1"/>
  <c r="A591" i="27" s="1"/>
  <c r="A592" i="27" s="1"/>
  <c r="A593" i="27" s="1"/>
  <c r="A594" i="27" s="1"/>
  <c r="A595" i="27" s="1"/>
  <c r="A596" i="27" s="1"/>
  <c r="A597" i="27" s="1"/>
  <c r="A598" i="27" s="1"/>
  <c r="A599" i="27" s="1"/>
  <c r="A600" i="27" s="1"/>
  <c r="A601" i="27" s="1"/>
  <c r="A602" i="27" s="1"/>
  <c r="A603" i="27" s="1"/>
  <c r="A604" i="27" s="1"/>
  <c r="A605" i="27" s="1"/>
  <c r="A606" i="27" s="1"/>
  <c r="A607" i="27" s="1"/>
  <c r="A608" i="27" s="1"/>
  <c r="A609" i="27" s="1"/>
  <c r="A610" i="27" s="1"/>
  <c r="A611" i="27" s="1"/>
  <c r="A612" i="27" s="1"/>
  <c r="A613" i="27" s="1"/>
  <c r="A614" i="27" s="1"/>
  <c r="A615" i="27" s="1"/>
  <c r="A616" i="27" s="1"/>
  <c r="A617" i="27" s="1"/>
  <c r="A618" i="27" s="1"/>
  <c r="A619" i="27" s="1"/>
  <c r="A620" i="27" s="1"/>
  <c r="A621" i="27" s="1"/>
  <c r="A622" i="27" s="1"/>
  <c r="A623" i="27" s="1"/>
  <c r="A624" i="27" s="1"/>
  <c r="A625" i="27" s="1"/>
  <c r="A626" i="27" s="1"/>
  <c r="A627" i="27" s="1"/>
  <c r="A628" i="27" s="1"/>
  <c r="A629" i="27" s="1"/>
  <c r="A630" i="27" s="1"/>
  <c r="A631" i="27" s="1"/>
  <c r="A632" i="27" s="1"/>
  <c r="A633" i="27" s="1"/>
  <c r="A634" i="27" s="1"/>
  <c r="A635" i="27" s="1"/>
  <c r="A636" i="27" s="1"/>
  <c r="A637" i="27" s="1"/>
  <c r="A638" i="27" s="1"/>
  <c r="A639" i="27" s="1"/>
  <c r="A640" i="27" s="1"/>
  <c r="A641" i="27" s="1"/>
  <c r="A642" i="27" s="1"/>
  <c r="A643" i="27" s="1"/>
  <c r="A644" i="27" s="1"/>
  <c r="A645" i="27" s="1"/>
  <c r="A646" i="27" s="1"/>
  <c r="A647" i="27" s="1"/>
  <c r="A648" i="27" s="1"/>
  <c r="A649" i="27" s="1"/>
  <c r="A650" i="27" s="1"/>
  <c r="A651" i="27" s="1"/>
  <c r="A652" i="27" s="1"/>
  <c r="A653" i="27" s="1"/>
  <c r="A654" i="27" s="1"/>
  <c r="A655" i="27" s="1"/>
  <c r="A656" i="27" s="1"/>
  <c r="A657" i="27" s="1"/>
  <c r="A658" i="27" s="1"/>
  <c r="A659" i="27" s="1"/>
  <c r="A660" i="27" s="1"/>
  <c r="A661" i="27" s="1"/>
  <c r="A662" i="27" s="1"/>
  <c r="A663" i="27" s="1"/>
  <c r="A664" i="27" s="1"/>
  <c r="A665" i="27" s="1"/>
  <c r="A666" i="27" s="1"/>
  <c r="A667" i="27" s="1"/>
  <c r="A668" i="27" s="1"/>
  <c r="A669" i="27" s="1"/>
  <c r="A670" i="27" s="1"/>
  <c r="A671" i="27" s="1"/>
  <c r="A672" i="27" s="1"/>
  <c r="A673" i="27" s="1"/>
  <c r="A674" i="27" s="1"/>
  <c r="A675" i="27" s="1"/>
  <c r="A676" i="27" s="1"/>
  <c r="A677" i="27" s="1"/>
  <c r="A678" i="27" s="1"/>
  <c r="A679" i="27" s="1"/>
  <c r="A680" i="27" s="1"/>
  <c r="A681" i="27" s="1"/>
  <c r="A682" i="27" s="1"/>
  <c r="A683" i="27" s="1"/>
  <c r="A684" i="27" s="1"/>
  <c r="A685" i="27" s="1"/>
  <c r="A686" i="27" s="1"/>
  <c r="A687" i="27" s="1"/>
  <c r="A688" i="27" s="1"/>
  <c r="A689" i="27" s="1"/>
  <c r="A690" i="27" s="1"/>
  <c r="A691" i="27" s="1"/>
  <c r="A692" i="27" s="1"/>
  <c r="A693" i="27" s="1"/>
  <c r="A694" i="27" s="1"/>
  <c r="A695" i="27" s="1"/>
  <c r="A696" i="27" s="1"/>
  <c r="A697" i="27" s="1"/>
  <c r="A698" i="27" s="1"/>
  <c r="A699" i="27" s="1"/>
  <c r="A700" i="27" s="1"/>
  <c r="A701" i="27" s="1"/>
  <c r="A702" i="27" s="1"/>
  <c r="A703" i="27" s="1"/>
  <c r="A704" i="27" s="1"/>
  <c r="A705" i="27" s="1"/>
  <c r="A706" i="27" s="1"/>
  <c r="A707" i="27" s="1"/>
  <c r="A708" i="27" s="1"/>
  <c r="A709" i="27" s="1"/>
  <c r="A710" i="27" s="1"/>
  <c r="A711" i="27" s="1"/>
  <c r="A712" i="27" s="1"/>
  <c r="A713" i="27" s="1"/>
  <c r="A714" i="27" s="1"/>
  <c r="A715" i="27" s="1"/>
  <c r="A716" i="27" s="1"/>
  <c r="A717" i="27" s="1"/>
  <c r="A718" i="27" s="1"/>
  <c r="A719" i="27" s="1"/>
  <c r="A720" i="27" s="1"/>
  <c r="A721" i="27" s="1"/>
  <c r="A722" i="27" s="1"/>
  <c r="A723" i="27" s="1"/>
  <c r="A724" i="27" s="1"/>
  <c r="A725" i="27" s="1"/>
  <c r="A726" i="27" s="1"/>
  <c r="A727" i="27" s="1"/>
  <c r="A728" i="27" s="1"/>
  <c r="A729" i="27" s="1"/>
  <c r="A730" i="27" s="1"/>
  <c r="A731" i="27" s="1"/>
  <c r="A732" i="27" s="1"/>
  <c r="A733" i="27" s="1"/>
  <c r="A734" i="27" s="1"/>
  <c r="A735" i="27" s="1"/>
  <c r="A736" i="27" s="1"/>
  <c r="A737" i="27" s="1"/>
  <c r="A738" i="27" s="1"/>
  <c r="A739" i="27" s="1"/>
  <c r="A740" i="27" s="1"/>
  <c r="A741" i="27" s="1"/>
  <c r="A742" i="27" s="1"/>
  <c r="A743" i="27" s="1"/>
  <c r="A744" i="27" s="1"/>
  <c r="A745" i="27" s="1"/>
  <c r="A746" i="27" s="1"/>
  <c r="A747" i="27" s="1"/>
  <c r="A748" i="27" s="1"/>
  <c r="A749" i="27" s="1"/>
  <c r="A750" i="27" s="1"/>
  <c r="A751" i="27" s="1"/>
  <c r="A752" i="27" s="1"/>
  <c r="A753" i="27" s="1"/>
  <c r="A754" i="27" s="1"/>
  <c r="A755" i="27" s="1"/>
  <c r="A756" i="27" s="1"/>
  <c r="A757" i="27" s="1"/>
  <c r="A758" i="27" s="1"/>
  <c r="A759" i="27" s="1"/>
  <c r="A760" i="27" s="1"/>
  <c r="A761" i="27" s="1"/>
  <c r="A762" i="27" s="1"/>
  <c r="A763" i="27" s="1"/>
  <c r="A764" i="27" s="1"/>
  <c r="A765" i="27" s="1"/>
  <c r="A766" i="27" s="1"/>
  <c r="A767" i="27" s="1"/>
  <c r="A768" i="27" s="1"/>
  <c r="A769" i="27" s="1"/>
  <c r="A770" i="27" s="1"/>
  <c r="A771" i="27" s="1"/>
  <c r="A772" i="27" s="1"/>
  <c r="A773" i="27" s="1"/>
  <c r="A774" i="27" s="1"/>
  <c r="A775" i="27" s="1"/>
  <c r="A776" i="27" s="1"/>
  <c r="A777" i="27" s="1"/>
  <c r="A778" i="27" s="1"/>
  <c r="A779" i="27" s="1"/>
  <c r="A780" i="27" s="1"/>
  <c r="A781" i="27" s="1"/>
  <c r="A782" i="27" s="1"/>
  <c r="A783" i="27" s="1"/>
  <c r="A784" i="27" s="1"/>
  <c r="A785" i="27" s="1"/>
  <c r="A786" i="27" s="1"/>
  <c r="A787" i="27" s="1"/>
  <c r="A788" i="27" s="1"/>
  <c r="A789" i="27" s="1"/>
  <c r="A790" i="27" s="1"/>
  <c r="A791" i="27" s="1"/>
  <c r="A792" i="27" s="1"/>
  <c r="A1" i="27"/>
  <c r="E13" i="30"/>
  <c r="D9" i="5"/>
  <c r="H9" i="5" s="1"/>
  <c r="D118" i="5"/>
  <c r="D55" i="5"/>
  <c r="D54" i="5"/>
  <c r="D50" i="5"/>
  <c r="H16" i="32"/>
  <c r="B171" i="5"/>
  <c r="A1" i="32"/>
  <c r="K116" i="6"/>
  <c r="A1" i="9"/>
  <c r="A1" i="8"/>
  <c r="A1" i="2"/>
  <c r="A3" i="4"/>
  <c r="A1" i="4"/>
  <c r="A1" i="28"/>
  <c r="A3" i="13"/>
  <c r="A1" i="13"/>
  <c r="A3" i="30"/>
  <c r="A1" i="30"/>
  <c r="A3" i="29"/>
  <c r="A1" i="29"/>
  <c r="A3" i="31"/>
  <c r="A1" i="31"/>
  <c r="A3" i="6"/>
  <c r="A1" i="6"/>
  <c r="A1" i="33"/>
  <c r="A1" i="7"/>
  <c r="A1" i="5"/>
  <c r="E29" i="33"/>
  <c r="H28" i="33"/>
  <c r="H27" i="33"/>
  <c r="H29" i="33" s="1"/>
  <c r="E23" i="33"/>
  <c r="H22" i="33"/>
  <c r="H21" i="33"/>
  <c r="E20" i="33"/>
  <c r="H19" i="33"/>
  <c r="H18" i="33"/>
  <c r="H20" i="33" s="1"/>
  <c r="D14" i="32" s="1"/>
  <c r="H14" i="32" s="1"/>
  <c r="H16" i="33"/>
  <c r="E14" i="33"/>
  <c r="H13" i="33"/>
  <c r="H12" i="33"/>
  <c r="H14" i="33" s="1"/>
  <c r="D9" i="32" s="1"/>
  <c r="H9" i="32" s="1"/>
  <c r="E11" i="33"/>
  <c r="H10" i="33"/>
  <c r="H9" i="33"/>
  <c r="H11" i="33" s="1"/>
  <c r="H7" i="33"/>
  <c r="H6" i="33"/>
  <c r="H8" i="33" s="1"/>
  <c r="E8" i="33"/>
  <c r="E17" i="33"/>
  <c r="H15" i="33"/>
  <c r="H23" i="33"/>
  <c r="D12" i="32" s="1"/>
  <c r="I12" i="30"/>
  <c r="I11" i="30"/>
  <c r="G12" i="30"/>
  <c r="A8" i="5"/>
  <c r="H13" i="32"/>
  <c r="A7" i="31"/>
  <c r="A8" i="31" s="1"/>
  <c r="A9" i="31" s="1"/>
  <c r="J293" i="13"/>
  <c r="A7" i="29"/>
  <c r="A8" i="29" s="1"/>
  <c r="I33" i="30"/>
  <c r="I31" i="30"/>
  <c r="I30" i="30"/>
  <c r="I29" i="30"/>
  <c r="I28" i="30"/>
  <c r="I27" i="30"/>
  <c r="I19" i="30"/>
  <c r="I17" i="30"/>
  <c r="I16" i="30"/>
  <c r="I15" i="30"/>
  <c r="G27" i="30"/>
  <c r="G30" i="30"/>
  <c r="G16" i="30"/>
  <c r="G15" i="30"/>
  <c r="G19" i="30"/>
  <c r="G29" i="30"/>
  <c r="G14" i="30"/>
  <c r="G18" i="30"/>
  <c r="I18" i="30"/>
  <c r="G32" i="30"/>
  <c r="I32" i="30"/>
  <c r="G17" i="30"/>
  <c r="G28" i="30"/>
  <c r="G31" i="30"/>
  <c r="J269" i="13"/>
  <c r="A6" i="28"/>
  <c r="A7" i="28" s="1"/>
  <c r="A8" i="28" s="1"/>
  <c r="A9" i="28" s="1"/>
  <c r="A10" i="28" s="1"/>
  <c r="A11" i="28" s="1"/>
  <c r="A12" i="28" s="1"/>
  <c r="E477" i="13"/>
  <c r="G477" i="13" s="1"/>
  <c r="G377" i="13"/>
  <c r="I377" i="13" s="1"/>
  <c r="K377" i="13" s="1"/>
  <c r="G369" i="13"/>
  <c r="I369" i="13" s="1"/>
  <c r="K369" i="13" s="1"/>
  <c r="E298" i="13"/>
  <c r="E310" i="13" s="1"/>
  <c r="E220" i="13"/>
  <c r="G220" i="13" s="1"/>
  <c r="K220" i="13" s="1"/>
  <c r="E204" i="13"/>
  <c r="G204" i="13" s="1"/>
  <c r="K204" i="13" s="1"/>
  <c r="E185" i="13"/>
  <c r="E269" i="13" s="1"/>
  <c r="G373" i="13"/>
  <c r="I373" i="13" s="1"/>
  <c r="K373" i="13" s="1"/>
  <c r="E516" i="13"/>
  <c r="I516" i="13"/>
  <c r="H516" i="13"/>
  <c r="G511" i="13"/>
  <c r="G512" i="13"/>
  <c r="K512" i="13" s="1"/>
  <c r="G513" i="13"/>
  <c r="K513" i="13" s="1"/>
  <c r="G514" i="13"/>
  <c r="K514" i="13" s="1"/>
  <c r="G515" i="13"/>
  <c r="K515" i="13" s="1"/>
  <c r="G510" i="13"/>
  <c r="K510" i="13" s="1"/>
  <c r="E127" i="2"/>
  <c r="E126" i="2"/>
  <c r="E125" i="2"/>
  <c r="E124" i="2"/>
  <c r="E123" i="2"/>
  <c r="E122" i="2"/>
  <c r="E121" i="2"/>
  <c r="E120" i="2"/>
  <c r="E117" i="2"/>
  <c r="E116" i="2"/>
  <c r="E115" i="2"/>
  <c r="E114" i="2"/>
  <c r="E113" i="2"/>
  <c r="E110" i="2"/>
  <c r="E109" i="2"/>
  <c r="E10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7" i="2" s="1"/>
  <c r="E58" i="2"/>
  <c r="E57" i="2"/>
  <c r="E19" i="2"/>
  <c r="E18" i="2"/>
  <c r="E17" i="2"/>
  <c r="E16" i="2"/>
  <c r="G16" i="2" s="1"/>
  <c r="E15" i="2"/>
  <c r="E14" i="2"/>
  <c r="E13" i="2"/>
  <c r="E12" i="2"/>
  <c r="E5" i="2" s="1"/>
  <c r="E11" i="2"/>
  <c r="E10" i="2"/>
  <c r="E49" i="2"/>
  <c r="C16" i="8"/>
  <c r="I105" i="2"/>
  <c r="G105" i="2"/>
  <c r="I104" i="2"/>
  <c r="I48" i="2"/>
  <c r="I47" i="2"/>
  <c r="G48" i="2"/>
  <c r="G47" i="2"/>
  <c r="I31" i="2"/>
  <c r="G31" i="2"/>
  <c r="I18" i="2"/>
  <c r="G18" i="2"/>
  <c r="D121" i="5"/>
  <c r="G326" i="13"/>
  <c r="K326" i="13" s="1"/>
  <c r="G102" i="13"/>
  <c r="K102" i="13" s="1"/>
  <c r="G389" i="13"/>
  <c r="I389" i="13" s="1"/>
  <c r="K389" i="13" s="1"/>
  <c r="G9" i="13"/>
  <c r="K9" i="13" s="1"/>
  <c r="G11" i="13"/>
  <c r="K11" i="13" s="1"/>
  <c r="G13" i="13"/>
  <c r="K13" i="13" s="1"/>
  <c r="G31" i="13"/>
  <c r="K31" i="13" s="1"/>
  <c r="G40" i="13"/>
  <c r="K40" i="13" s="1"/>
  <c r="G41" i="13"/>
  <c r="K41" i="13" s="1"/>
  <c r="G48" i="13"/>
  <c r="K48" i="13" s="1"/>
  <c r="G50" i="13"/>
  <c r="K50" i="13" s="1"/>
  <c r="G54" i="13"/>
  <c r="K54" i="13" s="1"/>
  <c r="G56" i="13"/>
  <c r="K56" i="13" s="1"/>
  <c r="G57" i="13"/>
  <c r="K57" i="13" s="1"/>
  <c r="G58" i="13"/>
  <c r="K58" i="13" s="1"/>
  <c r="G59" i="13"/>
  <c r="K59" i="13" s="1"/>
  <c r="G184" i="13"/>
  <c r="K184" i="13" s="1"/>
  <c r="I269" i="13"/>
  <c r="I46" i="2"/>
  <c r="G46" i="2"/>
  <c r="I39" i="2"/>
  <c r="G39" i="2"/>
  <c r="E509" i="13"/>
  <c r="G504" i="13"/>
  <c r="K504" i="13" s="1"/>
  <c r="G508" i="13"/>
  <c r="K508" i="13" s="1"/>
  <c r="H506" i="13"/>
  <c r="H505" i="13"/>
  <c r="G506" i="13"/>
  <c r="G505" i="13"/>
  <c r="G240" i="13"/>
  <c r="K240" i="13" s="1"/>
  <c r="G243" i="13"/>
  <c r="K243" i="13" s="1"/>
  <c r="G205" i="13"/>
  <c r="K205" i="13" s="1"/>
  <c r="I16" i="2"/>
  <c r="I15" i="2"/>
  <c r="G15" i="2"/>
  <c r="F509" i="13"/>
  <c r="G501" i="13"/>
  <c r="K501" i="13" s="1"/>
  <c r="G503" i="13"/>
  <c r="K503" i="13" s="1"/>
  <c r="G507" i="13"/>
  <c r="G500" i="13"/>
  <c r="K500" i="13" s="1"/>
  <c r="F499" i="13"/>
  <c r="G483" i="13"/>
  <c r="K483" i="13" s="1"/>
  <c r="G484" i="13"/>
  <c r="K484" i="13" s="1"/>
  <c r="G485" i="13"/>
  <c r="K485" i="13" s="1"/>
  <c r="G486" i="13"/>
  <c r="K486" i="13" s="1"/>
  <c r="G487" i="13"/>
  <c r="K487" i="13" s="1"/>
  <c r="G488" i="13"/>
  <c r="K488" i="13" s="1"/>
  <c r="G489" i="13"/>
  <c r="K489" i="13" s="1"/>
  <c r="G490" i="13"/>
  <c r="K490" i="13" s="1"/>
  <c r="G491" i="13"/>
  <c r="K491" i="13" s="1"/>
  <c r="G492" i="13"/>
  <c r="K492" i="13" s="1"/>
  <c r="G493" i="13"/>
  <c r="K493" i="13" s="1"/>
  <c r="G494" i="13"/>
  <c r="K494" i="13" s="1"/>
  <c r="G495" i="13"/>
  <c r="K495" i="13" s="1"/>
  <c r="G496" i="13"/>
  <c r="K496" i="13" s="1"/>
  <c r="G497" i="13"/>
  <c r="K497" i="13" s="1"/>
  <c r="G498" i="13"/>
  <c r="K498" i="13" s="1"/>
  <c r="G482" i="13"/>
  <c r="K482" i="13" s="1"/>
  <c r="F481" i="13"/>
  <c r="G480" i="13"/>
  <c r="K480" i="13" s="1"/>
  <c r="G479" i="13"/>
  <c r="K479" i="13" s="1"/>
  <c r="K481" i="13" s="1"/>
  <c r="F478" i="13"/>
  <c r="G467" i="13"/>
  <c r="I467" i="13" s="1"/>
  <c r="K467" i="13" s="1"/>
  <c r="G468" i="13"/>
  <c r="I468" i="13" s="1"/>
  <c r="K468" i="13" s="1"/>
  <c r="G469" i="13"/>
  <c r="I469" i="13" s="1"/>
  <c r="K469" i="13" s="1"/>
  <c r="G470" i="13"/>
  <c r="I470" i="13" s="1"/>
  <c r="K470" i="13" s="1"/>
  <c r="G471" i="13"/>
  <c r="I471" i="13" s="1"/>
  <c r="K471" i="13" s="1"/>
  <c r="G472" i="13"/>
  <c r="I472" i="13" s="1"/>
  <c r="K472" i="13" s="1"/>
  <c r="G473" i="13"/>
  <c r="I473" i="13" s="1"/>
  <c r="K473" i="13" s="1"/>
  <c r="G474" i="13"/>
  <c r="G476" i="13"/>
  <c r="I476" i="13" s="1"/>
  <c r="K476" i="13" s="1"/>
  <c r="G451" i="13"/>
  <c r="I451" i="13" s="1"/>
  <c r="K451" i="13" s="1"/>
  <c r="G452" i="13"/>
  <c r="I452" i="13" s="1"/>
  <c r="K452" i="13" s="1"/>
  <c r="G453" i="13"/>
  <c r="I453" i="13" s="1"/>
  <c r="K453" i="13" s="1"/>
  <c r="G454" i="13"/>
  <c r="I454" i="13" s="1"/>
  <c r="K454" i="13" s="1"/>
  <c r="G455" i="13"/>
  <c r="I455" i="13" s="1"/>
  <c r="K455" i="13" s="1"/>
  <c r="G456" i="13"/>
  <c r="I456" i="13" s="1"/>
  <c r="G457" i="13"/>
  <c r="I457" i="13" s="1"/>
  <c r="K457" i="13" s="1"/>
  <c r="G458" i="13"/>
  <c r="I458" i="13" s="1"/>
  <c r="K458" i="13" s="1"/>
  <c r="G459" i="13"/>
  <c r="I459" i="13" s="1"/>
  <c r="K459" i="13" s="1"/>
  <c r="G460" i="13"/>
  <c r="I460" i="13" s="1"/>
  <c r="K460" i="13" s="1"/>
  <c r="G461" i="13"/>
  <c r="I461" i="13" s="1"/>
  <c r="K461" i="13" s="1"/>
  <c r="G462" i="13"/>
  <c r="I462" i="13" s="1"/>
  <c r="K462" i="13" s="1"/>
  <c r="G463" i="13"/>
  <c r="I463" i="13" s="1"/>
  <c r="K463" i="13" s="1"/>
  <c r="G464" i="13"/>
  <c r="I464" i="13" s="1"/>
  <c r="G465" i="13"/>
  <c r="G466" i="13"/>
  <c r="I466" i="13" s="1"/>
  <c r="K466" i="13" s="1"/>
  <c r="G432" i="13"/>
  <c r="I432" i="13" s="1"/>
  <c r="K432" i="13" s="1"/>
  <c r="G433" i="13"/>
  <c r="G434" i="13"/>
  <c r="I434" i="13" s="1"/>
  <c r="K434" i="13" s="1"/>
  <c r="G436" i="13"/>
  <c r="I436" i="13" s="1"/>
  <c r="K436" i="13" s="1"/>
  <c r="G437" i="13"/>
  <c r="G438" i="13"/>
  <c r="I438" i="13" s="1"/>
  <c r="G439" i="13"/>
  <c r="I439" i="13" s="1"/>
  <c r="K439" i="13" s="1"/>
  <c r="G440" i="13"/>
  <c r="I440" i="13" s="1"/>
  <c r="K440" i="13" s="1"/>
  <c r="G441" i="13"/>
  <c r="I441" i="13" s="1"/>
  <c r="K441" i="13" s="1"/>
  <c r="G442" i="13"/>
  <c r="I442" i="13" s="1"/>
  <c r="K442" i="13" s="1"/>
  <c r="G443" i="13"/>
  <c r="G444" i="13"/>
  <c r="I444" i="13" s="1"/>
  <c r="K444" i="13" s="1"/>
  <c r="G445" i="13"/>
  <c r="I445" i="13" s="1"/>
  <c r="K445" i="13" s="1"/>
  <c r="G446" i="13"/>
  <c r="I446" i="13" s="1"/>
  <c r="G447" i="13"/>
  <c r="G448" i="13"/>
  <c r="G449" i="13"/>
  <c r="G450" i="13"/>
  <c r="G409" i="13"/>
  <c r="I409" i="13" s="1"/>
  <c r="K409" i="13" s="1"/>
  <c r="G410" i="13"/>
  <c r="I410" i="13" s="1"/>
  <c r="K410" i="13" s="1"/>
  <c r="G411" i="13"/>
  <c r="I411" i="13" s="1"/>
  <c r="K411" i="13" s="1"/>
  <c r="G412" i="13"/>
  <c r="I412" i="13" s="1"/>
  <c r="K412" i="13" s="1"/>
  <c r="G413" i="13"/>
  <c r="G414" i="13"/>
  <c r="I414" i="13" s="1"/>
  <c r="K414" i="13" s="1"/>
  <c r="G415" i="13"/>
  <c r="I415" i="13" s="1"/>
  <c r="K415" i="13" s="1"/>
  <c r="G416" i="13"/>
  <c r="I416" i="13" s="1"/>
  <c r="K416" i="13" s="1"/>
  <c r="G417" i="13"/>
  <c r="I417" i="13" s="1"/>
  <c r="K417" i="13" s="1"/>
  <c r="G418" i="13"/>
  <c r="I418" i="13" s="1"/>
  <c r="K418" i="13" s="1"/>
  <c r="G419" i="13"/>
  <c r="I419" i="13" s="1"/>
  <c r="K419" i="13" s="1"/>
  <c r="G420" i="13"/>
  <c r="I420" i="13" s="1"/>
  <c r="G421" i="13"/>
  <c r="G422" i="13"/>
  <c r="I422" i="13" s="1"/>
  <c r="K422" i="13" s="1"/>
  <c r="G423" i="13"/>
  <c r="G424" i="13"/>
  <c r="G425" i="13"/>
  <c r="G426" i="13"/>
  <c r="G427" i="13"/>
  <c r="I427" i="13" s="1"/>
  <c r="K427" i="13" s="1"/>
  <c r="G428" i="13"/>
  <c r="I428" i="13" s="1"/>
  <c r="K428" i="13" s="1"/>
  <c r="G429" i="13"/>
  <c r="I429" i="13" s="1"/>
  <c r="K429" i="13" s="1"/>
  <c r="G430" i="13"/>
  <c r="I430" i="13" s="1"/>
  <c r="K430" i="13" s="1"/>
  <c r="G431" i="13"/>
  <c r="I431" i="13" s="1"/>
  <c r="K431" i="13" s="1"/>
  <c r="G392" i="13"/>
  <c r="I392" i="13" s="1"/>
  <c r="K392" i="13" s="1"/>
  <c r="G393" i="13"/>
  <c r="G394" i="13"/>
  <c r="I394" i="13" s="1"/>
  <c r="K394" i="13" s="1"/>
  <c r="G395" i="13"/>
  <c r="I395" i="13" s="1"/>
  <c r="K395" i="13" s="1"/>
  <c r="G396" i="13"/>
  <c r="I396" i="13" s="1"/>
  <c r="G397" i="13"/>
  <c r="I397" i="13" s="1"/>
  <c r="K397" i="13" s="1"/>
  <c r="G398" i="13"/>
  <c r="I398" i="13" s="1"/>
  <c r="K398" i="13" s="1"/>
  <c r="G399" i="13"/>
  <c r="I399" i="13" s="1"/>
  <c r="K399" i="13" s="1"/>
  <c r="G400" i="13"/>
  <c r="I400" i="13" s="1"/>
  <c r="K400" i="13" s="1"/>
  <c r="G401" i="13"/>
  <c r="I401" i="13" s="1"/>
  <c r="K401" i="13" s="1"/>
  <c r="G402" i="13"/>
  <c r="I402" i="13" s="1"/>
  <c r="K402" i="13" s="1"/>
  <c r="G403" i="13"/>
  <c r="I403" i="13" s="1"/>
  <c r="K403" i="13" s="1"/>
  <c r="G404" i="13"/>
  <c r="I404" i="13" s="1"/>
  <c r="G405" i="13"/>
  <c r="I405" i="13" s="1"/>
  <c r="K405" i="13" s="1"/>
  <c r="G406" i="13"/>
  <c r="I406" i="13" s="1"/>
  <c r="K406" i="13" s="1"/>
  <c r="G407" i="13"/>
  <c r="I407" i="13" s="1"/>
  <c r="K407" i="13" s="1"/>
  <c r="G408" i="13"/>
  <c r="G384" i="13"/>
  <c r="I384" i="13" s="1"/>
  <c r="K384" i="13" s="1"/>
  <c r="G385" i="13"/>
  <c r="I385" i="13" s="1"/>
  <c r="K385" i="13" s="1"/>
  <c r="G386" i="13"/>
  <c r="G387" i="13"/>
  <c r="I387" i="13" s="1"/>
  <c r="G388" i="13"/>
  <c r="I388" i="13" s="1"/>
  <c r="K388" i="13" s="1"/>
  <c r="G390" i="13"/>
  <c r="I390" i="13" s="1"/>
  <c r="K390" i="13" s="1"/>
  <c r="G391" i="13"/>
  <c r="I391" i="13" s="1"/>
  <c r="K391" i="13" s="1"/>
  <c r="G360" i="13"/>
  <c r="I360" i="13" s="1"/>
  <c r="K360" i="13" s="1"/>
  <c r="G361" i="13"/>
  <c r="I361" i="13" s="1"/>
  <c r="K361" i="13" s="1"/>
  <c r="G362" i="13"/>
  <c r="I362" i="13" s="1"/>
  <c r="K362" i="13" s="1"/>
  <c r="G363" i="13"/>
  <c r="I363" i="13" s="1"/>
  <c r="K363" i="13" s="1"/>
  <c r="G364" i="13"/>
  <c r="I364" i="13" s="1"/>
  <c r="G365" i="13"/>
  <c r="G366" i="13"/>
  <c r="I366" i="13" s="1"/>
  <c r="K366" i="13" s="1"/>
  <c r="G367" i="13"/>
  <c r="I367" i="13" s="1"/>
  <c r="K367" i="13" s="1"/>
  <c r="G368" i="13"/>
  <c r="G370" i="13"/>
  <c r="I370" i="13" s="1"/>
  <c r="K370" i="13" s="1"/>
  <c r="G371" i="13"/>
  <c r="I371" i="13" s="1"/>
  <c r="K371" i="13" s="1"/>
  <c r="G372" i="13"/>
  <c r="I372" i="13" s="1"/>
  <c r="K372" i="13" s="1"/>
  <c r="G374" i="13"/>
  <c r="I374" i="13" s="1"/>
  <c r="G375" i="13"/>
  <c r="G376" i="13"/>
  <c r="I376" i="13" s="1"/>
  <c r="K376" i="13" s="1"/>
  <c r="G378" i="13"/>
  <c r="I378" i="13" s="1"/>
  <c r="K378" i="13" s="1"/>
  <c r="G379" i="13"/>
  <c r="I379" i="13" s="1"/>
  <c r="K379" i="13" s="1"/>
  <c r="G380" i="13"/>
  <c r="G381" i="13"/>
  <c r="I381" i="13" s="1"/>
  <c r="K381" i="13" s="1"/>
  <c r="G382" i="13"/>
  <c r="I382" i="13" s="1"/>
  <c r="K382" i="13" s="1"/>
  <c r="G383" i="13"/>
  <c r="I383" i="13" s="1"/>
  <c r="K383" i="13" s="1"/>
  <c r="G343" i="13"/>
  <c r="I343" i="13" s="1"/>
  <c r="K343" i="13" s="1"/>
  <c r="G344" i="13"/>
  <c r="G345" i="13"/>
  <c r="I345" i="13" s="1"/>
  <c r="K345" i="13" s="1"/>
  <c r="G346" i="13"/>
  <c r="I346" i="13" s="1"/>
  <c r="K346" i="13" s="1"/>
  <c r="G347" i="13"/>
  <c r="I347" i="13" s="1"/>
  <c r="K347" i="13" s="1"/>
  <c r="G348" i="13"/>
  <c r="G350" i="13"/>
  <c r="I350" i="13" s="1"/>
  <c r="K350" i="13" s="1"/>
  <c r="G351" i="13"/>
  <c r="I351" i="13" s="1"/>
  <c r="G352" i="13"/>
  <c r="I352" i="13" s="1"/>
  <c r="K352" i="13" s="1"/>
  <c r="G353" i="13"/>
  <c r="I353" i="13" s="1"/>
  <c r="K353" i="13" s="1"/>
  <c r="G354" i="13"/>
  <c r="G355" i="13"/>
  <c r="G356" i="13"/>
  <c r="G357" i="13"/>
  <c r="G358" i="13"/>
  <c r="I358" i="13" s="1"/>
  <c r="K358" i="13" s="1"/>
  <c r="G359" i="13"/>
  <c r="I359" i="13" s="1"/>
  <c r="G328" i="13"/>
  <c r="I328" i="13" s="1"/>
  <c r="K328" i="13" s="1"/>
  <c r="G329" i="13"/>
  <c r="I329" i="13" s="1"/>
  <c r="K329" i="13" s="1"/>
  <c r="G330" i="13"/>
  <c r="G331" i="13"/>
  <c r="I331" i="13" s="1"/>
  <c r="K331" i="13" s="1"/>
  <c r="G332" i="13"/>
  <c r="I332" i="13" s="1"/>
  <c r="K332" i="13" s="1"/>
  <c r="G333" i="13"/>
  <c r="I333" i="13" s="1"/>
  <c r="K333" i="13" s="1"/>
  <c r="G334" i="13"/>
  <c r="I334" i="13" s="1"/>
  <c r="K334" i="13" s="1"/>
  <c r="G335" i="13"/>
  <c r="I335" i="13" s="1"/>
  <c r="G336" i="13"/>
  <c r="I336" i="13" s="1"/>
  <c r="K336" i="13" s="1"/>
  <c r="G337" i="13"/>
  <c r="I337" i="13" s="1"/>
  <c r="K337" i="13" s="1"/>
  <c r="G338" i="13"/>
  <c r="I338" i="13" s="1"/>
  <c r="K338" i="13" s="1"/>
  <c r="G339" i="13"/>
  <c r="G340" i="13"/>
  <c r="I340" i="13" s="1"/>
  <c r="K340" i="13" s="1"/>
  <c r="G341" i="13"/>
  <c r="G342" i="13"/>
  <c r="I342" i="13" s="1"/>
  <c r="K342" i="13" s="1"/>
  <c r="G317" i="13"/>
  <c r="I317" i="13" s="1"/>
  <c r="G318" i="13"/>
  <c r="I318" i="13" s="1"/>
  <c r="K318" i="13" s="1"/>
  <c r="G319" i="13"/>
  <c r="I319" i="13" s="1"/>
  <c r="K319" i="13" s="1"/>
  <c r="G320" i="13"/>
  <c r="I320" i="13" s="1"/>
  <c r="K320" i="13" s="1"/>
  <c r="G321" i="13"/>
  <c r="I321" i="13" s="1"/>
  <c r="G322" i="13"/>
  <c r="G323" i="13"/>
  <c r="I323" i="13" s="1"/>
  <c r="K323" i="13" s="1"/>
  <c r="G324" i="13"/>
  <c r="G325" i="13"/>
  <c r="I325" i="13" s="1"/>
  <c r="G327" i="13"/>
  <c r="G316" i="13"/>
  <c r="I316" i="13" s="1"/>
  <c r="F315" i="13"/>
  <c r="G312" i="13"/>
  <c r="K312" i="13" s="1"/>
  <c r="G313" i="13"/>
  <c r="K313" i="13" s="1"/>
  <c r="G314" i="13"/>
  <c r="K314" i="13" s="1"/>
  <c r="G311" i="13"/>
  <c r="K311" i="13" s="1"/>
  <c r="G295" i="13"/>
  <c r="K295" i="13" s="1"/>
  <c r="G296" i="13"/>
  <c r="K296" i="13" s="1"/>
  <c r="G297" i="13"/>
  <c r="K297" i="13" s="1"/>
  <c r="G299" i="13"/>
  <c r="K299" i="13" s="1"/>
  <c r="G300" i="13"/>
  <c r="K300" i="13" s="1"/>
  <c r="G301" i="13"/>
  <c r="K301" i="13" s="1"/>
  <c r="G302" i="13"/>
  <c r="K302" i="13" s="1"/>
  <c r="G303" i="13"/>
  <c r="K303" i="13" s="1"/>
  <c r="G304" i="13"/>
  <c r="K304" i="13" s="1"/>
  <c r="G307" i="13"/>
  <c r="K307" i="13" s="1"/>
  <c r="G294" i="13"/>
  <c r="G291" i="13"/>
  <c r="G292" i="13"/>
  <c r="G290" i="13"/>
  <c r="F289" i="13"/>
  <c r="G284" i="13"/>
  <c r="K284" i="13" s="1"/>
  <c r="G285" i="13"/>
  <c r="K285" i="13" s="1"/>
  <c r="G286" i="13"/>
  <c r="K286" i="13" s="1"/>
  <c r="G287" i="13"/>
  <c r="K287" i="13" s="1"/>
  <c r="G288" i="13"/>
  <c r="K288" i="13" s="1"/>
  <c r="G271" i="13"/>
  <c r="K271" i="13" s="1"/>
  <c r="G272" i="13"/>
  <c r="K272" i="13" s="1"/>
  <c r="G273" i="13"/>
  <c r="K273" i="13" s="1"/>
  <c r="G274" i="13"/>
  <c r="K274" i="13" s="1"/>
  <c r="G275" i="13"/>
  <c r="K275" i="13" s="1"/>
  <c r="G276" i="13"/>
  <c r="K276" i="13" s="1"/>
  <c r="G277" i="13"/>
  <c r="K277" i="13" s="1"/>
  <c r="G278" i="13"/>
  <c r="K278" i="13" s="1"/>
  <c r="G279" i="13"/>
  <c r="K279" i="13" s="1"/>
  <c r="G280" i="13"/>
  <c r="K280" i="13" s="1"/>
  <c r="G281" i="13"/>
  <c r="K281" i="13" s="1"/>
  <c r="G282" i="13"/>
  <c r="K282" i="13" s="1"/>
  <c r="G283" i="13"/>
  <c r="K283" i="13" s="1"/>
  <c r="G270" i="13"/>
  <c r="K270" i="13" s="1"/>
  <c r="G256" i="13"/>
  <c r="K256" i="13" s="1"/>
  <c r="G257" i="13"/>
  <c r="K257" i="13" s="1"/>
  <c r="G258" i="13"/>
  <c r="K258" i="13" s="1"/>
  <c r="G259" i="13"/>
  <c r="K259" i="13" s="1"/>
  <c r="G260" i="13"/>
  <c r="K260" i="13" s="1"/>
  <c r="G261" i="13"/>
  <c r="K261" i="13" s="1"/>
  <c r="G262" i="13"/>
  <c r="K262" i="13" s="1"/>
  <c r="G263" i="13"/>
  <c r="K263" i="13" s="1"/>
  <c r="G264" i="13"/>
  <c r="K264" i="13" s="1"/>
  <c r="G265" i="13"/>
  <c r="K265" i="13" s="1"/>
  <c r="G266" i="13"/>
  <c r="K266" i="13" s="1"/>
  <c r="G267" i="13"/>
  <c r="K267" i="13" s="1"/>
  <c r="G268" i="13"/>
  <c r="K268" i="13" s="1"/>
  <c r="G237" i="13"/>
  <c r="K237" i="13" s="1"/>
  <c r="G238" i="13"/>
  <c r="K238" i="13" s="1"/>
  <c r="G239" i="13"/>
  <c r="K239" i="13" s="1"/>
  <c r="G241" i="13"/>
  <c r="K241" i="13" s="1"/>
  <c r="G242" i="13"/>
  <c r="K242" i="13" s="1"/>
  <c r="G244" i="13"/>
  <c r="K244" i="13" s="1"/>
  <c r="G245" i="13"/>
  <c r="K245" i="13" s="1"/>
  <c r="G246" i="13"/>
  <c r="K246" i="13" s="1"/>
  <c r="G247" i="13"/>
  <c r="K247" i="13" s="1"/>
  <c r="G248" i="13"/>
  <c r="K248" i="13" s="1"/>
  <c r="G250" i="13"/>
  <c r="K250" i="13" s="1"/>
  <c r="G251" i="13"/>
  <c r="K251" i="13" s="1"/>
  <c r="G252" i="13"/>
  <c r="K252" i="13" s="1"/>
  <c r="G253" i="13"/>
  <c r="K253" i="13" s="1"/>
  <c r="G254" i="13"/>
  <c r="K254" i="13" s="1"/>
  <c r="G255" i="13"/>
  <c r="K255" i="13" s="1"/>
  <c r="G216" i="13"/>
  <c r="K216" i="13" s="1"/>
  <c r="G217" i="13"/>
  <c r="K217" i="13" s="1"/>
  <c r="G218" i="13"/>
  <c r="K218" i="13" s="1"/>
  <c r="G219" i="13"/>
  <c r="K219" i="13" s="1"/>
  <c r="G221" i="13"/>
  <c r="K221" i="13" s="1"/>
  <c r="G223" i="13"/>
  <c r="K223" i="13" s="1"/>
  <c r="G224" i="13"/>
  <c r="K224" i="13" s="1"/>
  <c r="G225" i="13"/>
  <c r="K225" i="13" s="1"/>
  <c r="G226" i="13"/>
  <c r="K226" i="13" s="1"/>
  <c r="G227" i="13"/>
  <c r="K227" i="13" s="1"/>
  <c r="G228" i="13"/>
  <c r="K228" i="13" s="1"/>
  <c r="G229" i="13"/>
  <c r="K229" i="13" s="1"/>
  <c r="G230" i="13"/>
  <c r="K230" i="13" s="1"/>
  <c r="G231" i="13"/>
  <c r="K231" i="13" s="1"/>
  <c r="G232" i="13"/>
  <c r="K232" i="13" s="1"/>
  <c r="G233" i="13"/>
  <c r="K233" i="13" s="1"/>
  <c r="G234" i="13"/>
  <c r="K234" i="13" s="1"/>
  <c r="G235" i="13"/>
  <c r="K235" i="13" s="1"/>
  <c r="G196" i="13"/>
  <c r="K196" i="13" s="1"/>
  <c r="G197" i="13"/>
  <c r="K197" i="13" s="1"/>
  <c r="G198" i="13"/>
  <c r="K198" i="13" s="1"/>
  <c r="G199" i="13"/>
  <c r="K199" i="13" s="1"/>
  <c r="G200" i="13"/>
  <c r="K200" i="13" s="1"/>
  <c r="G201" i="13"/>
  <c r="K201" i="13" s="1"/>
  <c r="G202" i="13"/>
  <c r="K202" i="13" s="1"/>
  <c r="G203" i="13"/>
  <c r="K203" i="13" s="1"/>
  <c r="G206" i="13"/>
  <c r="K206" i="13" s="1"/>
  <c r="G207" i="13"/>
  <c r="K207" i="13" s="1"/>
  <c r="G208" i="13"/>
  <c r="K208" i="13" s="1"/>
  <c r="G209" i="13"/>
  <c r="K209" i="13" s="1"/>
  <c r="G210" i="13"/>
  <c r="K210" i="13" s="1"/>
  <c r="G211" i="13"/>
  <c r="K211" i="13" s="1"/>
  <c r="G212" i="13"/>
  <c r="K212" i="13" s="1"/>
  <c r="G213" i="13"/>
  <c r="K213" i="13" s="1"/>
  <c r="G214" i="13"/>
  <c r="K214" i="13" s="1"/>
  <c r="G215" i="13"/>
  <c r="K215" i="13" s="1"/>
  <c r="G178" i="13"/>
  <c r="K178" i="13" s="1"/>
  <c r="G179" i="13"/>
  <c r="K179" i="13" s="1"/>
  <c r="G180" i="13"/>
  <c r="K180" i="13" s="1"/>
  <c r="G181" i="13"/>
  <c r="K181" i="13" s="1"/>
  <c r="G182" i="13"/>
  <c r="K182" i="13" s="1"/>
  <c r="G183" i="13"/>
  <c r="K183" i="13" s="1"/>
  <c r="G186" i="13"/>
  <c r="K186" i="13" s="1"/>
  <c r="G187" i="13"/>
  <c r="K187" i="13" s="1"/>
  <c r="G188" i="13"/>
  <c r="K188" i="13" s="1"/>
  <c r="G189" i="13"/>
  <c r="K189" i="13" s="1"/>
  <c r="G190" i="13"/>
  <c r="K190" i="13" s="1"/>
  <c r="G192" i="13"/>
  <c r="K192" i="13" s="1"/>
  <c r="G193" i="13"/>
  <c r="K193" i="13" s="1"/>
  <c r="G194" i="13"/>
  <c r="K194" i="13" s="1"/>
  <c r="G195" i="13"/>
  <c r="K195" i="13" s="1"/>
  <c r="G160" i="13"/>
  <c r="K160" i="13" s="1"/>
  <c r="G161" i="13"/>
  <c r="K161" i="13" s="1"/>
  <c r="G162" i="13"/>
  <c r="K162" i="13" s="1"/>
  <c r="G163" i="13"/>
  <c r="K163" i="13" s="1"/>
  <c r="G164" i="13"/>
  <c r="K164" i="13" s="1"/>
  <c r="G165" i="13"/>
  <c r="K165" i="13" s="1"/>
  <c r="G166" i="13"/>
  <c r="K166" i="13" s="1"/>
  <c r="G167" i="13"/>
  <c r="K167" i="13" s="1"/>
  <c r="G168" i="13"/>
  <c r="K168" i="13" s="1"/>
  <c r="G169" i="13"/>
  <c r="K169" i="13" s="1"/>
  <c r="G170" i="13"/>
  <c r="K170" i="13" s="1"/>
  <c r="G171" i="13"/>
  <c r="K171" i="13" s="1"/>
  <c r="G172" i="13"/>
  <c r="K172" i="13" s="1"/>
  <c r="G173" i="13"/>
  <c r="K173" i="13" s="1"/>
  <c r="G174" i="13"/>
  <c r="K174" i="13" s="1"/>
  <c r="G175" i="13"/>
  <c r="K175" i="13" s="1"/>
  <c r="G176" i="13"/>
  <c r="K176" i="13" s="1"/>
  <c r="G177" i="13"/>
  <c r="K177" i="13" s="1"/>
  <c r="G140" i="13"/>
  <c r="K140" i="13" s="1"/>
  <c r="G141" i="13"/>
  <c r="K141" i="13" s="1"/>
  <c r="G142" i="13"/>
  <c r="K142" i="13" s="1"/>
  <c r="G143" i="13"/>
  <c r="K143" i="13" s="1"/>
  <c r="G144" i="13"/>
  <c r="K144" i="13" s="1"/>
  <c r="G145" i="13"/>
  <c r="K145" i="13" s="1"/>
  <c r="G146" i="13"/>
  <c r="K146" i="13" s="1"/>
  <c r="G147" i="13"/>
  <c r="K147" i="13" s="1"/>
  <c r="G148" i="13"/>
  <c r="K148" i="13" s="1"/>
  <c r="G149" i="13"/>
  <c r="K149" i="13" s="1"/>
  <c r="G150" i="13"/>
  <c r="K150" i="13" s="1"/>
  <c r="G151" i="13"/>
  <c r="K151" i="13" s="1"/>
  <c r="G152" i="13"/>
  <c r="K152" i="13" s="1"/>
  <c r="G153" i="13"/>
  <c r="K153" i="13" s="1"/>
  <c r="G154" i="13"/>
  <c r="K154" i="13" s="1"/>
  <c r="G155" i="13"/>
  <c r="K155" i="13" s="1"/>
  <c r="G156" i="13"/>
  <c r="K156" i="13" s="1"/>
  <c r="G157" i="13"/>
  <c r="K157" i="13" s="1"/>
  <c r="G158" i="13"/>
  <c r="K158" i="13" s="1"/>
  <c r="G159" i="13"/>
  <c r="K159" i="13" s="1"/>
  <c r="G127" i="13"/>
  <c r="K127" i="13" s="1"/>
  <c r="G128" i="13"/>
  <c r="K128" i="13" s="1"/>
  <c r="G129" i="13"/>
  <c r="K129" i="13" s="1"/>
  <c r="G130" i="13"/>
  <c r="K130" i="13" s="1"/>
  <c r="G131" i="13"/>
  <c r="K131" i="13" s="1"/>
  <c r="G132" i="13"/>
  <c r="K132" i="13" s="1"/>
  <c r="G133" i="13"/>
  <c r="K133" i="13" s="1"/>
  <c r="G134" i="13"/>
  <c r="K134" i="13" s="1"/>
  <c r="G135" i="13"/>
  <c r="K135" i="13" s="1"/>
  <c r="G136" i="13"/>
  <c r="K136" i="13" s="1"/>
  <c r="G137" i="13"/>
  <c r="K137" i="13" s="1"/>
  <c r="G138" i="13"/>
  <c r="K138" i="13" s="1"/>
  <c r="G139" i="13"/>
  <c r="K139" i="13" s="1"/>
  <c r="F124" i="13"/>
  <c r="G108" i="13"/>
  <c r="K108" i="13" s="1"/>
  <c r="G109" i="13"/>
  <c r="K109" i="13" s="1"/>
  <c r="G110" i="13"/>
  <c r="K110" i="13" s="1"/>
  <c r="G111" i="13"/>
  <c r="K111" i="13" s="1"/>
  <c r="G112" i="13"/>
  <c r="K112" i="13" s="1"/>
  <c r="G113" i="13"/>
  <c r="K113" i="13" s="1"/>
  <c r="G114" i="13"/>
  <c r="K114" i="13" s="1"/>
  <c r="G115" i="13"/>
  <c r="K115" i="13" s="1"/>
  <c r="G116" i="13"/>
  <c r="K116" i="13" s="1"/>
  <c r="G117" i="13"/>
  <c r="K117" i="13" s="1"/>
  <c r="G118" i="13"/>
  <c r="K118" i="13" s="1"/>
  <c r="G119" i="13"/>
  <c r="K119" i="13" s="1"/>
  <c r="G120" i="13"/>
  <c r="K120" i="13" s="1"/>
  <c r="G121" i="13"/>
  <c r="K121" i="13" s="1"/>
  <c r="G122" i="13"/>
  <c r="K122" i="13" s="1"/>
  <c r="G123" i="13"/>
  <c r="K123" i="13" s="1"/>
  <c r="G86" i="13"/>
  <c r="K86" i="13" s="1"/>
  <c r="G87" i="13"/>
  <c r="K87" i="13" s="1"/>
  <c r="G88" i="13"/>
  <c r="K88" i="13" s="1"/>
  <c r="G89" i="13"/>
  <c r="K89" i="13" s="1"/>
  <c r="G90" i="13"/>
  <c r="K90" i="13" s="1"/>
  <c r="G91" i="13"/>
  <c r="K91" i="13" s="1"/>
  <c r="G92" i="13"/>
  <c r="K92" i="13" s="1"/>
  <c r="G93" i="13"/>
  <c r="K93" i="13" s="1"/>
  <c r="G94" i="13"/>
  <c r="K94" i="13" s="1"/>
  <c r="G95" i="13"/>
  <c r="K95" i="13" s="1"/>
  <c r="G96" i="13"/>
  <c r="K96" i="13" s="1"/>
  <c r="G97" i="13"/>
  <c r="K97" i="13" s="1"/>
  <c r="G98" i="13"/>
  <c r="K98" i="13" s="1"/>
  <c r="G99" i="13"/>
  <c r="K99" i="13" s="1"/>
  <c r="G100" i="13"/>
  <c r="K100" i="13" s="1"/>
  <c r="G101" i="13"/>
  <c r="K101" i="13" s="1"/>
  <c r="G103" i="13"/>
  <c r="K103" i="13" s="1"/>
  <c r="G105" i="13"/>
  <c r="K105" i="13" s="1"/>
  <c r="G106" i="13"/>
  <c r="K106" i="13" s="1"/>
  <c r="G107" i="13"/>
  <c r="K107" i="13" s="1"/>
  <c r="G63" i="13"/>
  <c r="K63" i="13" s="1"/>
  <c r="G64" i="13"/>
  <c r="K64" i="13" s="1"/>
  <c r="G65" i="13"/>
  <c r="K65" i="13" s="1"/>
  <c r="G66" i="13"/>
  <c r="K66" i="13" s="1"/>
  <c r="G67" i="13"/>
  <c r="K67" i="13" s="1"/>
  <c r="G68" i="13"/>
  <c r="K68" i="13" s="1"/>
  <c r="G69" i="13"/>
  <c r="K69" i="13" s="1"/>
  <c r="G70" i="13"/>
  <c r="K70" i="13" s="1"/>
  <c r="G71" i="13"/>
  <c r="K71" i="13" s="1"/>
  <c r="G72" i="13"/>
  <c r="K72" i="13" s="1"/>
  <c r="G73" i="13"/>
  <c r="K73" i="13" s="1"/>
  <c r="G74" i="13"/>
  <c r="K74" i="13" s="1"/>
  <c r="G75" i="13"/>
  <c r="K75" i="13" s="1"/>
  <c r="G76" i="13"/>
  <c r="K76" i="13" s="1"/>
  <c r="G77" i="13"/>
  <c r="K77" i="13" s="1"/>
  <c r="G78" i="13"/>
  <c r="K78" i="13" s="1"/>
  <c r="G81" i="13"/>
  <c r="K81" i="13" s="1"/>
  <c r="G82" i="13"/>
  <c r="K82" i="13" s="1"/>
  <c r="G84" i="13"/>
  <c r="K84" i="13" s="1"/>
  <c r="G85" i="13"/>
  <c r="K85" i="13" s="1"/>
  <c r="G39" i="13"/>
  <c r="K39" i="13" s="1"/>
  <c r="G42" i="13"/>
  <c r="K42" i="13" s="1"/>
  <c r="G43" i="13"/>
  <c r="K43" i="13" s="1"/>
  <c r="G44" i="13"/>
  <c r="K44" i="13" s="1"/>
  <c r="G45" i="13"/>
  <c r="K45" i="13" s="1"/>
  <c r="G46" i="13"/>
  <c r="K46" i="13" s="1"/>
  <c r="G47" i="13"/>
  <c r="K47" i="13" s="1"/>
  <c r="G49" i="13"/>
  <c r="K49" i="13" s="1"/>
  <c r="G51" i="13"/>
  <c r="K51" i="13" s="1"/>
  <c r="G52" i="13"/>
  <c r="K52" i="13" s="1"/>
  <c r="G53" i="13"/>
  <c r="K53" i="13" s="1"/>
  <c r="G55" i="13"/>
  <c r="K55" i="13" s="1"/>
  <c r="G60" i="13"/>
  <c r="K60" i="13" s="1"/>
  <c r="G61" i="13"/>
  <c r="K61" i="13" s="1"/>
  <c r="G62" i="13"/>
  <c r="K62" i="13" s="1"/>
  <c r="G19" i="13"/>
  <c r="K19" i="13" s="1"/>
  <c r="G21" i="13"/>
  <c r="K21" i="13" s="1"/>
  <c r="G23" i="13"/>
  <c r="K23" i="13" s="1"/>
  <c r="G24" i="13"/>
  <c r="K24" i="13" s="1"/>
  <c r="G25" i="13"/>
  <c r="K25" i="13" s="1"/>
  <c r="G26" i="13"/>
  <c r="K26" i="13" s="1"/>
  <c r="G27" i="13"/>
  <c r="K27" i="13" s="1"/>
  <c r="G28" i="13"/>
  <c r="K28" i="13" s="1"/>
  <c r="G29" i="13"/>
  <c r="K29" i="13" s="1"/>
  <c r="G30" i="13"/>
  <c r="K30" i="13" s="1"/>
  <c r="G32" i="13"/>
  <c r="K32" i="13" s="1"/>
  <c r="G33" i="13"/>
  <c r="K33" i="13" s="1"/>
  <c r="G34" i="13"/>
  <c r="K34" i="13" s="1"/>
  <c r="G35" i="13"/>
  <c r="K35" i="13" s="1"/>
  <c r="G36" i="13"/>
  <c r="K36" i="13" s="1"/>
  <c r="G37" i="13"/>
  <c r="K37" i="13" s="1"/>
  <c r="G7" i="13"/>
  <c r="K7" i="13" s="1"/>
  <c r="G8" i="13"/>
  <c r="G10" i="13"/>
  <c r="K10" i="13" s="1"/>
  <c r="G12" i="13"/>
  <c r="K12" i="13" s="1"/>
  <c r="G14" i="13"/>
  <c r="K14" i="13" s="1"/>
  <c r="G15" i="13"/>
  <c r="K15" i="13" s="1"/>
  <c r="G16" i="13"/>
  <c r="K16" i="13" s="1"/>
  <c r="G17" i="13"/>
  <c r="K17" i="13" s="1"/>
  <c r="G6" i="13"/>
  <c r="K6" i="13" s="1"/>
  <c r="I509" i="13"/>
  <c r="I499" i="13"/>
  <c r="H499" i="13"/>
  <c r="E499" i="13"/>
  <c r="I481" i="13"/>
  <c r="H481" i="13"/>
  <c r="E481" i="13"/>
  <c r="H478" i="13"/>
  <c r="I315" i="13"/>
  <c r="H315" i="13"/>
  <c r="E315" i="13"/>
  <c r="H293" i="13"/>
  <c r="E293" i="13"/>
  <c r="I289" i="13"/>
  <c r="H289" i="13"/>
  <c r="E289" i="13"/>
  <c r="I124" i="13"/>
  <c r="H124" i="13"/>
  <c r="E20" i="13"/>
  <c r="E124" i="13"/>
  <c r="A7" i="13"/>
  <c r="A8" i="13" s="1"/>
  <c r="A9" i="13" s="1"/>
  <c r="I356" i="13"/>
  <c r="K356" i="13" s="1"/>
  <c r="I393" i="13"/>
  <c r="K393" i="13" s="1"/>
  <c r="I425" i="13"/>
  <c r="K425" i="13" s="1"/>
  <c r="I443" i="13"/>
  <c r="K443" i="13" s="1"/>
  <c r="I330" i="13"/>
  <c r="K330" i="13" s="1"/>
  <c r="I449" i="13"/>
  <c r="K449" i="13" s="1"/>
  <c r="K316" i="13"/>
  <c r="I344" i="13"/>
  <c r="K344" i="13" s="1"/>
  <c r="I448" i="13"/>
  <c r="K448" i="13" s="1"/>
  <c r="I375" i="13"/>
  <c r="K375" i="13" s="1"/>
  <c r="I365" i="13"/>
  <c r="K365" i="13" s="1"/>
  <c r="I421" i="13"/>
  <c r="K421" i="13" s="1"/>
  <c r="I465" i="13"/>
  <c r="K465" i="13" s="1"/>
  <c r="K507" i="13"/>
  <c r="I474" i="13"/>
  <c r="I386" i="13"/>
  <c r="K386" i="13" s="1"/>
  <c r="I437" i="13"/>
  <c r="K437" i="13" s="1"/>
  <c r="I348" i="13"/>
  <c r="K348" i="13" s="1"/>
  <c r="I426" i="13"/>
  <c r="K426" i="13" s="1"/>
  <c r="I327" i="13"/>
  <c r="K327" i="13" s="1"/>
  <c r="H269" i="13"/>
  <c r="G481" i="13"/>
  <c r="I357" i="13"/>
  <c r="K357" i="13" s="1"/>
  <c r="I413" i="13"/>
  <c r="K413" i="13" s="1"/>
  <c r="I447" i="13"/>
  <c r="K447" i="13" s="1"/>
  <c r="I324" i="13"/>
  <c r="K324" i="13" s="1"/>
  <c r="I354" i="13"/>
  <c r="K354" i="13" s="1"/>
  <c r="I322" i="13"/>
  <c r="K322" i="13" s="1"/>
  <c r="I380" i="13"/>
  <c r="K380" i="13" s="1"/>
  <c r="I423" i="13"/>
  <c r="K423" i="13" s="1"/>
  <c r="I341" i="13"/>
  <c r="K341" i="13" s="1"/>
  <c r="F8" i="2"/>
  <c r="G8" i="2"/>
  <c r="D66" i="5"/>
  <c r="D65" i="5"/>
  <c r="D64" i="5"/>
  <c r="C14" i="9"/>
  <c r="A7" i="7"/>
  <c r="A8" i="7"/>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7" i="6"/>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I14" i="6"/>
  <c r="I122" i="6" s="1"/>
  <c r="E13" i="6"/>
  <c r="K18" i="6"/>
  <c r="A41" i="6"/>
  <c r="K45" i="6"/>
  <c r="A61" i="6"/>
  <c r="K66" i="6"/>
  <c r="K68" i="6"/>
  <c r="E69" i="6"/>
  <c r="G69" i="6"/>
  <c r="I69" i="6"/>
  <c r="A87" i="6"/>
  <c r="E13" i="7"/>
  <c r="A106" i="6"/>
  <c r="K111" i="6"/>
  <c r="K118" i="6"/>
  <c r="K120" i="6"/>
  <c r="C6" i="4" s="1"/>
  <c r="D51" i="5"/>
  <c r="B20" i="5"/>
  <c r="B27" i="5" s="1"/>
  <c r="E20" i="5"/>
  <c r="F20" i="5"/>
  <c r="B21" i="5"/>
  <c r="B28" i="5" s="1"/>
  <c r="E21" i="5"/>
  <c r="E40" i="5" s="1"/>
  <c r="B22" i="5"/>
  <c r="B29" i="5" s="1"/>
  <c r="E22" i="5"/>
  <c r="F22" i="5"/>
  <c r="B23" i="5"/>
  <c r="B30" i="5" s="1"/>
  <c r="E23" i="5"/>
  <c r="B24" i="5"/>
  <c r="B31" i="5"/>
  <c r="E24" i="5"/>
  <c r="D30" i="5"/>
  <c r="D31" i="5"/>
  <c r="E37" i="5"/>
  <c r="D39" i="5"/>
  <c r="H52" i="5"/>
  <c r="E54" i="5"/>
  <c r="E55" i="5"/>
  <c r="E57" i="5"/>
  <c r="H60" i="5"/>
  <c r="B63" i="5"/>
  <c r="E64" i="5"/>
  <c r="E65" i="5"/>
  <c r="B68" i="5"/>
  <c r="E73" i="5"/>
  <c r="E77" i="5"/>
  <c r="D79" i="5"/>
  <c r="D81" i="5"/>
  <c r="D84" i="5"/>
  <c r="D87" i="5" s="1"/>
  <c r="H101" i="5"/>
  <c r="H102" i="5"/>
  <c r="F107" i="5"/>
  <c r="F109" i="5"/>
  <c r="F110" i="5"/>
  <c r="D128" i="5"/>
  <c r="F126" i="5" s="1"/>
  <c r="F134" i="5"/>
  <c r="H143" i="5"/>
  <c r="B148" i="5"/>
  <c r="H148" i="5"/>
  <c r="A7" i="4"/>
  <c r="A8" i="4"/>
  <c r="A9" i="4" s="1"/>
  <c r="A10" i="4" s="1"/>
  <c r="A11" i="4" s="1"/>
  <c r="A12" i="4"/>
  <c r="A13" i="4" s="1"/>
  <c r="A14" i="4" s="1"/>
  <c r="A15" i="4" s="1"/>
  <c r="A16" i="4" s="1"/>
  <c r="A17" i="4" s="1"/>
  <c r="A18" i="4" s="1"/>
  <c r="A19" i="4" s="1"/>
  <c r="A20" i="4" s="1"/>
  <c r="A21" i="4" s="1"/>
  <c r="I127" i="2"/>
  <c r="G127" i="2"/>
  <c r="I126" i="2"/>
  <c r="G126" i="2"/>
  <c r="I125" i="2"/>
  <c r="G125" i="2"/>
  <c r="I124" i="2"/>
  <c r="G124" i="2"/>
  <c r="I123" i="2"/>
  <c r="G123" i="2"/>
  <c r="I122" i="2"/>
  <c r="G122" i="2"/>
  <c r="I121" i="2"/>
  <c r="G121" i="2"/>
  <c r="I120" i="2"/>
  <c r="G120" i="2"/>
  <c r="I119" i="2"/>
  <c r="G119" i="2"/>
  <c r="I118" i="2"/>
  <c r="G118" i="2"/>
  <c r="I117" i="2"/>
  <c r="G117" i="2"/>
  <c r="I116" i="2"/>
  <c r="G116" i="2"/>
  <c r="I115" i="2"/>
  <c r="G115" i="2"/>
  <c r="I114" i="2"/>
  <c r="G114" i="2"/>
  <c r="I113" i="2"/>
  <c r="G113" i="2"/>
  <c r="I112" i="2"/>
  <c r="G112" i="2"/>
  <c r="I111" i="2"/>
  <c r="G111" i="2"/>
  <c r="I110" i="2"/>
  <c r="G110" i="2"/>
  <c r="I109" i="2"/>
  <c r="G109" i="2"/>
  <c r="I108" i="2"/>
  <c r="G108" i="2"/>
  <c r="I97" i="2"/>
  <c r="G97" i="2"/>
  <c r="I96" i="2"/>
  <c r="G96" i="2"/>
  <c r="I95" i="2"/>
  <c r="G95" i="2"/>
  <c r="I94" i="2"/>
  <c r="G94" i="2"/>
  <c r="I93" i="2"/>
  <c r="G93" i="2"/>
  <c r="I92" i="2"/>
  <c r="G92" i="2"/>
  <c r="I91" i="2"/>
  <c r="G91" i="2"/>
  <c r="I90" i="2"/>
  <c r="G90" i="2"/>
  <c r="I89" i="2"/>
  <c r="G89" i="2"/>
  <c r="I88" i="2"/>
  <c r="G88" i="2"/>
  <c r="I87" i="2"/>
  <c r="G87" i="2"/>
  <c r="I86" i="2"/>
  <c r="G86" i="2"/>
  <c r="I85" i="2"/>
  <c r="G85" i="2"/>
  <c r="I84" i="2"/>
  <c r="G84" i="2"/>
  <c r="I83" i="2"/>
  <c r="G83" i="2"/>
  <c r="I82" i="2"/>
  <c r="G82" i="2"/>
  <c r="I81" i="2"/>
  <c r="G81" i="2"/>
  <c r="I80" i="2"/>
  <c r="G80" i="2"/>
  <c r="I79" i="2"/>
  <c r="G79" i="2"/>
  <c r="I78" i="2"/>
  <c r="G78" i="2"/>
  <c r="I77" i="2"/>
  <c r="G77" i="2"/>
  <c r="I76" i="2"/>
  <c r="G76" i="2"/>
  <c r="I75" i="2"/>
  <c r="G75" i="2"/>
  <c r="I74" i="2"/>
  <c r="G74" i="2"/>
  <c r="I73" i="2"/>
  <c r="G73" i="2"/>
  <c r="I72" i="2"/>
  <c r="G72" i="2"/>
  <c r="I71" i="2"/>
  <c r="G71" i="2"/>
  <c r="I70" i="2"/>
  <c r="G70" i="2"/>
  <c r="I69" i="2"/>
  <c r="G69" i="2"/>
  <c r="I68" i="2"/>
  <c r="G68" i="2"/>
  <c r="I67" i="2"/>
  <c r="G67" i="2"/>
  <c r="I66" i="2"/>
  <c r="G66" i="2"/>
  <c r="I65" i="2"/>
  <c r="G65" i="2"/>
  <c r="I64" i="2"/>
  <c r="G64" i="2"/>
  <c r="I63" i="2"/>
  <c r="G63" i="2"/>
  <c r="I62" i="2"/>
  <c r="G62" i="2"/>
  <c r="I61" i="2"/>
  <c r="G61" i="2"/>
  <c r="I60" i="2"/>
  <c r="G60" i="2"/>
  <c r="I59" i="2"/>
  <c r="G59" i="2"/>
  <c r="I58" i="2"/>
  <c r="G58" i="2"/>
  <c r="I57" i="2"/>
  <c r="G57" i="2"/>
  <c r="I51" i="2"/>
  <c r="G51" i="2"/>
  <c r="I50" i="2"/>
  <c r="G50" i="2"/>
  <c r="I45" i="2"/>
  <c r="G45" i="2"/>
  <c r="I44" i="2"/>
  <c r="G44" i="2"/>
  <c r="I38" i="2"/>
  <c r="G38" i="2"/>
  <c r="I37" i="2"/>
  <c r="G37" i="2"/>
  <c r="I36" i="2"/>
  <c r="G36" i="2"/>
  <c r="I35" i="2"/>
  <c r="G35" i="2"/>
  <c r="I34" i="2"/>
  <c r="G34" i="2"/>
  <c r="I33" i="2"/>
  <c r="G33" i="2"/>
  <c r="I32" i="2"/>
  <c r="G32" i="2"/>
  <c r="I30" i="2"/>
  <c r="G30" i="2"/>
  <c r="I29" i="2"/>
  <c r="G29" i="2"/>
  <c r="I28" i="2"/>
  <c r="G28" i="2"/>
  <c r="I27" i="2"/>
  <c r="G27" i="2"/>
  <c r="I26" i="2"/>
  <c r="G26" i="2"/>
  <c r="I25" i="2"/>
  <c r="G25" i="2"/>
  <c r="I24" i="2"/>
  <c r="G24" i="2"/>
  <c r="I23" i="2"/>
  <c r="G23" i="2"/>
  <c r="I22" i="2"/>
  <c r="G22" i="2"/>
  <c r="I21" i="2"/>
  <c r="G21" i="2"/>
  <c r="I20" i="2"/>
  <c r="G20" i="2"/>
  <c r="I19" i="2"/>
  <c r="G19" i="2"/>
  <c r="I17" i="2"/>
  <c r="G17" i="2"/>
  <c r="I14" i="2"/>
  <c r="G14" i="2"/>
  <c r="I13" i="2"/>
  <c r="G13" i="2"/>
  <c r="I12" i="2"/>
  <c r="G12" i="2"/>
  <c r="I11" i="2"/>
  <c r="G11" i="2"/>
  <c r="I10" i="2"/>
  <c r="G10" i="2"/>
  <c r="K92" i="6"/>
  <c r="I9" i="6"/>
  <c r="I13" i="6" s="1"/>
  <c r="A9" i="5"/>
  <c r="C10" i="5"/>
  <c r="A10" i="5"/>
  <c r="A13" i="5" s="1"/>
  <c r="A14" i="5"/>
  <c r="A15" i="5" s="1"/>
  <c r="G222" i="13"/>
  <c r="K222" i="13" s="1"/>
  <c r="A44" i="6" l="1"/>
  <c r="A45" i="6" s="1"/>
  <c r="A46" i="6" s="1"/>
  <c r="A47" i="6" s="1"/>
  <c r="A48" i="6" s="1"/>
  <c r="A49" i="6" s="1"/>
  <c r="A50" i="6" s="1"/>
  <c r="A51" i="6" s="1"/>
  <c r="A52" i="6" s="1"/>
  <c r="A53" i="6" s="1"/>
  <c r="A54" i="6" s="1"/>
  <c r="A55" i="6" s="1"/>
  <c r="A56" i="6" s="1"/>
  <c r="A57" i="6" s="1"/>
  <c r="A58" i="6" s="1"/>
  <c r="A59" i="6" s="1"/>
  <c r="A60"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I47" i="6"/>
  <c r="I20" i="6"/>
  <c r="I46" i="6"/>
  <c r="A13" i="28"/>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G20" i="13"/>
  <c r="K20" i="13" s="1"/>
  <c r="G298" i="13"/>
  <c r="G310" i="13" s="1"/>
  <c r="K294" i="13"/>
  <c r="A3" i="33"/>
  <c r="A3" i="27"/>
  <c r="H26" i="33"/>
  <c r="G13" i="30"/>
  <c r="H7" i="30"/>
  <c r="D8" i="31" s="1"/>
  <c r="E6" i="2"/>
  <c r="E8" i="2" s="1"/>
  <c r="G48" i="30"/>
  <c r="G6" i="30"/>
  <c r="D7" i="29" s="1"/>
  <c r="H6" i="30"/>
  <c r="D7" i="31" s="1"/>
  <c r="I13" i="30"/>
  <c r="I51" i="30" s="1"/>
  <c r="D69" i="5"/>
  <c r="G293" i="13"/>
  <c r="G509" i="13"/>
  <c r="H509" i="13"/>
  <c r="H517" i="13" s="1"/>
  <c r="H518" i="13" s="1"/>
  <c r="H521" i="13" s="1"/>
  <c r="K456" i="13"/>
  <c r="K420" i="13"/>
  <c r="K364" i="13"/>
  <c r="K335" i="13"/>
  <c r="G185" i="13"/>
  <c r="K185" i="13" s="1"/>
  <c r="K269" i="13" s="1"/>
  <c r="F269" i="13"/>
  <c r="F517" i="13" s="1"/>
  <c r="F518" i="13" s="1"/>
  <c r="G315" i="13"/>
  <c r="K505" i="13"/>
  <c r="G499" i="13"/>
  <c r="K438" i="13"/>
  <c r="K404" i="13"/>
  <c r="K351" i="13"/>
  <c r="K325" i="13"/>
  <c r="I19" i="6"/>
  <c r="I24" i="6" s="1"/>
  <c r="A3" i="8"/>
  <c r="H17" i="33"/>
  <c r="A3" i="9"/>
  <c r="A3" i="18"/>
  <c r="A3" i="2"/>
  <c r="K506" i="13"/>
  <c r="A10" i="13"/>
  <c r="A11" i="13" s="1"/>
  <c r="A12" i="13" s="1"/>
  <c r="A13" i="13" s="1"/>
  <c r="A14" i="13" s="1"/>
  <c r="A15" i="13" s="1"/>
  <c r="A16" i="13" s="1"/>
  <c r="A17"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A132" i="13" s="1"/>
  <c r="A133" i="13" s="1"/>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A164" i="13" s="1"/>
  <c r="A165" i="13" s="1"/>
  <c r="A166" i="13" s="1"/>
  <c r="A167" i="13" s="1"/>
  <c r="A168" i="13" s="1"/>
  <c r="A169" i="13" s="1"/>
  <c r="A170" i="13" s="1"/>
  <c r="A171" i="13" s="1"/>
  <c r="A172" i="13" s="1"/>
  <c r="A173" i="13" s="1"/>
  <c r="A174" i="13" s="1"/>
  <c r="A175" i="13" s="1"/>
  <c r="A176" i="13" s="1"/>
  <c r="A177" i="13" s="1"/>
  <c r="A178" i="13" s="1"/>
  <c r="A179" i="13" s="1"/>
  <c r="A180" i="13" s="1"/>
  <c r="A181" i="13" s="1"/>
  <c r="A182" i="13" s="1"/>
  <c r="A183" i="13" s="1"/>
  <c r="A184" i="13" s="1"/>
  <c r="A185" i="13" s="1"/>
  <c r="A186" i="13" s="1"/>
  <c r="A187" i="13" s="1"/>
  <c r="A188" i="13" s="1"/>
  <c r="A189" i="13" s="1"/>
  <c r="A190" i="13" s="1"/>
  <c r="A191" i="13" s="1"/>
  <c r="A192" i="13" s="1"/>
  <c r="A193" i="13" s="1"/>
  <c r="A194" i="13" s="1"/>
  <c r="A195" i="13" s="1"/>
  <c r="A196" i="13" s="1"/>
  <c r="A197" i="13" s="1"/>
  <c r="A198" i="13" s="1"/>
  <c r="A199" i="13" s="1"/>
  <c r="A200" i="13" s="1"/>
  <c r="A201" i="13" s="1"/>
  <c r="A202" i="13" s="1"/>
  <c r="A203" i="13" s="1"/>
  <c r="A204" i="13" s="1"/>
  <c r="A205" i="13" s="1"/>
  <c r="A206" i="13" s="1"/>
  <c r="A207" i="13" s="1"/>
  <c r="A208" i="13" s="1"/>
  <c r="A209" i="13" s="1"/>
  <c r="A210" i="13" s="1"/>
  <c r="A211" i="13" s="1"/>
  <c r="A212" i="13" s="1"/>
  <c r="A213" i="13" s="1"/>
  <c r="A214" i="13" s="1"/>
  <c r="A215" i="13" s="1"/>
  <c r="A216" i="13" s="1"/>
  <c r="A217" i="13" s="1"/>
  <c r="A218" i="13" s="1"/>
  <c r="A219" i="13" s="1"/>
  <c r="A220" i="13" s="1"/>
  <c r="A221" i="13" s="1"/>
  <c r="A222" i="13" s="1"/>
  <c r="A223" i="13" s="1"/>
  <c r="A224" i="13" s="1"/>
  <c r="A225" i="13" s="1"/>
  <c r="A226" i="13" s="1"/>
  <c r="A227" i="13" s="1"/>
  <c r="A228" i="13" s="1"/>
  <c r="A229" i="13" s="1"/>
  <c r="A230" i="13" s="1"/>
  <c r="A231" i="13" s="1"/>
  <c r="A232" i="13" s="1"/>
  <c r="A233" i="13" s="1"/>
  <c r="A234" i="13" s="1"/>
  <c r="A235" i="13" s="1"/>
  <c r="A236" i="13" s="1"/>
  <c r="A237" i="13" s="1"/>
  <c r="A238" i="13" s="1"/>
  <c r="A239" i="13" s="1"/>
  <c r="A240" i="13" s="1"/>
  <c r="A241" i="13" s="1"/>
  <c r="A242" i="13" s="1"/>
  <c r="A243" i="13" s="1"/>
  <c r="A244" i="13" s="1"/>
  <c r="A245" i="13" s="1"/>
  <c r="A246" i="13" s="1"/>
  <c r="A247" i="13" s="1"/>
  <c r="A248" i="13" s="1"/>
  <c r="A249" i="13" s="1"/>
  <c r="A250" i="13" s="1"/>
  <c r="A251" i="13" s="1"/>
  <c r="A252" i="13" s="1"/>
  <c r="A253" i="13" s="1"/>
  <c r="A254" i="13" s="1"/>
  <c r="A255" i="13" s="1"/>
  <c r="A256" i="13" s="1"/>
  <c r="A257" i="13" s="1"/>
  <c r="A258" i="13" s="1"/>
  <c r="A259" i="13" s="1"/>
  <c r="A260" i="13" s="1"/>
  <c r="A261" i="13" s="1"/>
  <c r="A262" i="13" s="1"/>
  <c r="A263" i="13" s="1"/>
  <c r="A264" i="13" s="1"/>
  <c r="A265" i="13" s="1"/>
  <c r="A266" i="13" s="1"/>
  <c r="A267" i="13" s="1"/>
  <c r="A268" i="13" s="1"/>
  <c r="A269" i="13" s="1"/>
  <c r="A270" i="13" s="1"/>
  <c r="A271" i="13" s="1"/>
  <c r="A272" i="13" s="1"/>
  <c r="A273" i="13" s="1"/>
  <c r="A274" i="13" s="1"/>
  <c r="A275" i="13" s="1"/>
  <c r="A276" i="13" s="1"/>
  <c r="A277" i="13" s="1"/>
  <c r="A278" i="13" s="1"/>
  <c r="A279" i="13" s="1"/>
  <c r="A280" i="13" s="1"/>
  <c r="A281" i="13" s="1"/>
  <c r="A282" i="13" s="1"/>
  <c r="A283" i="13" s="1"/>
  <c r="A284" i="13" s="1"/>
  <c r="A285" i="13" s="1"/>
  <c r="A286" i="13" s="1"/>
  <c r="A287" i="13" s="1"/>
  <c r="A288" i="13" s="1"/>
  <c r="A289" i="13" s="1"/>
  <c r="A290" i="13" s="1"/>
  <c r="A291" i="13" s="1"/>
  <c r="A292" i="13" s="1"/>
  <c r="A293" i="13" s="1"/>
  <c r="A294" i="13" s="1"/>
  <c r="A295" i="13" s="1"/>
  <c r="A296" i="13" s="1"/>
  <c r="A297" i="13" s="1"/>
  <c r="A298" i="13" s="1"/>
  <c r="A299" i="13" s="1"/>
  <c r="A300" i="13" s="1"/>
  <c r="A301" i="13" s="1"/>
  <c r="A302" i="13" s="1"/>
  <c r="A303" i="13" s="1"/>
  <c r="A304" i="13" s="1"/>
  <c r="A305" i="13" s="1"/>
  <c r="A306" i="13" s="1"/>
  <c r="A307" i="13" s="1"/>
  <c r="A308" i="13" s="1"/>
  <c r="A309" i="13" s="1"/>
  <c r="A310" i="13" s="1"/>
  <c r="A311" i="13" s="1"/>
  <c r="A312" i="13" s="1"/>
  <c r="A313" i="13" s="1"/>
  <c r="A314" i="13" s="1"/>
  <c r="A315" i="13" s="1"/>
  <c r="A316" i="13" s="1"/>
  <c r="A317" i="13" s="1"/>
  <c r="A318" i="13" s="1"/>
  <c r="A319" i="13" s="1"/>
  <c r="A320" i="13" s="1"/>
  <c r="A321" i="13" s="1"/>
  <c r="A322" i="13" s="1"/>
  <c r="A323" i="13" s="1"/>
  <c r="A324" i="13" s="1"/>
  <c r="A325" i="13" s="1"/>
  <c r="A326" i="13" s="1"/>
  <c r="A327" i="13" s="1"/>
  <c r="A328" i="13" s="1"/>
  <c r="A329" i="13" s="1"/>
  <c r="A330" i="13" s="1"/>
  <c r="A331" i="13" s="1"/>
  <c r="A332" i="13" s="1"/>
  <c r="A333" i="13" s="1"/>
  <c r="A334" i="13" s="1"/>
  <c r="A335" i="13" s="1"/>
  <c r="A336" i="13" s="1"/>
  <c r="A337" i="13" s="1"/>
  <c r="A338" i="13" s="1"/>
  <c r="A339" i="13" s="1"/>
  <c r="A340" i="13" s="1"/>
  <c r="A341" i="13" s="1"/>
  <c r="A342" i="13" s="1"/>
  <c r="A343" i="13" s="1"/>
  <c r="A344" i="13" s="1"/>
  <c r="A345" i="13" s="1"/>
  <c r="A346" i="13" s="1"/>
  <c r="A347" i="13" s="1"/>
  <c r="A348" i="13" s="1"/>
  <c r="A349" i="13" s="1"/>
  <c r="A350" i="13" s="1"/>
  <c r="A351" i="13" s="1"/>
  <c r="A352" i="13" s="1"/>
  <c r="A353" i="13" s="1"/>
  <c r="A354" i="13" s="1"/>
  <c r="A355" i="13" s="1"/>
  <c r="A356" i="13" s="1"/>
  <c r="A357" i="13" s="1"/>
  <c r="A358" i="13" s="1"/>
  <c r="A359" i="13" s="1"/>
  <c r="A360" i="13" s="1"/>
  <c r="A361" i="13" s="1"/>
  <c r="A362" i="13" s="1"/>
  <c r="A363" i="13" s="1"/>
  <c r="A364" i="13" s="1"/>
  <c r="A365" i="13" s="1"/>
  <c r="A366" i="13" s="1"/>
  <c r="A367" i="13" s="1"/>
  <c r="A368" i="13" s="1"/>
  <c r="A369" i="13" s="1"/>
  <c r="A370" i="13" s="1"/>
  <c r="A371" i="13" s="1"/>
  <c r="A372" i="13" s="1"/>
  <c r="A373" i="13" s="1"/>
  <c r="A374" i="13" s="1"/>
  <c r="A375" i="13" s="1"/>
  <c r="A376" i="13" s="1"/>
  <c r="A377" i="13" s="1"/>
  <c r="A378" i="13" s="1"/>
  <c r="A379" i="13" s="1"/>
  <c r="A380" i="13" s="1"/>
  <c r="A381" i="13" s="1"/>
  <c r="A382" i="13" s="1"/>
  <c r="A383" i="13" s="1"/>
  <c r="A384" i="13" s="1"/>
  <c r="A385" i="13" s="1"/>
  <c r="A386" i="13" s="1"/>
  <c r="A387" i="13" s="1"/>
  <c r="A388" i="13" s="1"/>
  <c r="A389" i="13" s="1"/>
  <c r="A390" i="13" s="1"/>
  <c r="A391" i="13" s="1"/>
  <c r="A392" i="13" s="1"/>
  <c r="A393" i="13" s="1"/>
  <c r="A394" i="13" s="1"/>
  <c r="A395" i="13" s="1"/>
  <c r="A396" i="13" s="1"/>
  <c r="A397" i="13" s="1"/>
  <c r="A398" i="13" s="1"/>
  <c r="A399" i="13" s="1"/>
  <c r="A400" i="13" s="1"/>
  <c r="A401" i="13" s="1"/>
  <c r="A402" i="13" s="1"/>
  <c r="A403" i="13" s="1"/>
  <c r="A404" i="13" s="1"/>
  <c r="A405" i="13" s="1"/>
  <c r="A406" i="13" s="1"/>
  <c r="A407" i="13" s="1"/>
  <c r="A408" i="13" s="1"/>
  <c r="A409" i="13" s="1"/>
  <c r="A410" i="13" s="1"/>
  <c r="A411" i="13" s="1"/>
  <c r="A412" i="13" s="1"/>
  <c r="A413" i="13" s="1"/>
  <c r="A414" i="13" s="1"/>
  <c r="A415" i="13" s="1"/>
  <c r="A416" i="13" s="1"/>
  <c r="A417" i="13" s="1"/>
  <c r="A418" i="13" s="1"/>
  <c r="A419" i="13" s="1"/>
  <c r="A420" i="13" s="1"/>
  <c r="A421" i="13" s="1"/>
  <c r="A422" i="13" s="1"/>
  <c r="A423" i="13" s="1"/>
  <c r="A424" i="13" s="1"/>
  <c r="A425" i="13" s="1"/>
  <c r="A426" i="13" s="1"/>
  <c r="A427" i="13" s="1"/>
  <c r="A428" i="13" s="1"/>
  <c r="A429" i="13" s="1"/>
  <c r="A430" i="13" s="1"/>
  <c r="A431" i="13" s="1"/>
  <c r="A432" i="13" s="1"/>
  <c r="A433" i="13" s="1"/>
  <c r="A434" i="13" s="1"/>
  <c r="A435" i="13" s="1"/>
  <c r="A436" i="13" s="1"/>
  <c r="A437" i="13" s="1"/>
  <c r="A438" i="13" s="1"/>
  <c r="A439" i="13" s="1"/>
  <c r="A440" i="13" s="1"/>
  <c r="A441" i="13" s="1"/>
  <c r="A442" i="13" s="1"/>
  <c r="A443" i="13" s="1"/>
  <c r="A444" i="13" s="1"/>
  <c r="A445" i="13" s="1"/>
  <c r="A446" i="13" s="1"/>
  <c r="A447" i="13" s="1"/>
  <c r="A448" i="13" s="1"/>
  <c r="A449" i="13" s="1"/>
  <c r="A450" i="13" s="1"/>
  <c r="A451" i="13" s="1"/>
  <c r="A452" i="13" s="1"/>
  <c r="A453" i="13" s="1"/>
  <c r="A454" i="13" s="1"/>
  <c r="A455" i="13" s="1"/>
  <c r="A456" i="13" s="1"/>
  <c r="A457" i="13" s="1"/>
  <c r="A458" i="13" s="1"/>
  <c r="A459" i="13" s="1"/>
  <c r="A460" i="13" s="1"/>
  <c r="A461" i="13" s="1"/>
  <c r="A462" i="13" s="1"/>
  <c r="A463" i="13" s="1"/>
  <c r="A464" i="13" s="1"/>
  <c r="A465" i="13" s="1"/>
  <c r="A466" i="13" s="1"/>
  <c r="A467" i="13" s="1"/>
  <c r="A468" i="13" s="1"/>
  <c r="A469" i="13" s="1"/>
  <c r="A470" i="13" s="1"/>
  <c r="A471" i="13" s="1"/>
  <c r="A472" i="13" s="1"/>
  <c r="A473" i="13" s="1"/>
  <c r="A474" i="13" s="1"/>
  <c r="A475" i="13" s="1"/>
  <c r="A476" i="13" s="1"/>
  <c r="A477" i="13" s="1"/>
  <c r="A478" i="13" s="1"/>
  <c r="A479" i="13" s="1"/>
  <c r="A480" i="13" s="1"/>
  <c r="A481" i="13" s="1"/>
  <c r="A482" i="13" s="1"/>
  <c r="A483" i="13" s="1"/>
  <c r="A484" i="13" s="1"/>
  <c r="A485" i="13" s="1"/>
  <c r="A486" i="13" s="1"/>
  <c r="A487" i="13" s="1"/>
  <c r="A488" i="13" s="1"/>
  <c r="A489" i="13" s="1"/>
  <c r="A490" i="13" s="1"/>
  <c r="A491" i="13" s="1"/>
  <c r="A492" i="13" s="1"/>
  <c r="A493" i="13" s="1"/>
  <c r="A494" i="13" s="1"/>
  <c r="A495" i="13" s="1"/>
  <c r="A496" i="13" s="1"/>
  <c r="A497" i="13" s="1"/>
  <c r="A498" i="13" s="1"/>
  <c r="A499" i="13" s="1"/>
  <c r="A500" i="13" s="1"/>
  <c r="A501" i="13" s="1"/>
  <c r="A502" i="13" s="1"/>
  <c r="A503" i="13" s="1"/>
  <c r="A504" i="13" s="1"/>
  <c r="A505" i="13" s="1"/>
  <c r="A506" i="13" s="1"/>
  <c r="A507" i="13" s="1"/>
  <c r="A508" i="13" s="1"/>
  <c r="A509" i="13" s="1"/>
  <c r="A510" i="13" s="1"/>
  <c r="A511" i="13" s="1"/>
  <c r="A512" i="13" s="1"/>
  <c r="A513" i="13" s="1"/>
  <c r="A514" i="13" s="1"/>
  <c r="A515" i="13" s="1"/>
  <c r="A516" i="13" s="1"/>
  <c r="A517" i="13" s="1"/>
  <c r="A518" i="13" s="1"/>
  <c r="A519" i="13" s="1"/>
  <c r="A520" i="13" s="1"/>
  <c r="A521" i="13" s="1"/>
  <c r="G289" i="13"/>
  <c r="K315" i="13"/>
  <c r="K499" i="13"/>
  <c r="I477" i="13"/>
  <c r="K477" i="13" s="1"/>
  <c r="G478" i="13"/>
  <c r="J517" i="13"/>
  <c r="J518" i="13" s="1"/>
  <c r="K289" i="13"/>
  <c r="E478" i="13"/>
  <c r="E517" i="13" s="1"/>
  <c r="K475" i="13"/>
  <c r="K292" i="13"/>
  <c r="I123" i="6"/>
  <c r="A16" i="5"/>
  <c r="K114" i="6"/>
  <c r="K121" i="6" s="1"/>
  <c r="K8" i="13"/>
  <c r="G124" i="13"/>
  <c r="C93" i="5"/>
  <c r="K298" i="13"/>
  <c r="K321" i="13"/>
  <c r="G269" i="13"/>
  <c r="I49" i="2"/>
  <c r="I6" i="2" s="1"/>
  <c r="K317" i="13"/>
  <c r="I339" i="13"/>
  <c r="K359" i="13"/>
  <c r="I355" i="13"/>
  <c r="K355" i="13" s="1"/>
  <c r="K374" i="13"/>
  <c r="I368" i="13"/>
  <c r="K368" i="13"/>
  <c r="K387" i="13"/>
  <c r="I408" i="13"/>
  <c r="K408" i="13" s="1"/>
  <c r="K396" i="13"/>
  <c r="I424" i="13"/>
  <c r="K424" i="13" s="1"/>
  <c r="I450" i="13"/>
  <c r="K450" i="13" s="1"/>
  <c r="K446" i="13"/>
  <c r="I433" i="13"/>
  <c r="K433" i="13" s="1"/>
  <c r="K464" i="13"/>
  <c r="K474" i="13"/>
  <c r="G40" i="2"/>
  <c r="I40" i="2"/>
  <c r="I5" i="2" s="1"/>
  <c r="K511" i="13"/>
  <c r="K516" i="13" s="1"/>
  <c r="G8" i="6" s="1"/>
  <c r="G516" i="13"/>
  <c r="D8" i="32"/>
  <c r="H12" i="32"/>
  <c r="H144" i="5"/>
  <c r="I435" i="13"/>
  <c r="K435" i="13" s="1"/>
  <c r="K349" i="13"/>
  <c r="A91" i="6" l="1"/>
  <c r="A92" i="6" s="1"/>
  <c r="A93" i="6" s="1"/>
  <c r="A94" i="6" s="1"/>
  <c r="A95" i="6" s="1"/>
  <c r="A96" i="6" s="1"/>
  <c r="A97" i="6" s="1"/>
  <c r="A98" i="6" s="1"/>
  <c r="A99" i="6" s="1"/>
  <c r="A100" i="6" s="1"/>
  <c r="A101" i="6" s="1"/>
  <c r="A102" i="6" s="1"/>
  <c r="A103" i="6" s="1"/>
  <c r="A104" i="6" s="1"/>
  <c r="A105"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75" i="28"/>
  <c r="A76" i="28" s="1"/>
  <c r="A77" i="28" s="1"/>
  <c r="A78" i="28" s="1"/>
  <c r="A79" i="28" s="1"/>
  <c r="A80" i="28" s="1"/>
  <c r="A81" i="28" s="1"/>
  <c r="A82" i="28" s="1"/>
  <c r="A83" i="28" s="1"/>
  <c r="A84" i="28" s="1"/>
  <c r="A85" i="28" s="1"/>
  <c r="A86" i="28" s="1"/>
  <c r="A87" i="28" s="1"/>
  <c r="A88" i="28" s="1"/>
  <c r="A89" i="28" s="1"/>
  <c r="A90" i="28" s="1"/>
  <c r="A91" i="28" s="1"/>
  <c r="A92" i="28" s="1"/>
  <c r="A93" i="28" s="1"/>
  <c r="A94" i="28" s="1"/>
  <c r="A95" i="28" s="1"/>
  <c r="K310" i="13"/>
  <c r="G5" i="30"/>
  <c r="D6" i="29" s="1"/>
  <c r="D10" i="32"/>
  <c r="H10" i="32" s="1"/>
  <c r="H5" i="30"/>
  <c r="H9" i="30" s="1"/>
  <c r="C12" i="6" s="1"/>
  <c r="H6" i="2"/>
  <c r="K291" i="13" s="1"/>
  <c r="C10" i="6"/>
  <c r="K10" i="6" s="1"/>
  <c r="I6" i="30"/>
  <c r="K509" i="13"/>
  <c r="E8" i="6" s="1"/>
  <c r="E518" i="13"/>
  <c r="I478" i="13"/>
  <c r="G517" i="13"/>
  <c r="G518" i="13" s="1"/>
  <c r="C7" i="6" s="1"/>
  <c r="K339" i="13"/>
  <c r="K478" i="13" s="1"/>
  <c r="I8" i="2"/>
  <c r="H5" i="2"/>
  <c r="H8" i="32"/>
  <c r="K124" i="13"/>
  <c r="G14" i="6"/>
  <c r="G19" i="6" s="1"/>
  <c r="G20" i="6" s="1"/>
  <c r="D120" i="5"/>
  <c r="H122" i="5" s="1"/>
  <c r="F51" i="5" s="1"/>
  <c r="G9" i="6"/>
  <c r="I5" i="30"/>
  <c r="D49" i="5"/>
  <c r="D61" i="5" s="1"/>
  <c r="D42" i="5" s="1"/>
  <c r="D45" i="5" s="1"/>
  <c r="A17" i="5"/>
  <c r="D117" i="5" l="1"/>
  <c r="H119" i="5" s="1"/>
  <c r="F50" i="5" s="1"/>
  <c r="F55" i="5" s="1"/>
  <c r="H55" i="5" s="1"/>
  <c r="G25" i="6"/>
  <c r="G24" i="6"/>
  <c r="A96" i="28"/>
  <c r="A97" i="28" s="1"/>
  <c r="A98" i="28" s="1"/>
  <c r="A99" i="28" s="1"/>
  <c r="A100" i="28" s="1"/>
  <c r="A101" i="28" s="1"/>
  <c r="A102" i="28" s="1"/>
  <c r="A103" i="28" s="1"/>
  <c r="A104" i="28" s="1"/>
  <c r="A105" i="28" s="1"/>
  <c r="A106" i="28" s="1"/>
  <c r="A107" i="28" s="1"/>
  <c r="A108" i="28" s="1"/>
  <c r="D6" i="31"/>
  <c r="D17" i="31" s="1"/>
  <c r="E6" i="31" s="1"/>
  <c r="E14" i="6"/>
  <c r="E46" i="6" s="1"/>
  <c r="K7" i="6"/>
  <c r="D115" i="5"/>
  <c r="C15" i="6"/>
  <c r="C21" i="6" s="1"/>
  <c r="A18" i="5"/>
  <c r="A20" i="5" s="1"/>
  <c r="C18" i="5"/>
  <c r="K12" i="6"/>
  <c r="C17" i="6"/>
  <c r="C23" i="6" s="1"/>
  <c r="C28" i="6" s="1"/>
  <c r="I290" i="13"/>
  <c r="H8" i="2"/>
  <c r="F66" i="5"/>
  <c r="H66" i="5" s="1"/>
  <c r="H51" i="5"/>
  <c r="G13" i="6"/>
  <c r="G123" i="6" s="1"/>
  <c r="G46" i="6"/>
  <c r="G47" i="6" s="1"/>
  <c r="E17" i="7" s="1"/>
  <c r="G122" i="6"/>
  <c r="H50" i="5" l="1"/>
  <c r="F65" i="5"/>
  <c r="H65" i="5" s="1"/>
  <c r="E19" i="6"/>
  <c r="E24" i="6" s="1"/>
  <c r="A109" i="28"/>
  <c r="A110" i="28" s="1"/>
  <c r="A111" i="28" s="1"/>
  <c r="A112" i="28" s="1"/>
  <c r="A113" i="28" s="1"/>
  <c r="A114" i="28" s="1"/>
  <c r="A115" i="28" s="1"/>
  <c r="A116" i="28" s="1"/>
  <c r="A117" i="28" s="1"/>
  <c r="A118" i="28" s="1"/>
  <c r="A119" i="28" s="1"/>
  <c r="A120" i="28" s="1"/>
  <c r="A121" i="28" s="1"/>
  <c r="A122" i="28" s="1"/>
  <c r="A123" i="28" s="1"/>
  <c r="A124" i="28" s="1"/>
  <c r="A125" i="28" s="1"/>
  <c r="A126" i="28" s="1"/>
  <c r="A127" i="28" s="1"/>
  <c r="A128" i="28" s="1"/>
  <c r="A129" i="28" s="1"/>
  <c r="A130" i="28" s="1"/>
  <c r="A131" i="28" s="1"/>
  <c r="A132" i="28" s="1"/>
  <c r="A133" i="28" s="1"/>
  <c r="A134" i="28" s="1"/>
  <c r="A135" i="28" s="1"/>
  <c r="A136" i="28" s="1"/>
  <c r="A137" i="28" s="1"/>
  <c r="A138" i="28" s="1"/>
  <c r="A139" i="28" s="1"/>
  <c r="A140" i="28" s="1"/>
  <c r="A141" i="28" s="1"/>
  <c r="A142" i="28" s="1"/>
  <c r="A143" i="28" s="1"/>
  <c r="A144" i="28" s="1"/>
  <c r="A145" i="28" s="1"/>
  <c r="A146" i="28" s="1"/>
  <c r="A147" i="28" s="1"/>
  <c r="A148" i="28" s="1"/>
  <c r="A149" i="28" s="1"/>
  <c r="A150" i="28" s="1"/>
  <c r="A151" i="28" s="1"/>
  <c r="A152" i="28" s="1"/>
  <c r="A153" i="28" s="1"/>
  <c r="A154" i="28" s="1"/>
  <c r="A155" i="28" s="1"/>
  <c r="A156" i="28" s="1"/>
  <c r="A157" i="28" s="1"/>
  <c r="A158" i="28" s="1"/>
  <c r="A159" i="28" s="1"/>
  <c r="A160" i="28" s="1"/>
  <c r="A161" i="28" s="1"/>
  <c r="A162" i="28" s="1"/>
  <c r="A163" i="28" s="1"/>
  <c r="A164" i="28" s="1"/>
  <c r="A165" i="28" s="1"/>
  <c r="A166" i="28" s="1"/>
  <c r="A167" i="28" s="1"/>
  <c r="A168" i="28" s="1"/>
  <c r="A169" i="28" s="1"/>
  <c r="A170" i="28" s="1"/>
  <c r="A171" i="28" s="1"/>
  <c r="A172" i="28" s="1"/>
  <c r="A173" i="28" s="1"/>
  <c r="A174" i="28" s="1"/>
  <c r="A175" i="28" s="1"/>
  <c r="A176" i="28" s="1"/>
  <c r="A177" i="28" s="1"/>
  <c r="A178" i="28" s="1"/>
  <c r="A179" i="28" s="1"/>
  <c r="A180" i="28" s="1"/>
  <c r="A181" i="28" s="1"/>
  <c r="A182" i="28" s="1"/>
  <c r="E8" i="31"/>
  <c r="O8" i="31" s="1"/>
  <c r="G27" i="32" s="1"/>
  <c r="E9" i="31"/>
  <c r="O9" i="31" s="1"/>
  <c r="E7" i="31"/>
  <c r="O7" i="31" s="1"/>
  <c r="O6" i="31"/>
  <c r="E122" i="6"/>
  <c r="E93" i="6"/>
  <c r="C48" i="6"/>
  <c r="K48" i="6" s="1"/>
  <c r="C95" i="6"/>
  <c r="C7" i="4" s="1"/>
  <c r="E7" i="7"/>
  <c r="E9" i="7" s="1"/>
  <c r="K21" i="6"/>
  <c r="C26" i="6"/>
  <c r="C50" i="6"/>
  <c r="C97" i="6"/>
  <c r="C125" i="6"/>
  <c r="A21" i="5"/>
  <c r="C27" i="5"/>
  <c r="E10" i="7"/>
  <c r="K290" i="13"/>
  <c r="K293" i="13" s="1"/>
  <c r="I293" i="13"/>
  <c r="I517" i="13" s="1"/>
  <c r="I518" i="13" s="1"/>
  <c r="C9" i="6" s="1"/>
  <c r="C13" i="6" l="1"/>
  <c r="C72" i="6"/>
  <c r="F6" i="31"/>
  <c r="N6" i="31"/>
  <c r="F7" i="31"/>
  <c r="K7" i="31" s="1"/>
  <c r="N7" i="31"/>
  <c r="F9" i="31"/>
  <c r="K9" i="31" s="1"/>
  <c r="N9" i="31"/>
  <c r="F8" i="31"/>
  <c r="K8" i="31" s="1"/>
  <c r="N8" i="31"/>
  <c r="F27" i="32" s="1"/>
  <c r="H8" i="31"/>
  <c r="H9" i="31"/>
  <c r="H7" i="31"/>
  <c r="H6" i="31"/>
  <c r="G7" i="31"/>
  <c r="G8" i="31"/>
  <c r="G9" i="31"/>
  <c r="G6" i="31"/>
  <c r="I7" i="31"/>
  <c r="I8" i="31"/>
  <c r="I9" i="31"/>
  <c r="I6" i="31"/>
  <c r="K97" i="6"/>
  <c r="G13" i="7" s="1"/>
  <c r="K95" i="6"/>
  <c r="C8" i="4"/>
  <c r="D13" i="5"/>
  <c r="K9" i="6"/>
  <c r="I72" i="6"/>
  <c r="C20" i="6"/>
  <c r="G72" i="6"/>
  <c r="A22" i="5"/>
  <c r="C28" i="5"/>
  <c r="K125" i="6"/>
  <c r="G7" i="7" s="1"/>
  <c r="G9" i="7" s="1"/>
  <c r="E14" i="7"/>
  <c r="E36" i="7"/>
  <c r="K50" i="6"/>
  <c r="G17" i="7" s="1"/>
  <c r="K26" i="6"/>
  <c r="C13" i="4"/>
  <c r="K517" i="13"/>
  <c r="K518" i="13" s="1"/>
  <c r="K23" i="6"/>
  <c r="K28" i="6"/>
  <c r="G10" i="7" s="1"/>
  <c r="E11" i="7"/>
  <c r="E27" i="7" s="1"/>
  <c r="K73" i="6" l="1"/>
  <c r="F17" i="31"/>
  <c r="I17" i="31"/>
  <c r="H17" i="31"/>
  <c r="G11" i="7"/>
  <c r="G27" i="7" s="1"/>
  <c r="C12" i="8"/>
  <c r="C7" i="9"/>
  <c r="G14" i="7"/>
  <c r="G36" i="7"/>
  <c r="E18" i="7"/>
  <c r="E19" i="7" s="1"/>
  <c r="E29" i="7" s="1"/>
  <c r="E15" i="7"/>
  <c r="E28" i="7" s="1"/>
  <c r="G17" i="31"/>
  <c r="K521" i="13"/>
  <c r="C21" i="4" s="1"/>
  <c r="C8" i="6"/>
  <c r="C70" i="6" s="1"/>
  <c r="K6" i="31"/>
  <c r="K17" i="31" s="1"/>
  <c r="A23" i="5"/>
  <c r="C29" i="5"/>
  <c r="C47" i="6"/>
  <c r="K47" i="6" s="1"/>
  <c r="D17" i="7" s="1"/>
  <c r="C94" i="6"/>
  <c r="K94" i="6" s="1"/>
  <c r="D13" i="7" s="1"/>
  <c r="C123" i="6"/>
  <c r="K123" i="6" s="1"/>
  <c r="D7" i="7" l="1"/>
  <c r="D9" i="7" s="1"/>
  <c r="K20" i="6"/>
  <c r="D20" i="5"/>
  <c r="C25" i="6"/>
  <c r="K25" i="6" s="1"/>
  <c r="D10" i="7" s="1"/>
  <c r="C14" i="6"/>
  <c r="K8" i="6"/>
  <c r="D114" i="5"/>
  <c r="H116" i="5" s="1"/>
  <c r="F49" i="5" s="1"/>
  <c r="D14" i="5"/>
  <c r="E70" i="6"/>
  <c r="D15" i="5"/>
  <c r="G70" i="6"/>
  <c r="G18" i="7"/>
  <c r="G19" i="7" s="1"/>
  <c r="G29" i="7" s="1"/>
  <c r="G15" i="7"/>
  <c r="G28" i="7" s="1"/>
  <c r="A24" i="5"/>
  <c r="C30" i="5"/>
  <c r="D25" i="7"/>
  <c r="D32" i="7" s="1"/>
  <c r="E25" i="7"/>
  <c r="E32" i="7" s="1"/>
  <c r="E33" i="7" s="1"/>
  <c r="E35" i="7" s="1"/>
  <c r="C19" i="6" l="1"/>
  <c r="C46" i="6"/>
  <c r="K46" i="6" s="1"/>
  <c r="C17" i="7" s="1"/>
  <c r="C6" i="9"/>
  <c r="C8" i="9" s="1"/>
  <c r="C10" i="9" s="1"/>
  <c r="C11" i="8"/>
  <c r="C13" i="8" s="1"/>
  <c r="C15" i="8" s="1"/>
  <c r="C17" i="8" s="1"/>
  <c r="C19" i="8" s="1"/>
  <c r="C6" i="8" s="1"/>
  <c r="C8" i="8" s="1"/>
  <c r="E37" i="7"/>
  <c r="D14" i="7"/>
  <c r="D36" i="7"/>
  <c r="D27" i="5"/>
  <c r="A25" i="5"/>
  <c r="A27" i="5" s="1"/>
  <c r="C31" i="5"/>
  <c r="C25" i="5"/>
  <c r="H49" i="5"/>
  <c r="F54" i="5"/>
  <c r="H54" i="5" s="1"/>
  <c r="F64" i="5"/>
  <c r="H64" i="5" s="1"/>
  <c r="D11" i="7"/>
  <c r="D27" i="7" s="1"/>
  <c r="H93" i="5"/>
  <c r="D18" i="5"/>
  <c r="C93" i="6"/>
  <c r="D133" i="5"/>
  <c r="D135" i="5" s="1"/>
  <c r="D130" i="5"/>
  <c r="C122" i="6"/>
  <c r="K122" i="6" l="1"/>
  <c r="C7" i="7" s="1"/>
  <c r="C9" i="7" s="1"/>
  <c r="E133" i="5"/>
  <c r="E134" i="5"/>
  <c r="H134" i="5" s="1"/>
  <c r="E135" i="5"/>
  <c r="C12" i="4"/>
  <c r="C14" i="4" s="1"/>
  <c r="C16" i="4" s="1"/>
  <c r="C25" i="7"/>
  <c r="K93" i="6"/>
  <c r="C13" i="7" s="1"/>
  <c r="D108" i="5"/>
  <c r="F133" i="5"/>
  <c r="D21" i="5"/>
  <c r="K19" i="6"/>
  <c r="D22" i="5"/>
  <c r="D29" i="5" s="1"/>
  <c r="C24" i="6"/>
  <c r="K24" i="6" s="1"/>
  <c r="C10" i="7" s="1"/>
  <c r="H96" i="5"/>
  <c r="H97" i="5" s="1"/>
  <c r="H103" i="5" s="1"/>
  <c r="A28" i="5"/>
  <c r="A29" i="5" s="1"/>
  <c r="A30" i="5" s="1"/>
  <c r="A31" i="5" s="1"/>
  <c r="A32" i="5" s="1"/>
  <c r="D18" i="7"/>
  <c r="D19" i="7" s="1"/>
  <c r="D29" i="7" s="1"/>
  <c r="D15" i="7"/>
  <c r="D28" i="7" s="1"/>
  <c r="C15" i="9"/>
  <c r="C18" i="9" s="1"/>
  <c r="C11" i="9"/>
  <c r="H133" i="5" l="1"/>
  <c r="H135" i="5" s="1"/>
  <c r="D33" i="7"/>
  <c r="D35" i="7" s="1"/>
  <c r="D37" i="7" s="1"/>
  <c r="D28" i="5"/>
  <c r="D32" i="5" s="1"/>
  <c r="D46" i="5" s="1"/>
  <c r="D25" i="5"/>
  <c r="C14" i="7"/>
  <c r="C18" i="7" s="1"/>
  <c r="C19" i="7" s="1"/>
  <c r="C29" i="7" s="1"/>
  <c r="C36" i="7"/>
  <c r="D111" i="5"/>
  <c r="C17" i="4"/>
  <c r="C19" i="4" s="1"/>
  <c r="D11" i="32"/>
  <c r="D15" i="32" s="1"/>
  <c r="F25" i="7"/>
  <c r="C32" i="7"/>
  <c r="C11" i="7"/>
  <c r="C27" i="7" s="1"/>
  <c r="F14" i="5"/>
  <c r="H14" i="5" s="1"/>
  <c r="H104" i="5"/>
  <c r="F21" i="5"/>
  <c r="E108" i="5"/>
  <c r="F108" i="5" s="1"/>
  <c r="F111" i="5" s="1"/>
  <c r="A34" i="5"/>
  <c r="C32" i="5"/>
  <c r="J7" i="31" l="1"/>
  <c r="L7" i="31" s="1"/>
  <c r="M7" i="31" s="1"/>
  <c r="P7" i="31" s="1"/>
  <c r="J7" i="29"/>
  <c r="J6" i="29"/>
  <c r="J9" i="31"/>
  <c r="L9" i="31" s="1"/>
  <c r="M9" i="31" s="1"/>
  <c r="P9" i="31" s="1"/>
  <c r="J8" i="29"/>
  <c r="J8" i="31"/>
  <c r="L8" i="31" s="1"/>
  <c r="M8" i="31" s="1"/>
  <c r="P8" i="31" s="1"/>
  <c r="J6" i="31"/>
  <c r="L6" i="31" s="1"/>
  <c r="C15" i="7"/>
  <c r="C28" i="7" s="1"/>
  <c r="C33" i="7" s="1"/>
  <c r="C35" i="7" s="1"/>
  <c r="C37" i="7" s="1"/>
  <c r="H111" i="5"/>
  <c r="F57" i="5" s="1"/>
  <c r="H57" i="5" s="1"/>
  <c r="G25" i="7"/>
  <c r="G32" i="7" s="1"/>
  <c r="G33" i="7" s="1"/>
  <c r="G35" i="7" s="1"/>
  <c r="G37" i="7" s="1"/>
  <c r="F32" i="7"/>
  <c r="F43" i="5"/>
  <c r="H43" i="5" s="1"/>
  <c r="F58" i="5"/>
  <c r="H58" i="5" s="1"/>
  <c r="A35" i="5"/>
  <c r="A36" i="5" s="1"/>
  <c r="A37" i="5" s="1"/>
  <c r="A38" i="5" s="1"/>
  <c r="A39" i="5" s="1"/>
  <c r="C39" i="5"/>
  <c r="H11" i="32"/>
  <c r="D8" i="5"/>
  <c r="F40" i="5"/>
  <c r="H40" i="5" s="1"/>
  <c r="H21" i="5"/>
  <c r="D82" i="5"/>
  <c r="H137" i="5"/>
  <c r="D89" i="5"/>
  <c r="C27" i="32" l="1"/>
  <c r="H27" i="32" s="1"/>
  <c r="D28" i="32"/>
  <c r="H15" i="32"/>
  <c r="H8" i="5" s="1"/>
  <c r="F67" i="5"/>
  <c r="H67" i="5" s="1"/>
  <c r="F16" i="5"/>
  <c r="F23" i="5" s="1"/>
  <c r="H23" i="5" s="1"/>
  <c r="F56" i="5"/>
  <c r="H56" i="5" s="1"/>
  <c r="H126" i="5"/>
  <c r="I124" i="5" s="1"/>
  <c r="F17" i="5" s="1"/>
  <c r="D86" i="5"/>
  <c r="D88" i="5" s="1"/>
  <c r="D90" i="5" s="1"/>
  <c r="D26" i="32"/>
  <c r="D27" i="32"/>
  <c r="A40" i="5"/>
  <c r="A42" i="5" s="1"/>
  <c r="L17" i="31"/>
  <c r="M6" i="31"/>
  <c r="P6" i="31" s="1"/>
  <c r="H28" i="5"/>
  <c r="F72" i="5" l="1"/>
  <c r="H72" i="5" s="1"/>
  <c r="F59" i="5"/>
  <c r="H59" i="5" s="1"/>
  <c r="H61" i="5" s="1"/>
  <c r="H16" i="5"/>
  <c r="H30" i="5" s="1"/>
  <c r="M17" i="31"/>
  <c r="P17" i="31"/>
  <c r="H22" i="32" s="1"/>
  <c r="D25" i="32"/>
  <c r="A43" i="5"/>
  <c r="A44" i="5" s="1"/>
  <c r="A45" i="5" s="1"/>
  <c r="C45" i="5"/>
  <c r="F24" i="5"/>
  <c r="H24" i="5" s="1"/>
  <c r="H25" i="5" s="1"/>
  <c r="H17" i="5"/>
  <c r="F73" i="5" l="1"/>
  <c r="H73" i="5" s="1"/>
  <c r="F68" i="5"/>
  <c r="H68" i="5" s="1"/>
  <c r="H69" i="5" s="1"/>
  <c r="H31" i="5"/>
  <c r="H32" i="5" s="1"/>
  <c r="F32" i="5" s="1"/>
  <c r="F35" i="5" s="1"/>
  <c r="H18" i="5"/>
  <c r="F18" i="5" s="1"/>
  <c r="A46" i="5"/>
  <c r="C46" i="5"/>
  <c r="D21" i="32"/>
  <c r="F87" i="5" l="1"/>
  <c r="H87" i="5" s="1"/>
  <c r="F75" i="5"/>
  <c r="F44" i="5"/>
  <c r="H44" i="5" s="1"/>
  <c r="H45" i="5" s="1"/>
  <c r="H35" i="5"/>
  <c r="F36" i="5"/>
  <c r="A49" i="5"/>
  <c r="F37" i="5" l="1"/>
  <c r="H37" i="5" s="1"/>
  <c r="F38" i="5"/>
  <c r="H38" i="5" s="1"/>
  <c r="H36" i="5"/>
  <c r="A50" i="5"/>
  <c r="A51" i="5" s="1"/>
  <c r="A52" i="5" s="1"/>
  <c r="A54" i="5" s="1"/>
  <c r="A55" i="5" s="1"/>
  <c r="A56" i="5" s="1"/>
  <c r="A57" i="5" s="1"/>
  <c r="F77" i="5"/>
  <c r="H75" i="5"/>
  <c r="H39" i="5" l="1"/>
  <c r="H46" i="5" s="1"/>
  <c r="H89" i="5" s="1"/>
  <c r="H86" i="5" s="1"/>
  <c r="H88" i="5" s="1"/>
  <c r="A58" i="5"/>
  <c r="A59" i="5" s="1"/>
  <c r="A60" i="5" s="1"/>
  <c r="A61" i="5" s="1"/>
  <c r="C99" i="5"/>
  <c r="F78" i="5"/>
  <c r="H78" i="5" s="1"/>
  <c r="H77" i="5"/>
  <c r="H79" i="5" l="1"/>
  <c r="H90" i="5" s="1"/>
  <c r="D7" i="5" s="1"/>
  <c r="D10" i="5" s="1"/>
  <c r="B154" i="5"/>
  <c r="A63" i="5"/>
  <c r="C61" i="5"/>
  <c r="B157" i="5"/>
  <c r="H7" i="5" l="1"/>
  <c r="H6" i="32" s="1"/>
  <c r="H17" i="32" s="1"/>
  <c r="A64" i="5"/>
  <c r="A65" i="5" s="1"/>
  <c r="A66" i="5" s="1"/>
  <c r="A67" i="5" s="1"/>
  <c r="A68" i="5" s="1"/>
  <c r="A69" i="5" s="1"/>
  <c r="H10" i="5" l="1"/>
  <c r="C69" i="5"/>
  <c r="A72" i="5"/>
  <c r="A73" i="5" l="1"/>
  <c r="A75" i="5" s="1"/>
  <c r="A76" i="5" s="1"/>
  <c r="A77" i="5" s="1"/>
  <c r="A78" i="5" s="1"/>
  <c r="A79" i="5" s="1"/>
  <c r="C79" i="5"/>
  <c r="A81" i="5" l="1"/>
  <c r="A82" i="5" l="1"/>
  <c r="B84" i="5"/>
  <c r="A84" i="5" l="1"/>
  <c r="A85" i="5" l="1"/>
  <c r="A86" i="5" s="1"/>
  <c r="C87" i="5"/>
  <c r="C88" i="5" l="1"/>
  <c r="A87" i="5"/>
  <c r="A88" i="5" s="1"/>
  <c r="A89" i="5" l="1"/>
  <c r="C90" i="5"/>
  <c r="A90" i="5" l="1"/>
  <c r="C86" i="5"/>
  <c r="A93" i="5" l="1"/>
  <c r="C7" i="5"/>
  <c r="A94" i="5" l="1"/>
  <c r="A95" i="5" s="1"/>
  <c r="A96" i="5" s="1"/>
  <c r="C96" i="5"/>
  <c r="C97" i="5" l="1"/>
  <c r="A97" i="5"/>
  <c r="C103" i="5" l="1"/>
  <c r="A99" i="5"/>
  <c r="A100" i="5" l="1"/>
  <c r="A101" i="5" s="1"/>
  <c r="C101" i="5"/>
  <c r="C102" i="5" l="1"/>
  <c r="A102" i="5"/>
  <c r="A103" i="5" s="1"/>
  <c r="C104" i="5" l="1"/>
  <c r="A104" i="5"/>
  <c r="A107" i="5" s="1"/>
  <c r="A108" i="5" l="1"/>
  <c r="A109" i="5" s="1"/>
  <c r="A110" i="5" s="1"/>
  <c r="A111" i="5" s="1"/>
  <c r="C111" i="5"/>
  <c r="H125" i="5" l="1"/>
  <c r="A114" i="5"/>
  <c r="A115" i="5" l="1"/>
  <c r="A116" i="5" s="1"/>
  <c r="A117" i="5" s="1"/>
  <c r="C116" i="5" l="1"/>
  <c r="A118" i="5"/>
  <c r="A119" i="5" s="1"/>
  <c r="A120" i="5" s="1"/>
  <c r="A121" i="5" l="1"/>
  <c r="A122" i="5" s="1"/>
  <c r="A125" i="5" s="1"/>
  <c r="C119" i="5"/>
  <c r="A126" i="5" l="1"/>
  <c r="A127" i="5" s="1"/>
  <c r="A128" i="5" s="1"/>
  <c r="A130" i="5" s="1"/>
  <c r="F125" i="5"/>
  <c r="C122" i="5"/>
  <c r="A133" i="5" l="1"/>
  <c r="C128" i="5"/>
  <c r="A134" i="5" l="1"/>
  <c r="A135" i="5" s="1"/>
  <c r="C135" i="5"/>
  <c r="B83" i="5"/>
  <c r="B168" i="5"/>
  <c r="A136" i="5" l="1"/>
  <c r="A137" i="5" s="1"/>
  <c r="A141" i="5" s="1"/>
  <c r="C89" i="5"/>
  <c r="B169" i="5" l="1"/>
  <c r="A142" i="5"/>
  <c r="A143" i="5" s="1"/>
  <c r="A144" i="5" s="1"/>
  <c r="A145" i="5" s="1"/>
  <c r="A146" i="5" s="1"/>
  <c r="A147" i="5" s="1"/>
  <c r="A148" i="5" s="1"/>
  <c r="F21" i="32" l="1"/>
  <c r="G7" i="30"/>
  <c r="G50" i="30"/>
  <c r="G51" i="30" s="1"/>
  <c r="G8" i="30" l="1"/>
  <c r="I7" i="30"/>
  <c r="I9" i="30" s="1"/>
  <c r="G9" i="30"/>
  <c r="C11" i="6" s="1"/>
  <c r="C16" i="6" s="1"/>
  <c r="I8" i="30"/>
  <c r="D8" i="29"/>
  <c r="D18" i="29" s="1"/>
  <c r="K11" i="6" l="1"/>
  <c r="E7" i="29"/>
  <c r="O7" i="29" s="1"/>
  <c r="G26" i="32" s="1"/>
  <c r="E6" i="29"/>
  <c r="O6" i="29" s="1"/>
  <c r="G25" i="32" s="1"/>
  <c r="E8" i="29"/>
  <c r="O8" i="29" s="1"/>
  <c r="G28" i="32" s="1"/>
  <c r="C124" i="6"/>
  <c r="C49" i="6"/>
  <c r="C22" i="6"/>
  <c r="C96" i="6"/>
  <c r="N6" i="29" l="1"/>
  <c r="F25" i="32" s="1"/>
  <c r="N8" i="29"/>
  <c r="N7" i="29"/>
  <c r="F26" i="32" s="1"/>
  <c r="F6" i="29"/>
  <c r="K22" i="6"/>
  <c r="F7" i="29"/>
  <c r="K7" i="29" s="1"/>
  <c r="L7" i="29" s="1"/>
  <c r="F8" i="29"/>
  <c r="K8" i="29" s="1"/>
  <c r="L8" i="29" s="1"/>
  <c r="C27" i="6"/>
  <c r="K27" i="6" s="1"/>
  <c r="F10" i="7" s="1"/>
  <c r="F13" i="7"/>
  <c r="I8" i="29"/>
  <c r="I7" i="29"/>
  <c r="I6" i="29"/>
  <c r="K96" i="6"/>
  <c r="K49" i="6"/>
  <c r="F17" i="7" s="1"/>
  <c r="H8" i="29"/>
  <c r="H6" i="29"/>
  <c r="H7" i="29"/>
  <c r="G8" i="29"/>
  <c r="K124" i="6"/>
  <c r="G6" i="29"/>
  <c r="F7" i="7"/>
  <c r="F9" i="7" s="1"/>
  <c r="G7" i="29"/>
  <c r="F28" i="32" l="1"/>
  <c r="F14" i="7"/>
  <c r="F18" i="7" s="1"/>
  <c r="F19" i="7" s="1"/>
  <c r="F29" i="7" s="1"/>
  <c r="F36" i="7"/>
  <c r="M8" i="29"/>
  <c r="P8" i="29" s="1"/>
  <c r="M7" i="29"/>
  <c r="P7" i="29" s="1"/>
  <c r="H18" i="29"/>
  <c r="F11" i="7"/>
  <c r="F27" i="7" s="1"/>
  <c r="G18" i="29"/>
  <c r="I18" i="29"/>
  <c r="F18" i="29"/>
  <c r="K6" i="29"/>
  <c r="C28" i="32" l="1"/>
  <c r="H28" i="32" s="1"/>
  <c r="E28" i="32"/>
  <c r="F15" i="7"/>
  <c r="F28" i="7" s="1"/>
  <c r="F33" i="7" s="1"/>
  <c r="F35" i="7" s="1"/>
  <c r="F37" i="7" s="1"/>
  <c r="L6" i="29"/>
  <c r="K18" i="29"/>
  <c r="C26" i="32"/>
  <c r="H26" i="32" s="1"/>
  <c r="E26" i="32"/>
  <c r="L18" i="29" l="1"/>
  <c r="M6" i="29"/>
  <c r="P6" i="29" l="1"/>
  <c r="P18" i="29" s="1"/>
  <c r="H23" i="32" s="1"/>
  <c r="M18" i="29"/>
  <c r="E25" i="32"/>
  <c r="C25" i="32"/>
  <c r="H25" i="32" s="1"/>
  <c r="H31" i="32" s="1"/>
  <c r="E21" i="32" l="1"/>
  <c r="C21" i="32"/>
  <c r="H21"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tc={F975745C-BB75-4996-A5D5-C1938015BB14}</author>
  </authors>
  <commentList>
    <comment ref="D5" authorId="0" shapeId="0" xr:uid="{F975745C-BB75-4996-A5D5-C1938015BB14}">
      <text>
        <t>[Threaded comment]
Your version of Excel allows you to read this threaded comment; however, any edits to it will get removed if the file is opened in a newer version of Excel. Learn more: https://go.microsoft.com/fwlink/?linkid=870924
Comment:
    placement of $ sign is odd.  can we add to the title or move it in closure to the number associated?  comment relevant for all columns with  $</t>
      </text>
    </comment>
  </commentList>
</comments>
</file>

<file path=xl/sharedStrings.xml><?xml version="1.0" encoding="utf-8"?>
<sst xmlns="http://schemas.openxmlformats.org/spreadsheetml/2006/main" count="6149" uniqueCount="2732">
  <si>
    <t>Western Area Power Administration (WAPA)</t>
  </si>
  <si>
    <t>Upper Great Plains Region (WAPA-UGP)</t>
  </si>
  <si>
    <t>Transmission and Ancillary Services</t>
  </si>
  <si>
    <t>Rate Calculation</t>
  </si>
  <si>
    <t>Effective January 1, 2022</t>
  </si>
  <si>
    <t>WAPA-UGP 2022 Rate Estimate Calculation</t>
  </si>
  <si>
    <t>(Rate Order No. WAPA-188)</t>
  </si>
  <si>
    <t>WAPA-UGP</t>
  </si>
  <si>
    <t xml:space="preserve"> Transmission and Ancillary Services List of Workpapers and Schedules</t>
  </si>
  <si>
    <t>Worksheet Tab Label</t>
  </si>
  <si>
    <t>Worksheet Tab Description</t>
  </si>
  <si>
    <t>Summary-ATRR</t>
  </si>
  <si>
    <t>Worksheet "Summary-ATRR" -- Calculation of ATRRs</t>
  </si>
  <si>
    <t>WS1-RateBase</t>
  </si>
  <si>
    <t>Worksheet 1 -- Calculation of Rate Base</t>
  </si>
  <si>
    <t>WS2-AllocFactor</t>
  </si>
  <si>
    <t>Worksheet 2 -- Allocation Factors</t>
  </si>
  <si>
    <t>WS3-RevCredits</t>
  </si>
  <si>
    <t>Worksheet 3 -- Revenue Credit Detail</t>
  </si>
  <si>
    <t>WS4-CostData</t>
  </si>
  <si>
    <t>Worksheet 4 -- Cost Support Data</t>
  </si>
  <si>
    <t>WS5-BPUz</t>
  </si>
  <si>
    <t>Worksheet 5 -- SPP Base Plan Upgrades (BPU) - Zonal</t>
  </si>
  <si>
    <t>WS6-BPUr</t>
  </si>
  <si>
    <t xml:space="preserve">Worksheet 6 -- SPP Base Plan Upgrades (BPU) - Regional </t>
  </si>
  <si>
    <t>WS7-BPUFac</t>
  </si>
  <si>
    <t>Worksheet 7 -- SPP Base Plan Upgrades (BPU) - Facilities</t>
  </si>
  <si>
    <t>WS8-TranFac</t>
  </si>
  <si>
    <t>Worksheet 8 -- Transmission Facilities</t>
  </si>
  <si>
    <t>WS9-AI-Incl</t>
  </si>
  <si>
    <t>Worksheet 9 -- WAPA-UGP Facilities Included per SPP Tariff Attachment AI</t>
  </si>
  <si>
    <t>WS10-AI-Excl</t>
  </si>
  <si>
    <t>Worksheet 10 -- WAPA-UGP Facilities Excluded per SPP Tariff Attachment AI</t>
  </si>
  <si>
    <t>WS11-FacChanges</t>
  </si>
  <si>
    <t>Worksheet 11 -- Facility Changes Detail</t>
  </si>
  <si>
    <t>WS12-SSCD</t>
  </si>
  <si>
    <t>Worksheet 12 -- Scheduling, System Control and Dispatch Service (SSCD) ARR</t>
  </si>
  <si>
    <t>WS13-SSCDFac</t>
  </si>
  <si>
    <t>Worksheet 13 -- Scheduling, System Control and Dispatch Service (SSCD) Facilities</t>
  </si>
  <si>
    <t>WS14-Reg</t>
  </si>
  <si>
    <t>Worksheet 14 -- Regulation and Frequency Response ARR</t>
  </si>
  <si>
    <t>WS15-Res</t>
  </si>
  <si>
    <t>Worksheet 15 -- Reserves ARR</t>
  </si>
  <si>
    <t>(Back to Worksheet Links)</t>
  </si>
  <si>
    <t>Summary-ATRR - Calculation of ATRRs (Sched 9, Sched 11)</t>
  </si>
  <si>
    <t>12 Months Ending 09/30/2022 ESTIMATE</t>
  </si>
  <si>
    <t>TRANSMISSION</t>
  </si>
  <si>
    <t>Line</t>
  </si>
  <si>
    <t>REFERENCE</t>
  </si>
  <si>
    <t>COMPANY TOTAL $</t>
  </si>
  <si>
    <t>ALLOCATOR</t>
  </si>
  <si>
    <t>ALLOCATION %</t>
  </si>
  <si>
    <t>ALLOCATED AMOUNT $</t>
  </si>
  <si>
    <t>No.</t>
  </si>
  <si>
    <t>(1)</t>
  </si>
  <si>
    <t>(2)</t>
  </si>
  <si>
    <t>(3)</t>
  </si>
  <si>
    <t>(4)</t>
  </si>
  <si>
    <t>(5)</t>
  </si>
  <si>
    <t>Gross Zonal Revenue Requirement-Sch 9</t>
  </si>
  <si>
    <t>WS1-RateBase C5L1</t>
  </si>
  <si>
    <t>REVENUE CREDITS</t>
  </si>
  <si>
    <t xml:space="preserve">     Firm Point-to-Point Revenue Credit</t>
  </si>
  <si>
    <t>WS3-RevCredits C5L3+C5L6</t>
  </si>
  <si>
    <t>NA</t>
  </si>
  <si>
    <t xml:space="preserve">     Non-Firm Point-to-Point Revenue Credit</t>
  </si>
  <si>
    <t>WS3-RevCredits C5L9</t>
  </si>
  <si>
    <t xml:space="preserve">     Revenue from Existing Transmission Agreements</t>
  </si>
  <si>
    <t>WS3-RevCredits C5L12</t>
  </si>
  <si>
    <t xml:space="preserve">     Scheduling, System Control, and Dispatch Service Credit</t>
  </si>
  <si>
    <t xml:space="preserve">     Account No. 454</t>
  </si>
  <si>
    <t>WS3-RevCredits C5L18</t>
  </si>
  <si>
    <t>TP</t>
  </si>
  <si>
    <t xml:space="preserve">     Z2 Nonfirm Point-to-Point Revenue Credit</t>
  </si>
  <si>
    <t xml:space="preserve">     Schedule 11 Point-to-Point Revenue Credit</t>
  </si>
  <si>
    <t>WS3-RevCredits C5L15</t>
  </si>
  <si>
    <t>TOTAL REVENUE CREDITS</t>
  </si>
  <si>
    <t>Subtotal L3:L9</t>
  </si>
  <si>
    <t>TRUE-UP ADJUSTMENT (from TRUEUP Sheet)</t>
  </si>
  <si>
    <t>Summary-TrueUp L12</t>
  </si>
  <si>
    <t>Net Revenue Requirement</t>
  </si>
  <si>
    <t>Total L1-L10+L11</t>
  </si>
  <si>
    <t>TOTAL PROJECT ATRR $</t>
  </si>
  <si>
    <t>ZONAL $</t>
  </si>
  <si>
    <t>REGIONAL $</t>
  </si>
  <si>
    <t>REVENUE CREDIT $</t>
  </si>
  <si>
    <t>TRUE-UP ADJ $</t>
  </si>
  <si>
    <t>(6)</t>
  </si>
  <si>
    <t>(7)</t>
  </si>
  <si>
    <t>SPP Upgrades - Gross Revenue Requirement-Sch 11*</t>
  </si>
  <si>
    <t xml:space="preserve">     Zonal less True-Up (from TRUEUP Sheet)</t>
  </si>
  <si>
    <t xml:space="preserve">     Regional less True-Up (from TRUEUP Sheet)</t>
  </si>
  <si>
    <t xml:space="preserve">           Breakout by Facility:</t>
  </si>
  <si>
    <t xml:space="preserve">     Lewis-Richland 115 kV Ckt 1, 72052</t>
  </si>
  <si>
    <t xml:space="preserve">     Roberts County 115 kV Substation, 71926</t>
  </si>
  <si>
    <t xml:space="preserve">     Roberts County 115/69 kV Transformer, 71927</t>
  </si>
  <si>
    <t xml:space="preserve">     Williston Substation 115kV Terminal Upgrades, 61856</t>
  </si>
  <si>
    <t>Worksheet 1 - Schedule 9 Revenue Requirement - Non-Levelized</t>
  </si>
  <si>
    <t>Utilizing Financial Statement Results of Operations (ROOs)</t>
  </si>
  <si>
    <t>COMPANY TOTAL</t>
  </si>
  <si>
    <t>ALLOCATED AMOUNT</t>
  </si>
  <si>
    <t xml:space="preserve">GROSS REVENUE REQUIREMENT </t>
  </si>
  <si>
    <t>Estimate</t>
  </si>
  <si>
    <t>NET REVENUE REQUIREMENT</t>
  </si>
  <si>
    <t>RATE BASE:</t>
  </si>
  <si>
    <t>(Col 3 times Col 4)</t>
  </si>
  <si>
    <t>GROSS PLANT IN SERVICE</t>
  </si>
  <si>
    <t>(Note A)</t>
  </si>
  <si>
    <t xml:space="preserve">  Production</t>
  </si>
  <si>
    <t>WS4-CostData L4 C2+C3+C4</t>
  </si>
  <si>
    <t xml:space="preserve"> </t>
  </si>
  <si>
    <t xml:space="preserve">  Transmission</t>
  </si>
  <si>
    <t>WS4-CostData L3 C2+C3+C4</t>
  </si>
  <si>
    <t xml:space="preserve">  Distribution</t>
  </si>
  <si>
    <t>WS4-CostData C2 L2-L3-L4</t>
  </si>
  <si>
    <t xml:space="preserve">  General &amp; Intangible</t>
  </si>
  <si>
    <t>Bal Sheet - Other Assets - SGL 175002</t>
  </si>
  <si>
    <t>W/S</t>
  </si>
  <si>
    <t xml:space="preserve">  Common</t>
  </si>
  <si>
    <t>CE</t>
  </si>
  <si>
    <t xml:space="preserve">TOTAL GROSS PLANT </t>
  </si>
  <si>
    <t>GP=</t>
  </si>
  <si>
    <t>ACCUMULATED DEPRECIATION</t>
  </si>
  <si>
    <t>WS4-CostData L15 C2+C3+C4</t>
  </si>
  <si>
    <t>WS4-CostData L14 C2+C3+C4</t>
  </si>
  <si>
    <t>WS4-CostData C2 L13-L14-L15</t>
  </si>
  <si>
    <t>Bal Sheet - Other Assets - SGL 175902</t>
  </si>
  <si>
    <t>TOTAL ACCUM. DEPRECIATION</t>
  </si>
  <si>
    <t>NET PLANT IN SERVICE</t>
  </si>
  <si>
    <t>TOTAL NET PLANT</t>
  </si>
  <si>
    <t>NP=</t>
  </si>
  <si>
    <t xml:space="preserve">ADJUSTMENTS TO RATE BASE </t>
  </si>
  <si>
    <t>(Note B)</t>
  </si>
  <si>
    <t xml:space="preserve">  Account No. 281</t>
  </si>
  <si>
    <t>(enter negative)</t>
  </si>
  <si>
    <t xml:space="preserve">  Account No. 282</t>
  </si>
  <si>
    <t>NP</t>
  </si>
  <si>
    <t xml:space="preserve">  Account No. 283</t>
  </si>
  <si>
    <t xml:space="preserve">  Account No. 190</t>
  </si>
  <si>
    <t xml:space="preserve">  Account No. 255</t>
  </si>
  <si>
    <t>TOTAL ADJUSTMENTS</t>
  </si>
  <si>
    <t xml:space="preserve">LAND HELD FOR FUTURE USE </t>
  </si>
  <si>
    <t>(Note C)</t>
  </si>
  <si>
    <t>WORKING CAPITAL</t>
  </si>
  <si>
    <t>(Note D)</t>
  </si>
  <si>
    <t xml:space="preserve">  CWC  </t>
  </si>
  <si>
    <t>calculated</t>
  </si>
  <si>
    <t xml:space="preserve">  Materials &amp; Supplies</t>
  </si>
  <si>
    <t>Bal Sheet - Other Assets - SGL 151191 (Note C)</t>
  </si>
  <si>
    <t>TE</t>
  </si>
  <si>
    <t xml:space="preserve">  Prepayments</t>
  </si>
  <si>
    <t xml:space="preserve">Bal Sheet Other Assets  </t>
  </si>
  <si>
    <t>GP</t>
  </si>
  <si>
    <t>TOTAL WORKING CAPITAL</t>
  </si>
  <si>
    <t>RATE BASE</t>
  </si>
  <si>
    <t>O&amp;M</t>
  </si>
  <si>
    <t xml:space="preserve">  Transmission </t>
  </si>
  <si>
    <t>ROOs Schedule 11 (Note E)</t>
  </si>
  <si>
    <t xml:space="preserve">          Western-UGP</t>
  </si>
  <si>
    <t>WS4-CostData L105 C2</t>
  </si>
  <si>
    <t>PTP/UGP</t>
  </si>
  <si>
    <t xml:space="preserve">          Western-RMR</t>
  </si>
  <si>
    <t>WS4-CostData L105 C3</t>
  </si>
  <si>
    <t>PTP/RMR</t>
  </si>
  <si>
    <t xml:space="preserve">          COE</t>
  </si>
  <si>
    <t>WS4-CostData L105 C4</t>
  </si>
  <si>
    <t>PTP/COE</t>
  </si>
  <si>
    <t xml:space="preserve">     Less Account 565</t>
  </si>
  <si>
    <t>(Note E)</t>
  </si>
  <si>
    <t xml:space="preserve">  A&amp;G</t>
  </si>
  <si>
    <t>ROOs Schedule 11 (Note F)</t>
  </si>
  <si>
    <t>WS4-CostData L79 C2</t>
  </si>
  <si>
    <t>WS4-CostData L79 C3</t>
  </si>
  <si>
    <t xml:space="preserve">     Less FERC Annual Fees</t>
  </si>
  <si>
    <t xml:space="preserve">     Less EPRI &amp; Reg. Comm. Exp. &amp; Non-safety Ad</t>
  </si>
  <si>
    <t>(Note G)</t>
  </si>
  <si>
    <t xml:space="preserve">     Plus Transmission Related Reg. Comm. Exp</t>
  </si>
  <si>
    <t xml:space="preserve">  Transmission Lease Payments</t>
  </si>
  <si>
    <t xml:space="preserve">TOTAL O&amp;M </t>
  </si>
  <si>
    <t>DEPRECIATION EXPENSE</t>
  </si>
  <si>
    <t>ROOs Schedule 4</t>
  </si>
  <si>
    <t>WS4-CostData L38 C2</t>
  </si>
  <si>
    <t>WS4-CostData L38 C3</t>
  </si>
  <si>
    <t>WS4-CostData L38 C4</t>
  </si>
  <si>
    <t xml:space="preserve">  General </t>
  </si>
  <si>
    <t>TOTAL DEPRECIATION</t>
  </si>
  <si>
    <t>TAXES OTHER THAN INCOME TAXES</t>
  </si>
  <si>
    <t>(Note H)</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</si>
  <si>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</si>
  <si>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</si>
  <si>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</si>
  <si>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</si>
  <si>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</si>
  <si>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</si>
  <si>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</si>
  <si>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</si>
  <si>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t>
  </si>
  <si>
    <t xml:space="preserve">INCOME TAXES          </t>
  </si>
  <si>
    <t>(Note I)</t>
  </si>
  <si>
    <t xml:space="preserve">     T=1 - {[(1 - SIT) * (1 - FIT)] / (1 - SIT * FIT * p)} =</t>
  </si>
  <si>
    <t xml:space="preserve">     CIT=(T/1-T) * (1-(WCLTD/R)) =</t>
  </si>
  <si>
    <t>Amortized Investment Tax Credit</t>
  </si>
  <si>
    <t>Income Tax Calculation</t>
  </si>
  <si>
    <t>ITC adjustment</t>
  </si>
  <si>
    <t>Total Income Taxes</t>
  </si>
  <si>
    <t>RETURN  [ Rate Base * Rate of Return]</t>
  </si>
  <si>
    <t>REV. REQUIREMENT</t>
  </si>
  <si>
    <t xml:space="preserve">                                      SUPPORTING CALCULATIONS AND NOTES</t>
  </si>
  <si>
    <t>TRANSMISSION PLANT INCLUDED IN UMZ RATES</t>
  </si>
  <si>
    <t>Total transmission plant</t>
  </si>
  <si>
    <t>Less transmission plant excluded from UMZ rates</t>
  </si>
  <si>
    <t>(Note K)</t>
  </si>
  <si>
    <t>Less transmission plant included in OATT Ancillary Services</t>
  </si>
  <si>
    <t>(Note L)</t>
  </si>
  <si>
    <t>Transmission plant included in UMZ rates</t>
  </si>
  <si>
    <t xml:space="preserve">Percentage of transmission plant included in UMZ Rates </t>
  </si>
  <si>
    <t>TP=</t>
  </si>
  <si>
    <t xml:space="preserve">TRANSMISSION EXPENSES </t>
  </si>
  <si>
    <t>Total transmission expenses</t>
  </si>
  <si>
    <t>Less transmission expenses included in OATT Ancillary Services</t>
  </si>
  <si>
    <t>(Note J)</t>
  </si>
  <si>
    <t>Included transmission expenses</t>
  </si>
  <si>
    <t>Percentage of transmission expenses after adjustment (line 8 divided by line 6)</t>
  </si>
  <si>
    <t>Percentage of transmission plant included in UMZ Rates</t>
  </si>
  <si>
    <t>Percentage of transmission expenses included in UMZ Rates</t>
  </si>
  <si>
    <t>TE=</t>
  </si>
  <si>
    <t>WAGES &amp; SALARY ALLOCATOR (W&amp;S)</t>
  </si>
  <si>
    <t>$</t>
  </si>
  <si>
    <t>Allocation</t>
  </si>
  <si>
    <t>W&amp;S Allocator</t>
  </si>
  <si>
    <t xml:space="preserve">  Other</t>
  </si>
  <si>
    <t>($ / Allocation)</t>
  </si>
  <si>
    <t xml:space="preserve">  Total</t>
  </si>
  <si>
    <t>=</t>
  </si>
  <si>
    <t>PERCENTAGE OF TOTAL PLANT ALLOCATOR PTP</t>
  </si>
  <si>
    <t>(Note M)</t>
  </si>
  <si>
    <t>Transmission Plant in Service Western-UGP</t>
  </si>
  <si>
    <t>Total Plant in Service Western-UGP</t>
  </si>
  <si>
    <t>UGP Percentage of Transmission Plant to Total Plant</t>
  </si>
  <si>
    <t>Transmission Plant in Service Western-RMR</t>
  </si>
  <si>
    <t>Total Plant in Service Western-RMR</t>
  </si>
  <si>
    <t>RMR Percentage of Transmission Plant to Total Plant</t>
  </si>
  <si>
    <t>Transmission Plant in Service COE</t>
  </si>
  <si>
    <t>Total Plant in Service COE</t>
  </si>
  <si>
    <t>COE Percentage of Transmission Plant to Total Plant</t>
  </si>
  <si>
    <t>COMMON PLANT ALLOCATOR (CE)</t>
  </si>
  <si>
    <t>(Note N)</t>
  </si>
  <si>
    <t>% Electric</t>
  </si>
  <si>
    <t>Labor Ratio =</t>
  </si>
  <si>
    <t xml:space="preserve">  Electric</t>
  </si>
  <si>
    <t xml:space="preserve">  Gas</t>
  </si>
  <si>
    <t>*</t>
  </si>
  <si>
    <t xml:space="preserve">  Water</t>
  </si>
  <si>
    <t>RETURN (R)</t>
  </si>
  <si>
    <t xml:space="preserve">              Long Term Interest ROOs Schedule 5</t>
  </si>
  <si>
    <t>Cost</t>
  </si>
  <si>
    <t>=WCLTD</t>
  </si>
  <si>
    <t>%</t>
  </si>
  <si>
    <t>(Note O)</t>
  </si>
  <si>
    <t>Weighted</t>
  </si>
  <si>
    <t xml:space="preserve">  Long Term Debt</t>
  </si>
  <si>
    <t>HFD Sch's 21RX &amp; 21X Col 8 L23,25,26,29,30</t>
  </si>
  <si>
    <t>=R</t>
  </si>
  <si>
    <t xml:space="preserve">  Proprietary Capital</t>
  </si>
  <si>
    <t>Total (sum L31-32)</t>
  </si>
  <si>
    <t xml:space="preserve">                                      Proprietary Capital Cost Rate =    </t>
  </si>
  <si>
    <t>TIER =</t>
  </si>
  <si>
    <t>Load</t>
  </si>
  <si>
    <t>ACCOUNT 447 (SALES FOR RESALE)</t>
  </si>
  <si>
    <t xml:space="preserve">  a. Bundled Non-RQ Sales for Resale</t>
  </si>
  <si>
    <t>(Note P)</t>
  </si>
  <si>
    <t xml:space="preserve">  b. Bundled Sales for Resale included in Divisor on page 1 </t>
  </si>
  <si>
    <t xml:space="preserve">  Total of (a)-(b)</t>
  </si>
  <si>
    <t>ACCOUNT 454 (RENT FROM ELECTRIC PROPERTY)</t>
  </si>
  <si>
    <t>(Note Q)</t>
  </si>
  <si>
    <t>ACCOUNT 456 (OTHER ELECTRIC REVENUES)</t>
  </si>
  <si>
    <t xml:space="preserve">  a. Transmission charges for all transmission transactions </t>
  </si>
  <si>
    <t xml:space="preserve">  b. Transmission charges for all transmission transactions included in Divisor on page 1</t>
  </si>
  <si>
    <t>Note</t>
  </si>
  <si>
    <t xml:space="preserve">General Note:  References to Results of Operations in this revenue requirement template indicate the Financial Statement Results of Operations (ROOs) Schedule where data is located. </t>
  </si>
  <si>
    <t>Letter</t>
  </si>
  <si>
    <t>To the extent the references to ROOs data are missing, the entity will include a "Notes" section to provide this data.</t>
  </si>
  <si>
    <t>A</t>
  </si>
  <si>
    <t>Combines plant data for both the Western-Upper Great Plains Region  (Western-UGP) and Western-Rocky Mountain Region (Western-RMR).</t>
  </si>
  <si>
    <t>B</t>
  </si>
  <si>
    <t>Does not apply to Western.  For others, the balances in Accounts 190, 281, 282 and 283, as adjusted by any contra accounts identified as regulatory assets amounts in or liabilities related to FASB 106 or 109.  Balance of Account 255 is reduced by prior flow throughs and excluded if the utility chose to utilize amortization of tax credits against taxable income as discussed in Note K.  Account 281 is not allocated.</t>
  </si>
  <si>
    <t>C</t>
  </si>
  <si>
    <t>Transmission related only.</t>
  </si>
  <si>
    <t>D</t>
  </si>
  <si>
    <t>E</t>
  </si>
  <si>
    <t>For O&amp;M Expense, Calculated from ROOs Schedule 11 as Total O&amp;M less Purchase Power, Transmission Service Provided by Others (FERC 565), O&amp;M Expense Fort Peck Powerhouse, Prior Year Adjustments, A&amp;G Expense from ROOs Schedule 11, plus CME and Warehouse Interest from ROOs Schedule 5.  Depreciation Expense from ROOs Schedule 4.</t>
  </si>
  <si>
    <t>F</t>
  </si>
  <si>
    <t>Totals of ROOs Schedule 11A Object Classes 1411, 1412, 1415, 1416, 1421, 1422, 1425, 1426, 1431, 1432, 1441, 1442.</t>
  </si>
  <si>
    <t>G</t>
  </si>
  <si>
    <t>H</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</si>
  <si>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</si>
  <si>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I</t>
  </si>
  <si>
    <t>Western is not subject to Federal or State Income Tax.</t>
  </si>
  <si>
    <t xml:space="preserve">         Inputs Required:</t>
  </si>
  <si>
    <t>FIT =</t>
  </si>
  <si>
    <t>SIT=</t>
  </si>
  <si>
    <t xml:space="preserve">  (State Income Tax Rate or Composite SIT)</t>
  </si>
  <si>
    <t>p =</t>
  </si>
  <si>
    <t xml:space="preserve">  (percent of federal income tax deductible for state purposes)</t>
  </si>
  <si>
    <t>J</t>
  </si>
  <si>
    <t>Removes dollar amount of transmission expenses included in the OATT ancillary services rates, including Acct No. 561.  Western does not include transmission expenses in ancillary service rates.</t>
  </si>
  <si>
    <t>K</t>
  </si>
  <si>
    <t>Removes transmission plant determined by Commission order to be state-jurisdictional according to the seven-factor test (until RUS 12 balances are adjusted to reflect application of seven-factor test).</t>
  </si>
  <si>
    <t>L</t>
  </si>
  <si>
    <t>Removes dollar amount of transmission plant included in the development of OATT ancillary services rates and generation step-up facilities, which are deemed to included in OATT ancillary services.  For these purposes, generation step-up facilities are those facilities at a generator substation on which there is no through-flow when the generator is shut down.</t>
  </si>
  <si>
    <t>M</t>
  </si>
  <si>
    <t>Percentage of Total Plant Allocators are developed separately for Western-UGP and Western-RMR to allocate O&amp;M, A&amp;G, and Depreciation Expenses between Transmission and Generation.</t>
  </si>
  <si>
    <t>N</t>
  </si>
  <si>
    <t xml:space="preserve">Western does not have Common Plant. </t>
  </si>
  <si>
    <t>O</t>
  </si>
  <si>
    <t>P</t>
  </si>
  <si>
    <t>Q</t>
  </si>
  <si>
    <t>Includes income related only to transmission facilities, such as pole attachments, rentals and special use.</t>
  </si>
  <si>
    <t>R</t>
  </si>
  <si>
    <t xml:space="preserve">  </t>
  </si>
  <si>
    <t>Worksheet 2 - Allocation Factor, Determination of Pick-Sloan Missouri Basin Program--Eastern Division Annual Costs</t>
  </si>
  <si>
    <t>DESCRIPTION</t>
  </si>
  <si>
    <t>GENERATION</t>
  </si>
  <si>
    <t>COE GENERATION</t>
  </si>
  <si>
    <t>BASE PLAN UPGRADES-REGIONAL</t>
  </si>
  <si>
    <t>BASE PLAN UPGRADES-ZONAL</t>
  </si>
  <si>
    <t xml:space="preserve"> Line No.</t>
  </si>
  <si>
    <t>A. Operation and Maintenance Expense</t>
  </si>
  <si>
    <t xml:space="preserve">     O&amp;M Expense</t>
  </si>
  <si>
    <t>WS4-Cost Data (O&amp;M Expenses Worksheet)</t>
  </si>
  <si>
    <t xml:space="preserve">     Transmission of Electricity by Others</t>
  </si>
  <si>
    <t xml:space="preserve">     Total O&amp;M Expense</t>
  </si>
  <si>
    <t>L2 + L3</t>
  </si>
  <si>
    <t xml:space="preserve">     Net Plant Investment</t>
  </si>
  <si>
    <t>WS4-Cost-Data (Net Plant Investment Worksheet)</t>
  </si>
  <si>
    <t xml:space="preserve">     O&amp;M as % of Net Plant Investment</t>
  </si>
  <si>
    <t>L4/L5</t>
  </si>
  <si>
    <t xml:space="preserve">B.  A&amp;G Expense                              </t>
  </si>
  <si>
    <t xml:space="preserve">      A&amp;G Expense</t>
  </si>
  <si>
    <t>WS4-CostData (A&amp;G Expenses Worksheet)</t>
  </si>
  <si>
    <t xml:space="preserve">      Net Plant Investment</t>
  </si>
  <si>
    <t>L5</t>
  </si>
  <si>
    <t xml:space="preserve">      A&amp;G as % of Net Plant Investment</t>
  </si>
  <si>
    <t>L8/L9</t>
  </si>
  <si>
    <t xml:space="preserve">C.  Depreciation Expense                    </t>
  </si>
  <si>
    <t xml:space="preserve">     Depreciation Expense</t>
  </si>
  <si>
    <t>WS4-CostData (Depreciation Expense Worksheet)</t>
  </si>
  <si>
    <t xml:space="preserve">     Depreciation as a % of Net Plant Investment</t>
  </si>
  <si>
    <t>L12/L13</t>
  </si>
  <si>
    <t xml:space="preserve">D.  Taxes Other than Income Taxes for Transmission     </t>
  </si>
  <si>
    <t xml:space="preserve">     Not applicable.</t>
  </si>
  <si>
    <t xml:space="preserve">E.  Allocation of General Plant </t>
  </si>
  <si>
    <t xml:space="preserve">     No General Plant identified at this time, all plant is identified as either generation or transmission related.</t>
  </si>
  <si>
    <t>F.  Cost of Capital</t>
  </si>
  <si>
    <t xml:space="preserve">     Weighted Transmission Composite Interest Rate</t>
  </si>
  <si>
    <t>WS4-CostData (Cost of Capital Worksheet)</t>
  </si>
  <si>
    <t>G.  Fixed Charge Rate</t>
  </si>
  <si>
    <t xml:space="preserve">     Operation and Maintenance Expense</t>
  </si>
  <si>
    <t>L6</t>
  </si>
  <si>
    <t xml:space="preserve">     A&amp;G Expense</t>
  </si>
  <si>
    <t>L10</t>
  </si>
  <si>
    <t>L14</t>
  </si>
  <si>
    <t xml:space="preserve">     Taxes Other than Income Taxes</t>
  </si>
  <si>
    <t xml:space="preserve">     Allocation of General Plant to Transmission</t>
  </si>
  <si>
    <t xml:space="preserve">     Cost of Capital</t>
  </si>
  <si>
    <t>L20</t>
  </si>
  <si>
    <t xml:space="preserve">             Total</t>
  </si>
  <si>
    <t>H.  Revenue Requirement</t>
  </si>
  <si>
    <t xml:space="preserve">      Fixed Charge Rate</t>
  </si>
  <si>
    <t>L28</t>
  </si>
  <si>
    <t xml:space="preserve">     Annual Western-UGPR Cost</t>
  </si>
  <si>
    <t>L30 * L31</t>
  </si>
  <si>
    <t>Worksheet 3 - Revenue Credit Calculation</t>
  </si>
  <si>
    <t>ACCOUNT</t>
  </si>
  <si>
    <t>MONTH</t>
  </si>
  <si>
    <t>Z2 Sch 11</t>
  </si>
  <si>
    <t>Z2</t>
  </si>
  <si>
    <t>Adjustments</t>
  </si>
  <si>
    <t>Subtotal</t>
  </si>
  <si>
    <t>Schedule 7</t>
  </si>
  <si>
    <t>FIRM PTP</t>
  </si>
  <si>
    <t>Schedule 8</t>
  </si>
  <si>
    <t>NONFIRM PTP</t>
  </si>
  <si>
    <t>Sch 7/8/11</t>
  </si>
  <si>
    <t>MISO SEAMS</t>
  </si>
  <si>
    <t>Schedule 11</t>
  </si>
  <si>
    <t>ZONAL PTP</t>
  </si>
  <si>
    <t>ZONAL PTP ADJUSTMENTS</t>
  </si>
  <si>
    <t>RENT FROM ELECTRIC PROPERTY</t>
  </si>
  <si>
    <t>Sch 11</t>
  </si>
  <si>
    <t>BPU-ZONAL PTP</t>
  </si>
  <si>
    <t>BPU-REGIONAL PTP</t>
  </si>
  <si>
    <t>NOTES:</t>
  </si>
  <si>
    <t xml:space="preserve">Includes twelve months of revenue credits from January-December or February-January depending on when WAPA began receiving revenue credits from SPP. </t>
  </si>
  <si>
    <t>Revenue credit sheet may be updated or adjusted as necessary to include all revenue credits received.</t>
  </si>
  <si>
    <t>Z2 Schedule 7/8 clawbacks</t>
  </si>
  <si>
    <t xml:space="preserve">Schedule 7 - Firm PTP Transmission revenues </t>
  </si>
  <si>
    <t>Schedule 8 - Non-Firm PTP Transmission revenues</t>
  </si>
  <si>
    <t>Schedule 7/8/11 - MISO's SPP PTP transmission service revenues</t>
  </si>
  <si>
    <t>Schedule 11 - Zonal PTP adjustment revenues</t>
  </si>
  <si>
    <t>45420 - Other Rental revenues</t>
  </si>
  <si>
    <t>Schedule 11 Base Plan Upgrade, Zonal and Regional revenues</t>
  </si>
  <si>
    <t>Worksheet 4 - Cost Support Data</t>
  </si>
  <si>
    <t xml:space="preserve">WESTERN-UGP </t>
  </si>
  <si>
    <t>WESTERN-RMR</t>
  </si>
  <si>
    <t>COE</t>
  </si>
  <si>
    <t>BOR</t>
  </si>
  <si>
    <t>TOTAL</t>
  </si>
  <si>
    <t>Line No.</t>
  </si>
  <si>
    <t>Net Plant Investment Worksheet</t>
  </si>
  <si>
    <t>Total PS Plant-in-Service</t>
  </si>
  <si>
    <t>1/</t>
  </si>
  <si>
    <t>2/</t>
  </si>
  <si>
    <t>3/</t>
  </si>
  <si>
    <t>12/</t>
  </si>
  <si>
    <t>PS-ED Transmission Plant-in-Service</t>
  </si>
  <si>
    <t>4/</t>
  </si>
  <si>
    <t>5/</t>
  </si>
  <si>
    <t>6/</t>
  </si>
  <si>
    <t>7/</t>
  </si>
  <si>
    <t>L2-L3</t>
  </si>
  <si>
    <t>PS-ED SSCD Plant-in-Service</t>
  </si>
  <si>
    <t>8/</t>
  </si>
  <si>
    <t>BPU-Regional Plant-in-Service</t>
  </si>
  <si>
    <t>BPU-Zonal Plant-in-Service</t>
  </si>
  <si>
    <t>Generation Plant to Total Plant</t>
  </si>
  <si>
    <t>L4/L2</t>
  </si>
  <si>
    <t>Transmission Plant to Total Plant</t>
  </si>
  <si>
    <t>L3/L2</t>
  </si>
  <si>
    <t>SSCD Plant to Total Plant</t>
  </si>
  <si>
    <t>L5/L2</t>
  </si>
  <si>
    <t>BPU-Regional Plant to Total Plant</t>
  </si>
  <si>
    <t>L6/L2</t>
  </si>
  <si>
    <t>BPU-Zonal Plant to Total Plant</t>
  </si>
  <si>
    <t>L7/L2</t>
  </si>
  <si>
    <t>PS Accumulated Depreciation</t>
  </si>
  <si>
    <t>9/</t>
  </si>
  <si>
    <t>10/</t>
  </si>
  <si>
    <t>11/</t>
  </si>
  <si>
    <t>PS-ED Trans. Accumulated Depreciation</t>
  </si>
  <si>
    <t>L13*L9</t>
  </si>
  <si>
    <t>PS-ED Gen. Accumulated Depreciation</t>
  </si>
  <si>
    <t>L13*L8</t>
  </si>
  <si>
    <t>L13-L14</t>
  </si>
  <si>
    <t>PS-ED SSCD Accumulated Depreciation</t>
  </si>
  <si>
    <t>L13*L10</t>
  </si>
  <si>
    <t>BPU-Regional Accumulated Depreciation</t>
  </si>
  <si>
    <t>L13*L11</t>
  </si>
  <si>
    <t>BPU-Zonal Accumulated Depreciation</t>
  </si>
  <si>
    <t>L13*L12</t>
  </si>
  <si>
    <t>PS-ED Net Transmission Plant</t>
  </si>
  <si>
    <t>L3-L14</t>
  </si>
  <si>
    <t>PS-ED Net Generation Plant</t>
  </si>
  <si>
    <t>L4-L15</t>
  </si>
  <si>
    <t>PS-ED Net SSCD Plant</t>
  </si>
  <si>
    <t>L5-L16</t>
  </si>
  <si>
    <t>Regional Net Plant</t>
  </si>
  <si>
    <t>L6-L17</t>
  </si>
  <si>
    <t>Base Plan Upgrade Net Plant</t>
  </si>
  <si>
    <t>L7-L18</t>
  </si>
  <si>
    <t>8/  SSCD Plant-in-Service is based on a percentage of Watertown Operations Centers cost, based on FTE</t>
  </si>
  <si>
    <t>9/  FY UGPCSR - Pick-Sloan Missouri River Basin and UGPCSR - Ft. Peck Power System Results of Operations, Schedule 4</t>
  </si>
  <si>
    <t>10/  FY RMCSR - Pick-Sloan Missouri River Basin Results of Operations, Schedule 4</t>
  </si>
  <si>
    <t>11/  FY Corps of Engineers Financial Statements, Statement of Assets and Liabilities</t>
  </si>
  <si>
    <t>12/  Combined Financial Statements, Detail by Agency</t>
  </si>
  <si>
    <t>Depreciation Worksheet</t>
  </si>
  <si>
    <t>PS Depreciation Expense</t>
  </si>
  <si>
    <t>PS-ED Transmission Depreciation  5/</t>
  </si>
  <si>
    <t>L37*L9</t>
  </si>
  <si>
    <t>PS-ED Generation Depreciation  6/</t>
  </si>
  <si>
    <t>L37*L8</t>
  </si>
  <si>
    <t>PS-ED SSCD Depreciation  7/</t>
  </si>
  <si>
    <t>L37*L10</t>
  </si>
  <si>
    <t>BPU-Regional Depreciation</t>
  </si>
  <si>
    <t>L37*L11</t>
  </si>
  <si>
    <t>BPU-Zonal Depreciation</t>
  </si>
  <si>
    <t>L37*L12</t>
  </si>
  <si>
    <t>1/  FY UGPCSR - Pick-Sloan Missouri River Basin and UGPCSR - Ft. Peck Power System Results of Operations, Schedule 4</t>
  </si>
  <si>
    <t>2/  FY RMCSR - Pick-Sloan Missouri River Basin Results of Operations, Schedule 4</t>
  </si>
  <si>
    <t>3/  FY Corps of Engineers Statement of Revenues and Expenses</t>
  </si>
  <si>
    <t>4/  Combined Financial Statements, Detail by Agency</t>
  </si>
  <si>
    <t xml:space="preserve">5/  For Western-UGP, Western-RMR, COE, and BOR the portion of depreciation expense allocated to PS-ED transmission is based on the ratio of transmission plant-in-service to total  </t>
  </si>
  <si>
    <t>plant-in-service, calculated on L9 of the Net Plant Investment Worksheet</t>
  </si>
  <si>
    <t xml:space="preserve">6/  For Western-UGP, Western-RMR and BOR the portion of depreciation expense allocated to PS-ED generation is based on the ratio of generation plant-in-service to total plant-in-service, </t>
  </si>
  <si>
    <t>calculated on L8 of the Net Plant Investment Worksheet.  COE generation depreciation is COE total depreciation less transmission depreciation</t>
  </si>
  <si>
    <t>7/ For Western-UGP, the portion of depreciation expense allocated to PS-ED SSCD is based on the ratio of SSCD plant-in-service to total plant in service, calculated on L10 of the Net Plant</t>
  </si>
  <si>
    <t xml:space="preserve"> Investment Worksheet</t>
  </si>
  <si>
    <t>Cost of Capital Worksheet</t>
  </si>
  <si>
    <t>Long Term Debt:</t>
  </si>
  <si>
    <t>FY Balances</t>
  </si>
  <si>
    <t>Interest Expenses:</t>
  </si>
  <si>
    <t>FY Interest</t>
  </si>
  <si>
    <t>13/</t>
  </si>
  <si>
    <t>Average Interest Rate</t>
  </si>
  <si>
    <t>L57/L55</t>
  </si>
  <si>
    <t>Transmission Plant Factor</t>
  </si>
  <si>
    <t>Weighted Trans. Composite Rate</t>
  </si>
  <si>
    <t>Generation Plant Factor</t>
  </si>
  <si>
    <t>Weighted Gen. Composite Rate</t>
  </si>
  <si>
    <t>1/   FY Historical Financial Data in Support of the Power Repayment Study for the P-SMBP, Schedules 21X and 21RX</t>
  </si>
  <si>
    <t>2/   Interest from Combined Financial Statements, Detail By Agency/Col M L53</t>
  </si>
  <si>
    <t>3/  C2L3, Net Plant Investment Worksheet/C6L3, Net Plant Investment Worksheet</t>
  </si>
  <si>
    <t>4/  C3L3, Net Plant Investment Worksheet/C6L3, Net Plant Investment Worksheet</t>
  </si>
  <si>
    <t>5/  C4L3, Net Plant Investment Worksheet/C6L3, Net Plant Investment Worksheet</t>
  </si>
  <si>
    <t>6/  C5L3, Net Plant Investment Worksheet/C6L3, Net Plant Investment Worksheet</t>
  </si>
  <si>
    <t>7/  (C2L58*C2L59)+(C3L58*C3L59)+(C4L58*C4L59)+(C5L58*C5L59)</t>
  </si>
  <si>
    <t>8/  C2L4, Net Plant Investment Worksheet/C6L4, Net Plant Investment Worksheet</t>
  </si>
  <si>
    <t>9/  C3L4, Net Plant Investment Worksheet/C6L4, Net Plant Investment Worksheet</t>
  </si>
  <si>
    <t>10/  C4L4, Net Plant Investment Worksheet/C6L4, Net Plant Investment Worksheet</t>
  </si>
  <si>
    <t>11/  C5L4, Net Plant Investment Worksheet/C6L4, Net Plant Investment Worksheet</t>
  </si>
  <si>
    <t>12/  (C2L58*C2L61)+(C3L58*C3L61)+(C4L58*C4L61)+(C5L58*C5L61)</t>
  </si>
  <si>
    <t>13/  FY UGPCSR - Pick-Sloan Missouri River Basin and UGPCSR - Ft. Peck Power System Results of Operations, Schedule 5</t>
  </si>
  <si>
    <t>A&amp;G Expenses Worksheet</t>
  </si>
  <si>
    <t>WESTERN-UGP 1/</t>
  </si>
  <si>
    <t>WESTERN-RMR 2/</t>
  </si>
  <si>
    <t>COE  3/</t>
  </si>
  <si>
    <t>BOR  3/</t>
  </si>
  <si>
    <t>Total</t>
  </si>
  <si>
    <t>PS Total Est. A&amp;G</t>
  </si>
  <si>
    <t>PS-ED Est. Transmission A&amp;G  4/</t>
  </si>
  <si>
    <t>PS-ED Generation A&amp;G  5/</t>
  </si>
  <si>
    <t>PS-ED SSCD A&amp;G  6/</t>
  </si>
  <si>
    <t>BPU-Regional A&amp;G</t>
  </si>
  <si>
    <t>BPU-Zonal A&amp;G</t>
  </si>
  <si>
    <t>1/  Western-UGP A&amp;G Est. Expenses are from the FY UGPCSR - Pick-Sloan Missouri River Basin and UGPCSR - Ft. Peck Power System Budget</t>
  </si>
  <si>
    <t>2/  Western RMR A&amp;G Expenses are from the FY RMCSR - Pick-Sloan Missouri River Basin Budget</t>
  </si>
  <si>
    <t>3/  A&amp;G Expenses for COE and BOR are unavailable.  All COE and BOR A&amp;G expenses are included in O&amp;M Expenses</t>
  </si>
  <si>
    <t xml:space="preserve">4/  The portion of A&amp;G expenses allocated to PS-ED transmission is based on the ratio of transmission plant-in-service to total plant-in-service, calculated on L9 of the Net Plant </t>
  </si>
  <si>
    <t>Investment Worksheet</t>
  </si>
  <si>
    <t xml:space="preserve">5/  The portion of A&amp;G expenses allocated to PS-ED generation is based on the ratio of generation plant-in-service to total plant-in-service, calculated on L8 of the Net Plant </t>
  </si>
  <si>
    <t>6/  The portion of A&amp;G expenses allocated to PS-ED SSCD is based on the ratio of SSCD plant-in-service to total plant-in-service, calculated on L10 of the Net Plant Investment Worksheet</t>
  </si>
  <si>
    <t>O&amp;M Expenses Worksheet</t>
  </si>
  <si>
    <t>COE 3/</t>
  </si>
  <si>
    <t>BOR 4/</t>
  </si>
  <si>
    <t>Total Electric Operating Expense</t>
  </si>
  <si>
    <t>Less:</t>
  </si>
  <si>
    <t xml:space="preserve">  Other Power Supply Expenses</t>
  </si>
  <si>
    <t xml:space="preserve">  A&amp;G Expenses</t>
  </si>
  <si>
    <t xml:space="preserve">  Prior Year Adjustments</t>
  </si>
  <si>
    <t xml:space="preserve">  Annual Reserve Sharing Group Cost</t>
  </si>
  <si>
    <t>Plus:</t>
  </si>
  <si>
    <t xml:space="preserve">  Moveable Property Interest</t>
  </si>
  <si>
    <t xml:space="preserve">  Warehouse Stores Interest</t>
  </si>
  <si>
    <t xml:space="preserve">  Scheduling, System Control &amp; Dispatch</t>
  </si>
  <si>
    <t>PS Total O&amp;M</t>
  </si>
  <si>
    <t>PS-ED Transmission O&amp;M  5/</t>
  </si>
  <si>
    <t>PS-ED Generation O&amp;M  6/</t>
  </si>
  <si>
    <t>BPU-Regional O&amp;M</t>
  </si>
  <si>
    <t>BPU-Zonal O&amp;M</t>
  </si>
  <si>
    <t xml:space="preserve">1/  All Western-UGP O&amp;M Expenses are from the FY UGPCSR - Pick-Sloan Missouri River Basin and UGPCSR -  Ft. Peck Power System Budget </t>
  </si>
  <si>
    <t xml:space="preserve">2/  All Western RMR O&amp;M Expenses are from the FY RMCSR - Pick-Sloan Missouri River Basin Results of Operations, Schedule 11; except Moveable Property and Warehouse </t>
  </si>
  <si>
    <t>Stores Interest, which are from Schedule 5</t>
  </si>
  <si>
    <t>3/  Total Corps O&amp;M Expenses are from the FY Corps of Engineers Financial Statements</t>
  </si>
  <si>
    <t>4/  Total BOR O&amp;M Expenses are from the Combined Financial Statements</t>
  </si>
  <si>
    <t>5/  The portion of O&amp;M expenses allocated to PS-ED transmission is based on the ratio of transmission plant-in-service to total plant-in-service, calculated on L9 of the</t>
  </si>
  <si>
    <t xml:space="preserve"> Net Plant Investment Worksheet</t>
  </si>
  <si>
    <t xml:space="preserve">6/  The portion of O&amp;M expenses allocated to PS-ED generation is based on the ratio of generation plant-in-service to total plant-in-service, calculated on L8 of the </t>
  </si>
  <si>
    <t>Worksheet 5 - Zonal SPP Upgrade Calculations</t>
  </si>
  <si>
    <t>Project Name and #</t>
  </si>
  <si>
    <t>Type</t>
  </si>
  <si>
    <t>Project Gross Plant (Zonal Allocation) $</t>
  </si>
  <si>
    <t>Allocation Factor %</t>
  </si>
  <si>
    <t>Project Accumulated Depreciation</t>
  </si>
  <si>
    <t>Allocation for Transmission O&amp;M $</t>
  </si>
  <si>
    <t>Allocation for General Plant Depreciation $</t>
  </si>
  <si>
    <t>Allocation for A&amp;G $</t>
  </si>
  <si>
    <t>Cost of Capital</t>
  </si>
  <si>
    <t>Project Net Plant $</t>
  </si>
  <si>
    <t>Cost of Capital $</t>
  </si>
  <si>
    <t>Project ATRR $</t>
  </si>
  <si>
    <t xml:space="preserve">Revenue Credit Allocation $ /1 </t>
  </si>
  <si>
    <t>True-Up Calculation $ /2</t>
  </si>
  <si>
    <t>Net ATRR $</t>
  </si>
  <si>
    <t>Lewis-Richland 115 kV Ckt 1, 72052</t>
  </si>
  <si>
    <t>TL</t>
  </si>
  <si>
    <t>Roberts County 115 kV Substation, 71926</t>
  </si>
  <si>
    <t>SUB</t>
  </si>
  <si>
    <t>Roberts County 115/69 kV Transformer, 71927</t>
  </si>
  <si>
    <t>Williston Substation 115 kV Terminal Upgrades, 61856</t>
  </si>
  <si>
    <t>1/ Revenue Credit Allocation Total from WS3-Rev Credit C5L21 and allocated based on the ratio of Zonal project plant-in-service to total Zonal plant-in-service, calculated in column 4 of this worksheet</t>
  </si>
  <si>
    <t>2/ True-up Total from Summary-ATRR C6L15 and allocated based on the ratio of Zonal project plant-in-service to total Zonal plant-in-service, calculated in column 4 of this worksheet</t>
  </si>
  <si>
    <t>Worksheet 6 - Base Plan Upgrades-Regional</t>
  </si>
  <si>
    <t>Project Gross Plant (Regional Allocation) $</t>
  </si>
  <si>
    <t xml:space="preserve"> Allocation Factor %</t>
  </si>
  <si>
    <t>Project Accumulated Depreciation $</t>
  </si>
  <si>
    <t>Revenue Credit Allocation $ /1</t>
  </si>
  <si>
    <t>True-up Calculation $ /2</t>
  </si>
  <si>
    <t>Lewis &amp; Clark-Richland 115 kV Ckt 1, 72052</t>
  </si>
  <si>
    <t>1/ Revenue Credit Allocation Total from WS3-Rev Credit C5L24 and allocated based on the ratio of Regional project plant-in-service to total Regional plant-in-service, calculated in column 4 of this worksheet</t>
  </si>
  <si>
    <t>2/ True-up Total from Summary-ATRR C6L16 and allocated based on the ratio of Regional project plant-in-service to total Regional plant-in-service, calculated in column 4 of this worksheet</t>
  </si>
  <si>
    <t>Worksheet 7 - SPP Base Plan Upgrades-Facilities</t>
  </si>
  <si>
    <t>2022 SPP ESTIMATE SUMMARY</t>
  </si>
  <si>
    <t>FID</t>
  </si>
  <si>
    <t>DATA SOURCE:</t>
  </si>
  <si>
    <t>PRIOR YEAR FACILITY TOTALS ($)</t>
  </si>
  <si>
    <t>FY2021-22 ESTIMATE ADD/REPL/RETIRE ($)</t>
  </si>
  <si>
    <t>FY2022 EST SPP TOTALS ($)</t>
  </si>
  <si>
    <t>LC-RH</t>
  </si>
  <si>
    <t>LEWIS - RICHLAND 115 kV Ckt 1, 72052  (SPP set Regional/Zonal Allocation to 33%/67%)</t>
  </si>
  <si>
    <t>RCO</t>
  </si>
  <si>
    <t>ROBERTS COUNTY 115 kV SUBSTATION, 71926  (SPP set Regional/Zonal Allocation to 33%/67%)</t>
  </si>
  <si>
    <t>ROBERTS COUNTY 115/69 kV TRANSFORMER, 71927   (SPP set Regional/Zonal Allocation to 0%/100%)</t>
  </si>
  <si>
    <t>WN</t>
  </si>
  <si>
    <t>WILLISTON SUBSTATION 115 kV TERMINAL UPGRADES, 61856</t>
  </si>
  <si>
    <t xml:space="preserve">2020 SPP ESTIMATE DETAIL: </t>
  </si>
  <si>
    <t>ADDITIONAL:</t>
  </si>
  <si>
    <t>FID COST DETAIL ($)</t>
  </si>
  <si>
    <t>REG %</t>
  </si>
  <si>
    <t>REG TOTAL ($)</t>
  </si>
  <si>
    <t>ZONAL %</t>
  </si>
  <si>
    <t>ZONAL TOTAL ($)</t>
  </si>
  <si>
    <t>WOOD POLE</t>
  </si>
  <si>
    <t>CONDUCTOR</t>
  </si>
  <si>
    <t>LEWIS - RICHLAND 115 kV Ckt 1, 72052 - SUBTOTAL (SPP directed Regional/Zonal Split of 33%/67%)</t>
  </si>
  <si>
    <t>STEEL STRUCTURE</t>
  </si>
  <si>
    <t>DISCONNECT SWITCH</t>
  </si>
  <si>
    <t>CCVT</t>
  </si>
  <si>
    <t>CIRCUIT BREAKER</t>
  </si>
  <si>
    <t>STATION SERVICE, LAND, CONTROL BUILDING</t>
  </si>
  <si>
    <t>ROBERTS COUNTY 115 kV SUBSTATION, 71926 - SUBTOTAL</t>
  </si>
  <si>
    <t>POWER TRANSFORMER</t>
  </si>
  <si>
    <t>VOLTAGE TRANSFORMER</t>
  </si>
  <si>
    <t>INSTRUMENT TRANSFORMER</t>
  </si>
  <si>
    <t>ARRESTER</t>
  </si>
  <si>
    <t>OIL STORAGE TANK</t>
  </si>
  <si>
    <t>ROBERTS COUNTY 115/69 kV TRANSFORMER, 71927 - SUBTOTAL</t>
  </si>
  <si>
    <t>RELAY SETTINGS</t>
  </si>
  <si>
    <t>WILLISTON SUBSTATION 115 kV TERMINAL UPGRADES - SUBTOTAL</t>
  </si>
  <si>
    <t>TOTAL SPP UPGRADES</t>
  </si>
  <si>
    <t>Worksheet 8 - Transmission Facilities</t>
  </si>
  <si>
    <t>EST ADD/REPL/RETIRE ($)</t>
  </si>
  <si>
    <t>ESTIMATED FACILITY TOTAL ($)</t>
  </si>
  <si>
    <t>ATTACHMENT AI ADJUSTMENTS ($)</t>
  </si>
  <si>
    <t>GENERATION ADJUSTMENTS ($)</t>
  </si>
  <si>
    <t>BASE UPGRADE ADUSTMENTS ($)</t>
  </si>
  <si>
    <t>AUR BR</t>
  </si>
  <si>
    <t>AURORA- BROOKINGS 115-KV T/L</t>
  </si>
  <si>
    <t>AUR FL</t>
  </si>
  <si>
    <t>AURORA-FLANDREAU 115-KV T/L</t>
  </si>
  <si>
    <t>BK HET</t>
  </si>
  <si>
    <t>BAKER-HETTINGER</t>
  </si>
  <si>
    <t>BU GA</t>
  </si>
  <si>
    <t>BEULAH-GARRISON</t>
  </si>
  <si>
    <t>BS GH</t>
  </si>
  <si>
    <t>BISMARCK-GLENHAM</t>
  </si>
  <si>
    <t>BS JT 1</t>
  </si>
  <si>
    <t>BISMARCK-JAMESTOWN NO. 1</t>
  </si>
  <si>
    <t>BS JT 2</t>
  </si>
  <si>
    <t>BISMARCK-JAMESTOWN NO. 2</t>
  </si>
  <si>
    <t>BS MDR</t>
  </si>
  <si>
    <t>BISMARCK-MEDORA</t>
  </si>
  <si>
    <t>BR SF</t>
  </si>
  <si>
    <t>BROOKINGS-SIOUX FALLS</t>
  </si>
  <si>
    <t>BR WT 1</t>
  </si>
  <si>
    <t>BROOKINGS-WATERTOWN NO. 1</t>
  </si>
  <si>
    <t>BR WT 2</t>
  </si>
  <si>
    <t>BROOKINGS-WATERTOWN NO. 2</t>
  </si>
  <si>
    <t>BR WHT</t>
  </si>
  <si>
    <t>BROOKINGS-WHITE 115/230KV</t>
  </si>
  <si>
    <t>CA JT</t>
  </si>
  <si>
    <t>CARRINGTON-JAMESTOWN</t>
  </si>
  <si>
    <t>WC BU</t>
  </si>
  <si>
    <t>CHARLIE CREEK - WATFORD CITY</t>
  </si>
  <si>
    <t>CCR BEF</t>
  </si>
  <si>
    <t>CHARLIE CREEK-BELFIELD</t>
  </si>
  <si>
    <t>CR DC</t>
  </si>
  <si>
    <t>CIRLCE-DAWSON COUNTY</t>
  </si>
  <si>
    <t>CONSH2</t>
  </si>
  <si>
    <t>CONRAD-SHELBY #2</t>
  </si>
  <si>
    <t>CS MY</t>
  </si>
  <si>
    <t>CRESTON-MARYVILLE</t>
  </si>
  <si>
    <t>DC MC</t>
  </si>
  <si>
    <t>DAWSON COUNTY - MILES CITY</t>
  </si>
  <si>
    <t>DC GL</t>
  </si>
  <si>
    <t>DAWSON-GLENDIVE</t>
  </si>
  <si>
    <t>DC MDR</t>
  </si>
  <si>
    <t>DAWSON-MEDORA</t>
  </si>
  <si>
    <t>DC OF</t>
  </si>
  <si>
    <t>DAWSON-O'FALLON CREEK</t>
  </si>
  <si>
    <t>DC WN</t>
  </si>
  <si>
    <t>DAWSON-WILLISTON</t>
  </si>
  <si>
    <t>DN CS</t>
  </si>
  <si>
    <t>DENISON-CRESTON</t>
  </si>
  <si>
    <t xml:space="preserve">DL CA </t>
  </si>
  <si>
    <t>DEVILS LAKE-CARRINGTON</t>
  </si>
  <si>
    <t>DL LA</t>
  </si>
  <si>
    <t>DEVILS LAKE-LAKOTA</t>
  </si>
  <si>
    <t>ED FO</t>
  </si>
  <si>
    <t>EDGELEY-FORMAN</t>
  </si>
  <si>
    <t>ED GR</t>
  </si>
  <si>
    <t>EDGELEY-GROTON</t>
  </si>
  <si>
    <t>ELCMA</t>
  </si>
  <si>
    <t>ELK CREEK-NEWELL-MAURINE 115-kV T/L</t>
  </si>
  <si>
    <t>FA GK</t>
  </si>
  <si>
    <t>FARGO-GRAND FORKS</t>
  </si>
  <si>
    <t>FA MO</t>
  </si>
  <si>
    <t>FARGO-MORRIS</t>
  </si>
  <si>
    <t xml:space="preserve">FO RCO </t>
  </si>
  <si>
    <t>FORMAN-ROBERTS COUNTY</t>
  </si>
  <si>
    <t>FO SU D</t>
  </si>
  <si>
    <t>FORMAN-SUMMIT (BISMARCK)</t>
  </si>
  <si>
    <t>FO SU C</t>
  </si>
  <si>
    <t>FORMAN-SUMMIT (HURON)</t>
  </si>
  <si>
    <t>FP DC 1</t>
  </si>
  <si>
    <t>FORT PECK-DAWSON 1</t>
  </si>
  <si>
    <t>FP DC 2</t>
  </si>
  <si>
    <t>FORT PECK-DAWSON 2</t>
  </si>
  <si>
    <t>FP HV</t>
  </si>
  <si>
    <t>FORT PECK-HAVRE</t>
  </si>
  <si>
    <t>FP WH</t>
  </si>
  <si>
    <t>FORT PECK-WHATELY</t>
  </si>
  <si>
    <t>FP WN</t>
  </si>
  <si>
    <t>FORT PECK-WILLISTON</t>
  </si>
  <si>
    <t>FP WP 2</t>
  </si>
  <si>
    <t>FORT PECK-WOLF POINT #2</t>
  </si>
  <si>
    <t>FR FT D</t>
  </si>
  <si>
    <t>FORT RANDALL-FORT THOMPSON 1&amp;2</t>
  </si>
  <si>
    <t>FR GP</t>
  </si>
  <si>
    <t>FORT RANDALL-GAVIN'S POINT</t>
  </si>
  <si>
    <t>FR GY</t>
  </si>
  <si>
    <t>FORT RANDALL-GREGORY</t>
  </si>
  <si>
    <t>FR MV</t>
  </si>
  <si>
    <t>FORT RANDALL-MT VERNON</t>
  </si>
  <si>
    <t>FR ON</t>
  </si>
  <si>
    <t>FORT RANDALL-O'NEILL</t>
  </si>
  <si>
    <t>FR SC D</t>
  </si>
  <si>
    <t>FORT RANDALL-SIOUX CITY 1&amp;2</t>
  </si>
  <si>
    <t>FT GI</t>
  </si>
  <si>
    <t>FORT THOMPSON-GRAND ISLAND</t>
  </si>
  <si>
    <t>FT HU D</t>
  </si>
  <si>
    <t>FORT THOMPSON-HURON 230-KV 1&amp;2</t>
  </si>
  <si>
    <t>FT SF D</t>
  </si>
  <si>
    <t>FORT THOMPSON-SIOUX FALLS 1&amp;2</t>
  </si>
  <si>
    <t>GA BS D</t>
  </si>
  <si>
    <t>GARRISON-BISMARCK 230KV 1&amp;2</t>
  </si>
  <si>
    <t>GA JT</t>
  </si>
  <si>
    <t>GARRISON-JAMESTOWN</t>
  </si>
  <si>
    <t>GA ML</t>
  </si>
  <si>
    <t>GARRISON-MALLARD</t>
  </si>
  <si>
    <t>GA WJ</t>
  </si>
  <si>
    <t>GARRISON-WM. J. NEAL</t>
  </si>
  <si>
    <t>GP BN</t>
  </si>
  <si>
    <t>GAVINS POINT-BELDEN</t>
  </si>
  <si>
    <t xml:space="preserve">GP SF </t>
  </si>
  <si>
    <t>GAVINS POINT-SIOUX FALLS</t>
  </si>
  <si>
    <t>GF MO</t>
  </si>
  <si>
    <t>GRANITE FALLS- MORRIS</t>
  </si>
  <si>
    <t>GF MNV</t>
  </si>
  <si>
    <t>GRANITE FALLS-MINNESOTA VALLEY</t>
  </si>
  <si>
    <t>GTFCON</t>
  </si>
  <si>
    <t>GREAT FALLS-CONRAD</t>
  </si>
  <si>
    <t>GY MS</t>
  </si>
  <si>
    <t>GREGORY-MISSION</t>
  </si>
  <si>
    <t>GR HU</t>
  </si>
  <si>
    <t>GROTON-HURON</t>
  </si>
  <si>
    <t>GR SU</t>
  </si>
  <si>
    <t>GROTON-SUMMIT</t>
  </si>
  <si>
    <t>HV RB</t>
  </si>
  <si>
    <t>HAVRE-RAINBOW</t>
  </si>
  <si>
    <t>HV SH2</t>
  </si>
  <si>
    <t>HAVRE-SHELBY#2</t>
  </si>
  <si>
    <t>HE DV</t>
  </si>
  <si>
    <t>HESKETT-DEVAUL</t>
  </si>
  <si>
    <t>HETNU</t>
  </si>
  <si>
    <t>HETTINGER-NEW UNDERWOOD</t>
  </si>
  <si>
    <t>HU MV</t>
  </si>
  <si>
    <t>HURON-MT VERNON</t>
  </si>
  <si>
    <t>HU WT D</t>
  </si>
  <si>
    <t>HURON-WATERTOWN 230KV 1&amp;3</t>
  </si>
  <si>
    <t>JT ED</t>
  </si>
  <si>
    <t>JAMESTOWN-EDGELEY</t>
  </si>
  <si>
    <t xml:space="preserve">JT FA 1 </t>
  </si>
  <si>
    <t>JAMESTOWN-FARGO NO. 1</t>
  </si>
  <si>
    <t>JT FA 2</t>
  </si>
  <si>
    <t>JAMESTOWN-FARGO NO. 2</t>
  </si>
  <si>
    <t>JT GK</t>
  </si>
  <si>
    <t>JAMESTOWN-GRAND FORKS</t>
  </si>
  <si>
    <t>JT VC</t>
  </si>
  <si>
    <t>JAMESTOWN-VALLEY CITY</t>
  </si>
  <si>
    <t>KD CCR</t>
  </si>
  <si>
    <t>KILLDEER-CHARLIE CREEK</t>
  </si>
  <si>
    <t>LAHCF</t>
  </si>
  <si>
    <t>LAKE HELENA SWITCHYARD - CANYON FERRY 100 KV</t>
  </si>
  <si>
    <t>LE DL</t>
  </si>
  <si>
    <t>LEEDS-DEVILS LAKE</t>
  </si>
  <si>
    <t xml:space="preserve">LE RL </t>
  </si>
  <si>
    <t>LEEDS-ROLLA</t>
  </si>
  <si>
    <t>LC RH</t>
  </si>
  <si>
    <t>LEWIS-RICHLAND</t>
  </si>
  <si>
    <t>ML RG</t>
  </si>
  <si>
    <t>MALLARD-RUGBY</t>
  </si>
  <si>
    <t>MR MS</t>
  </si>
  <si>
    <t>MARTIN-MISSION</t>
  </si>
  <si>
    <t>MR PL</t>
  </si>
  <si>
    <t>MARTIN-PHILIP</t>
  </si>
  <si>
    <t>MA RC</t>
  </si>
  <si>
    <t>MAURINE-RAPID CITY</t>
  </si>
  <si>
    <t>MC BK</t>
  </si>
  <si>
    <t>MILES CITY-BAKER</t>
  </si>
  <si>
    <t>MC CU</t>
  </si>
  <si>
    <t>MILES CITY-CUSTER</t>
  </si>
  <si>
    <t>NU PL</t>
  </si>
  <si>
    <t>NEW UNDERWOOD-PHILIP</t>
  </si>
  <si>
    <t>NU RC 1</t>
  </si>
  <si>
    <t>NEW UNDERWOOD-RAPID CITY NO. 1</t>
  </si>
  <si>
    <t>NU RC 2</t>
  </si>
  <si>
    <t>NEW UNDERWOOD-RAPID CITY NO. 2</t>
  </si>
  <si>
    <t>NU SG C</t>
  </si>
  <si>
    <t>NEW UNDERWOOD-STEGALL (HURON)</t>
  </si>
  <si>
    <t>OA FT N</t>
  </si>
  <si>
    <t>OAHE-FORT THOMPSON 230KV 1&amp;2</t>
  </si>
  <si>
    <t>OA FT S</t>
  </si>
  <si>
    <t>OAHE-FORT THOMPSON 230KV 3&amp;4</t>
  </si>
  <si>
    <t>OA GH</t>
  </si>
  <si>
    <t>OAHE-GLENHAM</t>
  </si>
  <si>
    <t>OA MA</t>
  </si>
  <si>
    <t>OAHE-MAURINE</t>
  </si>
  <si>
    <t>OA NU</t>
  </si>
  <si>
    <t>OAHE-NEW UNDERWOOD</t>
  </si>
  <si>
    <t>OA PI</t>
  </si>
  <si>
    <t>OAHE-PIERRE</t>
  </si>
  <si>
    <t>OF MC</t>
  </si>
  <si>
    <t>O'FALLON CREEK-MILES CITY</t>
  </si>
  <si>
    <t>PI PL</t>
  </si>
  <si>
    <t>PIERRE-PHILIP</t>
  </si>
  <si>
    <t>RC DRY</t>
  </si>
  <si>
    <t>RAPID CITY-DRY CREEK</t>
  </si>
  <si>
    <t>ELCRC</t>
  </si>
  <si>
    <t>RAPID CITY-ELK CREEK 115-kV T/L</t>
  </si>
  <si>
    <t>RCOSU</t>
  </si>
  <si>
    <t>ROBERTS COUNTY-SUMMIT</t>
  </si>
  <si>
    <t>RG LE</t>
  </si>
  <si>
    <t>RUGBY-LEEDS</t>
  </si>
  <si>
    <t>SH SH2</t>
  </si>
  <si>
    <t>SHELBY-SHELBY #2</t>
  </si>
  <si>
    <t>SC DN</t>
  </si>
  <si>
    <t>SIOUX CITY-DENISON</t>
  </si>
  <si>
    <t>SC SP</t>
  </si>
  <si>
    <t>SIOUX CITY-SPENCER</t>
  </si>
  <si>
    <t>SC SF</t>
  </si>
  <si>
    <t>SIOUX FALLS- SIOUX CITY</t>
  </si>
  <si>
    <t>SF VFO</t>
  </si>
  <si>
    <t>SIOUX FALLS-VIRGIL FODNESS 230KV T-LINE</t>
  </si>
  <si>
    <t>SU WT</t>
  </si>
  <si>
    <t>SUMMIT-WATERTOWN</t>
  </si>
  <si>
    <t>TT TI</t>
  </si>
  <si>
    <t>TIBER TAP-TIBER</t>
  </si>
  <si>
    <t>UJ SF</t>
  </si>
  <si>
    <t>UTICA JCT-SIOUX FALLS</t>
  </si>
  <si>
    <t>VC FO</t>
  </si>
  <si>
    <t>VALLEY CITY-FORMAN</t>
  </si>
  <si>
    <t>VR GTF</t>
  </si>
  <si>
    <t>VERONA GREAT FALLS 161-kV LINE</t>
  </si>
  <si>
    <t>UJ VFO</t>
  </si>
  <si>
    <t>VIRGIL FODNESS-UTICA JUNCTION-FT RANDALL/RASMUS</t>
  </si>
  <si>
    <t>WT GF D</t>
  </si>
  <si>
    <t>WATERTOWN-GRANITE FALLS 1&amp;2</t>
  </si>
  <si>
    <t>WT SC</t>
  </si>
  <si>
    <t>WATERTOWN-SIOUX CITY</t>
  </si>
  <si>
    <t>WATFORD CITY-BEULAH</t>
  </si>
  <si>
    <t>WN WC</t>
  </si>
  <si>
    <t>WILLISTON-WATFORD CITY</t>
  </si>
  <si>
    <t>WP CR</t>
  </si>
  <si>
    <t>WOLF POINT-CIRCLE</t>
  </si>
  <si>
    <t>WJ RG</t>
  </si>
  <si>
    <t>WM. J. NEAL-RUGBY</t>
  </si>
  <si>
    <t>YT CU</t>
  </si>
  <si>
    <t>YELLOWTAIL-CUSTER</t>
  </si>
  <si>
    <t>TL Total</t>
  </si>
  <si>
    <t>TRANSMISSION LINES</t>
  </si>
  <si>
    <t>AN</t>
  </si>
  <si>
    <t>ANITA</t>
  </si>
  <si>
    <t>APD</t>
  </si>
  <si>
    <t>APPELDORN SUBSTATION</t>
  </si>
  <si>
    <t>AR</t>
  </si>
  <si>
    <t>ARMOUR SUBSTATION</t>
  </si>
  <si>
    <t>AHS</t>
  </si>
  <si>
    <t>ASH SUBSTATION</t>
  </si>
  <si>
    <t>AB</t>
  </si>
  <si>
    <t>ASSINNIBOINE</t>
  </si>
  <si>
    <t>AUR</t>
  </si>
  <si>
    <t>AURORA SUBSTATION</t>
  </si>
  <si>
    <t>BK</t>
  </si>
  <si>
    <t xml:space="preserve">BAKER </t>
  </si>
  <si>
    <t>BN</t>
  </si>
  <si>
    <t>BELDEN SUBSTATION</t>
  </si>
  <si>
    <t>BEF</t>
  </si>
  <si>
    <t>BELFIELD SUBSTATION</t>
  </si>
  <si>
    <t xml:space="preserve">BE </t>
  </si>
  <si>
    <t>BERESFORD SUBSTATION</t>
  </si>
  <si>
    <t>BB</t>
  </si>
  <si>
    <t>BISBEE SUBSTATION</t>
  </si>
  <si>
    <t>BS</t>
  </si>
  <si>
    <t>BISMARK SUBSTATION</t>
  </si>
  <si>
    <t>BI</t>
  </si>
  <si>
    <t xml:space="preserve">BISON  </t>
  </si>
  <si>
    <t>BOL</t>
  </si>
  <si>
    <t>BOLE SUB</t>
  </si>
  <si>
    <t xml:space="preserve">BO </t>
  </si>
  <si>
    <t>BONESTEEL SUBSTATION</t>
  </si>
  <si>
    <t>BR</t>
  </si>
  <si>
    <t>BROOKINGS SUBSTATION</t>
  </si>
  <si>
    <t>CB</t>
  </si>
  <si>
    <t>CAMPBELL COUNTY SWITCHING STATION /1</t>
  </si>
  <si>
    <t>CF</t>
  </si>
  <si>
    <t>CANYON FERRY</t>
  </si>
  <si>
    <t>CRP</t>
  </si>
  <si>
    <t>CARPENTER SUBSTATION</t>
  </si>
  <si>
    <t xml:space="preserve">CA </t>
  </si>
  <si>
    <t>CARRINGTON SUBSTATION</t>
  </si>
  <si>
    <t>CCR</t>
  </si>
  <si>
    <t>CHARLIE CREEK</t>
  </si>
  <si>
    <t>CR</t>
  </si>
  <si>
    <t>CIRCLE SUBSTATION</t>
  </si>
  <si>
    <t>CON</t>
  </si>
  <si>
    <t>CONRAD SUB</t>
  </si>
  <si>
    <t>CS</t>
  </si>
  <si>
    <t>CRESTON SUBSTATION</t>
  </si>
  <si>
    <t>CRO</t>
  </si>
  <si>
    <t>CROSSOVER SUB</t>
  </si>
  <si>
    <t>CQE</t>
  </si>
  <si>
    <t>CULBERTSON EAST SWITCHING STATION</t>
  </si>
  <si>
    <t>CU</t>
  </si>
  <si>
    <t>CUSTER SUBSTATION</t>
  </si>
  <si>
    <t>CT</t>
  </si>
  <si>
    <t>CUSTER TRAIL SUBSTATION</t>
  </si>
  <si>
    <t>DC</t>
  </si>
  <si>
    <t>DAWSON COUNTY SUBSTATION</t>
  </si>
  <si>
    <t>DNT</t>
  </si>
  <si>
    <t>DENBIGH TAP</t>
  </si>
  <si>
    <t>DN</t>
  </si>
  <si>
    <t>DENISON SUBSTATION</t>
  </si>
  <si>
    <t>DV</t>
  </si>
  <si>
    <t>DEVAUL SUBSTATION</t>
  </si>
  <si>
    <t>DL</t>
  </si>
  <si>
    <t>DEVILS LAKE SUBSTATION</t>
  </si>
  <si>
    <t>DK</t>
  </si>
  <si>
    <t>DICKINSON</t>
  </si>
  <si>
    <t>EJ</t>
  </si>
  <si>
    <t>E. J. MANNING</t>
  </si>
  <si>
    <t>EA</t>
  </si>
  <si>
    <t>EAGLE</t>
  </si>
  <si>
    <t>EB</t>
  </si>
  <si>
    <t>EAGLE BUTTE SUBSTATION</t>
  </si>
  <si>
    <t>ED</t>
  </si>
  <si>
    <t>EDGELEY SUBSTATION</t>
  </si>
  <si>
    <t>ELC</t>
  </si>
  <si>
    <t>ELK CREEK SUBSTATION</t>
  </si>
  <si>
    <t xml:space="preserve">EL </t>
  </si>
  <si>
    <t>ELLENDALE SUBSTATION</t>
  </si>
  <si>
    <t>ELI</t>
  </si>
  <si>
    <t>ELLIOTT SWITCHING STATION</t>
  </si>
  <si>
    <t>END</t>
  </si>
  <si>
    <t>ENDERLIN TAP STATION</t>
  </si>
  <si>
    <t>EXI</t>
  </si>
  <si>
    <t>EXIRA SWITCHING STATION</t>
  </si>
  <si>
    <t>FVW</t>
  </si>
  <si>
    <t>FAIRVIEW WEST SWITCHING STATION</t>
  </si>
  <si>
    <t>FH</t>
  </si>
  <si>
    <t>FAITH SUBSTATION</t>
  </si>
  <si>
    <t>FA</t>
  </si>
  <si>
    <t>FARGO SUBSTATION</t>
  </si>
  <si>
    <t>FL</t>
  </si>
  <si>
    <t>FLANDREAU SUBSTATION</t>
  </si>
  <si>
    <t>FO</t>
  </si>
  <si>
    <t>FORMAN SUBSTATION</t>
  </si>
  <si>
    <t>FR</t>
  </si>
  <si>
    <t>FORT RANDALL</t>
  </si>
  <si>
    <t>FT2</t>
  </si>
  <si>
    <t>FORT THOMPSON #2</t>
  </si>
  <si>
    <t>FT</t>
  </si>
  <si>
    <t>FORT THOMPSON SUBSTATION</t>
  </si>
  <si>
    <t>GL</t>
  </si>
  <si>
    <t>GLENDIVE SUBSTATION</t>
  </si>
  <si>
    <t>GK</t>
  </si>
  <si>
    <t>GRAND FORKS SUBSTATION</t>
  </si>
  <si>
    <t>GI</t>
  </si>
  <si>
    <t>GRAND ISLAND SUBSTATION</t>
  </si>
  <si>
    <t>GRP</t>
  </si>
  <si>
    <t>GRAND PRAIRIE SUBSTATION /1</t>
  </si>
  <si>
    <t>GF</t>
  </si>
  <si>
    <t>GRANITE FALLS SUBSTATION</t>
  </si>
  <si>
    <t>GTF</t>
  </si>
  <si>
    <t xml:space="preserve">GREAT FALLS SUB </t>
  </si>
  <si>
    <t>GY</t>
  </si>
  <si>
    <t>GREGORY SUBSTATION</t>
  </si>
  <si>
    <t>GR</t>
  </si>
  <si>
    <t>GROTON SUBSTATION</t>
  </si>
  <si>
    <t>GSO</t>
  </si>
  <si>
    <t>GROTON SOUTH SUBSTATION</t>
  </si>
  <si>
    <t>HA</t>
  </si>
  <si>
    <t>HARLEM</t>
  </si>
  <si>
    <t>HV</t>
  </si>
  <si>
    <t>HAVRE SUBSTATION</t>
  </si>
  <si>
    <t>HBN</t>
  </si>
  <si>
    <t>HEBRON SUBSTATION</t>
  </si>
  <si>
    <t>HET</t>
  </si>
  <si>
    <t>HETTINGER</t>
  </si>
  <si>
    <t>HLK</t>
  </si>
  <si>
    <t>HILKEN SUSTATION</t>
  </si>
  <si>
    <t>HU</t>
  </si>
  <si>
    <t>HURON SUBSTATION</t>
  </si>
  <si>
    <t xml:space="preserve">JT </t>
  </si>
  <si>
    <t>JAMESTOWN SUBSTATION</t>
  </si>
  <si>
    <t>KD</t>
  </si>
  <si>
    <t>KILLDEER SUBSTATION</t>
  </si>
  <si>
    <t>LA</t>
  </si>
  <si>
    <t>LAKOTA SUBSTATION</t>
  </si>
  <si>
    <t>LE</t>
  </si>
  <si>
    <t>LEEDS SUBSTATION</t>
  </si>
  <si>
    <t>LET</t>
  </si>
  <si>
    <t>LETCHER SUBSTATION</t>
  </si>
  <si>
    <t>ML</t>
  </si>
  <si>
    <t>MALLARD</t>
  </si>
  <si>
    <t>MT</t>
  </si>
  <si>
    <t>MALTA</t>
  </si>
  <si>
    <t>MDN</t>
  </si>
  <si>
    <t>MANDAN SUBSTATION</t>
  </si>
  <si>
    <t>MR</t>
  </si>
  <si>
    <t>MARTIN SUBSTATION</t>
  </si>
  <si>
    <t>MA</t>
  </si>
  <si>
    <t>MAURINE SUBSTATION</t>
  </si>
  <si>
    <t>MD</t>
  </si>
  <si>
    <t>MIDLAND SUBSTATION</t>
  </si>
  <si>
    <t>MC2</t>
  </si>
  <si>
    <t>MILES CITY SUB #2</t>
  </si>
  <si>
    <t>MC3</t>
  </si>
  <si>
    <t>MILES CITY SUB #3</t>
  </si>
  <si>
    <t>MC</t>
  </si>
  <si>
    <t>MILES CITY SUBSTATION</t>
  </si>
  <si>
    <t>MGV</t>
  </si>
  <si>
    <t>MINGUSVILLE</t>
  </si>
  <si>
    <t>MS</t>
  </si>
  <si>
    <t>MISSION SUBSTATION</t>
  </si>
  <si>
    <t>MO</t>
  </si>
  <si>
    <t>MORRIS SUBSTATION</t>
  </si>
  <si>
    <t>MV</t>
  </si>
  <si>
    <t>MT VERNON SUBSTATION</t>
  </si>
  <si>
    <t>NASHUA SUB</t>
  </si>
  <si>
    <t>NEL</t>
  </si>
  <si>
    <t>NELSON SUBSTATION</t>
  </si>
  <si>
    <t>NU</t>
  </si>
  <si>
    <t>NEW UNDERWOOD SUBSTATION</t>
  </si>
  <si>
    <t>NL</t>
  </si>
  <si>
    <t>NEWELL SUBSTATION</t>
  </si>
  <si>
    <t>OF</t>
  </si>
  <si>
    <t>O'FALLON CREEK SUBSTATION</t>
  </si>
  <si>
    <t>ON</t>
  </si>
  <si>
    <t>O'NEILL SUB (NPP)</t>
  </si>
  <si>
    <t>PET</t>
  </si>
  <si>
    <t>PENN TAP</t>
  </si>
  <si>
    <t>PL</t>
  </si>
  <si>
    <t>PHILIP SUBSTATION</t>
  </si>
  <si>
    <t>PI</t>
  </si>
  <si>
    <t>PIERRE SUBSTATION</t>
  </si>
  <si>
    <t>PLL</t>
  </si>
  <si>
    <t>PLEASANT LAKE TAP</t>
  </si>
  <si>
    <t>RB</t>
  </si>
  <si>
    <t>RAINBOW SUBSTATION</t>
  </si>
  <si>
    <t>RC</t>
  </si>
  <si>
    <t>RAPID CITY SUBSTATION</t>
  </si>
  <si>
    <t>RH</t>
  </si>
  <si>
    <t>RICHLAND SUBSTATION</t>
  </si>
  <si>
    <t>ROBERTS COUNTY SUBSTATION 2/</t>
  </si>
  <si>
    <t>RL</t>
  </si>
  <si>
    <t>ROLLA SUBSTATION</t>
  </si>
  <si>
    <t>RY</t>
  </si>
  <si>
    <t>RUDYARD SUBSTATION</t>
  </si>
  <si>
    <t>RG</t>
  </si>
  <si>
    <t>RUGBY SUBSTATION</t>
  </si>
  <si>
    <t>SA</t>
  </si>
  <si>
    <t>SAVAGE SUB</t>
  </si>
  <si>
    <t>SH</t>
  </si>
  <si>
    <t>SHELBY SUBSTATION</t>
  </si>
  <si>
    <t>SH2</t>
  </si>
  <si>
    <t>SHELBY SUBSTATION #2</t>
  </si>
  <si>
    <t>SL</t>
  </si>
  <si>
    <t>SHIRLEY TAP</t>
  </si>
  <si>
    <t>SC2</t>
  </si>
  <si>
    <t>SIOUX CITY #2</t>
  </si>
  <si>
    <t xml:space="preserve">SC </t>
  </si>
  <si>
    <t>SIOUX CITY SUBSTATION</t>
  </si>
  <si>
    <t>SF</t>
  </si>
  <si>
    <t>SIOUX FALLS SUBSTATION</t>
  </si>
  <si>
    <t>SP</t>
  </si>
  <si>
    <t>SPENCER</t>
  </si>
  <si>
    <t>SNY</t>
  </si>
  <si>
    <t>STANLEY</t>
  </si>
  <si>
    <t>SB</t>
  </si>
  <si>
    <t>SULLY BUTTES</t>
  </si>
  <si>
    <t>SUH</t>
  </si>
  <si>
    <t>SULPHUR</t>
  </si>
  <si>
    <t>SU</t>
  </si>
  <si>
    <t>SUMMIT SUBSTATION</t>
  </si>
  <si>
    <t>TR</t>
  </si>
  <si>
    <t>TERRY TAP</t>
  </si>
  <si>
    <t>TT</t>
  </si>
  <si>
    <t>TIBER TAP</t>
  </si>
  <si>
    <t>TN</t>
  </si>
  <si>
    <t>TOWNER SUBSTATION</t>
  </si>
  <si>
    <t>TY</t>
  </si>
  <si>
    <t>TYNDALL SUBSTATION</t>
  </si>
  <si>
    <t>UJ</t>
  </si>
  <si>
    <t>UTICA JCT.</t>
  </si>
  <si>
    <t>VH</t>
  </si>
  <si>
    <t>V. T. HANLON</t>
  </si>
  <si>
    <t>VC</t>
  </si>
  <si>
    <t>VALLEY CITY SUBSTATION</t>
  </si>
  <si>
    <t>VR</t>
  </si>
  <si>
    <t>VERONA</t>
  </si>
  <si>
    <t>VE</t>
  </si>
  <si>
    <t>VETAL TAP</t>
  </si>
  <si>
    <t>VFO</t>
  </si>
  <si>
    <t>VIRGIL FODNESS SUBSTATION</t>
  </si>
  <si>
    <t>WL</t>
  </si>
  <si>
    <t>WALL SUBSTATION</t>
  </si>
  <si>
    <t>WNB</t>
  </si>
  <si>
    <t>WANBLEE TAP</t>
  </si>
  <si>
    <t>WDD</t>
  </si>
  <si>
    <t>WARD SUBSTATION</t>
  </si>
  <si>
    <t>WB</t>
  </si>
  <si>
    <t>WASHBURN SUBSTATION</t>
  </si>
  <si>
    <t>WT2</t>
  </si>
  <si>
    <t>WATERTOWN #2</t>
  </si>
  <si>
    <t>WTS</t>
  </si>
  <si>
    <t>WATERTOWN STATIC VAR SYSTEM</t>
  </si>
  <si>
    <t>WT</t>
  </si>
  <si>
    <t>WATERTOWN SUBSTATION</t>
  </si>
  <si>
    <t>WC</t>
  </si>
  <si>
    <t>WATFORD CITY SUB</t>
  </si>
  <si>
    <t>WSG</t>
  </si>
  <si>
    <t>WESSINGTON SPRINGS SUBSTATION</t>
  </si>
  <si>
    <t>WH2</t>
  </si>
  <si>
    <t>WHATELY (NORTHERN)</t>
  </si>
  <si>
    <t xml:space="preserve">WH </t>
  </si>
  <si>
    <t>WHATELY SUBSTATION</t>
  </si>
  <si>
    <t>WHT</t>
  </si>
  <si>
    <t>WHITE 345/115 SUB</t>
  </si>
  <si>
    <t>WV</t>
  </si>
  <si>
    <t>WICKSVILLE SUBSTATION</t>
  </si>
  <si>
    <t>WN2</t>
  </si>
  <si>
    <t>WILLISTON 2 SUBSTATION</t>
  </si>
  <si>
    <t>WILLISTON SUBSTATION</t>
  </si>
  <si>
    <t>WI</t>
  </si>
  <si>
    <t>WINNER SUBSTATION</t>
  </si>
  <si>
    <t>WJ</t>
  </si>
  <si>
    <t>WM. J. NEAL</t>
  </si>
  <si>
    <t>WP</t>
  </si>
  <si>
    <t>WOLF POINT SUBSTATION</t>
  </si>
  <si>
    <t>WO</t>
  </si>
  <si>
    <t>WOONSOCKET SUBSTATION</t>
  </si>
  <si>
    <t>YJ</t>
  </si>
  <si>
    <t>YANKTON JCT.</t>
  </si>
  <si>
    <t>YA</t>
  </si>
  <si>
    <t>YANKTON SUBSTATION</t>
  </si>
  <si>
    <t>SUB Total</t>
  </si>
  <si>
    <t>SUBSTATIONS</t>
  </si>
  <si>
    <t>ARC</t>
  </si>
  <si>
    <t>ARMOUR O&amp;M SER. CEN.</t>
  </si>
  <si>
    <t>BSM</t>
  </si>
  <si>
    <t>BISMARCK O&amp;M SER. CEN.</t>
  </si>
  <si>
    <t>DCF</t>
  </si>
  <si>
    <t>DAWSON SER. CEN.</t>
  </si>
  <si>
    <t>DLM</t>
  </si>
  <si>
    <t>DEVILS LAKE O&amp;M SER. CEN.</t>
  </si>
  <si>
    <t>FAO</t>
  </si>
  <si>
    <t>FARGO LINE MAINTENANCE FACILITY</t>
  </si>
  <si>
    <t>FAM</t>
  </si>
  <si>
    <t>FARGO O&amp;M SER. CEN.</t>
  </si>
  <si>
    <t>FPM</t>
  </si>
  <si>
    <t>FORT PECK SER. CEN.</t>
  </si>
  <si>
    <t>FTM</t>
  </si>
  <si>
    <t>FORT THOMPSON O&amp;M S. C.</t>
  </si>
  <si>
    <t>HVM</t>
  </si>
  <si>
    <t>HAVRE SERVICE CENTER</t>
  </si>
  <si>
    <t>HUM</t>
  </si>
  <si>
    <t>HURON O&amp;M SER. CEN.</t>
  </si>
  <si>
    <t>JTM</t>
  </si>
  <si>
    <t>JAMESTOWN O&amp;M SER. CEN.</t>
  </si>
  <si>
    <t>MCM</t>
  </si>
  <si>
    <t>MILES CITY MTCE FAC.</t>
  </si>
  <si>
    <t xml:space="preserve">NUM </t>
  </si>
  <si>
    <t>NEW UNDERWOOD SER. CEN.</t>
  </si>
  <si>
    <t>PLM</t>
  </si>
  <si>
    <t>PHILIP O&amp;M SER. CENT.</t>
  </si>
  <si>
    <t>PIM</t>
  </si>
  <si>
    <t>PIERRE O&amp;M SER. CEN.</t>
  </si>
  <si>
    <t>RCM</t>
  </si>
  <si>
    <t>RAPID CITY GARAGE &amp; STOR.</t>
  </si>
  <si>
    <t>SCM</t>
  </si>
  <si>
    <t>SIOUX CITY O&amp;M SER. CEN.</t>
  </si>
  <si>
    <t>SFC</t>
  </si>
  <si>
    <t>SIOUX FALLS O&amp;M SER. CEN.</t>
  </si>
  <si>
    <t>WTM</t>
  </si>
  <si>
    <t>WATERTOWN MAINT. CEN.</t>
  </si>
  <si>
    <t>O&amp;M Total</t>
  </si>
  <si>
    <t>O&amp;M SERVICE &amp; MAINT. CENTERS</t>
  </si>
  <si>
    <t>OPS</t>
  </si>
  <si>
    <t>WAO</t>
  </si>
  <si>
    <t>WATERTOWN ALTERNATE OPERATIONS CENTER</t>
  </si>
  <si>
    <t>Column 4 shows percentage of the Watertown Operations Center that was prorated to generation based on FTE associated with generation.</t>
  </si>
  <si>
    <t>WTO</t>
  </si>
  <si>
    <t>WATERTOWN OPERATIONS CENT</t>
  </si>
  <si>
    <t>WTO F</t>
  </si>
  <si>
    <t xml:space="preserve">WATERTOWN OPER CTR (BFPS) </t>
  </si>
  <si>
    <t>OPS Total</t>
  </si>
  <si>
    <t>OPERATION CENTERS</t>
  </si>
  <si>
    <t>MOB</t>
  </si>
  <si>
    <t>MOBW2</t>
  </si>
  <si>
    <t>MOB 115KV SWITCH TRAILER</t>
  </si>
  <si>
    <t>MOBT13</t>
  </si>
  <si>
    <t>MOB TRANSF 111KV 15MVA</t>
  </si>
  <si>
    <t>MOBT2</t>
  </si>
  <si>
    <t>MOB TRANSF 115KV 10MVA</t>
  </si>
  <si>
    <t>MOBT12</t>
  </si>
  <si>
    <t>MOB TRANSF 115KV 25MVA</t>
  </si>
  <si>
    <t>MOBT4</t>
  </si>
  <si>
    <t>MOB TRANSF 115KV 40MVA</t>
  </si>
  <si>
    <t>MOBT6</t>
  </si>
  <si>
    <t>MOB TRANSF 230KV 1-33MVA</t>
  </si>
  <si>
    <t>MOBB2</t>
  </si>
  <si>
    <t>MOBILE BY PASS KIT (BISMARCK)</t>
  </si>
  <si>
    <t>MOBB1</t>
  </si>
  <si>
    <t>MOBILE BY PASS KIT (HURON)</t>
  </si>
  <si>
    <t>MOBC4</t>
  </si>
  <si>
    <t>MOBILE CAPACITOR BANK</t>
  </si>
  <si>
    <t>MOBS6</t>
  </si>
  <si>
    <t>MOBILE SUB 110KV</t>
  </si>
  <si>
    <t>MOBS9</t>
  </si>
  <si>
    <t>MOBILE SUB 115KV 20MVA</t>
  </si>
  <si>
    <t>MOBS10</t>
  </si>
  <si>
    <t>MOBILE SUB 115/41.8KV 20MVA</t>
  </si>
  <si>
    <t>MOBS7</t>
  </si>
  <si>
    <t>MOBILE SUB 41.8 KV</t>
  </si>
  <si>
    <t>MOBS5</t>
  </si>
  <si>
    <t>MOBILE SUB 69KV</t>
  </si>
  <si>
    <t>MOBR2</t>
  </si>
  <si>
    <t>MOB SH.REACTOR</t>
  </si>
  <si>
    <t>MOBS11</t>
  </si>
  <si>
    <t>MOB Total</t>
  </si>
  <si>
    <t>MOBILE EQUIPMENT</t>
  </si>
  <si>
    <t>GEN</t>
  </si>
  <si>
    <t>BG FT L</t>
  </si>
  <si>
    <t>BIG BEND-FORT THOMPSON (LOW VOLTAGE)</t>
  </si>
  <si>
    <t>FP</t>
  </si>
  <si>
    <t xml:space="preserve">FORT PECK POWERPLANT (COE) </t>
  </si>
  <si>
    <t>FT BG 1</t>
  </si>
  <si>
    <t>FORT THOMPSON-BIG BEND NO. 1</t>
  </si>
  <si>
    <t>FT BG 2</t>
  </si>
  <si>
    <t>FORT THOMPSON-BIG BEND NO. 2</t>
  </si>
  <si>
    <t>GEN Total</t>
  </si>
  <si>
    <t>TRANSMISSION-RELATED GEN. FACILITIES</t>
  </si>
  <si>
    <t>COM</t>
  </si>
  <si>
    <t>ATC</t>
  </si>
  <si>
    <t>ATLANTIC COMMUNICATION SITE</t>
  </si>
  <si>
    <t>Column 4 shows 31.95% of the Communication Facilities that were prorated to generation based on the number of communication channels dedicated to generation.</t>
  </si>
  <si>
    <t>BK2</t>
  </si>
  <si>
    <t>BAKER RELAY</t>
  </si>
  <si>
    <t>BTY</t>
  </si>
  <si>
    <t>BANTRY</t>
  </si>
  <si>
    <t>BAE</t>
  </si>
  <si>
    <t>BARRETT</t>
  </si>
  <si>
    <t>BMW</t>
  </si>
  <si>
    <t>BATTLE MT. MICROWAVE</t>
  </si>
  <si>
    <t>BPR</t>
  </si>
  <si>
    <t>BELLE PRAIRIE</t>
  </si>
  <si>
    <t>BET</t>
  </si>
  <si>
    <t>BENEDICT</t>
  </si>
  <si>
    <t>BU</t>
  </si>
  <si>
    <t>BEULAH</t>
  </si>
  <si>
    <t>BG</t>
  </si>
  <si>
    <t>BIG BEND</t>
  </si>
  <si>
    <t>BJR</t>
  </si>
  <si>
    <t>BIJOU REPEATER</t>
  </si>
  <si>
    <t>BAO</t>
  </si>
  <si>
    <t xml:space="preserve">BILLINGS AREA OFFICE </t>
  </si>
  <si>
    <t>BSR</t>
  </si>
  <si>
    <t>BISMARCK REPEATER</t>
  </si>
  <si>
    <t>BIR</t>
  </si>
  <si>
    <t>BISON REPEATER</t>
  </si>
  <si>
    <t>BON</t>
  </si>
  <si>
    <t>BOLE NORTH REPEATER</t>
  </si>
  <si>
    <t>BRI</t>
  </si>
  <si>
    <t>BRINSMADE</t>
  </si>
  <si>
    <t>BSL</t>
  </si>
  <si>
    <t>BRISTOL</t>
  </si>
  <si>
    <t>BRV</t>
  </si>
  <si>
    <t>BRUNSVILLE REPEATER</t>
  </si>
  <si>
    <t>BFF</t>
  </si>
  <si>
    <t>BUFFALO</t>
  </si>
  <si>
    <t>CAH</t>
  </si>
  <si>
    <t>CAHOON</t>
  </si>
  <si>
    <t>CAZ</t>
  </si>
  <si>
    <t>CARRINGTON REPEATER</t>
  </si>
  <si>
    <t>CHK</t>
  </si>
  <si>
    <t>CHARTER OAK REPEATER</t>
  </si>
  <si>
    <t>CHI F</t>
  </si>
  <si>
    <t>CHINOOK (BEFP)</t>
  </si>
  <si>
    <t>CHR</t>
  </si>
  <si>
    <t>CHINOOK REPEATER</t>
  </si>
  <si>
    <t>CKR</t>
  </si>
  <si>
    <t>CLARK MW REPEATER</t>
  </si>
  <si>
    <t>CLV</t>
  </si>
  <si>
    <t>CLEVELAND REPEATER, N.D.</t>
  </si>
  <si>
    <t>CMR</t>
  </si>
  <si>
    <t>COLEMAN REPEATER</t>
  </si>
  <si>
    <t>CME</t>
  </si>
  <si>
    <t>COLOME REPEATER</t>
  </si>
  <si>
    <t>CBR</t>
  </si>
  <si>
    <t>CONRAD BUTTE REPEATER</t>
  </si>
  <si>
    <t>CNN</t>
  </si>
  <si>
    <t>COTTON</t>
  </si>
  <si>
    <t>CSR</t>
  </si>
  <si>
    <t>CRESTON REPEATER</t>
  </si>
  <si>
    <t>CLR</t>
  </si>
  <si>
    <t>CROW LAKE REPEATER</t>
  </si>
  <si>
    <t>CBT</t>
  </si>
  <si>
    <t>CROWN BUTTE</t>
  </si>
  <si>
    <t>CRR</t>
  </si>
  <si>
    <t>CULBERTSON RADIO RELAY SITE</t>
  </si>
  <si>
    <t>CQR</t>
  </si>
  <si>
    <t>CULBERSTON REPEATER</t>
  </si>
  <si>
    <t>CUL</t>
  </si>
  <si>
    <t>CUSTER LOOKOUT</t>
  </si>
  <si>
    <t>DAL</t>
  </si>
  <si>
    <t>DALTON (WES)</t>
  </si>
  <si>
    <t>DLC</t>
  </si>
  <si>
    <t>DEVILS LAKE FIBER REGEN</t>
  </si>
  <si>
    <t>DLZ</t>
  </si>
  <si>
    <t>DEVILS LAKE REPEATER</t>
  </si>
  <si>
    <t>DOD</t>
  </si>
  <si>
    <t>DODSON REPEATER</t>
  </si>
  <si>
    <t xml:space="preserve">DO </t>
  </si>
  <si>
    <t>DOGDEN BUTTE</t>
  </si>
  <si>
    <t>DRS</t>
  </si>
  <si>
    <t>DRISCOLL</t>
  </si>
  <si>
    <t>DU</t>
  </si>
  <si>
    <t>DUPREE REPEATER</t>
  </si>
  <si>
    <t>DUT</t>
  </si>
  <si>
    <t>DUTTON REPEATER (BEFP)</t>
  </si>
  <si>
    <t>ERB</t>
  </si>
  <si>
    <t>EAST RAINY BUTTE</t>
  </si>
  <si>
    <t>ECK</t>
  </si>
  <si>
    <t>ECKELSON</t>
  </si>
  <si>
    <t>EKR</t>
  </si>
  <si>
    <t>ELKTON</t>
  </si>
  <si>
    <t>ELZ</t>
  </si>
  <si>
    <t>ELLENDALE REPEATER</t>
  </si>
  <si>
    <t>EWA</t>
  </si>
  <si>
    <t>ELLSWORTH AIR BASE</t>
  </si>
  <si>
    <t>ERH</t>
  </si>
  <si>
    <t>ERHARD</t>
  </si>
  <si>
    <t>EX</t>
  </si>
  <si>
    <t>EXIRA REPEATER</t>
  </si>
  <si>
    <t>FB</t>
  </si>
  <si>
    <t>F. L. BLAIR</t>
  </si>
  <si>
    <t>FAP</t>
  </si>
  <si>
    <t>FAIRPOINT REPEATER</t>
  </si>
  <si>
    <t>FNR</t>
  </si>
  <si>
    <t>FALLON REPEATER</t>
  </si>
  <si>
    <t>FAC</t>
  </si>
  <si>
    <t>FARGO MICROWAVE</t>
  </si>
  <si>
    <t>FCS</t>
  </si>
  <si>
    <t>FERGUS FALLS COMMUNICATIONS SITE</t>
  </si>
  <si>
    <t>FLW</t>
  </si>
  <si>
    <t>FLOWING WELLS</t>
  </si>
  <si>
    <t>FBS</t>
  </si>
  <si>
    <t>FORBES COMMUNICATION SITE</t>
  </si>
  <si>
    <t>FTH</t>
  </si>
  <si>
    <t>FORSYTH</t>
  </si>
  <si>
    <t>FP1</t>
  </si>
  <si>
    <t>FORT PECK RELAY (WES)</t>
  </si>
  <si>
    <t>FPC</t>
  </si>
  <si>
    <t>FORT PECK COMMUNICATIONS BUILDING</t>
  </si>
  <si>
    <t>FPR</t>
  </si>
  <si>
    <t>FORT PECK REPEATER</t>
  </si>
  <si>
    <t>FPI</t>
  </si>
  <si>
    <t>FORT PIERRE POLE YARD</t>
  </si>
  <si>
    <t>FTR</t>
  </si>
  <si>
    <t>FORT THOMPSON REPEATER</t>
  </si>
  <si>
    <t>FTP</t>
  </si>
  <si>
    <t>FORT THOMPSON REPEATER (EAST RIVER)</t>
  </si>
  <si>
    <t>FCR</t>
  </si>
  <si>
    <t>FOX CREEK MICROWAVE</t>
  </si>
  <si>
    <t>FRY</t>
  </si>
  <si>
    <t>FRYBURG SUB &amp; MICROWAVE</t>
  </si>
  <si>
    <t>GA</t>
  </si>
  <si>
    <t>GARRISON</t>
  </si>
  <si>
    <t>GRR</t>
  </si>
  <si>
    <t>GARY REPEATER</t>
  </si>
  <si>
    <t>GAVIN'S POINT</t>
  </si>
  <si>
    <t>GPR</t>
  </si>
  <si>
    <t>GAVINS POINT REPEATER</t>
  </si>
  <si>
    <t>GET</t>
  </si>
  <si>
    <t>GETTYSBURG REPEATER</t>
  </si>
  <si>
    <t>GH</t>
  </si>
  <si>
    <t>GLENHAM</t>
  </si>
  <si>
    <t>GKM</t>
  </si>
  <si>
    <t>GRAND FORKS MINNKOTA (MPC)</t>
  </si>
  <si>
    <t>GWN</t>
  </si>
  <si>
    <t>GWINNER COMMUNICATIONS SITE</t>
  </si>
  <si>
    <t>HSB</t>
  </si>
  <si>
    <t>HAILSTONE BUTTE</t>
  </si>
  <si>
    <t>HOY</t>
  </si>
  <si>
    <t>HALLOWAY REPEATER</t>
  </si>
  <si>
    <t>HRT</t>
  </si>
  <si>
    <t>HARLEM REPEATER</t>
  </si>
  <si>
    <t>HTH</t>
  </si>
  <si>
    <t>HATHAWAY</t>
  </si>
  <si>
    <t>HMW</t>
  </si>
  <si>
    <t>HERMOSA MICROWAVE</t>
  </si>
  <si>
    <t>HLR</t>
  </si>
  <si>
    <t>HIGHLAND REPEATER</t>
  </si>
  <si>
    <t>HMR</t>
  </si>
  <si>
    <t>HIGHMORE REPEATER</t>
  </si>
  <si>
    <t>HIW</t>
  </si>
  <si>
    <t>HIGHWOOD</t>
  </si>
  <si>
    <t>HI</t>
  </si>
  <si>
    <t>HINSDALE</t>
  </si>
  <si>
    <t>HIR</t>
  </si>
  <si>
    <t>HINSDALE REPEATER</t>
  </si>
  <si>
    <t>HOE</t>
  </si>
  <si>
    <t>HOPEWELL REPEATER</t>
  </si>
  <si>
    <t>HNT</t>
  </si>
  <si>
    <t>HUNTER MICROWAVE</t>
  </si>
  <si>
    <t>HUD</t>
  </si>
  <si>
    <t>HURON DISTRICT OFFICE</t>
  </si>
  <si>
    <t>HYS</t>
  </si>
  <si>
    <t>HYSHAM</t>
  </si>
  <si>
    <t>JTR</t>
  </si>
  <si>
    <t>JAMESTOWN REPEATER</t>
  </si>
  <si>
    <t>JCK</t>
  </si>
  <si>
    <t>JONES CREEK</t>
  </si>
  <si>
    <t>KCK</t>
  </si>
  <si>
    <t>KELLY CREEK</t>
  </si>
  <si>
    <t>KDZ</t>
  </si>
  <si>
    <t>KILLDEER REPEATER</t>
  </si>
  <si>
    <t>KNE</t>
  </si>
  <si>
    <t>KNEE HILL MW</t>
  </si>
  <si>
    <t>LAC</t>
  </si>
  <si>
    <t>LAC QUI PARLE</t>
  </si>
  <si>
    <t>LKR</t>
  </si>
  <si>
    <t>LAKE ANDES REPEATER</t>
  </si>
  <si>
    <t>LEF</t>
  </si>
  <si>
    <t>LEFOR</t>
  </si>
  <si>
    <t>LI</t>
  </si>
  <si>
    <t>LINDSAY RIDGE</t>
  </si>
  <si>
    <t>LCS</t>
  </si>
  <si>
    <t>LINTON COMMUNICATIONS SITE</t>
  </si>
  <si>
    <t>LMO</t>
  </si>
  <si>
    <t>LITTLE MISSOURI SUBSTATION</t>
  </si>
  <si>
    <t>LDP</t>
  </si>
  <si>
    <t>LODGEPOLE REPEATER</t>
  </si>
  <si>
    <t>MRP</t>
  </si>
  <si>
    <t>MALTA REPEATER</t>
  </si>
  <si>
    <t>MNM</t>
  </si>
  <si>
    <t>MANDAN MICROWAVE SITE</t>
  </si>
  <si>
    <t>MPR</t>
  </si>
  <si>
    <t>MAPLE RIVER</t>
  </si>
  <si>
    <t>MRR</t>
  </si>
  <si>
    <t>MARTIN REPEATER</t>
  </si>
  <si>
    <t>MAV</t>
  </si>
  <si>
    <t>MAYVILLE</t>
  </si>
  <si>
    <t>MLR</t>
  </si>
  <si>
    <t>MIDLAND REPEATER</t>
  </si>
  <si>
    <t>MOX</t>
  </si>
  <si>
    <t>MOE REPEATER</t>
  </si>
  <si>
    <t>MH</t>
  </si>
  <si>
    <t>MOORHEAD</t>
  </si>
  <si>
    <t>MSR</t>
  </si>
  <si>
    <t>MORRIS REPEATER &amp; MICROWAVE</t>
  </si>
  <si>
    <t>NWC</t>
  </si>
  <si>
    <t>NEWCASTLE REPEATER</t>
  </si>
  <si>
    <t>OA</t>
  </si>
  <si>
    <t>OAHE</t>
  </si>
  <si>
    <t>OK</t>
  </si>
  <si>
    <t>O'KREEK REPEATER</t>
  </si>
  <si>
    <t>OR</t>
  </si>
  <si>
    <t>ORCHARD REPEATER</t>
  </si>
  <si>
    <t>OTO</t>
  </si>
  <si>
    <t>OTO MICROWAVE</t>
  </si>
  <si>
    <t>OTW</t>
  </si>
  <si>
    <t>OTTUMWA ROAD REPEATER SITE</t>
  </si>
  <si>
    <t>PGE</t>
  </si>
  <si>
    <t>PAGE N.D.</t>
  </si>
  <si>
    <t>PAH</t>
  </si>
  <si>
    <t>PAHOJA SUB</t>
  </si>
  <si>
    <t>PEK</t>
  </si>
  <si>
    <t>PEAK</t>
  </si>
  <si>
    <t>PLJ</t>
  </si>
  <si>
    <t>PHILIP JCT. REPEATER</t>
  </si>
  <si>
    <t>PKT</t>
  </si>
  <si>
    <t>PICKERT MINNKOTA (MPC)</t>
  </si>
  <si>
    <t>PIR</t>
  </si>
  <si>
    <t>PINE RIDGE</t>
  </si>
  <si>
    <t>PO</t>
  </si>
  <si>
    <t>POPLAR (MDU)</t>
  </si>
  <si>
    <t>PRR</t>
  </si>
  <si>
    <t>PRIMGHAR REPEATER</t>
  </si>
  <si>
    <t>PUR</t>
  </si>
  <si>
    <t>PUKWANNA REPEATER</t>
  </si>
  <si>
    <t>RCR</t>
  </si>
  <si>
    <t>RAPID CITY REPEATER</t>
  </si>
  <si>
    <t>RE</t>
  </si>
  <si>
    <t>RICHARDSON COULEE</t>
  </si>
  <si>
    <t>RER</t>
  </si>
  <si>
    <t>RICHARDSON COULEE REPEATER</t>
  </si>
  <si>
    <t>RHM</t>
  </si>
  <si>
    <t>RICHLAND MW REPEATER (BEPS)</t>
  </si>
  <si>
    <t>RRR</t>
  </si>
  <si>
    <t>ROCKY RIDGE REPEATER</t>
  </si>
  <si>
    <t>ROG</t>
  </si>
  <si>
    <t>ROLLAG</t>
  </si>
  <si>
    <t>RGZ</t>
  </si>
  <si>
    <t>RUGBY REPEATER</t>
  </si>
  <si>
    <t>RI</t>
  </si>
  <si>
    <t>RUTLAND</t>
  </si>
  <si>
    <t>SAO</t>
  </si>
  <si>
    <t>SACO</t>
  </si>
  <si>
    <t>SNB</t>
  </si>
  <si>
    <t>SENTINEL BUTTE</t>
  </si>
  <si>
    <t>SRE</t>
  </si>
  <si>
    <t>SHEEP COULEE REPEATER</t>
  </si>
  <si>
    <t>SCQ</t>
  </si>
  <si>
    <t>SIOUX CITY REPEATER</t>
  </si>
  <si>
    <t>SFR</t>
  </si>
  <si>
    <t>SIOUX FALLS REPEATER</t>
  </si>
  <si>
    <t>SI</t>
  </si>
  <si>
    <t>SIOUX PASS</t>
  </si>
  <si>
    <t>SNA</t>
  </si>
  <si>
    <t>SNAKE BUTTE REPEATER</t>
  </si>
  <si>
    <t>SPN</t>
  </si>
  <si>
    <t>SPALDING REPEATER</t>
  </si>
  <si>
    <t>SM</t>
  </si>
  <si>
    <t>SPIRIT MOUND</t>
  </si>
  <si>
    <t>STR</t>
  </si>
  <si>
    <t>STRASBERG</t>
  </si>
  <si>
    <t>SMR</t>
  </si>
  <si>
    <t>SUMMIT REPEATER</t>
  </si>
  <si>
    <t>TCS</t>
  </si>
  <si>
    <t>TAPPEN COMMUNICATIONS SITE</t>
  </si>
  <si>
    <t>TA</t>
  </si>
  <si>
    <t>TAPPEN REPEATER</t>
  </si>
  <si>
    <t>TEN</t>
  </si>
  <si>
    <t>TENNANT COMMUNICATIONS SITE</t>
  </si>
  <si>
    <t>TOR</t>
  </si>
  <si>
    <t>TORONTO REPEATER</t>
  </si>
  <si>
    <t>TFR</t>
  </si>
  <si>
    <t>TRIPP REPEATER</t>
  </si>
  <si>
    <t>TU</t>
  </si>
  <si>
    <t>TURKEY RIDGE REPEATER</t>
  </si>
  <si>
    <t>TYE</t>
  </si>
  <si>
    <t>TYLER REPEATER</t>
  </si>
  <si>
    <t>VIC</t>
  </si>
  <si>
    <t>VICTOR (EREC)</t>
  </si>
  <si>
    <t>VIA</t>
  </si>
  <si>
    <t>VIDA</t>
  </si>
  <si>
    <t>WLR</t>
  </si>
  <si>
    <t>WALL REPEATER</t>
  </si>
  <si>
    <t>WTR</t>
  </si>
  <si>
    <t>WATERTOWN REPEATER</t>
  </si>
  <si>
    <t>WS</t>
  </si>
  <si>
    <t>WAYSIDE</t>
  </si>
  <si>
    <t>WSR</t>
  </si>
  <si>
    <t>WESSINGTON SPGS. REPEATER</t>
  </si>
  <si>
    <t>WEF</t>
  </si>
  <si>
    <t>WESTFIELD</t>
  </si>
  <si>
    <t>WSW</t>
  </si>
  <si>
    <t>WHITE SWAN</t>
  </si>
  <si>
    <t>WK C</t>
  </si>
  <si>
    <t>WHITLOCK (BCPS)</t>
  </si>
  <si>
    <t>WRP</t>
  </si>
  <si>
    <t>WILLISTON REPEATER</t>
  </si>
  <si>
    <t>WOB</t>
  </si>
  <si>
    <t>WOLBACH REPEATER</t>
  </si>
  <si>
    <t>YT P</t>
  </si>
  <si>
    <t>YELLOWTAIL SWITCHYARD (BEPS)</t>
  </si>
  <si>
    <t>COM Total</t>
  </si>
  <si>
    <t>COMMUNICATION FACILITIES</t>
  </si>
  <si>
    <t>MCCS</t>
  </si>
  <si>
    <t>MC4</t>
  </si>
  <si>
    <t>MILES CITY CONVERTER STATION - BEPS</t>
  </si>
  <si>
    <t>MILES CITY CONVERTER STATION - BEFP</t>
  </si>
  <si>
    <t>MCCS Total</t>
  </si>
  <si>
    <t>MILES CITY CONVERTER STATION</t>
  </si>
  <si>
    <t>DIST</t>
  </si>
  <si>
    <t>BFTBP</t>
  </si>
  <si>
    <t>BUFORD TRENTON TAP - BUFORD TRENTON P.P.</t>
  </si>
  <si>
    <t>BP</t>
  </si>
  <si>
    <t>BUFORD TRENTON PUMP SUB</t>
  </si>
  <si>
    <t>FN</t>
  </si>
  <si>
    <t>FALLON PUMPING PLANT SUBS</t>
  </si>
  <si>
    <t>FE</t>
  </si>
  <si>
    <t>FALLON RELIFT PUMPING PLA</t>
  </si>
  <si>
    <t>FN GG</t>
  </si>
  <si>
    <t>FALLON-GLENDIVE PUMP #4</t>
  </si>
  <si>
    <t>FP WP</t>
  </si>
  <si>
    <t>FORT PECK-WOLF POINT</t>
  </si>
  <si>
    <t>FG</t>
  </si>
  <si>
    <t>FRAZER PUMP SUB</t>
  </si>
  <si>
    <t>GA SK</t>
  </si>
  <si>
    <t>GARRISON-SNAKE CREEK</t>
  </si>
  <si>
    <t>GG</t>
  </si>
  <si>
    <t>GLENDIVE P.P. #1 SUB.</t>
  </si>
  <si>
    <t>IN</t>
  </si>
  <si>
    <t>INTAKE SUBSTATION</t>
  </si>
  <si>
    <t>IN INP</t>
  </si>
  <si>
    <t>INTAKE-INTAKE PUMP</t>
  </si>
  <si>
    <t>SV</t>
  </si>
  <si>
    <t>SAVAGE PUMPING PLANT SUBS</t>
  </si>
  <si>
    <t>SY</t>
  </si>
  <si>
    <t>SHIRLEY PUMP SUBSTATION</t>
  </si>
  <si>
    <t>SK</t>
  </si>
  <si>
    <t>SNAKE CREEK PUMP SUBSTATION</t>
  </si>
  <si>
    <t>TERRY PUMPING PLANT SWITCH</t>
  </si>
  <si>
    <t>TI</t>
  </si>
  <si>
    <t>TIBER DAM SUBSTATION</t>
  </si>
  <si>
    <t>VA</t>
  </si>
  <si>
    <t>WIOTA SUBSTATION</t>
  </si>
  <si>
    <t>DIST Total</t>
  </si>
  <si>
    <t>DISTRIBUTION FACILITIES</t>
  </si>
  <si>
    <t>RMR</t>
  </si>
  <si>
    <t>NU SG</t>
  </si>
  <si>
    <t>NEW UNDERWOOD-STEGALL</t>
  </si>
  <si>
    <t>SG</t>
  </si>
  <si>
    <t>STEGALL SUBSTATION</t>
  </si>
  <si>
    <t>SG WY</t>
  </si>
  <si>
    <t>STEGALL-WAYSIDE</t>
  </si>
  <si>
    <t>WY</t>
  </si>
  <si>
    <t>YT PY</t>
  </si>
  <si>
    <t>YELLOWTAIL SWITCHYARD-YELLOWTAIL (PPL)</t>
  </si>
  <si>
    <t>PY</t>
  </si>
  <si>
    <t>YELLOWTAIL (PPL)</t>
  </si>
  <si>
    <t>YELLOWTAIL SWITCHYARD</t>
  </si>
  <si>
    <t>YT</t>
  </si>
  <si>
    <t>YELLOWTAIL SWITCHYARD (YT)</t>
  </si>
  <si>
    <t>RMR Total</t>
  </si>
  <si>
    <t>ROCKY MOUNTAIN REGION FACILITIES</t>
  </si>
  <si>
    <t xml:space="preserve">FORT PECK </t>
  </si>
  <si>
    <t>GAVINS POINT</t>
  </si>
  <si>
    <t>COE Total</t>
  </si>
  <si>
    <t>CORPS OF ENGINEERS FACILITIES</t>
  </si>
  <si>
    <t>Grand Total</t>
  </si>
  <si>
    <t>TOTAL FACILITIES</t>
  </si>
  <si>
    <t>SUBTOTAL WESTERN-UGP ONLY</t>
  </si>
  <si>
    <t>1/ Plant balance does not include customer liability for network upgrades.  Investment is only brought into plant balance as WAPA incurs expense (e.g. if transmission credits are provided to customer)</t>
  </si>
  <si>
    <t>2/ Plant balance does not include facilities included in Zonal and Regional Worksheet, WS7-BPUFac</t>
  </si>
  <si>
    <t>Worksheet 9 - WAPA-UGP Facilities Included per SPP Tariff Attachment AI*</t>
  </si>
  <si>
    <t>Attachment AI Criteria</t>
  </si>
  <si>
    <t>Facility</t>
  </si>
  <si>
    <t>Specific Plant Included</t>
  </si>
  <si>
    <t>East or West</t>
  </si>
  <si>
    <t>Costs</t>
  </si>
  <si>
    <t>1</t>
  </si>
  <si>
    <t>1(b)</t>
  </si>
  <si>
    <t>2</t>
  </si>
  <si>
    <t>3</t>
  </si>
  <si>
    <t>4</t>
  </si>
  <si>
    <t>5</t>
  </si>
  <si>
    <t>6</t>
  </si>
  <si>
    <t>Further Description</t>
  </si>
  <si>
    <t>Substations</t>
  </si>
  <si>
    <t>Appeldorn</t>
  </si>
  <si>
    <t>230-kV breakers 482, 586, 682 and assoc. switches and switch 487</t>
  </si>
  <si>
    <t>x</t>
  </si>
  <si>
    <t>station service KW4A, KW30A and switches</t>
  </si>
  <si>
    <t>Armour</t>
  </si>
  <si>
    <t>115-kV switches 16x, 26x, 76x</t>
  </si>
  <si>
    <t>12.47-kV switches 172x, KW1A</t>
  </si>
  <si>
    <t>maintenance building SS</t>
  </si>
  <si>
    <t>station service KZ1A, KX2A and switches</t>
  </si>
  <si>
    <t>115/69 kV transformer KY1A</t>
  </si>
  <si>
    <t>Three East River members are served through KY1A (Charles Mix, Douglas and Southeastern)</t>
  </si>
  <si>
    <t>69 kV breaker 1052 and assoc switches</t>
  </si>
  <si>
    <t>Two East River members are served through 1052 (Douglas and Southeastern)</t>
  </si>
  <si>
    <t>AHT</t>
  </si>
  <si>
    <t>Ash Tap</t>
  </si>
  <si>
    <t>115-kV switches 1161, 1261, 1361</t>
  </si>
  <si>
    <t>Aurora</t>
  </si>
  <si>
    <r>
      <t>115-kV breakers 266,</t>
    </r>
    <r>
      <rPr>
        <sz val="11"/>
        <color rgb="FFFF0000"/>
        <rFont val="Calibri"/>
        <family val="2"/>
      </rPr>
      <t xml:space="preserve"> </t>
    </r>
    <r>
      <rPr>
        <sz val="11"/>
        <color theme="1"/>
        <rFont val="Calibri"/>
        <family val="2"/>
        <scheme val="minor"/>
      </rPr>
      <t>464, 562, 662 and assoc. switches</t>
    </r>
  </si>
  <si>
    <t>capacitor PY4A</t>
  </si>
  <si>
    <t>station service KY2A and KW2A</t>
  </si>
  <si>
    <t>Belden (NPPD)</t>
  </si>
  <si>
    <t>115-kV breaker 1106 and assoc. switches</t>
  </si>
  <si>
    <t>Belfield</t>
  </si>
  <si>
    <r>
      <t xml:space="preserve">230-kV breakers 1282, 1382, </t>
    </r>
    <r>
      <rPr>
        <sz val="11"/>
        <color theme="1"/>
        <rFont val="Calibri"/>
        <family val="2"/>
        <scheme val="minor"/>
      </rPr>
      <t>1582 and assoc. switches</t>
    </r>
  </si>
  <si>
    <t>345/230-kV transformer KU1A</t>
  </si>
  <si>
    <t>345-kV breakers 292, 396, 492 and assoc. switches</t>
  </si>
  <si>
    <t>station service KW1B and assoc. switches</t>
  </si>
  <si>
    <t>reactor KW2A, 13.8 breaker 3224 and assoc. switches</t>
  </si>
  <si>
    <t>Beresford</t>
  </si>
  <si>
    <t>115-kV breakers 262, 362, 462, 566, 764, 864 and assoc. switches</t>
  </si>
  <si>
    <t>capacitors PY7A, PY8A</t>
  </si>
  <si>
    <t>station service KZ1A and switch 1451</t>
  </si>
  <si>
    <t>115/69kV transformer KY1A</t>
  </si>
  <si>
    <t>Two East River members are served through KY1A (Clay-Union and Southeastern)</t>
  </si>
  <si>
    <t>69kV breaker 1652 and assoc. switches</t>
  </si>
  <si>
    <t>Two East River members are served through 1652 (Clay-Union and Southeastern)</t>
  </si>
  <si>
    <t>Bisbee</t>
  </si>
  <si>
    <t>69-kV switches 247, 347</t>
  </si>
  <si>
    <t>Bismarck</t>
  </si>
  <si>
    <t>230-kV breakers 182, 282, 382, 386, 482, 582, 682, 782, 882, 986, 9182 and assoc. switches</t>
  </si>
  <si>
    <t>230/115-kV transformers KV3A, KV8A</t>
  </si>
  <si>
    <t>115-kV breakers 3062, 3162, 3362, 3562 and assoc. switches</t>
  </si>
  <si>
    <t>station service KW4A, KW4E, KW4F and assoc. switches</t>
  </si>
  <si>
    <t>12.47-kV breaker 1422, switches 142x, 152x, 1221, 1829</t>
  </si>
  <si>
    <t>maintenance buildings ss</t>
  </si>
  <si>
    <t>Bole</t>
  </si>
  <si>
    <t>230-kV switches 182, 282, 481, 482</t>
  </si>
  <si>
    <t>W</t>
  </si>
  <si>
    <t xml:space="preserve">station service KW21A, switch 2123 </t>
  </si>
  <si>
    <t>230/69-kV transformer KV1A</t>
  </si>
  <si>
    <t>69-kV switches 1351, 1355</t>
  </si>
  <si>
    <t>69-kV breaker 1152 and assoc. switches</t>
  </si>
  <si>
    <t>Sun River Electric Cooperative and NorthWestern MT</t>
  </si>
  <si>
    <t>Bonesteel</t>
  </si>
  <si>
    <t>115-kV breakers 664, 764 and assoc. switches</t>
  </si>
  <si>
    <t>capacitors PY6A, PY7A</t>
  </si>
  <si>
    <t>115-kV switches 46x, 26x</t>
  </si>
  <si>
    <t>station service KW1A, switch 1521</t>
  </si>
  <si>
    <t>Brookings</t>
  </si>
  <si>
    <t>115-kV breakers 1162, 1262, 1266, 1362, 1462, 1466, 1562, 1662, 1666, 1762, 1762, 1766, 2162 and assoc. switches</t>
  </si>
  <si>
    <t>capacitors PY20A and PY21A</t>
  </si>
  <si>
    <t>station service KW1A and assoc. switches</t>
  </si>
  <si>
    <t>One East River member and two municipal customers served through KY1A (Sioux Valley Energy, City of White, and City of Volga)</t>
  </si>
  <si>
    <t>69 kV breaker 1052 and assoc. switches</t>
  </si>
  <si>
    <t>One East River member and two municipal customers served through 1052 (Sioux Valley Energy, City of White, and City of Volga)</t>
  </si>
  <si>
    <t>CBC</t>
  </si>
  <si>
    <t>Campbell County</t>
  </si>
  <si>
    <t>230-kV breakers 182, 282, 382 and assoc. switches</t>
  </si>
  <si>
    <t>CD</t>
  </si>
  <si>
    <t>Cando Tap</t>
  </si>
  <si>
    <t>69-kV switches 1751, 1753</t>
  </si>
  <si>
    <t>Canyon Ferry</t>
  </si>
  <si>
    <t>100-kV breakers 162, 262, 266, 362, 366 and assoc. switches</t>
  </si>
  <si>
    <t>Carpenter</t>
  </si>
  <si>
    <t>230-kV breakers 182, 382, 486 and assoc. switches</t>
  </si>
  <si>
    <t>Two East River members (Coddington Clark and Kingsbury)</t>
  </si>
  <si>
    <t>station service KW1A, KW3A and assoc. switches</t>
  </si>
  <si>
    <t>CA</t>
  </si>
  <si>
    <t>Carrington</t>
  </si>
  <si>
    <t>115-kV breakers 262, 362 and assoc. switches, switch 161</t>
  </si>
  <si>
    <t>capacitor PX3A</t>
  </si>
  <si>
    <t>station service KW9A and assoc. switches</t>
  </si>
  <si>
    <t>Charlie Creek</t>
  </si>
  <si>
    <t>345-kV breakers 4096, 4192 and assoc switches</t>
  </si>
  <si>
    <t xml:space="preserve">CR </t>
  </si>
  <si>
    <t>Circle</t>
  </si>
  <si>
    <r>
      <t xml:space="preserve">115-kV breakers </t>
    </r>
    <r>
      <rPr>
        <sz val="11"/>
        <color theme="1"/>
        <rFont val="Calibri"/>
        <family val="2"/>
        <scheme val="minor"/>
      </rPr>
      <t>1462, 1562, 1666, 1764, 1864 and assoc. switches</t>
    </r>
  </si>
  <si>
    <t>capacitors PY17A, PY18A</t>
  </si>
  <si>
    <t>reactor KY17A</t>
  </si>
  <si>
    <t>station service KX9A, switches 94x</t>
  </si>
  <si>
    <t>Conrad</t>
  </si>
  <si>
    <t>230-kV breakers 182, 382, 482 and assoc. switches</t>
  </si>
  <si>
    <t>230/115-kV transformer KV1A</t>
  </si>
  <si>
    <t>reactor KW31A, breaker 3124, switch 3123</t>
  </si>
  <si>
    <t>115-kV breaker 1162, 1362, 1452, and assoc. switches / switches 1263, 1265</t>
  </si>
  <si>
    <t>station service KW30A, switch 3023</t>
  </si>
  <si>
    <t>Creston</t>
  </si>
  <si>
    <t>161 kV breakers 162, 262, 362, 466, 562, 662, 762, 964, 8161, 8262 and assoc. switches</t>
  </si>
  <si>
    <t>161/69-kV transformer KY3A</t>
  </si>
  <si>
    <t>capacitors PZ21A and PY9A</t>
  </si>
  <si>
    <t>69-kV breakers 2252, 2352, 2456 and assoc. switches</t>
  </si>
  <si>
    <t>station service KW3A, KW6A, Breakers 323, 623 and assoc. switches</t>
  </si>
  <si>
    <t>Crossover</t>
  </si>
  <si>
    <t>230-kV breakers 582, 586, 786, 882 and assoc. switches</t>
  </si>
  <si>
    <t>to NWMT</t>
  </si>
  <si>
    <t>230-kV switches 981, 983, 985, 987, 989, 990</t>
  </si>
  <si>
    <t>phase shifter KV8A</t>
  </si>
  <si>
    <t>Culbertson East</t>
  </si>
  <si>
    <t>115-kV switches 16x, 26x, 36x</t>
  </si>
  <si>
    <t>two customers (Oreg Generation and Basin Generation)</t>
  </si>
  <si>
    <t>Custer</t>
  </si>
  <si>
    <t>station service KW2A and assoc. switches</t>
  </si>
  <si>
    <t>reactor KW1B and assoc. switches</t>
  </si>
  <si>
    <t>230/69/12.47-kV transformer KV1A</t>
  </si>
  <si>
    <t>reactor KZ2A, 69-kV breaker 2152 and assoc. switches</t>
  </si>
  <si>
    <t>Dawson County</t>
  </si>
  <si>
    <t>115-kV breakers 162, 262, 362, 462, 662, 762, 862 and assoc. switches</t>
  </si>
  <si>
    <t>230-kV breakers 2282, 2382, 2482, 2582, 2682 and assoc switches</t>
  </si>
  <si>
    <t>230/115-kV transformer KU5A</t>
  </si>
  <si>
    <t>reactor KY8A</t>
  </si>
  <si>
    <t>station service KZ2B, KW2B and assoc. switches</t>
  </si>
  <si>
    <t>reactors KZ1A, KZ2A, KZ3A, breakers 3122, 3222, 3322 and assoc. switches</t>
  </si>
  <si>
    <t>Denison</t>
  </si>
  <si>
    <t>161-kV breakers 1362, 1566, 1662 and assoc. switches / switches 1461, 1465</t>
  </si>
  <si>
    <t>230-kV breakers 186, 282, 382, 386 and assoc. switches</t>
  </si>
  <si>
    <t>230/161-kV transformer KV1A</t>
  </si>
  <si>
    <t>reactor KW30A and assoc. switches</t>
  </si>
  <si>
    <t>230/69-kV transformers KV2A and KV3A</t>
  </si>
  <si>
    <t>69-kV breakers 2156, 2254, 2352, 2452, 2652, 2754, 2952, 5152 and assoc. switches</t>
  </si>
  <si>
    <t>capacitors PZ27A, PZ22A</t>
  </si>
  <si>
    <t>reactors KZ27A, KZ22A</t>
  </si>
  <si>
    <t>station service KW30B, KW20C and assoc. switches</t>
  </si>
  <si>
    <t>Devils Lake</t>
  </si>
  <si>
    <t>115-kV breakers 162, 262, 462, 562, 662, 2062 and assoc. switches</t>
  </si>
  <si>
    <t>115-kV switches 361, 365</t>
  </si>
  <si>
    <t>50 percent of 115/41.8-kV transformer KY1A</t>
  </si>
  <si>
    <t>capacitors and maintenance building</t>
  </si>
  <si>
    <t>41.8-kV breaker 1042 and assoc. switches</t>
  </si>
  <si>
    <t>capacitors PX5A, PX5B and assoc. switches</t>
  </si>
  <si>
    <t>station service KX3A and KW4A and assoc. switches</t>
  </si>
  <si>
    <t>transformers KX3B, KW4B and assoc. switches</t>
  </si>
  <si>
    <t>warehouse and maintenance buildings</t>
  </si>
  <si>
    <t>Eagle Butte</t>
  </si>
  <si>
    <t>115-kV breakers 162, 362 and assoc. switches / switch 763</t>
  </si>
  <si>
    <t>Station Service KW1A</t>
  </si>
  <si>
    <t>Edgeley</t>
  </si>
  <si>
    <t xml:space="preserve">115-kV breakers 462, 562, 662, 762 and assoc. switches </t>
  </si>
  <si>
    <t>115/69-kV transformer KY6A</t>
  </si>
  <si>
    <t>69-kV breaker 1352 and assoc. switches</t>
  </si>
  <si>
    <t>capacitor KW31A, breaker 3124 and assoc. switches</t>
  </si>
  <si>
    <t>Elk Creek</t>
  </si>
  <si>
    <t xml:space="preserve">115-kV breakers 1162, 1262, 1462 and assoc switches </t>
  </si>
  <si>
    <t>station service KY22A, switches 2261, 2221</t>
  </si>
  <si>
    <t>Elliot</t>
  </si>
  <si>
    <t>115-kV breakers 262, 362, 462 and assoc switches</t>
  </si>
  <si>
    <t>Enderlin Tap</t>
  </si>
  <si>
    <t>115-kV switches 176x, 196x</t>
  </si>
  <si>
    <t>Exira</t>
  </si>
  <si>
    <t>161-kV breakers 162, 166, 262, 362, 366, 462, 562, 662 and assoc. switches</t>
  </si>
  <si>
    <t>station service KHA</t>
  </si>
  <si>
    <t>Fairview West</t>
  </si>
  <si>
    <t>115-kV breakers 162, 262, 362, 462 and assoc. switches</t>
  </si>
  <si>
    <t>transformer KY20A for station service, switches 2011, 2061</t>
  </si>
  <si>
    <t>Faith</t>
  </si>
  <si>
    <t>115-kV switches 16x and 26x</t>
  </si>
  <si>
    <t>Fargo</t>
  </si>
  <si>
    <t>230-kV breakers 182, 282, 382, 582, 682, 782, 882, 9182 and assoc. switches</t>
  </si>
  <si>
    <t>115-kV breakers 1162, 1262, 1362, 1462, 1662, 1862, 1962, 2362, 2462, 2764, 2864, 2964 and asscoc switches</t>
  </si>
  <si>
    <t>115-kV switch 5461</t>
  </si>
  <si>
    <t>capacitors PY14A, PY14B, PY14C</t>
  </si>
  <si>
    <t>230/115-kV transformers KV1A, KV2A</t>
  </si>
  <si>
    <t>115/69-kV transformers KY3A and KY3B</t>
  </si>
  <si>
    <t>to Minnkota</t>
  </si>
  <si>
    <t>69-kV breakers 3552, 3652 and assoc switches</t>
  </si>
  <si>
    <t>69-kV switches 315x, 335x, 345x</t>
  </si>
  <si>
    <t>station service KY4A, KSB, KSA, switches 5447, 552x</t>
  </si>
  <si>
    <t>13.2-kV breakers 4122, 4322, 4622, 4722, 4822 and assoc. switches</t>
  </si>
  <si>
    <t>reactors KW6A, KW7A, KW8A</t>
  </si>
  <si>
    <t>SVC and associated equipment</t>
  </si>
  <si>
    <t>Flandreau</t>
  </si>
  <si>
    <t>115-kV breakers 1162, 1262, 1362, 1662 and assoc. switches</t>
  </si>
  <si>
    <t>capacitor PY3A</t>
  </si>
  <si>
    <t>station service KZ1A, KW1C switches 302x, 205x, 401x</t>
  </si>
  <si>
    <t>115/69-kV transformer KY1A</t>
  </si>
  <si>
    <t>One East River member, two municipal customers and Basin generation served through KY1A  (Sioux Valley Energy, City of Colman, and City of Madison)</t>
  </si>
  <si>
    <t>69-kV breaker 2152 and assoc. switches</t>
  </si>
  <si>
    <t>One East River member, two municipal customers and Basin generation served through 2152  (Sioux Valley Energy, City of Colman, and City of Madison)</t>
  </si>
  <si>
    <t>Forman</t>
  </si>
  <si>
    <t>115-kV breakers 1162, 1362, 1462, 1562, 1764 and assoc switches</t>
  </si>
  <si>
    <t>capacitor PY7A</t>
  </si>
  <si>
    <t>station service KW9A, switches 92x</t>
  </si>
  <si>
    <t>115/69-kV transformer KY1A, switches 126x</t>
  </si>
  <si>
    <t>69-kV breakers 152, 252, 452 and assoc. switches</t>
  </si>
  <si>
    <t>69-kV switches 353, 355</t>
  </si>
  <si>
    <t>Fort Thompson</t>
  </si>
  <si>
    <t>230-kV breakers 582, 586, 682, 782, 786, 882, 1182, 1186, 1282, 1382, 1386, 1482, 1582, 1586, 1682, 1782, 1786, 1882, 2382, 2386, 2482 and assoc. switches</t>
  </si>
  <si>
    <t>230-kV switches 181, 281, 381, 2583, 2683</t>
  </si>
  <si>
    <t>230/69-kV transformers KV1B, KV1A</t>
  </si>
  <si>
    <t>13.8-kV switches 121, 221, 253, 153, 6323, 6321, 6022, 3121, 3221</t>
  </si>
  <si>
    <t>station service KW1A, KW1B and assoc switches</t>
  </si>
  <si>
    <r>
      <t xml:space="preserve">69-kV breakers </t>
    </r>
    <r>
      <rPr>
        <sz val="11"/>
        <color theme="1"/>
        <rFont val="Calibri"/>
        <family val="2"/>
        <scheme val="minor"/>
      </rPr>
      <t xml:space="preserve"> 4352</t>
    </r>
  </si>
  <si>
    <t>Fort Thompson 2</t>
  </si>
  <si>
    <t>345-kV breakers 3392, 3396 and assoc. switches</t>
  </si>
  <si>
    <t>reactor KU4A, switch 3991</t>
  </si>
  <si>
    <t>345/230-kV transformers KU1A, KU1B and 345-kV switches 2391, 2491</t>
  </si>
  <si>
    <t>reactors KW2A, KW2B, breakers 6422, 6822 and assoc. switches</t>
  </si>
  <si>
    <t>capacitor PW2A</t>
  </si>
  <si>
    <t>reactor KW3A, breaker 6522 and assoc. switches</t>
  </si>
  <si>
    <t>capacitor PW3A</t>
  </si>
  <si>
    <t>station service KW1D, KW1C, switches 662x, 6611, 6311, 632x</t>
  </si>
  <si>
    <t>Glendive</t>
  </si>
  <si>
    <t>115-kV switch 362</t>
  </si>
  <si>
    <t>115/57-kV transformer KY1A</t>
  </si>
  <si>
    <t>2 customers - MDU and Lower Yellowstone</t>
  </si>
  <si>
    <t>57-kV breaker 342 and assoc. switches</t>
  </si>
  <si>
    <t>Grand Forks</t>
  </si>
  <si>
    <t>230-kV breakers 286, 382, 486 and associated switches / switches 183 and 580</t>
  </si>
  <si>
    <t>reactor KW43A, breaker 4324 and assoc. switches</t>
  </si>
  <si>
    <t>station service KW41A, KW42A and associated switches</t>
  </si>
  <si>
    <t>115-kV breakers 1462, 1562, 1662, 1862, 1962 and assoc. switches</t>
  </si>
  <si>
    <t>115/69-kV transformer KY2B, switch 3261 and 3259</t>
  </si>
  <si>
    <t>69-kV breakers 2252, 2352, 2452, 2552 and assoc. switches / switches 2151, 2153</t>
  </si>
  <si>
    <t>2452 to MPC, 2552 to NSP</t>
  </si>
  <si>
    <t>capacitors PZ3A, PZ3B, switches 335x, 345x</t>
  </si>
  <si>
    <t>Grand Island</t>
  </si>
  <si>
    <t>345-kV breakers 1092, 1192, 1196, 1292, 1596, 1592, 1692, 1796 and assoc. switches</t>
  </si>
  <si>
    <t>reactor KU4A, switch 1098</t>
  </si>
  <si>
    <t>reactors KW1B, KW1A, breakers 5122, 5022 and assoc. switches</t>
  </si>
  <si>
    <t>345/230-kV transformers KU1A, KU1B and switch 293</t>
  </si>
  <si>
    <t>reactors KW2A, breakers 6022 and assoc. switches</t>
  </si>
  <si>
    <t>station service KHA, KHB and assoc switches</t>
  </si>
  <si>
    <t>Grande Prairie</t>
  </si>
  <si>
    <t>345-kV breakers 196, 292, 396, 298, 198 and assoc. switches</t>
  </si>
  <si>
    <t>reactors KU1A and KU2A</t>
  </si>
  <si>
    <t>Granite Falls</t>
  </si>
  <si>
    <t>230-kV breakers 184, 282, 382, 486, 582, 682, 782, 882, 1082, 1184, 9182 and assoc. switches</t>
  </si>
  <si>
    <t>capacitors PV1A, PV11A</t>
  </si>
  <si>
    <t>reactors KV1A, KV11A</t>
  </si>
  <si>
    <t>reactors KW3A, KW54A, KW55A, KW56A, KW57A</t>
  </si>
  <si>
    <t>13.8-kV breakers 5424, 5524, 5624, 5724 with assoc. switches and switches 5121, 5123</t>
  </si>
  <si>
    <t>115-kV breakers 2062, 2262, 2366, 2762, 3162, 8162 and assoc. switches</t>
  </si>
  <si>
    <t>115-kV switches 246x, 296x</t>
  </si>
  <si>
    <t>capacitors PY25A, PY26A, breakers 2564, 2664 and assoc. switches</t>
  </si>
  <si>
    <t>reactors KY25A, KY26A</t>
  </si>
  <si>
    <t xml:space="preserve">station service KW50A, KW51A and assoc switches </t>
  </si>
  <si>
    <t>Great Falls</t>
  </si>
  <si>
    <t>230-kV breakers 230/99, 230/100, 230/22, 230/23 and assoc. switches</t>
  </si>
  <si>
    <t>in NWMT Great Falls Sub</t>
  </si>
  <si>
    <t>230 kV switch 26B</t>
  </si>
  <si>
    <t>161-kV breaker 162 and assoc switchers</t>
  </si>
  <si>
    <t>station service KW1A and switch 221</t>
  </si>
  <si>
    <t>Gregory</t>
  </si>
  <si>
    <t>115-kV breakers 162, 262, 762 and assoc. switches</t>
  </si>
  <si>
    <t>station service KW1A and switch 521</t>
  </si>
  <si>
    <t>Groton</t>
  </si>
  <si>
    <t>115-kV  breakers 262, 362, 462, 562, 862, 966 and assoc. switches / switches 16x</t>
  </si>
  <si>
    <t>862 due to Groton Synch Condensor</t>
  </si>
  <si>
    <t>115-kV switches 16x, 126x</t>
  </si>
  <si>
    <t xml:space="preserve">115/69-kV transformer KY1A </t>
  </si>
  <si>
    <t>Two East River members served through KY1A (Lake Region, Northern)</t>
  </si>
  <si>
    <t>station service KZ1A and KW2A</t>
  </si>
  <si>
    <t xml:space="preserve">115/69-kV transformer KY2A </t>
  </si>
  <si>
    <t>NWPS line is networked and included</t>
  </si>
  <si>
    <t>69-kV breakers 1152 and 1352 and assoc. switches</t>
  </si>
  <si>
    <t>East River 2 customers</t>
  </si>
  <si>
    <t>Groton South</t>
  </si>
  <si>
    <t>115-kV breakers 1162, 1262, 1266, 1362, 1462, 1466, 1562, 1662, 1666, 2062, 2066 and assoc. switches</t>
  </si>
  <si>
    <t>Havre</t>
  </si>
  <si>
    <t>161-kV breakers 162, 262, 362 and assoc. switches</t>
  </si>
  <si>
    <t>115-kV breaker 1362, 1462, 1562, 1662 and assoc. switches</t>
  </si>
  <si>
    <t>Hill County Coop and Tiber LLC</t>
  </si>
  <si>
    <t xml:space="preserve">161/115-kV transformer KZ1A </t>
  </si>
  <si>
    <t>12.47-kv breaker 522 and assoc switches</t>
  </si>
  <si>
    <t>reactor KW1A</t>
  </si>
  <si>
    <t>station service KW1E, KW2A, switches 921, 221, 223</t>
  </si>
  <si>
    <t>Hebron</t>
  </si>
  <si>
    <t>230-kV breakers 586, 682, 882, 986 and assoc switches</t>
  </si>
  <si>
    <t>Hilken</t>
  </si>
  <si>
    <t>230-kV breakers 186, 386, 482 and assoc. switches</t>
  </si>
  <si>
    <t>Huron</t>
  </si>
  <si>
    <t>230-kV breakers 582, 586, 782, 786, 882 and assoc. switches, switches 181, 281</t>
  </si>
  <si>
    <t>230/115-kV transformers KV1A</t>
  </si>
  <si>
    <t>reactors KW1A, KW3A, breakers 132, 332 and assoc. switches</t>
  </si>
  <si>
    <t>station service KW1C, KW1D and assoc. switches</t>
  </si>
  <si>
    <t>115-kV breakers 1062, 1162, 1362, 1962 and assoc. switches, switches 126x, 1761</t>
  </si>
  <si>
    <t>JT</t>
  </si>
  <si>
    <t>Jamestown</t>
  </si>
  <si>
    <t>230-kV breakers 3182, 3282, 3382, 3482, 3582, 3682, 3782, 3882, 3982, 9182 and assoc switches</t>
  </si>
  <si>
    <t>115-kV breakers 162, 262, 362, 462, 562, 762, 1864, 1964, 2064 and assoc switches</t>
  </si>
  <si>
    <t>not 662 - to OTP N.O.</t>
  </si>
  <si>
    <t>capacitors PY20A, PY19A</t>
  </si>
  <si>
    <t>reactors KY20A, KY19A, KY7A</t>
  </si>
  <si>
    <t>230/115-kV transformers KU3A, KU6A</t>
  </si>
  <si>
    <t>reactor KW21A, breaker 2122 and assoc. switches</t>
  </si>
  <si>
    <t>station service KWA, KWB switches 222x, 232x</t>
  </si>
  <si>
    <t>station service KW4B, wiches 242x, 252x 302x</t>
  </si>
  <si>
    <t>reactor KW26A, breaker 2622 and assoc. switches</t>
  </si>
  <si>
    <t>Killdeer</t>
  </si>
  <si>
    <t>115-kV breakers 162, 166, 366, 462 and assoc. switches</t>
  </si>
  <si>
    <t>Capacitor PY2A, 115-kV breaker 264 and assoc. switches</t>
  </si>
  <si>
    <t>station service KY1A, switch 3163, KX3A and assoc. switches</t>
  </si>
  <si>
    <t>Lakota</t>
  </si>
  <si>
    <t>115-kV breaker 162 and assoc switches</t>
  </si>
  <si>
    <t>station service KW1A, switches 825, 921</t>
  </si>
  <si>
    <t>Leeds</t>
  </si>
  <si>
    <t>115-kV breakers 262, 362, 462, 562 and assoc. switches</t>
  </si>
  <si>
    <t>capacitor PZ4A, breaker 744 and assoc. switches</t>
  </si>
  <si>
    <t>115/69-kV transformer KY1A, switches 161, 162</t>
  </si>
  <si>
    <t>69-kV breakers 444, 544 and assoc switches / switch 143</t>
  </si>
  <si>
    <t>station service KW3B and switch 1021</t>
  </si>
  <si>
    <t>Letcher</t>
  </si>
  <si>
    <t>230-kV breakers 382, 582, 686 and assoc. switches</t>
  </si>
  <si>
    <t>NWPS line to Mitchell is Networked</t>
  </si>
  <si>
    <t>230/115-kV transformer KV3A</t>
  </si>
  <si>
    <t>115-kV breakers 1266, 1362, 1562 and assoc. switches</t>
  </si>
  <si>
    <t>station service KW3B and assoc switches</t>
  </si>
  <si>
    <t>Martin</t>
  </si>
  <si>
    <t>115-kV breakers 2161, 2262, 2362, 2466, 2562, 2662, 2764 and assoc. switches</t>
  </si>
  <si>
    <t>station service KW18A and switch 1823, 1821, 1811, 1711</t>
  </si>
  <si>
    <t>Maurine</t>
  </si>
  <si>
    <t>230-kV breakers 182, 282, 582 and assoc. switches</t>
  </si>
  <si>
    <r>
      <t xml:space="preserve">115-kV breakers 1362, 1462, 1562, 1662, </t>
    </r>
    <r>
      <rPr>
        <sz val="11"/>
        <color theme="1"/>
        <rFont val="Calibri"/>
        <family val="2"/>
      </rPr>
      <t>1964, 2064 and assoc switches</t>
    </r>
  </si>
  <si>
    <t>capacitors PY19A, PY20A</t>
  </si>
  <si>
    <t>reactors KY19A, KY20A</t>
  </si>
  <si>
    <t>reactor KW32A, breaker 3224 and assoc switches</t>
  </si>
  <si>
    <t>station service KW30A, KW31A and assoc switches</t>
  </si>
  <si>
    <t>Midland</t>
  </si>
  <si>
    <t>115-kV switches 16x and 26x / switch 361</t>
  </si>
  <si>
    <t>station service KW20A, switches 2031, 2011, 3011</t>
  </si>
  <si>
    <t>Miles City</t>
  </si>
  <si>
    <t>57-kV breaker 152 and assoc. switches</t>
  </si>
  <si>
    <t>2 customers (MDU, Kinsey Irrigation)</t>
  </si>
  <si>
    <t>Miles City 2</t>
  </si>
  <si>
    <t>230-kV breakers 382, 386, 482, 582 and assoc. switches and switch 783</t>
  </si>
  <si>
    <t>115-kV breakers 1362, 1462, 1662 and assoc. switches, switches 1161 and 1165</t>
  </si>
  <si>
    <t>reactor KW7A, breaker 724 and assoc switches</t>
  </si>
  <si>
    <t>capacitor and assoc breaker and switches</t>
  </si>
  <si>
    <t>station service K2, K1 and assoc switches</t>
  </si>
  <si>
    <t>13.8-kV SS to Miles City DC Converter Station</t>
  </si>
  <si>
    <t>Miles City 3</t>
  </si>
  <si>
    <t>All Facilities and Equipment</t>
  </si>
  <si>
    <t>Mingusville</t>
  </si>
  <si>
    <t>230-kV breakers 182, 282, 382 and assoc. switches, and line disconnects</t>
  </si>
  <si>
    <t>station service transformer KV10A and station service equipment</t>
  </si>
  <si>
    <t>Mission</t>
  </si>
  <si>
    <t>115-kV breakers 162, 262, 462 and assoc. switches, switches 863, 865</t>
  </si>
  <si>
    <t>reactors KY30A, KY31A, KY7A</t>
  </si>
  <si>
    <t>capacitors PY30A, PY31A</t>
  </si>
  <si>
    <t>115-kV breakers 764, 3064, 3164 and assoc. switches</t>
  </si>
  <si>
    <t>station service KX2A, KX1A and switches 243x, 253x</t>
  </si>
  <si>
    <t>Morris</t>
  </si>
  <si>
    <t>230-kV breakers 182, 382, 482, 582 and assoc switches</t>
  </si>
  <si>
    <t>115-kV breakers 1162, 1462, 1562, 1762 and assoc switches</t>
  </si>
  <si>
    <t>station service KW1B and switches 512x</t>
  </si>
  <si>
    <t>Mount Vernon</t>
  </si>
  <si>
    <t>115-kV breakers 162, 262 and assoc switches</t>
  </si>
  <si>
    <t>station service KZ1A and assoc switches</t>
  </si>
  <si>
    <t>One East River member and one municipal customer served through KY1A and East River 1952 (Central and City of Plankinton)</t>
  </si>
  <si>
    <t>Nelson Tap</t>
  </si>
  <si>
    <t>New Underwood</t>
  </si>
  <si>
    <t>230-kV breakers 282, 382, 384, 484, 582, 682, 782, 882, 986, 9182, 9282 and assoc switches</t>
  </si>
  <si>
    <t>reactor KV3A, KV4A</t>
  </si>
  <si>
    <t>230/115-kV transformers KV2A, KV1A</t>
  </si>
  <si>
    <t>115-kV breakers 1262, 1362, 1462, 1562, 1662, 1866, 8162, 8262 and assoc switches</t>
  </si>
  <si>
    <t>13.8-kV breaker 4522, 4022, 4122, 4222 and assoc switches</t>
  </si>
  <si>
    <t>reactor KW45A, KW40A, KW41A, KW42A</t>
  </si>
  <si>
    <t>Newell</t>
  </si>
  <si>
    <t>115-kV switches 116x, 1262, 136x</t>
  </si>
  <si>
    <t>2 customers: Butte Electric and West River</t>
  </si>
  <si>
    <t>Station Service KW1A and assoc equipment</t>
  </si>
  <si>
    <t>O'Fallon Creek</t>
  </si>
  <si>
    <t>115-kV breakers 162, 262, 362 and assoc switches</t>
  </si>
  <si>
    <t>2 customers: Buffalo Rapids Irrigation and Tongue River Electric</t>
  </si>
  <si>
    <t>69kV breaker 452 and assoc switches</t>
  </si>
  <si>
    <t>Station Service KW1B</t>
  </si>
  <si>
    <t>Pace Yellowtail</t>
  </si>
  <si>
    <t>230-kV breakers IH278, IH296 and assoc switches</t>
  </si>
  <si>
    <t>Philip</t>
  </si>
  <si>
    <t>115-kV breakers 1462, 1562, 1762, 1862 and assoc switches</t>
  </si>
  <si>
    <t>station service KW32A, KW31A and assoc switches</t>
  </si>
  <si>
    <t>Pierre</t>
  </si>
  <si>
    <t>115-kV breakers 162, 362, 662, 862 and assoc switches</t>
  </si>
  <si>
    <t>115-kV switches 563, 565, 761</t>
  </si>
  <si>
    <t>station service KW1A, KW2A, KW1B, switches 271x, 281x, 302x</t>
  </si>
  <si>
    <t>69kV breaker 1252 and assoc breakers</t>
  </si>
  <si>
    <t>One East River member and two irrigation districts served through KY2A and 1252 (Oahe, Grey Goose Irrigation and Crow Creek Irrigation)</t>
  </si>
  <si>
    <t>Station Service KW1D, KW1E, KW1F and assoc switches</t>
  </si>
  <si>
    <t>Rapid City</t>
  </si>
  <si>
    <t>115-kV breakers 162, 262, 362, 462, 562, 664, 766, 862, 2164 and assoc switches</t>
  </si>
  <si>
    <t>reactors KY10A, KY21A</t>
  </si>
  <si>
    <t>capacitors PY6A, PY21A</t>
  </si>
  <si>
    <t>station service KW20A, KW43A KW42A, switches 202x, 422x, 432x, 431x</t>
  </si>
  <si>
    <t>Roberts County</t>
  </si>
  <si>
    <t>115-kV breakers 2162, 2262, 2362 and assoc switches</t>
  </si>
  <si>
    <t>69-kV breakers 5152, 5252, 5456, 5652 and assoc switches</t>
  </si>
  <si>
    <t>station service KY21A</t>
  </si>
  <si>
    <t>Rolla</t>
  </si>
  <si>
    <t>115-kV breaker 1162 and assoc switches</t>
  </si>
  <si>
    <t>Rudyard</t>
  </si>
  <si>
    <t>115-kV switches 260, 261, 160, 161</t>
  </si>
  <si>
    <t>station service KW1A, switches 521, 523</t>
  </si>
  <si>
    <t>Rugby</t>
  </si>
  <si>
    <t>115-kV breakers 1262, 1362, 1462, 1566, 1662, 1762, 1864, 1966 and assoc switches</t>
  </si>
  <si>
    <t>capacitor PY8A</t>
  </si>
  <si>
    <t>reactor KY2A</t>
  </si>
  <si>
    <t>Station Service KX2A, KW1A and assoc. switches and equipment</t>
  </si>
  <si>
    <t>Shelby 2</t>
  </si>
  <si>
    <r>
      <t xml:space="preserve">115-kV breakers 1062, </t>
    </r>
    <r>
      <rPr>
        <sz val="11"/>
        <color theme="1"/>
        <rFont val="Calibri"/>
        <family val="2"/>
        <scheme val="minor"/>
      </rPr>
      <t>1362, 1462 and assoc. switches, switches 1263, 1265</t>
    </r>
  </si>
  <si>
    <t>reactor KW3A, breaker 3124 and assoc switches</t>
  </si>
  <si>
    <t>230-kV breakers 482, switches 481, 383, 281, 183</t>
  </si>
  <si>
    <t>SC</t>
  </si>
  <si>
    <t>Sioux City</t>
  </si>
  <si>
    <t>230-kV breakers 182, 282, 382, 482, 582, 682, 9182 and assoc switches, switch 7283</t>
  </si>
  <si>
    <t>230/161-kV transformers KV1A and KV5A</t>
  </si>
  <si>
    <t>161-kV breakers 1062, 1162, 1262, 1362, 1562, 1662, 8162</t>
  </si>
  <si>
    <t>reactors KW53A, KW54A, breakers 5324, 5424 and assoc switches</t>
  </si>
  <si>
    <t>station service KW1B, KW1C, switches 502x, 512x, 522x</t>
  </si>
  <si>
    <t>69-kV breakers 2156, 2352, 2852, 2952, 3052, 3152 and assoc switches</t>
  </si>
  <si>
    <t>to NIPCO (looped) and MEC</t>
  </si>
  <si>
    <t>Sioux City 2</t>
  </si>
  <si>
    <t>345-kV breakers 8498, 8592, 8692, 8696 and assoc switches</t>
  </si>
  <si>
    <t>reactor KU6A</t>
  </si>
  <si>
    <t>345/230-kV transformers KU1A, KU1B, switches 8091, 8081, 8291, 8281</t>
  </si>
  <si>
    <t>230-kV breakers 7382, 7482 and assoc switches</t>
  </si>
  <si>
    <t>reactors KW10A, KW10B, breakers 5522, 5622 and assoc switches</t>
  </si>
  <si>
    <t>station service K1, K2 and assoc switches</t>
  </si>
  <si>
    <t>Sioux Falls</t>
  </si>
  <si>
    <t>230-kV breakers 2182, 2282, 2382, 2482, 2582, 2682, 2782, 9182 and assoc switches</t>
  </si>
  <si>
    <t>230/115-kV transformers KV3A, KV5A</t>
  </si>
  <si>
    <t>reactors KW31A, KW51A</t>
  </si>
  <si>
    <t>breakers 3124, 5124 and assoc switches</t>
  </si>
  <si>
    <t>station service KW33A, KW53A, KZ1A, switches 33xx, 53xx, 1851</t>
  </si>
  <si>
    <r>
      <t>115-kV breakers 162, 262, 362, 462, 562, 662</t>
    </r>
    <r>
      <rPr>
        <sz val="11"/>
        <rFont val="Calibri"/>
        <family val="2"/>
      </rPr>
      <t xml:space="preserve">, 762, </t>
    </r>
    <r>
      <rPr>
        <sz val="11"/>
        <color theme="1"/>
        <rFont val="Calibri"/>
        <family val="2"/>
        <scheme val="minor"/>
      </rPr>
      <t>966, 7162 and assoc switches</t>
    </r>
  </si>
  <si>
    <t>Spencer</t>
  </si>
  <si>
    <t>161-kV breakers 162,462,562, 662 and assoc switches</t>
  </si>
  <si>
    <t>Reactor PY6A</t>
  </si>
  <si>
    <t>161/69-kV transformer KY1A</t>
  </si>
  <si>
    <t>69-kV breakers 1142, 1242, 1342, 1442, 1542 and assoc switches</t>
  </si>
  <si>
    <t>to NIPCO and Wisdom Sub</t>
  </si>
  <si>
    <t>station service KW10A and assoc switches</t>
  </si>
  <si>
    <t>Stegall</t>
  </si>
  <si>
    <t>230 kV main and transfer bus, breaker 382 and assoc switches</t>
  </si>
  <si>
    <t>Reactor KV3A, breaker 384 and assoc. switches</t>
  </si>
  <si>
    <t>Sulphur</t>
  </si>
  <si>
    <t>115 kV breakers 162, 362, 462, interrupter 263 and assoc switches and station service</t>
  </si>
  <si>
    <t>Summit</t>
  </si>
  <si>
    <t xml:space="preserve">115-kV breakers 262, 362, 462, 562, 762, and assoc switches , switch 163 </t>
  </si>
  <si>
    <t>station service KZ1A, switch 1351</t>
  </si>
  <si>
    <t>Four East River members served through KY1A (Whetstone, Lake Region, Traverse, and Codington-Clark)</t>
  </si>
  <si>
    <t>69 kV breaker 1152 and assoc. switches</t>
  </si>
  <si>
    <t>Three East River members served through 1152 (Whetstone, Lake Region, and Traverse)</t>
  </si>
  <si>
    <t>Tiber</t>
  </si>
  <si>
    <t>115-kV switches 1260, 1261</t>
  </si>
  <si>
    <t>2 customers (generator and Marias)</t>
  </si>
  <si>
    <t>Towner</t>
  </si>
  <si>
    <t>115-kV breakers 2166, 2262, 2362, and new bay, interrupter 161 and assoc switches</t>
  </si>
  <si>
    <t>station service KY1A1</t>
  </si>
  <si>
    <t>Tyndall</t>
  </si>
  <si>
    <t>115-kV switches 16x, 26x, 361</t>
  </si>
  <si>
    <t>Station Service KZ1A and switches 351 and 751</t>
  </si>
  <si>
    <t>Utica Junction</t>
  </si>
  <si>
    <t>230-kV breakers 282, 286, 382, 482, 486, 582, 682, 686 and assoc switches</t>
  </si>
  <si>
    <t>115-kV breakers 1266, 1362, 1562, 1762 and assoc switches</t>
  </si>
  <si>
    <t>station service KW3A and assoc switches</t>
  </si>
  <si>
    <t>Valley City</t>
  </si>
  <si>
    <t>115-kV 162, 262, 362, 462, 562 and assoc switches</t>
  </si>
  <si>
    <t>2 customers (Minnkota Power and City of Valley City)</t>
  </si>
  <si>
    <t>station service KW2A and switch 321</t>
  </si>
  <si>
    <t>Virgil Fodness</t>
  </si>
  <si>
    <t>230-kV breakers 382, 386, 482, 486 and assoc switches</t>
  </si>
  <si>
    <t>230-kV switches 185 and 283</t>
  </si>
  <si>
    <t>VT Hanlon</t>
  </si>
  <si>
    <t>230-kV breakers 382, 482, 582, 682, 686 and assoc switches</t>
  </si>
  <si>
    <t>Reactor KW70A and breaker 7024</t>
  </si>
  <si>
    <t>69-kV breaker 5053 and assoc switch</t>
  </si>
  <si>
    <t>station service KW60A, KW24A, breaker 7423 and assoc switches</t>
  </si>
  <si>
    <t>Wall</t>
  </si>
  <si>
    <t>115-kV switches 16x, 26x, 36x, 461</t>
  </si>
  <si>
    <t>station service KW1B, switch 821</t>
  </si>
  <si>
    <t>Wanblee Tap</t>
  </si>
  <si>
    <t>115-kV interrupters 162 and 262 and assoc. switches</t>
  </si>
  <si>
    <t>Zero costs, customer funded</t>
  </si>
  <si>
    <t>Ward</t>
  </si>
  <si>
    <t>230-kV breakers 182, 282, 286 and assoc switches</t>
  </si>
  <si>
    <t>new 230-kV breaker in ring bus</t>
  </si>
  <si>
    <t>Washburn</t>
  </si>
  <si>
    <t>230-kV switches 18x, 28x</t>
  </si>
  <si>
    <t>station service KX3A, KW9A and assoc switches</t>
  </si>
  <si>
    <t>Watertown</t>
  </si>
  <si>
    <t>230-kV breakers 182, 282, 382, 482, 582, 682, 882, 984, 1082, 1182, 9182 and assoc switches</t>
  </si>
  <si>
    <t>reactor KV9A</t>
  </si>
  <si>
    <t>capacitor PV9A</t>
  </si>
  <si>
    <t>230/115-kV transformers KV2A, KV8A</t>
  </si>
  <si>
    <t>115-kV breakers 862, 1162, 1262, 1362, 1562, 1762, 1862, 1962, 8162 and assoc switches</t>
  </si>
  <si>
    <t>1762 - two customers MRES and NorthWestern Energy</t>
  </si>
  <si>
    <t>station service KY3A, KHA, KHB, K1, K2 and assoc switches</t>
  </si>
  <si>
    <t>reactor KW1A, breaker 3122 and assoc switches</t>
  </si>
  <si>
    <t>13.2-kV switches 372x, 362x, 82x</t>
  </si>
  <si>
    <t>115/69 kV transformer KY3A</t>
  </si>
  <si>
    <t>Two East River members are served through KY3A (Codington-Clark and H-D)</t>
  </si>
  <si>
    <t>69 kV breaker 2752 and assoc switches</t>
  </si>
  <si>
    <t>Two East River members served through 2752 (Codington-Clark and H-D)</t>
  </si>
  <si>
    <t>Watertown 2</t>
  </si>
  <si>
    <t>345-kV breakers 7296, 7292, 7398 and assoc switches</t>
  </si>
  <si>
    <t>reactor KU3A</t>
  </si>
  <si>
    <t>Watertown Static Var</t>
  </si>
  <si>
    <t>Watford City</t>
  </si>
  <si>
    <t>230-kV breakers 682, 782, 882 and assoc switches</t>
  </si>
  <si>
    <t>230-kV switches 282, 283, 182, 183</t>
  </si>
  <si>
    <t>station service KW1B, switches 121, 123</t>
  </si>
  <si>
    <t>reactor KY16A, switches 166x</t>
  </si>
  <si>
    <t>capacitor PY16A</t>
  </si>
  <si>
    <t>115-kV breakers 1262, 1362 and assoc switches</t>
  </si>
  <si>
    <t>reactor KY17A, switches 176x</t>
  </si>
  <si>
    <t>capacitor PY17A</t>
  </si>
  <si>
    <t>230-kV Bay Addition</t>
  </si>
  <si>
    <t xml:space="preserve">MDU </t>
  </si>
  <si>
    <t>Wessington Springs</t>
  </si>
  <si>
    <t>230-kV breakers 586, 682, 786, 882 and assoc switches</t>
  </si>
  <si>
    <t>Station Service</t>
  </si>
  <si>
    <t>WH</t>
  </si>
  <si>
    <t>Whately</t>
  </si>
  <si>
    <t>69 kV switches 151, 351</t>
  </si>
  <si>
    <t>White</t>
  </si>
  <si>
    <t>345-kV breakers 292, 296, 392, 396, 492, 496, 592, 596 and assoc switches</t>
  </si>
  <si>
    <t>115-kV breakers 2262, 2362, and assoc switches</t>
  </si>
  <si>
    <t>345/115-kV transformer KU1A, switches 2163, 2165</t>
  </si>
  <si>
    <t>station service KWA, KWB switches 312x, 3311, 3511</t>
  </si>
  <si>
    <t>Wicksville</t>
  </si>
  <si>
    <t>115-kV breakers 162, 262, and assoc switches / switch 361</t>
  </si>
  <si>
    <t>Williston</t>
  </si>
  <si>
    <t>115-kV breakers 1162, 1262, 1362, 1462, 1562, 1662, 1762, 1866 and assoc switches</t>
  </si>
  <si>
    <t>115/57-kV transformers KY4B, switches 2465, 2469</t>
  </si>
  <si>
    <t>to MDU</t>
  </si>
  <si>
    <t>57-kV breakers 3152, 3252, 3352, 3452 and assoc switches</t>
  </si>
  <si>
    <t>Williston 2</t>
  </si>
  <si>
    <t xml:space="preserve">230-kV breakers 182, 286, 382, 482, 486, 582, 686 and assoc switches </t>
  </si>
  <si>
    <t>115-kV breakers 2162, 2266, 2362, 2466, 2562, 2662, 2666 and assoc switches</t>
  </si>
  <si>
    <t>Reactors KW1C and KW2C, breakers 1224 and 2224 and switches 1223 and 2223</t>
  </si>
  <si>
    <t>station service KW1B, KW2B and assoc switches</t>
  </si>
  <si>
    <t>Winner</t>
  </si>
  <si>
    <t>115-kV breakers 162, 362, 462, 1062 and assoc switches / switches 661, 761</t>
  </si>
  <si>
    <t>reactor KY10A</t>
  </si>
  <si>
    <t>capacitor PY10A, PY11A, switches 1160, 1161</t>
  </si>
  <si>
    <t>Wolf Point</t>
  </si>
  <si>
    <t>115-kV breakers 1362, 1562, 1662, 1762, 1862 and assoc switches/switches 1963, 1965</t>
  </si>
  <si>
    <t>station service KW1A</t>
  </si>
  <si>
    <t>Woonsocket</t>
  </si>
  <si>
    <t>115-kV breakers 162, 262 and assoc switches/ switches 361 and 861</t>
  </si>
  <si>
    <t>station service KX1A, KW1B and assoc switches</t>
  </si>
  <si>
    <t>Transmission Lines</t>
  </si>
  <si>
    <t>CANYON FERRY - LAKE HELENA</t>
  </si>
  <si>
    <t>CHARLIE CREEK - BEULAH</t>
  </si>
  <si>
    <t>230-kV</t>
  </si>
  <si>
    <t>FORT PECK-DAWSON #1</t>
  </si>
  <si>
    <t>FORT PECK-DAWSON #2</t>
  </si>
  <si>
    <t>161-kV</t>
  </si>
  <si>
    <t>69-kV</t>
  </si>
  <si>
    <t>HAVRE-VERONA</t>
  </si>
  <si>
    <t>115-kV</t>
  </si>
  <si>
    <t>VERONA GREAT FALLS</t>
  </si>
  <si>
    <t>YELLOWTAIL-YELLOWTAIL (PACE)</t>
  </si>
  <si>
    <t>230-kV, 110 MW Capacity Rights on RMR Line</t>
  </si>
  <si>
    <t>Taps</t>
  </si>
  <si>
    <t>Denbigh Tap</t>
  </si>
  <si>
    <t>115kV breakers 1362, 1562 and assoc switches</t>
  </si>
  <si>
    <t>O'Neill</t>
  </si>
  <si>
    <t>115-kV inerrupters and switches</t>
  </si>
  <si>
    <t>Penn Tap</t>
  </si>
  <si>
    <t>Pleasant Lake Tap</t>
  </si>
  <si>
    <t>115-kV switches 56x, 66x</t>
  </si>
  <si>
    <t>Shirley Tap</t>
  </si>
  <si>
    <t>115-kV switches 561, 560</t>
  </si>
  <si>
    <t>Terry Tap</t>
  </si>
  <si>
    <t>115-kV switches 160, 161, 260, 261, 361</t>
  </si>
  <si>
    <t>Tiber Tap</t>
  </si>
  <si>
    <t>115-kV switches 163, 260, 261, 360, 361</t>
  </si>
  <si>
    <t>2 customers from Tiber (Bureau of Reclamation and Tiber LLC)</t>
  </si>
  <si>
    <t>Vetal Tap</t>
  </si>
  <si>
    <t>O&amp;M Service &amp; Maintenance Centers</t>
  </si>
  <si>
    <t>Operation Centers</t>
  </si>
  <si>
    <t>Mobile Equipment</t>
  </si>
  <si>
    <t>Transmission-Related Generation Facilities</t>
  </si>
  <si>
    <t>Communication Facilities</t>
  </si>
  <si>
    <t>SCADA</t>
  </si>
  <si>
    <t>meters for NWMT NITS from Havre</t>
  </si>
  <si>
    <t>microwave, RTU</t>
  </si>
  <si>
    <t>Bison</t>
  </si>
  <si>
    <t>microwave alarm system</t>
  </si>
  <si>
    <t>meters for Central MT (Basin NITS)</t>
  </si>
  <si>
    <t>communications equipment</t>
  </si>
  <si>
    <t>microwave, RTU, SCADA</t>
  </si>
  <si>
    <t>fiber, microwave, SCADA</t>
  </si>
  <si>
    <t>radio, quarters, fence</t>
  </si>
  <si>
    <t>E/W</t>
  </si>
  <si>
    <t>Fort Randall</t>
  </si>
  <si>
    <t>Multiplexer, Termination Equiment</t>
  </si>
  <si>
    <t>RTU, PTs</t>
  </si>
  <si>
    <t>meters NWMT NITS from Great Falls</t>
  </si>
  <si>
    <t>RTU, SCADA</t>
  </si>
  <si>
    <t>Mandan</t>
  </si>
  <si>
    <t>multiplexer</t>
  </si>
  <si>
    <t>MILES CITY SUB (BEFP)</t>
  </si>
  <si>
    <t>antenna, meters for MDU</t>
  </si>
  <si>
    <t>SAVAGE</t>
  </si>
  <si>
    <t>land, steel structure, meter equipment</t>
  </si>
  <si>
    <t>meters to MDU</t>
  </si>
  <si>
    <t>fiber termination equipment</t>
  </si>
  <si>
    <t>Verona</t>
  </si>
  <si>
    <t>comm, miltiplex, battery</t>
  </si>
  <si>
    <t>Whately (Northern)</t>
  </si>
  <si>
    <t>Instrument Transformer</t>
  </si>
  <si>
    <t>multiplexer, channel bank, SCADA</t>
  </si>
  <si>
    <t>Miles City Converter Station</t>
  </si>
  <si>
    <t>Rocky Mountain Region Facilities</t>
  </si>
  <si>
    <t>SGQ</t>
  </si>
  <si>
    <t>230-kV breakers 182, 282, 9182 and assoc switches</t>
  </si>
  <si>
    <t>Corps Switchyard Facilities</t>
  </si>
  <si>
    <t>Big Bend</t>
  </si>
  <si>
    <t>230-kV interrupters 1083, 7089, 4083 and assoc. switches</t>
  </si>
  <si>
    <t>Fort Peck</t>
  </si>
  <si>
    <t>69-kV breaker 1142 and assoc. switches</t>
  </si>
  <si>
    <t>161-kV breaker 762</t>
  </si>
  <si>
    <t>115-kV breakers 772, 776, 1572, 1576, 1672, 1676 and assoc switches</t>
  </si>
  <si>
    <t>230-kV breaker 1382 and associated switches</t>
  </si>
  <si>
    <t>230/115-kV transformer</t>
  </si>
  <si>
    <t>161/115-kV transformer KV7A</t>
  </si>
  <si>
    <t>230-kV breakers 1182, 1186, 1282, 1286, 1382, 1386, 1982, 1986, 2182, 2186, 2282, 2286, 2382, 2386, 2482, 2486, 2682, 2686 and assoc breakers</t>
  </si>
  <si>
    <t>115-kV breakers 962, 966, 1562, 1556, 1662, 1666, 1762, 1766, 1862, 1866, 1962, 1966 and assoc switches</t>
  </si>
  <si>
    <t>2 - 230/115-kV transformers</t>
  </si>
  <si>
    <t>Garrison</t>
  </si>
  <si>
    <t>115-kV breakers 2062, 2066, 2162, 2166, 2262, 2266, 2362, 2366, 2462, 2466, 2562, 2566, 2662, 2666, 2769 and assoc switches</t>
  </si>
  <si>
    <t>230-kV breakers 3389, 3482, 3486, 3682, 3686, 3782, 3786, 3882, 3886, 3982, 3986, 4082, 4086, 4182, 4186 and assoc switches, switches 33xx</t>
  </si>
  <si>
    <t>Gavins Point</t>
  </si>
  <si>
    <t>115-kV breakers 462, 562, 662, 762, 862 and assoc switches</t>
  </si>
  <si>
    <t>Oahe</t>
  </si>
  <si>
    <t>230-kV breakers 2182, 2282, 2286, 2382, 2482, 2486, 2582, 2682, 2782, 2982, 3082 and assoc switches</t>
  </si>
  <si>
    <t>115-kV breakers 1062, 1262, 1362, 1386, 1462, 1562, 1566 and assoc switches</t>
  </si>
  <si>
    <t xml:space="preserve">One-Line Diagrams showing these included facilities are available upon request. </t>
  </si>
  <si>
    <t xml:space="preserve"> The diagrams include CEII material and therefore require execution of a Non-Disclosure Agreement with Western Area Power Administration - Upper Great Plains Region.</t>
  </si>
  <si>
    <t>Criteria 1:  Non-Radial above 60-kV / (b) Two or More Eligible Customers</t>
  </si>
  <si>
    <t>Criteria 2:  Interconnect Zones / Surrounding Entities</t>
  </si>
  <si>
    <t>Criteria 3:  Control and Protection</t>
  </si>
  <si>
    <t>Criteria 4:  High Side of Transformer</t>
  </si>
  <si>
    <t>Criteria 5:  DC Interconnection</t>
  </si>
  <si>
    <t>Criteria 6:  7 Factor Test</t>
  </si>
  <si>
    <r>
      <t>* Based upon Attachment AI of SPP's Tariff and consistent with criteria set forth in the "</t>
    </r>
    <r>
      <rPr>
        <i/>
        <sz val="11"/>
        <color rgb="FF000000"/>
        <rFont val="Calibri"/>
        <family val="2"/>
      </rPr>
      <t>Zone 19 (Upper Missouri Zone) - Attachment AI Guidance Document"</t>
    </r>
    <r>
      <rPr>
        <sz val="11"/>
        <color theme="1"/>
        <rFont val="Calibri"/>
        <family val="2"/>
        <scheme val="minor"/>
      </rPr>
      <t xml:space="preserve">, dated 06/14/2016, as prepared by the Attachment AI Working </t>
    </r>
  </si>
  <si>
    <t>Group in FERC docket ER15-1775-000.</t>
  </si>
  <si>
    <t>Worksheet 10 - WAPA-UGP Facilities Excluded under SPP Tariff Attachment AI*</t>
  </si>
  <si>
    <t>Specific Plant NOT Included</t>
  </si>
  <si>
    <t>34.5-kV breaker 542 and assoc. switches</t>
  </si>
  <si>
    <t>NWPS</t>
  </si>
  <si>
    <t>115/34.5-kV transformer KY2A</t>
  </si>
  <si>
    <t>115-kV interrupter 462 and assoc. switches</t>
  </si>
  <si>
    <t>115-kV breaker 162, 362 and assoc. switches</t>
  </si>
  <si>
    <t>230-kV breaker 1482 and assoc switches</t>
  </si>
  <si>
    <t>BE</t>
  </si>
  <si>
    <t>69-kV breaker 1552 and assoc. switches</t>
  </si>
  <si>
    <t>East River</t>
  </si>
  <si>
    <t>115-kV breaker and assoc. switches</t>
  </si>
  <si>
    <t>12.47-kV switch 821, 823, 829</t>
  </si>
  <si>
    <t>City of Beresford</t>
  </si>
  <si>
    <t>230-kV interrupters 1081, 2081, 2081, 4081 and assoc switches</t>
  </si>
  <si>
    <t>69/12.5-kV transformer KZ1A and switch 145</t>
  </si>
  <si>
    <t>12.5-kV breaker 124 and assoc. switches</t>
  </si>
  <si>
    <t>CPEC</t>
  </si>
  <si>
    <t>115-kV breaker 3462 and assoc. switches</t>
  </si>
  <si>
    <t>Capitol Electric</t>
  </si>
  <si>
    <t>12.5-kV switches 1527, 1529</t>
  </si>
  <si>
    <t>USBR</t>
  </si>
  <si>
    <t>69-kV breaker 1452 and 1252 and assoc. switches</t>
  </si>
  <si>
    <t>NWMT</t>
  </si>
  <si>
    <t>BO</t>
  </si>
  <si>
    <t>115-kV breaker 362 and assoc. switches</t>
  </si>
  <si>
    <t>115/12.47-kV transformer KY1A</t>
  </si>
  <si>
    <t>12.47-kV breaker 1422 and assoc. switches</t>
  </si>
  <si>
    <t>Rosebud Electric</t>
  </si>
  <si>
    <t>BFT</t>
  </si>
  <si>
    <t>Buford Trenton Tap</t>
  </si>
  <si>
    <t>All Not Included</t>
  </si>
  <si>
    <t>Buford Trenton Pumping</t>
  </si>
  <si>
    <t>115-kV interrupter 162</t>
  </si>
  <si>
    <t>protection for non-included transformer (transformer not owned by Western)</t>
  </si>
  <si>
    <t>41.8-kV breakers 142, 242, 342, 442, 542, 642, 842 and assoc. switches</t>
  </si>
  <si>
    <t>Otter Tail and CPE</t>
  </si>
  <si>
    <t>115-kV breaker 1162 and assoc. switches</t>
  </si>
  <si>
    <t>Keystone</t>
  </si>
  <si>
    <t>115-kV breaker 1262, 1362 and assoc. switches</t>
  </si>
  <si>
    <t>McCone</t>
  </si>
  <si>
    <t>115/34.5-kV transformer KY12A</t>
  </si>
  <si>
    <t>34.5-kV breaker 142 and assoc. switches</t>
  </si>
  <si>
    <t>115-kV breaker 1062 and assoc. switches</t>
  </si>
  <si>
    <t>Sun River</t>
  </si>
  <si>
    <t>69-kV breakers 2252, 2352 and assoc. switches</t>
  </si>
  <si>
    <t>Yellowstone Valley and Mid-Yellowstone</t>
  </si>
  <si>
    <t>Custer Trail</t>
  </si>
  <si>
    <t>115-kV switch 1061</t>
  </si>
  <si>
    <t>Switches 1460, 1461</t>
  </si>
  <si>
    <t>69-kV breaker 2552 and assoc. switches</t>
  </si>
  <si>
    <t>City of Denison</t>
  </si>
  <si>
    <t>Devaul</t>
  </si>
  <si>
    <t>41.8-kV breaker 1442 and assoc. switches</t>
  </si>
  <si>
    <t>Otter Tail normally open-emergency tie</t>
  </si>
  <si>
    <t>12.5-kV breaker 1122 and assoc. switches</t>
  </si>
  <si>
    <t>Minnkota</t>
  </si>
  <si>
    <t>115/69-kV transformer KY1A and 115-kV interrupter 762</t>
  </si>
  <si>
    <t>69-kV breaker 1752 and assoc. switches</t>
  </si>
  <si>
    <t>Moreau Grand</t>
  </si>
  <si>
    <t>115/41.8-kV transformer KY2A</t>
  </si>
  <si>
    <t>115-kV breaker 362</t>
  </si>
  <si>
    <t>41.8-kV breaker 2342 and assoc. switches</t>
  </si>
  <si>
    <t>Otter Tail</t>
  </si>
  <si>
    <t>69-kV breaker 1252 and assoc. switches</t>
  </si>
  <si>
    <t>115-kV ground switch 1160</t>
  </si>
  <si>
    <t>115-kV interrupter 2063 and assoc. switches, 115-kV switch 369</t>
  </si>
  <si>
    <t>Interrupter 1862 and assoc. switches</t>
  </si>
  <si>
    <t>Switches 169, 369, 569</t>
  </si>
  <si>
    <t>Generator Lead</t>
  </si>
  <si>
    <t>115/12.47-kV tranformer KY1A and 115-kV interrupter 362</t>
  </si>
  <si>
    <t>12.47-kV breaker 1022 and assoc. switches</t>
  </si>
  <si>
    <t>City of Faith</t>
  </si>
  <si>
    <t>Fallon Pumping</t>
  </si>
  <si>
    <t>Fallon Relift</t>
  </si>
  <si>
    <t>12.47-kV switches 3121, 3122, 3123, 3129, 3223</t>
  </si>
  <si>
    <t>City of Flandreau</t>
  </si>
  <si>
    <t>69-kV breaker 452 and assoc. switches</t>
  </si>
  <si>
    <t>69/41.8-kV transformer KZ3A and 69-kV switches 353, 355</t>
  </si>
  <si>
    <t>115-kV breaker 1662 and assoc. switches</t>
  </si>
  <si>
    <t>41.8-kV breaker 2142 and assoc. switches</t>
  </si>
  <si>
    <t xml:space="preserve">Otter Tail </t>
  </si>
  <si>
    <t>41.8/12.5-kV transformer KX6A and switch 1443</t>
  </si>
  <si>
    <t>12.5-kV breaker 2222 and assoc. switches</t>
  </si>
  <si>
    <t>Dakota Valley</t>
  </si>
  <si>
    <t>115-kV breaker 962 and assoc. switches</t>
  </si>
  <si>
    <t>69-kV breaker 4452 and assoc. switches</t>
  </si>
  <si>
    <t>West Central</t>
  </si>
  <si>
    <t>Frazer Pumping</t>
  </si>
  <si>
    <t>115-kV breakers 462, 562 and assoc switches</t>
  </si>
  <si>
    <t>generator leads</t>
  </si>
  <si>
    <t>115-kV breakers 162, 262, 362 and assoc. switches</t>
  </si>
  <si>
    <t>GGT</t>
  </si>
  <si>
    <t>Glendive Pumping No. 1 Tap</t>
  </si>
  <si>
    <t>Glendive Pumping No. 1</t>
  </si>
  <si>
    <t>69-kV breakers 4352, 4452, 4552, 4652 and assoc. switches</t>
  </si>
  <si>
    <t>GRE normally open and Minn. Valley</t>
  </si>
  <si>
    <t>115/69-kV transformer KY2A</t>
  </si>
  <si>
    <t>115-kV breaker 2862, 3262 and assoc. switches</t>
  </si>
  <si>
    <t>115-kV Disconnect Switch 463</t>
  </si>
  <si>
    <t>12.47-kV breaker 422 and asswoc. Switches</t>
  </si>
  <si>
    <t>12.5-kV breaker 822 and assoc. switches</t>
  </si>
  <si>
    <t>Hill County</t>
  </si>
  <si>
    <t>230-kV switches 989 and 589</t>
  </si>
  <si>
    <t>take-off structure to Baldwin Wind</t>
  </si>
  <si>
    <t>generator lead</t>
  </si>
  <si>
    <t>115-kV switches 1261, 1265</t>
  </si>
  <si>
    <t>69-kV breakers 1952, 2052 and assoc. switches</t>
  </si>
  <si>
    <t>Intake</t>
  </si>
  <si>
    <t>INP</t>
  </si>
  <si>
    <t>Intake Pumping</t>
  </si>
  <si>
    <t>115/41.8-kV transformers KY1A and KY2A</t>
  </si>
  <si>
    <t>115-kV breaker 662 and assoc. switches</t>
  </si>
  <si>
    <t>41.8-kV breaker 1142 and assoc. switches</t>
  </si>
  <si>
    <t>Otter Tail, Normally Open - emergency tie</t>
  </si>
  <si>
    <t>12.47-kV breaker 1522, 1722 and assoc. switches</t>
  </si>
  <si>
    <t>115/41.8-kV transformer KY4A and switch 469</t>
  </si>
  <si>
    <t>41.8-kV breaker 442, 642 and switches 343, 345</t>
  </si>
  <si>
    <t>MDU and Upper Mo.</t>
  </si>
  <si>
    <t>12.5-kV breaker 1022 and assoc. switches</t>
  </si>
  <si>
    <t>City of Lakota</t>
  </si>
  <si>
    <t>69-kV breaker 152 and assoc. switches</t>
  </si>
  <si>
    <t>115/69-kV transformer KY1A, switches 362, 363</t>
  </si>
  <si>
    <t>69/12.5-kV transformer KZ3A and switch 645</t>
  </si>
  <si>
    <t>12.5-kV breaker 624 and assoc. switches</t>
  </si>
  <si>
    <t>115/34.5-kV tranformer KX14A</t>
  </si>
  <si>
    <t>115 kV breaker 1962 and assoc switches</t>
  </si>
  <si>
    <t>115/69-kV transformer KY1A and switches 1263, 1265</t>
  </si>
  <si>
    <t>115-kV breaker 1762</t>
  </si>
  <si>
    <t>69-kV breaker 2252 and assoc. switches</t>
  </si>
  <si>
    <t>Grand Electric</t>
  </si>
  <si>
    <t>Capacity Rights in 115/69 kV Transformer KY1A</t>
  </si>
  <si>
    <t>115/24.9-kV transformer KY1A and interrupter 362</t>
  </si>
  <si>
    <t>Cherry-Todd</t>
  </si>
  <si>
    <t>41.8-kV breakers 3132, 3232, 3332 and assoc switches</t>
  </si>
  <si>
    <t>115/41.8-kV transformer KY3A</t>
  </si>
  <si>
    <t>115-kV breaker 1362 and assoc switches</t>
  </si>
  <si>
    <t>69-kV breaker 1852 and assoc. switches</t>
  </si>
  <si>
    <t>NAT</t>
  </si>
  <si>
    <t>Nashua Tap</t>
  </si>
  <si>
    <t>Switch 1861</t>
  </si>
  <si>
    <t>69-kV breakers 2252, 2452 and assoc. switches</t>
  </si>
  <si>
    <t>Rushmore</t>
  </si>
  <si>
    <t>13.8 kV interrupter 4423 and assoc. switch</t>
  </si>
  <si>
    <t>115-kV bay for solar project</t>
  </si>
  <si>
    <t>230-kV breakers 2882, 2482, 2486, 2082, 1162 and assoc. switches</t>
  </si>
  <si>
    <t>12.47-kV breaker 522 and assoc. switches and equipment</t>
  </si>
  <si>
    <t>MDU</t>
  </si>
  <si>
    <t>Switches 1860, 1861</t>
  </si>
  <si>
    <t>115/69-kV transformer KY1A and switches 1963</t>
  </si>
  <si>
    <t>115/12.47-kV transformer KY1A and 115-kV interrupter 762</t>
  </si>
  <si>
    <t>12.47-kV breakers 2212, 2312, 2412 and assoc. switches</t>
  </si>
  <si>
    <t>City of Pierre</t>
  </si>
  <si>
    <t>Switched 760, 761</t>
  </si>
  <si>
    <t xml:space="preserve">115/12.47-kV transformer KY1A </t>
  </si>
  <si>
    <t>Richland</t>
  </si>
  <si>
    <t>115/69/12.5-kV transformer KY1A and interrupter 362</t>
  </si>
  <si>
    <t>69-kV breaker 752 and assoc. switches</t>
  </si>
  <si>
    <t>12.5-kV breaker 422 and assoc. switches</t>
  </si>
  <si>
    <t>115/41.8-kV transformer KY1A and breaker 1162 and assoc. switches</t>
  </si>
  <si>
    <t>Savage Pumping</t>
  </si>
  <si>
    <t>Shelby</t>
  </si>
  <si>
    <t>to Shelby</t>
  </si>
  <si>
    <t>Shirley Pumping</t>
  </si>
  <si>
    <t>115-kV breaker 862 and assoc. switches</t>
  </si>
  <si>
    <t>69-kV breaker 1642 and assoc. switches</t>
  </si>
  <si>
    <t>City of Spencer</t>
  </si>
  <si>
    <t>41.8-kV breakers 2142, 2242 and assoc. switches</t>
  </si>
  <si>
    <t>115/41.8-kV transformer KY1B</t>
  </si>
  <si>
    <t>115-kV interupter 862 and switch 861</t>
  </si>
  <si>
    <t>Terry Pumping</t>
  </si>
  <si>
    <t>115/34.5-kV transformer KY1A and switch 363</t>
  </si>
  <si>
    <t>34.5-kV breaker 342 and assoc. switches</t>
  </si>
  <si>
    <t>Buffalo Rapids and MDU</t>
  </si>
  <si>
    <t>115/12.5-kV transformer KY1A and breaker 1262</t>
  </si>
  <si>
    <t>12.5-kV breaker 122 and assoc. switches</t>
  </si>
  <si>
    <t>115-kV interrupter 362</t>
  </si>
  <si>
    <t>69-kV breakers 344, 1144 and assoc. switches</t>
  </si>
  <si>
    <t>City of Valley City</t>
  </si>
  <si>
    <t>115/12.47-kV transformer KY1B and interrupters 461 and 562</t>
  </si>
  <si>
    <t>12.47-kV breaker 622 and assoc. switches</t>
  </si>
  <si>
    <t>West River</t>
  </si>
  <si>
    <t>Wanblee</t>
  </si>
  <si>
    <t>Interrupter 462 and assoc. switches</t>
  </si>
  <si>
    <t>230-kV Switch 889</t>
  </si>
  <si>
    <t>230/41.8-kV transformer KU1A and breaker 282</t>
  </si>
  <si>
    <t>41.8-kV breaker 342 and assoc. switches</t>
  </si>
  <si>
    <t>Otter Tail - emergency tie</t>
  </si>
  <si>
    <t>41.8 kV breaker 242 and assoc switches</t>
  </si>
  <si>
    <t>MPC and CPEC Blue Flint</t>
  </si>
  <si>
    <t>230-kV switch 989</t>
  </si>
  <si>
    <t>generator outlet</t>
  </si>
  <si>
    <t>69/12.5-kV transformer KYA and switches 253, 257</t>
  </si>
  <si>
    <t>12.5-kV breaker 224 and assoc. switches</t>
  </si>
  <si>
    <t>Norval</t>
  </si>
  <si>
    <t>24.9-kV breaker 1032 and assoc. switches</t>
  </si>
  <si>
    <t>60-kV breaker 3552 and assoc. switches</t>
  </si>
  <si>
    <t>MDU non-credited line</t>
  </si>
  <si>
    <t>115-kV breaker 2562 and assoc. switches</t>
  </si>
  <si>
    <t>12.47-kV breakers 2222, 2422, 2523 and assoc. switches</t>
  </si>
  <si>
    <t>City of Winner and Rosebud Electric</t>
  </si>
  <si>
    <t>VAT</t>
  </si>
  <si>
    <t>Wiota</t>
  </si>
  <si>
    <t>Wiota Tap</t>
  </si>
  <si>
    <t>115/34.5-kV transformer KY1A and switches 1963, 1965</t>
  </si>
  <si>
    <t>34.5-kV breakers 2142, 2242, 2342, 2442 and assoc. switches</t>
  </si>
  <si>
    <t>MDU and Norval</t>
  </si>
  <si>
    <t>12.5-kV breakers 3222, 3322, 3422 and assoc. switches</t>
  </si>
  <si>
    <t>Norval and McCone</t>
  </si>
  <si>
    <t>34.5-kV breakers 442 and 542 and assoc. switches</t>
  </si>
  <si>
    <t>NWPS and City of Wessington Springs</t>
  </si>
  <si>
    <t>115/69-kV transformer KY1B and 115-kV breaker 862</t>
  </si>
  <si>
    <t>Mobile Transformer 115/34.5-kV</t>
  </si>
  <si>
    <t>115-kV interupters 362 and 862 and assoc. switches, switch M263, M261</t>
  </si>
  <si>
    <t>SHELBY-SHELBY2</t>
  </si>
  <si>
    <t>230-kV interrupters 1081, 2081, 3081, 4081 and assoc switches</t>
  </si>
  <si>
    <t>230-kV interrupters 481, 581 and assoc switches</t>
  </si>
  <si>
    <t>115-kV switches 861, 961</t>
  </si>
  <si>
    <t>115-kV switch 960</t>
  </si>
  <si>
    <t>230-kV switches 1180, 1280, 1380</t>
  </si>
  <si>
    <t>230-kV breakers 182, 282, 382 and assoc switches</t>
  </si>
  <si>
    <t>115-kV breakers 462, 561, 1762 and assoc switches</t>
  </si>
  <si>
    <t>13.8-kV breaker 2722 and assoc switches</t>
  </si>
  <si>
    <t>230-kV breakers 2082, 2882 and assoc. switches</t>
  </si>
  <si>
    <r>
      <t>* Based upon Attachment AI of SPP's Tariff and consistent with criteria set forth in the "</t>
    </r>
    <r>
      <rPr>
        <i/>
        <sz val="11"/>
        <color rgb="FF000000"/>
        <rFont val="Calibri"/>
        <family val="2"/>
      </rPr>
      <t xml:space="preserve">Zone 19 (Upper Missouri Zone) - Attachment AI Guidance Document", </t>
    </r>
    <r>
      <rPr>
        <sz val="11"/>
        <color theme="1"/>
        <rFont val="Calibri"/>
        <family val="2"/>
        <scheme val="minor"/>
      </rPr>
      <t xml:space="preserve">dated 06/14/2016, as prepared by the Attachment </t>
    </r>
  </si>
  <si>
    <t>AI Working Group in FERC docket ER15-1775-000.</t>
  </si>
  <si>
    <t>Worksheet 11 - Facility Changes</t>
  </si>
  <si>
    <t>Lewis - Richland 115 kV Ckt 1, 72052</t>
  </si>
  <si>
    <t>Reconductor 0.1 miles of 115-kV Transmission Line to increase rating due to 2018 ITP.  NTC ID 210497.  This project will be regionally shared.</t>
  </si>
  <si>
    <t>Addition of 115-kV breakers 5456 and 5652 due to East River adding Roberts Co - Britton Line to SPP</t>
  </si>
  <si>
    <t>Customer Funded.  115-kV Bay Addition for CPEC.</t>
  </si>
  <si>
    <t>Customer Funded for Wind Project on Newell-Maurine Line, 3 breaker 115-kV ring bus</t>
  </si>
  <si>
    <t>New breaker and half yard to replace the old main and transfer yard.  Planned prior to SPP integration.</t>
  </si>
  <si>
    <t>115 Line Bay for MDU (customer funded) and Cap Bank Addition (20% customer funded)</t>
  </si>
  <si>
    <t>Maintenance replacement of substation equipment.  Ownership transfer from LaCreek to WAPA.  Facilities already qualified for SPP inclusion.</t>
  </si>
  <si>
    <t>New 115kV Yard, control building, panels, etc.</t>
  </si>
  <si>
    <t>Killdeer -Charlie Creek</t>
  </si>
  <si>
    <t>Line Rebuild.  Not a new line but was part of Watford City-Beulah line</t>
  </si>
  <si>
    <t>Customer Funded.  New 115-kV bay.</t>
  </si>
  <si>
    <t>230-kV Breaker 1082 replaced and ownership changed to WAPA.  Facilities are already included in SPP</t>
  </si>
  <si>
    <t>115-kV Breaker 1162 replaced and ownership changed to WAPA.  Facilities are already included in SPP</t>
  </si>
  <si>
    <t>Worksheet 12 - Scheduling, System Control, and Dispatch Service</t>
  </si>
  <si>
    <t>SSCD</t>
  </si>
  <si>
    <t>WS4-CostData (O&amp;M Expenses Worksheet)</t>
  </si>
  <si>
    <t>Not Applicable</t>
  </si>
  <si>
    <t>No General Plant identified at this time, all plant is identified as either generation or transmission related</t>
  </si>
  <si>
    <t>WS4-CostData (C6 L61)</t>
  </si>
  <si>
    <t>WS4-CostData (C2 L21)</t>
  </si>
  <si>
    <t>L7*L8</t>
  </si>
  <si>
    <t>L1+L2+L3+L9</t>
  </si>
  <si>
    <t>L11*L16</t>
  </si>
  <si>
    <t>Prior year true-up</t>
  </si>
  <si>
    <t>L11-L12+L13</t>
  </si>
  <si>
    <t>Ratio for Line 12</t>
  </si>
  <si>
    <t>Worksheet 13 - SSCD Facilities</t>
  </si>
  <si>
    <t>WATERTOWN OPERATIONS CENTER</t>
  </si>
  <si>
    <t xml:space="preserve">WATERTOWN OPERATIONS CENTER (BFPS) </t>
  </si>
  <si>
    <t xml:space="preserve">2022 SPP ESTIMATE DETAIL: </t>
  </si>
  <si>
    <t>SSCD %</t>
  </si>
  <si>
    <t>SSCD TOTAL ($)</t>
  </si>
  <si>
    <t>TRANS %</t>
  </si>
  <si>
    <t>TRANS TOTAL ($)</t>
  </si>
  <si>
    <t xml:space="preserve">WAO </t>
  </si>
  <si>
    <t>IDC</t>
  </si>
  <si>
    <t>LAND &amp; RIGHTS</t>
  </si>
  <si>
    <t>LAND &amp; LAND RIGHTS</t>
  </si>
  <si>
    <t>LAND AT KCR</t>
  </si>
  <si>
    <t>MICROWAVE TOWER</t>
  </si>
  <si>
    <t>ANTENNA TOWER</t>
  </si>
  <si>
    <t>PLANT NOT CLASSIFIED</t>
  </si>
  <si>
    <t>ANTENNA</t>
  </si>
  <si>
    <t>MICROWAVE SYSTEM</t>
  </si>
  <si>
    <t>SCADA COMMUNICATION EQUIPMENT</t>
  </si>
  <si>
    <t>SEQUENTIAL EVENT RECORDING SYSTEM</t>
  </si>
  <si>
    <t>INTEREST DURING CONSTRUCTION</t>
  </si>
  <si>
    <t>FIXED RADIO COMM EQUIPMENT</t>
  </si>
  <si>
    <t>BUILDINGS</t>
  </si>
  <si>
    <t>SERVICE BUILDINGS</t>
  </si>
  <si>
    <t>ROOFING</t>
  </si>
  <si>
    <t>OTHER STRUCTURES AND IMPROVEMENTS</t>
  </si>
  <si>
    <t>HEATING</t>
  </si>
  <si>
    <t>STATION EQUIPMENT</t>
  </si>
  <si>
    <t>AUXILIARY POWER SYSTEM</t>
  </si>
  <si>
    <t>REMOTE TERMINAL UNIT</t>
  </si>
  <si>
    <t>UNITERRUPTABLE POWER SUPPLY</t>
  </si>
  <si>
    <t>MICROWAVE COMMUNICATION EQUIPMENT</t>
  </si>
  <si>
    <t>BATTERY</t>
  </si>
  <si>
    <t>BATTERY CHARGER</t>
  </si>
  <si>
    <t>TELEPHONE COMMUNICATION EQUIPMENT</t>
  </si>
  <si>
    <t>PLANT COMM SYSTEM</t>
  </si>
  <si>
    <t>FIBER OPTIC EQUIPMENT</t>
  </si>
  <si>
    <t>FIBER OPTICS EQUIPMENT</t>
  </si>
  <si>
    <t>ADD DROP MULTIPLEXER</t>
  </si>
  <si>
    <t>CABLE TYPE OPGW</t>
  </si>
  <si>
    <t>CHANNEL BANK EQUIPMENT</t>
  </si>
  <si>
    <t>AIR CONDITIONER</t>
  </si>
  <si>
    <t>GATE</t>
  </si>
  <si>
    <t>FENCES</t>
  </si>
  <si>
    <t>ALCATEL 5620 FIBER TERMINAL EQUIP (PART 2 OF 2)</t>
  </si>
  <si>
    <t>TERMINATION EQUIPMENT</t>
  </si>
  <si>
    <t>ADD DROP MULTIPLEXER (PART 2 OF 2)</t>
  </si>
  <si>
    <t>POWER SYSTEM DISPATCH CONSOLES</t>
  </si>
  <si>
    <t>MICROWAVE ALARM SYSTEM MASTER STATION</t>
  </si>
  <si>
    <t>DATA STATION</t>
  </si>
  <si>
    <t>TELEPHONE SYSTEM</t>
  </si>
  <si>
    <t>MULTIPLEXER EXPANDED CAPABILITY ASSET 166934 - PROJECT WTO 0025C (PART 2)</t>
  </si>
  <si>
    <t>IDC - ASSET 166934 MULTIPLEXER EXPANSION (PART 2)</t>
  </si>
  <si>
    <t>ADD DROP MULTIPLEXER (PART 1 OF 2)</t>
  </si>
  <si>
    <t>ALCATEL 5620 FIBER TERMINAL EQUIP (PART 1 OF 2)</t>
  </si>
  <si>
    <t>VHF RADIO COMPARATOR</t>
  </si>
  <si>
    <t>TELEPHONE SYSTEM - 40 CHANNEL RECORDER &amp; CRASH KIT</t>
  </si>
  <si>
    <t>VOICE RECORDER SYSTEM</t>
  </si>
  <si>
    <t>SCADA SYSTEM HISTORIAN SOFTWARE</t>
  </si>
  <si>
    <t>AUX PWR SYS - BACKUP GENERATOR</t>
  </si>
  <si>
    <t>(5) DIGITAL VOICE RECORDERS - WTO F</t>
  </si>
  <si>
    <t>BATTERY BANK FOR UPS</t>
  </si>
  <si>
    <t>DIGITAL TRANS &amp; REC EQUIP</t>
  </si>
  <si>
    <t>FREQUENCY CONTROL ADDITIONS</t>
  </si>
  <si>
    <t>LOAD AND FREQUENCY CONTROL EQUIP</t>
  </si>
  <si>
    <t xml:space="preserve">TELEPHONE SYSTEM  </t>
  </si>
  <si>
    <t>COMMON SCADA/EMS-UGP</t>
  </si>
  <si>
    <t>SCADA - ESTIMATE ADDS</t>
  </si>
  <si>
    <t>WATERTOWN OPERATIONS BUILDING</t>
  </si>
  <si>
    <t>CONTROL BUILDING</t>
  </si>
  <si>
    <t>RESURFACE PARKING LOT AT WATERTOWN OPS OFFICE</t>
  </si>
  <si>
    <t>OFFICE BUILDING</t>
  </si>
  <si>
    <t>WALLS</t>
  </si>
  <si>
    <t>SYNC UNIT</t>
  </si>
  <si>
    <t>REMOTE STATION</t>
  </si>
  <si>
    <t>VEHICLE/STORAGE BUILDING</t>
  </si>
  <si>
    <t>GARAGE</t>
  </si>
  <si>
    <t>SIDEWALKS</t>
  </si>
  <si>
    <t>IDC - REPLACEMENTS</t>
  </si>
  <si>
    <t>IDC - ADDITIONS</t>
  </si>
  <si>
    <t>PSOO-WATER SYSTEM</t>
  </si>
  <si>
    <t>METER EQUIPMENT</t>
  </si>
  <si>
    <t>PWR SYS OPERATIONS OFFICE BUILDING (PART 1 OF 2)</t>
  </si>
  <si>
    <t>STORAGE BUILDING</t>
  </si>
  <si>
    <t>WATERTOWN OPS BLDG EXPANSION (PSOO)</t>
  </si>
  <si>
    <t>WATERTOWN OPS BLDG EXPANSION</t>
  </si>
  <si>
    <t>WATERTOWN OPS STATION SERVICE UNIT REPLACEMENT</t>
  </si>
  <si>
    <t>BUILDING - ESTIMATE ADDS</t>
  </si>
  <si>
    <t>Worksheet 14 - Rate for Regulation and Frequency Response</t>
  </si>
  <si>
    <t>REGULATION and FREQUENCY RESPONSE</t>
  </si>
  <si>
    <t>L19 C2</t>
  </si>
  <si>
    <t>L1 + L2</t>
  </si>
  <si>
    <t>Regulation and Frequency Response (Western's Costs)</t>
  </si>
  <si>
    <t>Fixed Charge Rate</t>
  </si>
  <si>
    <t>WS2-AllocFactor C5 L30</t>
  </si>
  <si>
    <t>Corps Generation Net Plant Costs ($)</t>
  </si>
  <si>
    <t>WS2-AllocFactor C5 L31</t>
  </si>
  <si>
    <t>Annual Corps Generation Cost  ($)</t>
  </si>
  <si>
    <t>L1*L2</t>
  </si>
  <si>
    <t>Plant Capacity (kW)</t>
  </si>
  <si>
    <t>Cost/kW ($/kW)</t>
  </si>
  <si>
    <t>L3/L4</t>
  </si>
  <si>
    <t>Capacity Used for Regulation (kW)</t>
  </si>
  <si>
    <t>Regulation Revenue Requirement ($) - Capacity</t>
  </si>
  <si>
    <t>L8*L9</t>
  </si>
  <si>
    <t>Regulation Revenue Requirement ($) - Purchases</t>
  </si>
  <si>
    <t xml:space="preserve">     Total Regulation Revenue Requirement ($)</t>
  </si>
  <si>
    <t xml:space="preserve">(1) </t>
  </si>
  <si>
    <t xml:space="preserve">WAPA Annual Report plant capacity </t>
  </si>
  <si>
    <t xml:space="preserve">(2) </t>
  </si>
  <si>
    <t>WAUW capacity used for regulation</t>
  </si>
  <si>
    <t xml:space="preserve">(3) </t>
  </si>
  <si>
    <t>Cost of purchases required to regulate for Intermittent Resources</t>
  </si>
  <si>
    <t>Worksheet 15 - Rate for Reserves</t>
  </si>
  <si>
    <t>RESERVES</t>
  </si>
  <si>
    <t>Cost/kW ($/kW-Yr)</t>
  </si>
  <si>
    <t>Monthly Charge ($/kW-mo)</t>
  </si>
  <si>
    <t>L5/12 months</t>
  </si>
  <si>
    <t>Western's Maximum Load in WAUW Control Area (kW)</t>
  </si>
  <si>
    <t>Maximum Generation in WAUW Control Area (kW)</t>
  </si>
  <si>
    <t>Capacity used for Reserves (kW) -- 3% Load + 3% Gen</t>
  </si>
  <si>
    <t>L7*3% + L8*3% (4)</t>
  </si>
  <si>
    <t>Annual Reserves Revenue Requirement</t>
  </si>
  <si>
    <t>L9*L5</t>
  </si>
  <si>
    <t>L10+L11+L12</t>
  </si>
  <si>
    <t>Control Area metering data</t>
  </si>
  <si>
    <t>WAUW maximum generation data</t>
  </si>
  <si>
    <t>Northwest Power Pool Reserve Sharing System</t>
  </si>
  <si>
    <t>Annual cost associated with Western-UGP's current reserve sharing group membership</t>
  </si>
  <si>
    <t>Date</t>
  </si>
  <si>
    <t>Worksheet</t>
  </si>
  <si>
    <t>Reference Cell(s)</t>
  </si>
  <si>
    <t>Change From</t>
  </si>
  <si>
    <t>Change To</t>
  </si>
  <si>
    <t>Description</t>
  </si>
  <si>
    <r>
      <rPr>
        <b/>
        <sz val="11"/>
        <color theme="1"/>
        <rFont val="Calibri"/>
        <family val="2"/>
        <scheme val="minor"/>
      </rPr>
      <t>Summary of incremental changes:</t>
    </r>
    <r>
      <rPr>
        <sz val="11"/>
        <color theme="1"/>
        <rFont val="Calibri"/>
        <family val="2"/>
        <scheme val="minor"/>
      </rPr>
      <t xml:space="preserve"> thru XX/XX/XXXX --  Annual Update.</t>
    </r>
  </si>
  <si>
    <t>Annual Reserve Sharing Group Cost ($)</t>
  </si>
  <si>
    <t>Over Collection - 2020 WAUW Reserves Revenue Rqmt ($)</t>
  </si>
  <si>
    <t>Total Regulation Reserves Rqmt with True-up ($)</t>
  </si>
  <si>
    <t>Western Regulation Revenue Requirement ($)</t>
  </si>
  <si>
    <t>Over Collection - 2020 Regulation Revenue Rqmt ($)</t>
  </si>
  <si>
    <t>Total Regulation Revenue Rqmt with True-up ($)</t>
  </si>
  <si>
    <t>A. Operation and Maintenance Expense ($)</t>
  </si>
  <si>
    <t xml:space="preserve">B.  A&amp;G Expense ($)                              </t>
  </si>
  <si>
    <t xml:space="preserve">C.  Depreciation Expense ($)                    </t>
  </si>
  <si>
    <t xml:space="preserve">D.  Taxes Other than Income Taxes for Transmission ($)     </t>
  </si>
  <si>
    <t xml:space="preserve">E.  Allocation of General Plant ($)  </t>
  </si>
  <si>
    <t xml:space="preserve">     Net Plant Investment ($) </t>
  </si>
  <si>
    <t xml:space="preserve">     Cost of Capital ($)</t>
  </si>
  <si>
    <t xml:space="preserve">     Annual Western-UGPR Cost ($)</t>
  </si>
  <si>
    <t>Estimated SSCD Revenue from non-Transmission facilities ($)</t>
  </si>
  <si>
    <t>Prior Year True-Up ($)</t>
  </si>
  <si>
    <t>Revenue Requirement for SSCD for Transmission facilities ($)</t>
  </si>
  <si>
    <t>FACILITY TOTALS ($)</t>
  </si>
  <si>
    <t xml:space="preserve">CF EH A </t>
  </si>
  <si>
    <t>CANYON FERRY-EAST HELENA "A"</t>
  </si>
  <si>
    <t>MOBILE 69/13.2 SUBSTATION</t>
  </si>
  <si>
    <t>PRIOR PERIOD TRUE-UP (Over-collection)</t>
  </si>
  <si>
    <t>WS8-TranFac (L513 C4/C7)</t>
  </si>
  <si>
    <t>WS12-SSCD C2L11</t>
  </si>
  <si>
    <t>PS-ED Generation Plant-in-Service</t>
  </si>
  <si>
    <t>1/  WS8-TransFac, C3L510</t>
  </si>
  <si>
    <t>2/  RMCSR - Pick-Sloan Missouri River Basin Results of Operations (ROOs), Schedule 1</t>
  </si>
  <si>
    <t>3/  Corps of Engineers (COE) Financial Statements, Electric and Power Multi-Purpose Plant in Service</t>
  </si>
  <si>
    <t>4/  WS8-TransFac, C7L512</t>
  </si>
  <si>
    <t>5/  WS8-TransFac, C7L501</t>
  </si>
  <si>
    <t>6/  WS8-TransFac, C7L508</t>
  </si>
  <si>
    <t>7/  WS8-TransFac, C5L510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</si>
</sst>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2">
    <numFmt numFmtId="5" formatCode="&quot;$&quot;#,##0_);\(&quot;$&quot;#,##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000_);[Red]\(#,##0.0000\)"/>
    <numFmt numFmtId="166" formatCode="&quot;$&quot;#,##0.00"/>
    <numFmt numFmtId="167" formatCode="_(&quot;$&quot;* #,##0_);_(&quot;$&quot;* \(#,##0\);_(&quot;$&quot;* &quot;-&quot;??_);_(@_)"/>
    <numFmt numFmtId="168" formatCode="0.00_)"/>
    <numFmt numFmtId="169" formatCode="0\ &quot;days&quot;"/>
    <numFmt numFmtId="170" formatCode="0.000%"/>
    <numFmt numFmtId="171" formatCode="&quot;$&quot;#,##0"/>
    <numFmt numFmtId="172" formatCode="&quot;$&quot;#,##0.000"/>
    <numFmt numFmtId="173" formatCode="0.00000"/>
    <numFmt numFmtId="174" formatCode="0.0000"/>
    <numFmt numFmtId="175" formatCode="#,##0.00000"/>
    <numFmt numFmtId="176" formatCode="#,##0.0000"/>
    <numFmt numFmtId="177" formatCode="#,##0.00000_);[Red]\(#,##0.00000\)"/>
    <numFmt numFmtId="178" formatCode="#,##0.00;\&lt;#,##0.00\&gt;"/>
    <numFmt numFmtId="179" formatCode="0_);\(0\)"/>
    <numFmt numFmtId="180" formatCode="0.0%"/>
  </numFmts>
  <fonts count="76">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0"/>
      <color theme="0"/>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i/>
      <sz val="10"/>
      <name val="Arial"/>
      <family val="2"/>
    </font>
    <font>
      <sz val="10"/>
      <name val="MS Sans Serif"/>
      <family val="2"/>
    </font>
    <font>
      <sz val="9"/>
      <color theme="1"/>
      <name val="Arial"/>
      <family val="2"/>
    </font>
    <font>
      <sz val="8"/>
      <name val="MS Sans Serif"/>
      <family val="2"/>
    </font>
    <font>
      <sz val="10"/>
      <color theme="1"/>
      <name val="Arial"/>
      <family val="2"/>
    </font>
    <font>
      <b/>
      <sz val="18"/>
      <name val="Arial"/>
      <family val="2"/>
    </font>
    <font>
      <b/>
      <sz val="14"/>
      <name val="Book Antiqua"/>
      <family val="1"/>
    </font>
    <font>
      <i/>
      <sz val="10"/>
      <name val="Book Antiqua"/>
      <family val="1"/>
    </font>
    <font>
      <u/>
      <sz val="10"/>
      <color theme="10"/>
      <name val="Arial"/>
      <family val="2"/>
    </font>
    <font>
      <b/>
      <i/>
      <sz val="16"/>
      <name val="Helv"/>
    </font>
    <font>
      <sz val="11"/>
      <name val="Arial"/>
      <family val="2"/>
    </font>
    <font>
      <sz val="10"/>
      <color theme="1"/>
      <name val="Tahoma"/>
      <family val="2"/>
    </font>
    <font>
      <sz val="12"/>
      <name val="Arial MT"/>
    </font>
    <font>
      <sz val="11"/>
      <color indexed="8"/>
      <name val="Calibri"/>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b/>
      <sz val="48"/>
      <name val="Arial"/>
      <family val="2"/>
    </font>
    <font>
      <sz val="11"/>
      <color theme="1"/>
      <name val="Calibri"/>
      <family val="2"/>
    </font>
    <font>
      <sz val="10"/>
      <color theme="1"/>
      <name val="Calibri"/>
      <family val="2"/>
    </font>
    <font>
      <sz val="10"/>
      <name val="Calibri"/>
      <family val="2"/>
    </font>
    <font>
      <b/>
      <sz val="10"/>
      <color theme="1"/>
      <name val="Calibri"/>
      <family val="2"/>
    </font>
    <font>
      <b/>
      <sz val="10"/>
      <name val="Calibri"/>
      <family val="2"/>
    </font>
    <font>
      <sz val="10"/>
      <name val="Times New Roman"/>
      <family val="1"/>
    </font>
    <font>
      <b/>
      <i/>
      <sz val="10"/>
      <name val="Calibri"/>
      <family val="2"/>
    </font>
    <font>
      <sz val="10"/>
      <color theme="1"/>
      <name val="Calibri"/>
      <family val="2"/>
      <scheme val="minor"/>
    </font>
    <font>
      <b/>
      <sz val="10"/>
      <color theme="1"/>
      <name val="Calibri"/>
      <family val="2"/>
      <scheme val="minor"/>
    </font>
    <font>
      <sz val="10"/>
      <color indexed="10"/>
      <name val="Calibri"/>
      <family val="2"/>
      <scheme val="minor"/>
    </font>
    <font>
      <sz val="10"/>
      <color rgb="FF666666"/>
      <name val="Arial Unicode MS"/>
      <family val="2"/>
    </font>
    <font>
      <sz val="36"/>
      <color theme="1"/>
      <name val="Calibri"/>
      <family val="2"/>
      <scheme val="minor"/>
    </font>
    <font>
      <sz val="10"/>
      <color indexed="8"/>
      <name val="Calibri"/>
      <family val="2"/>
      <scheme val="minor"/>
    </font>
    <font>
      <b/>
      <sz val="11"/>
      <color rgb="FF000000"/>
      <name val="Calibri"/>
      <family val="2"/>
    </font>
    <font>
      <b/>
      <sz val="8"/>
      <color rgb="FF000000"/>
      <name val="Calibri"/>
      <family val="2"/>
    </font>
    <font>
      <sz val="11"/>
      <color rgb="FF000000"/>
      <name val="Calibri"/>
      <family val="2"/>
    </font>
    <font>
      <sz val="11"/>
      <color rgb="FFFF0000"/>
      <name val="Calibri"/>
      <family val="2"/>
    </font>
    <font>
      <sz val="11"/>
      <name val="Calibri"/>
      <family val="2"/>
    </font>
    <font>
      <i/>
      <sz val="11"/>
      <color rgb="FF000000"/>
      <name val="Calibri"/>
      <family val="2"/>
    </font>
    <font>
      <sz val="11"/>
      <color rgb="FFFF0000"/>
      <name val="Calibri"/>
      <family val="2"/>
      <scheme val="minor"/>
    </font>
    <font>
      <u/>
      <sz val="11"/>
      <color theme="10"/>
      <name val="Calibri"/>
      <family val="2"/>
      <scheme val="minor"/>
    </font>
    <font>
      <sz val="28"/>
      <color theme="1"/>
      <name val="Calibri"/>
      <family val="2"/>
      <scheme val="minor"/>
    </font>
    <font>
      <b/>
      <u/>
      <sz val="11"/>
      <color theme="1"/>
      <name val="Calibri"/>
      <family val="2"/>
      <scheme val="minor"/>
    </font>
    <font>
      <sz val="10"/>
      <color rgb="FFFF0000"/>
      <name val="Calibri"/>
      <family val="2"/>
      <scheme val="minor"/>
    </font>
    <font>
      <sz val="10"/>
      <color rgb="FFFF0000"/>
      <name val="Calibri"/>
      <family val="2"/>
    </font>
    <font>
      <sz val="10"/>
      <color rgb="FF000000"/>
      <name val="Calibri"/>
      <family val="2"/>
    </font>
    <font>
      <sz val="12"/>
      <name val="Calibri"/>
      <family val="2"/>
    </font>
    <font>
      <sz val="8"/>
      <name val="Calibri"/>
      <family val="2"/>
      <scheme val="minor"/>
    </font>
    <font>
      <sz val="36"/>
      <color rgb="FFFF0000"/>
      <name val="Calibri"/>
      <family val="2"/>
      <scheme val="minor"/>
    </font>
    <font>
      <u/>
      <sz val="11"/>
      <color theme="10"/>
      <name val="Calibri"/>
      <family val="2"/>
    </font>
    <font>
      <sz val="10"/>
      <name val="Calibri"/>
      <family val="2"/>
    </font>
  </fonts>
  <fills count="3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11"/>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9"/>
      </patternFill>
    </fill>
    <fill>
      <patternFill patternType="solid">
        <fgColor rgb="FFD9D9D9"/>
        <bgColor rgb="FF000000"/>
      </patternFill>
    </fill>
    <fill>
      <patternFill patternType="solid">
        <fgColor rgb="FFFFFFFF"/>
        <bgColor rgb="FF000000"/>
      </patternFill>
    </fill>
    <fill>
      <patternFill patternType="solid">
        <fgColor rgb="FFFFC000"/>
        <bgColor indexed="64"/>
      </patternFill>
    </fill>
    <fill>
      <patternFill patternType="solid">
        <fgColor rgb="FFD9D9D9"/>
        <bgColor rgb="FFD9D9D9"/>
      </patternFill>
    </fill>
    <fill>
      <patternFill patternType="solid">
        <fgColor theme="0" tint="-4.9989318521683403E-2"/>
        <bgColor indexed="64"/>
      </patternFill>
    </fill>
    <fill>
      <patternFill patternType="solid">
        <fgColor theme="4" tint="0.79998168889431442"/>
        <bgColor indexed="64"/>
      </patternFill>
    </fill>
  </fills>
  <borders count="68">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right/>
      <top/>
      <bottom style="double">
        <color indexed="64"/>
      </bottom>
      <diagonal/>
    </border>
    <border>
      <left/>
      <right/>
      <top style="double">
        <color indexed="64"/>
      </top>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style="medium">
        <color indexed="64"/>
      </left>
      <right/>
      <top style="thin">
        <color indexed="64"/>
      </top>
      <bottom/>
      <diagonal/>
    </border>
  </borders>
  <cellStyleXfs count="4232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6" fontId="6" fillId="0" borderId="0" applyFill="0"/>
    <xf numFmtId="166" fontId="6" fillId="0" borderId="0">
      <alignment horizontal="center"/>
    </xf>
    <xf numFmtId="0" fontId="6" fillId="0" borderId="0" applyFill="0">
      <alignment horizontal="center"/>
    </xf>
    <xf numFmtId="166" fontId="7" fillId="0" borderId="4" applyFill="0"/>
    <xf numFmtId="0" fontId="8" fillId="0" borderId="0" applyFont="0" applyAlignment="0"/>
    <xf numFmtId="0" fontId="9" fillId="0" borderId="0" applyFill="0">
      <alignment vertical="top"/>
    </xf>
    <xf numFmtId="0" fontId="7" fillId="0" borderId="0" applyFill="0">
      <alignment horizontal="left" vertical="top"/>
    </xf>
    <xf numFmtId="166" fontId="10" fillId="0" borderId="5" applyFill="0"/>
    <xf numFmtId="0" fontId="8" fillId="0" borderId="0" applyNumberFormat="0" applyFont="0" applyAlignment="0"/>
    <xf numFmtId="0" fontId="9" fillId="0" borderId="0" applyFill="0">
      <alignment wrapText="1"/>
    </xf>
    <xf numFmtId="0" fontId="7" fillId="0" borderId="0" applyFill="0">
      <alignment horizontal="left" vertical="top" wrapText="1"/>
    </xf>
    <xf numFmtId="166" fontId="11" fillId="0" borderId="0" applyFill="0"/>
    <xf numFmtId="0" fontId="12" fillId="0" borderId="0" applyNumberFormat="0" applyFont="0" applyAlignment="0">
      <alignment horizontal="center"/>
    </xf>
    <xf numFmtId="0" fontId="13" fillId="0" borderId="0" applyFill="0">
      <alignment vertical="top" wrapText="1"/>
    </xf>
    <xf numFmtId="0" fontId="10" fillId="0" borderId="0" applyFill="0">
      <alignment horizontal="left" vertical="top" wrapText="1"/>
    </xf>
    <xf numFmtId="166" fontId="8" fillId="0" borderId="0" applyFill="0"/>
    <xf numFmtId="0" fontId="12" fillId="0" borderId="0" applyNumberFormat="0" applyFont="0" applyAlignment="0">
      <alignment horizontal="center"/>
    </xf>
    <xf numFmtId="0" fontId="14" fillId="0" borderId="0" applyFill="0">
      <alignment vertical="center" wrapText="1"/>
    </xf>
    <xf numFmtId="0" fontId="15" fillId="0" borderId="0">
      <alignment horizontal="left" vertical="center" wrapText="1"/>
    </xf>
    <xf numFmtId="166" fontId="16" fillId="0" borderId="0" applyFill="0"/>
    <xf numFmtId="0" fontId="12" fillId="0" borderId="0" applyNumberFormat="0" applyFont="0" applyAlignment="0">
      <alignment horizontal="center"/>
    </xf>
    <xf numFmtId="0" fontId="17" fillId="0" borderId="0" applyFill="0">
      <alignment horizontal="center" vertical="center" wrapText="1"/>
    </xf>
    <xf numFmtId="0" fontId="8" fillId="0" borderId="0" applyFill="0">
      <alignment horizontal="center" vertical="center" wrapText="1"/>
    </xf>
    <xf numFmtId="166" fontId="18" fillId="0" borderId="0" applyFill="0"/>
    <xf numFmtId="0" fontId="12" fillId="0" borderId="0" applyNumberFormat="0" applyFont="0" applyAlignment="0">
      <alignment horizontal="center"/>
    </xf>
    <xf numFmtId="0" fontId="19" fillId="0" borderId="0" applyFill="0">
      <alignment horizontal="center" vertical="center" wrapText="1"/>
    </xf>
    <xf numFmtId="0" fontId="20" fillId="0" borderId="0" applyFill="0">
      <alignment horizontal="center" vertical="center" wrapText="1"/>
    </xf>
    <xf numFmtId="166" fontId="21" fillId="0" borderId="0" applyFill="0"/>
    <xf numFmtId="0" fontId="12" fillId="0" borderId="0" applyNumberFormat="0" applyFont="0" applyAlignment="0">
      <alignment horizontal="center"/>
    </xf>
    <xf numFmtId="0" fontId="22" fillId="0" borderId="0">
      <alignment horizontal="center" wrapText="1"/>
    </xf>
    <xf numFmtId="0" fontId="18" fillId="0" borderId="0" applyFill="0">
      <alignment horizontal="center" wrapText="1"/>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3"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167" fontId="6" fillId="15" borderId="6" applyFill="0" applyBorder="0" applyProtection="0">
      <alignment horizontal="left"/>
    </xf>
    <xf numFmtId="38" fontId="6" fillId="16" borderId="0" applyNumberFormat="0" applyBorder="0" applyAlignment="0" applyProtection="0"/>
    <xf numFmtId="0" fontId="28" fillId="0" borderId="0" applyFont="0" applyFill="0" applyBorder="0" applyAlignment="0" applyProtection="0"/>
    <xf numFmtId="0" fontId="10" fillId="0" borderId="0" applyFont="0" applyFill="0" applyBorder="0" applyAlignment="0" applyProtection="0"/>
    <xf numFmtId="0" fontId="29" fillId="0" borderId="7"/>
    <xf numFmtId="0" fontId="30" fillId="0" borderId="0"/>
    <xf numFmtId="0" fontId="31" fillId="0" borderId="0" applyNumberFormat="0" applyFill="0" applyBorder="0" applyAlignment="0" applyProtection="0"/>
    <xf numFmtId="10" fontId="6" fillId="17" borderId="8" applyNumberFormat="0" applyBorder="0" applyAlignment="0" applyProtection="0"/>
    <xf numFmtId="168" fontId="32" fillId="0" borderId="0"/>
    <xf numFmtId="0" fontId="25"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5"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24"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24" fillId="0" borderId="0"/>
    <xf numFmtId="0" fontId="24"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27"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5" fontId="33" fillId="0" borderId="0"/>
    <xf numFmtId="0" fontId="1" fillId="0" borderId="0"/>
    <xf numFmtId="0" fontId="8" fillId="0" borderId="0"/>
    <xf numFmtId="5"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5" fontId="33"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5" fontId="33" fillId="0" borderId="0"/>
    <xf numFmtId="0" fontId="1" fillId="0" borderId="0"/>
    <xf numFmtId="0" fontId="1" fillId="0" borderId="0"/>
    <xf numFmtId="0" fontId="8" fillId="0" borderId="0"/>
    <xf numFmtId="5" fontId="33"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0" fontId="8" fillId="0" borderId="0"/>
    <xf numFmtId="0" fontId="8" fillId="0" borderId="0"/>
    <xf numFmtId="0" fontId="8" fillId="0" borderId="0"/>
    <xf numFmtId="0" fontId="8" fillId="0" borderId="0"/>
    <xf numFmtId="0" fontId="8" fillId="0" borderId="0"/>
    <xf numFmtId="5" fontId="33" fillId="0" borderId="0"/>
    <xf numFmtId="0" fontId="1" fillId="0" borderId="0"/>
    <xf numFmtId="0" fontId="1" fillId="0" borderId="0"/>
    <xf numFmtId="5" fontId="33" fillId="0" borderId="0"/>
    <xf numFmtId="0" fontId="8" fillId="0" borderId="0"/>
    <xf numFmtId="5" fontId="33" fillId="0" borderId="0"/>
    <xf numFmtId="5" fontId="33" fillId="0" borderId="0"/>
    <xf numFmtId="0" fontId="8" fillId="0" borderId="0"/>
    <xf numFmtId="5" fontId="33" fillId="0" borderId="0"/>
    <xf numFmtId="5" fontId="33" fillId="0" borderId="0"/>
    <xf numFmtId="0" fontId="1" fillId="0" borderId="0"/>
    <xf numFmtId="5" fontId="33" fillId="0" borderId="0"/>
    <xf numFmtId="0" fontId="1" fillId="0" borderId="0"/>
    <xf numFmtId="5" fontId="33"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 fillId="0" borderId="0"/>
    <xf numFmtId="0" fontId="1" fillId="0" borderId="0"/>
    <xf numFmtId="0" fontId="15"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7"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 fillId="0" borderId="0"/>
    <xf numFmtId="0" fontId="24" fillId="0" borderId="0"/>
    <xf numFmtId="0" fontId="1" fillId="0" borderId="0"/>
    <xf numFmtId="0" fontId="8" fillId="0" borderId="0"/>
    <xf numFmtId="0" fontId="24" fillId="0" borderId="0"/>
    <xf numFmtId="0" fontId="1" fillId="0" borderId="0"/>
    <xf numFmtId="0" fontId="24" fillId="0" borderId="0"/>
    <xf numFmtId="0" fontId="24" fillId="0" borderId="0"/>
    <xf numFmtId="0" fontId="24" fillId="0" borderId="0"/>
    <xf numFmtId="0" fontId="15" fillId="0" borderId="0"/>
    <xf numFmtId="0" fontId="1"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5" fillId="0" borderId="0"/>
    <xf numFmtId="0" fontId="24" fillId="0" borderId="0"/>
    <xf numFmtId="0" fontId="1" fillId="0" borderId="0"/>
    <xf numFmtId="0" fontId="26" fillId="0" borderId="0"/>
    <xf numFmtId="0" fontId="15"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15" fillId="0" borderId="0"/>
    <xf numFmtId="0" fontId="1" fillId="0" borderId="0"/>
    <xf numFmtId="0" fontId="1" fillId="0" borderId="0"/>
    <xf numFmtId="0" fontId="8" fillId="0" borderId="0"/>
    <xf numFmtId="0" fontId="1" fillId="0" borderId="0"/>
    <xf numFmtId="0" fontId="15" fillId="0" borderId="0"/>
    <xf numFmtId="0" fontId="1" fillId="0" borderId="0"/>
    <xf numFmtId="0" fontId="15" fillId="0" borderId="0"/>
    <xf numFmtId="166" fontId="35" fillId="0" borderId="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35" fillId="0" borderId="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6" fillId="2" borderId="1" applyNumberFormat="0" applyFont="0" applyAlignment="0" applyProtection="0"/>
    <xf numFmtId="0" fontId="36" fillId="2" borderId="1" applyNumberFormat="0" applyFont="0" applyAlignment="0" applyProtection="0"/>
    <xf numFmtId="0" fontId="36"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6"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6" fillId="2" borderId="1" applyNumberFormat="0" applyFont="0" applyAlignment="0" applyProtection="0"/>
    <xf numFmtId="0" fontId="36" fillId="2" borderId="1" applyNumberFormat="0" applyFont="0" applyAlignment="0" applyProtection="0"/>
    <xf numFmtId="10" fontId="8"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4" fillId="0" borderId="0" applyNumberFormat="0" applyFont="0" applyFill="0" applyBorder="0" applyAlignment="0" applyProtection="0">
      <alignment horizontal="left"/>
    </xf>
    <xf numFmtId="15" fontId="24" fillId="0" borderId="0" applyFont="0" applyFill="0" applyBorder="0" applyAlignment="0" applyProtection="0"/>
    <xf numFmtId="4" fontId="24" fillId="0" borderId="0" applyFont="0" applyFill="0" applyBorder="0" applyAlignment="0" applyProtection="0"/>
    <xf numFmtId="3" fontId="8" fillId="0" borderId="0">
      <alignment horizontal="left" vertical="top"/>
    </xf>
    <xf numFmtId="0" fontId="37" fillId="0" borderId="7">
      <alignment horizontal="center"/>
    </xf>
    <xf numFmtId="3" fontId="24" fillId="0" borderId="0" applyFont="0" applyFill="0" applyBorder="0" applyAlignment="0" applyProtection="0"/>
    <xf numFmtId="0" fontId="24" fillId="18" borderId="0" applyNumberFormat="0" applyFont="0" applyBorder="0" applyAlignment="0" applyProtection="0"/>
    <xf numFmtId="3" fontId="8" fillId="0" borderId="0">
      <alignment horizontal="right" vertical="top"/>
    </xf>
    <xf numFmtId="41" fontId="15" fillId="16" borderId="9" applyFill="0"/>
    <xf numFmtId="0" fontId="38" fillId="0" borderId="0">
      <alignment horizontal="left" indent="7"/>
    </xf>
    <xf numFmtId="41" fontId="15" fillId="0" borderId="9" applyFill="0">
      <alignment horizontal="left" indent="2"/>
    </xf>
    <xf numFmtId="166" fontId="39" fillId="0" borderId="10" applyFill="0">
      <alignment horizontal="right"/>
    </xf>
    <xf numFmtId="0" fontId="40" fillId="0" borderId="8" applyNumberFormat="0" applyFont="0" applyBorder="0">
      <alignment horizontal="right"/>
    </xf>
    <xf numFmtId="0" fontId="41" fillId="0" borderId="0" applyFill="0"/>
    <xf numFmtId="0" fontId="10" fillId="0" borderId="0" applyFill="0"/>
    <xf numFmtId="4" fontId="39" fillId="0" borderId="10" applyFill="0"/>
    <xf numFmtId="0" fontId="8" fillId="0" borderId="0" applyNumberFormat="0" applyFont="0" applyBorder="0" applyAlignment="0"/>
    <xf numFmtId="0" fontId="13" fillId="0" borderId="0" applyFill="0">
      <alignment horizontal="left" indent="1"/>
    </xf>
    <xf numFmtId="0" fontId="42" fillId="0" borderId="0" applyFill="0">
      <alignment horizontal="left" indent="1"/>
    </xf>
    <xf numFmtId="4" fontId="16" fillId="0" borderId="0" applyFill="0"/>
    <xf numFmtId="0" fontId="8" fillId="0" borderId="0" applyNumberFormat="0" applyFont="0" applyFill="0" applyBorder="0" applyAlignment="0"/>
    <xf numFmtId="0" fontId="13" fillId="0" borderId="0" applyFill="0">
      <alignment horizontal="left" indent="2"/>
    </xf>
    <xf numFmtId="0" fontId="10" fillId="0" borderId="0" applyFill="0">
      <alignment horizontal="left" indent="2"/>
    </xf>
    <xf numFmtId="4" fontId="16" fillId="0" borderId="0" applyFill="0"/>
    <xf numFmtId="0" fontId="8" fillId="0" borderId="0" applyNumberFormat="0" applyFont="0" applyBorder="0" applyAlignment="0"/>
    <xf numFmtId="0" fontId="43" fillId="0" borderId="0">
      <alignment horizontal="left" indent="3"/>
    </xf>
    <xf numFmtId="0" fontId="33" fillId="0" borderId="0" applyFill="0">
      <alignment horizontal="left" indent="3"/>
    </xf>
    <xf numFmtId="4" fontId="16" fillId="0" borderId="0" applyFill="0"/>
    <xf numFmtId="0" fontId="8" fillId="0" borderId="0" applyNumberFormat="0" applyFont="0" applyBorder="0" applyAlignment="0"/>
    <xf numFmtId="0" fontId="17" fillId="0" borderId="0">
      <alignment horizontal="left" indent="4"/>
    </xf>
    <xf numFmtId="0" fontId="8" fillId="0" borderId="0" applyFill="0">
      <alignment horizontal="left" indent="4"/>
    </xf>
    <xf numFmtId="4" fontId="18" fillId="0" borderId="0" applyFill="0"/>
    <xf numFmtId="0" fontId="8" fillId="0" borderId="0" applyNumberFormat="0" applyFont="0" applyBorder="0" applyAlignment="0"/>
    <xf numFmtId="0" fontId="19" fillId="0" borderId="0">
      <alignment horizontal="left" indent="5"/>
    </xf>
    <xf numFmtId="0" fontId="20" fillId="0" borderId="0" applyFill="0">
      <alignment horizontal="left" indent="5"/>
    </xf>
    <xf numFmtId="4" fontId="21" fillId="0" borderId="0" applyFill="0"/>
    <xf numFmtId="0" fontId="8" fillId="0" borderId="0" applyNumberFormat="0" applyFont="0" applyFill="0" applyBorder="0" applyAlignment="0"/>
    <xf numFmtId="0" fontId="22" fillId="0" borderId="0" applyFill="0">
      <alignment horizontal="left" indent="6"/>
    </xf>
    <xf numFmtId="0" fontId="18" fillId="0" borderId="0" applyFill="0">
      <alignment horizontal="left" indent="6"/>
    </xf>
    <xf numFmtId="169" fontId="6" fillId="19" borderId="11" applyBorder="0" applyProtection="0">
      <alignment horizontal="center"/>
    </xf>
    <xf numFmtId="0" fontId="44" fillId="0" borderId="0"/>
    <xf numFmtId="0" fontId="8" fillId="0" borderId="0" applyFont="0" applyFill="0" applyBorder="0" applyAlignment="0" applyProtection="0"/>
    <xf numFmtId="38" fontId="50" fillId="0" borderId="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65" fillId="0" borderId="0" applyNumberFormat="0" applyFill="0" applyBorder="0" applyAlignment="0" applyProtection="0"/>
  </cellStyleXfs>
  <cellXfs count="877">
    <xf numFmtId="0" fontId="0" fillId="0" borderId="0" xfId="0"/>
    <xf numFmtId="0" fontId="3" fillId="0" borderId="0" xfId="0" applyFont="1" applyFill="1" applyBorder="1" applyAlignment="1">
      <alignment horizontal="left"/>
    </xf>
    <xf numFmtId="37" fontId="4" fillId="0" borderId="0" xfId="0" applyNumberFormat="1" applyFont="1" applyFill="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0" fontId="4" fillId="0" borderId="0" xfId="0" applyFont="1" applyFill="1" applyBorder="1"/>
    <xf numFmtId="38" fontId="4" fillId="0" borderId="0" xfId="0" applyNumberFormat="1" applyFont="1" applyFill="1" applyBorder="1" applyAlignment="1">
      <alignment horizontal="center"/>
    </xf>
    <xf numFmtId="0" fontId="4" fillId="0" borderId="0" xfId="0" applyFont="1" applyFill="1" applyBorder="1" applyAlignment="1">
      <alignment horizontal="left"/>
    </xf>
    <xf numFmtId="164" fontId="4" fillId="0" borderId="0" xfId="0" applyNumberFormat="1"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xf numFmtId="164" fontId="3" fillId="0" borderId="0" xfId="0" applyNumberFormat="1" applyFont="1" applyFill="1" applyBorder="1"/>
    <xf numFmtId="164" fontId="3" fillId="0" borderId="0" xfId="1" applyNumberFormat="1" applyFont="1" applyFill="1" applyBorder="1"/>
    <xf numFmtId="38" fontId="3" fillId="0" borderId="0" xfId="0" applyNumberFormat="1" applyFont="1" applyFill="1" applyBorder="1" applyAlignment="1">
      <alignment horizontal="center"/>
    </xf>
    <xf numFmtId="0" fontId="3" fillId="0" borderId="0" xfId="0" applyFont="1" applyFill="1" applyBorder="1" applyAlignment="1">
      <alignment wrapText="1"/>
    </xf>
    <xf numFmtId="38" fontId="3" fillId="0" borderId="0" xfId="0" applyNumberFormat="1" applyFont="1" applyFill="1" applyBorder="1"/>
    <xf numFmtId="0" fontId="4" fillId="0" borderId="2" xfId="0" applyFont="1" applyFill="1" applyBorder="1" applyAlignment="1">
      <alignment horizontal="center"/>
    </xf>
    <xf numFmtId="38" fontId="4" fillId="0" borderId="2" xfId="0" applyNumberFormat="1" applyFont="1" applyFill="1" applyBorder="1"/>
    <xf numFmtId="0" fontId="4" fillId="0" borderId="2" xfId="0" applyFont="1" applyFill="1" applyBorder="1"/>
    <xf numFmtId="164" fontId="4" fillId="0" borderId="2" xfId="0" applyNumberFormat="1" applyFont="1" applyFill="1" applyBorder="1"/>
    <xf numFmtId="38" fontId="4" fillId="0" borderId="0" xfId="0" applyNumberFormat="1" applyFont="1" applyFill="1" applyBorder="1"/>
    <xf numFmtId="0" fontId="4" fillId="0" borderId="0" xfId="0" applyFont="1" applyFill="1" applyBorder="1" applyAlignment="1"/>
    <xf numFmtId="165" fontId="5" fillId="0" borderId="0" xfId="0" applyNumberFormat="1" applyFont="1" applyFill="1" applyBorder="1"/>
    <xf numFmtId="165" fontId="3" fillId="0" borderId="0" xfId="0" applyNumberFormat="1" applyFont="1" applyFill="1" applyBorder="1"/>
    <xf numFmtId="38" fontId="4" fillId="0" borderId="2" xfId="0" applyNumberFormat="1" applyFont="1" applyFill="1" applyBorder="1" applyAlignment="1">
      <alignment wrapText="1"/>
    </xf>
    <xf numFmtId="38" fontId="4" fillId="0" borderId="2" xfId="0" applyNumberFormat="1" applyFont="1" applyFill="1" applyBorder="1" applyAlignment="1">
      <alignment horizontal="center"/>
    </xf>
    <xf numFmtId="0" fontId="4" fillId="0" borderId="0" xfId="0" applyFont="1" applyFill="1" applyBorder="1" applyAlignment="1">
      <alignment vertical="top"/>
    </xf>
    <xf numFmtId="164" fontId="4" fillId="0" borderId="2" xfId="0" applyNumberFormat="1" applyFont="1" applyFill="1" applyBorder="1" applyAlignment="1">
      <alignment horizontal="right"/>
    </xf>
    <xf numFmtId="164" fontId="3" fillId="0" borderId="0" xfId="0" applyNumberFormat="1" applyFont="1" applyFill="1" applyBorder="1" applyAlignment="1">
      <alignment horizontal="center"/>
    </xf>
    <xf numFmtId="164" fontId="3" fillId="0" borderId="0" xfId="0" applyNumberFormat="1" applyFont="1" applyFill="1" applyBorder="1" applyAlignment="1">
      <alignment horizontal="right"/>
    </xf>
    <xf numFmtId="0" fontId="45" fillId="0" borderId="0" xfId="0" applyFont="1" applyBorder="1"/>
    <xf numFmtId="0" fontId="46" fillId="0" borderId="0" xfId="0" applyFont="1" applyBorder="1"/>
    <xf numFmtId="0" fontId="3" fillId="0" borderId="15" xfId="38578" applyFont="1" applyFill="1" applyBorder="1" applyAlignment="1"/>
    <xf numFmtId="0" fontId="3" fillId="0" borderId="0" xfId="38578" applyFont="1" applyFill="1" applyAlignment="1"/>
    <xf numFmtId="0" fontId="52" fillId="0" borderId="0" xfId="38578" applyFont="1" applyFill="1" applyAlignment="1"/>
    <xf numFmtId="0" fontId="3" fillId="0" borderId="0" xfId="38578" applyFont="1" applyFill="1" applyAlignment="1">
      <alignment horizontal="right"/>
    </xf>
    <xf numFmtId="0" fontId="3" fillId="0" borderId="0" xfId="38578" applyFont="1" applyFill="1" applyAlignment="1">
      <alignment horizontal="center"/>
    </xf>
    <xf numFmtId="0" fontId="52" fillId="0" borderId="0" xfId="38578" applyNumberFormat="1" applyFont="1" applyFill="1"/>
    <xf numFmtId="0" fontId="52" fillId="0" borderId="0" xfId="38578" applyFont="1" applyFill="1" applyBorder="1" applyAlignment="1"/>
    <xf numFmtId="0" fontId="52" fillId="0" borderId="0" xfId="38578" applyNumberFormat="1" applyFont="1" applyFill="1" applyAlignment="1"/>
    <xf numFmtId="3" fontId="52" fillId="0" borderId="0" xfId="38578" applyNumberFormat="1" applyFont="1" applyFill="1" applyAlignment="1">
      <alignment horizontal="center"/>
    </xf>
    <xf numFmtId="3" fontId="52" fillId="0" borderId="0" xfId="38578" applyNumberFormat="1" applyFont="1" applyFill="1" applyAlignment="1"/>
    <xf numFmtId="0" fontId="3" fillId="0" borderId="0" xfId="38578" applyNumberFormat="1" applyFont="1" applyFill="1"/>
    <xf numFmtId="0" fontId="52" fillId="0" borderId="0" xfId="38578" applyFont="1" applyFill="1" applyAlignment="1">
      <alignment wrapText="1"/>
    </xf>
    <xf numFmtId="0" fontId="3" fillId="20" borderId="18" xfId="38578" applyNumberFormat="1" applyFont="1" applyFill="1" applyBorder="1"/>
    <xf numFmtId="3" fontId="3" fillId="20" borderId="7" xfId="38578" applyNumberFormat="1" applyFont="1" applyFill="1" applyBorder="1" applyAlignment="1"/>
    <xf numFmtId="0" fontId="3" fillId="20" borderId="7" xfId="38578" applyNumberFormat="1" applyFont="1" applyFill="1" applyBorder="1"/>
    <xf numFmtId="0" fontId="3" fillId="20" borderId="7" xfId="38578" applyNumberFormat="1" applyFont="1" applyFill="1" applyBorder="1" applyAlignment="1">
      <alignment horizontal="right"/>
    </xf>
    <xf numFmtId="0" fontId="3" fillId="20" borderId="7" xfId="38578" applyNumberFormat="1" applyFont="1" applyFill="1" applyBorder="1" applyAlignment="1">
      <alignment horizontal="center"/>
    </xf>
    <xf numFmtId="0" fontId="3" fillId="20" borderId="7" xfId="38578" applyFont="1" applyFill="1" applyBorder="1"/>
    <xf numFmtId="0" fontId="3" fillId="20" borderId="17" xfId="38578" applyFont="1" applyFill="1" applyBorder="1" applyAlignment="1"/>
    <xf numFmtId="0" fontId="3" fillId="20" borderId="16" xfId="38578" applyNumberFormat="1" applyFont="1" applyFill="1" applyBorder="1"/>
    <xf numFmtId="3" fontId="3" fillId="20" borderId="0" xfId="38578" applyNumberFormat="1" applyFont="1" applyFill="1" applyBorder="1" applyAlignment="1"/>
    <xf numFmtId="0" fontId="3" fillId="20" borderId="0" xfId="38578" applyNumberFormat="1" applyFont="1" applyFill="1" applyBorder="1"/>
    <xf numFmtId="3" fontId="3" fillId="20" borderId="0" xfId="38578" applyNumberFormat="1" applyFont="1" applyFill="1" applyBorder="1" applyAlignment="1">
      <alignment horizontal="right"/>
    </xf>
    <xf numFmtId="0" fontId="3" fillId="20" borderId="0" xfId="38578" applyNumberFormat="1" applyFont="1" applyFill="1" applyBorder="1" applyAlignment="1">
      <alignment horizontal="center"/>
    </xf>
    <xf numFmtId="10" fontId="3" fillId="20" borderId="0" xfId="38578" applyNumberFormat="1" applyFont="1" applyFill="1" applyBorder="1"/>
    <xf numFmtId="0" fontId="3" fillId="20" borderId="15" xfId="38578" applyFont="1" applyFill="1" applyBorder="1" applyAlignment="1"/>
    <xf numFmtId="0" fontId="3" fillId="20" borderId="15" xfId="38578" applyFont="1" applyFill="1" applyBorder="1" applyAlignment="1">
      <alignment horizontal="center" vertical="top"/>
    </xf>
    <xf numFmtId="0" fontId="3" fillId="20" borderId="15" xfId="38578" applyFont="1" applyFill="1" applyBorder="1" applyAlignment="1">
      <alignment horizontal="center"/>
    </xf>
    <xf numFmtId="3" fontId="52" fillId="0" borderId="0" xfId="38578" applyNumberFormat="1" applyFont="1" applyFill="1" applyAlignment="1">
      <alignment horizontal="left"/>
    </xf>
    <xf numFmtId="10" fontId="3" fillId="21" borderId="0" xfId="38578" applyNumberFormat="1" applyFont="1" applyFill="1" applyBorder="1"/>
    <xf numFmtId="0" fontId="3" fillId="20" borderId="15" xfId="38578" applyNumberFormat="1" applyFont="1" applyFill="1" applyBorder="1" applyAlignment="1">
      <alignment horizontal="center"/>
    </xf>
    <xf numFmtId="3" fontId="3" fillId="20" borderId="16" xfId="38578" applyNumberFormat="1" applyFont="1" applyFill="1" applyBorder="1" applyAlignment="1"/>
    <xf numFmtId="0" fontId="3" fillId="20" borderId="17" xfId="38578" applyFont="1" applyFill="1" applyBorder="1" applyAlignment="1">
      <alignment horizontal="center"/>
    </xf>
    <xf numFmtId="3" fontId="3" fillId="20" borderId="18" xfId="38578" applyNumberFormat="1" applyFont="1" applyFill="1" applyBorder="1" applyAlignment="1" applyProtection="1"/>
    <xf numFmtId="1" fontId="3" fillId="20" borderId="7" xfId="38578" applyNumberFormat="1" applyFont="1" applyFill="1" applyBorder="1" applyAlignment="1" applyProtection="1">
      <alignment horizontal="right"/>
    </xf>
    <xf numFmtId="3" fontId="3" fillId="20" borderId="7" xfId="38578" applyNumberFormat="1" applyFont="1" applyFill="1" applyBorder="1" applyAlignment="1">
      <alignment horizontal="right"/>
    </xf>
    <xf numFmtId="3" fontId="3" fillId="20" borderId="7" xfId="38578" applyNumberFormat="1" applyFont="1" applyFill="1" applyBorder="1" applyAlignment="1">
      <alignment horizontal="center"/>
    </xf>
    <xf numFmtId="166" fontId="3" fillId="20" borderId="7" xfId="38578" applyNumberFormat="1" applyFont="1" applyFill="1" applyBorder="1" applyAlignment="1"/>
    <xf numFmtId="0" fontId="3" fillId="20" borderId="17" xfId="38578" applyNumberFormat="1" applyFont="1" applyFill="1" applyBorder="1" applyAlignment="1">
      <alignment horizontal="center"/>
    </xf>
    <xf numFmtId="3" fontId="3" fillId="20" borderId="16" xfId="38578" applyNumberFormat="1" applyFont="1" applyFill="1" applyBorder="1" applyAlignment="1" applyProtection="1"/>
    <xf numFmtId="1" fontId="3" fillId="21" borderId="7" xfId="38578" applyNumberFormat="1" applyFont="1" applyFill="1" applyBorder="1" applyAlignment="1" applyProtection="1">
      <alignment horizontal="right"/>
      <protection locked="0"/>
    </xf>
    <xf numFmtId="0" fontId="3" fillId="20" borderId="0" xfId="38578" applyNumberFormat="1" applyFont="1" applyFill="1" applyBorder="1" applyAlignment="1">
      <alignment horizontal="right"/>
    </xf>
    <xf numFmtId="0" fontId="3" fillId="20" borderId="7" xfId="38578" applyFont="1" applyFill="1" applyBorder="1" applyAlignment="1"/>
    <xf numFmtId="1" fontId="3" fillId="21" borderId="0" xfId="38578" applyNumberFormat="1" applyFont="1" applyFill="1" applyBorder="1" applyAlignment="1" applyProtection="1">
      <alignment horizontal="right"/>
      <protection locked="0"/>
    </xf>
    <xf numFmtId="3" fontId="3" fillId="20" borderId="0" xfId="38578" applyNumberFormat="1" applyFont="1" applyFill="1" applyBorder="1" applyAlignment="1">
      <alignment horizontal="center"/>
    </xf>
    <xf numFmtId="0" fontId="3" fillId="21" borderId="0" xfId="38578" applyFont="1" applyFill="1" applyBorder="1" applyAlignment="1">
      <alignment horizontal="right"/>
    </xf>
    <xf numFmtId="3" fontId="3" fillId="21" borderId="0" xfId="38578" applyNumberFormat="1" applyFont="1" applyFill="1" applyBorder="1" applyAlignment="1">
      <alignment horizontal="right"/>
    </xf>
    <xf numFmtId="172" fontId="3" fillId="20" borderId="0" xfId="38578" applyNumberFormat="1" applyFont="1" applyFill="1" applyBorder="1" applyAlignment="1">
      <alignment horizontal="right"/>
    </xf>
    <xf numFmtId="0" fontId="3" fillId="20" borderId="16" xfId="38578" applyFont="1" applyFill="1" applyBorder="1" applyAlignment="1">
      <alignment horizontal="right"/>
    </xf>
    <xf numFmtId="3" fontId="3" fillId="21" borderId="7" xfId="38578" applyNumberFormat="1" applyFont="1" applyFill="1" applyBorder="1" applyAlignment="1">
      <alignment horizontal="right"/>
    </xf>
    <xf numFmtId="0" fontId="54" fillId="20" borderId="0" xfId="38578" applyFont="1" applyFill="1" applyBorder="1" applyAlignment="1"/>
    <xf numFmtId="0" fontId="3" fillId="20" borderId="0" xfId="38578" applyFont="1" applyFill="1" applyBorder="1" applyAlignment="1">
      <alignment horizontal="right"/>
    </xf>
    <xf numFmtId="0" fontId="3" fillId="20" borderId="0" xfId="38578" applyFont="1" applyFill="1" applyBorder="1" applyAlignment="1">
      <alignment horizontal="center"/>
    </xf>
    <xf numFmtId="0" fontId="3" fillId="0" borderId="0" xfId="38578" applyNumberFormat="1" applyFont="1" applyFill="1" applyAlignment="1"/>
    <xf numFmtId="0" fontId="3" fillId="0" borderId="0" xfId="38578" applyNumberFormat="1" applyFont="1" applyFill="1" applyAlignment="1">
      <alignment horizontal="right"/>
    </xf>
    <xf numFmtId="174" fontId="3" fillId="0" borderId="0" xfId="38578" applyNumberFormat="1" applyFont="1" applyFill="1"/>
    <xf numFmtId="0" fontId="3" fillId="20" borderId="0" xfId="38578" applyFont="1" applyFill="1" applyBorder="1" applyAlignment="1" applyProtection="1">
      <alignment horizontal="right"/>
    </xf>
    <xf numFmtId="0" fontId="54" fillId="20" borderId="0" xfId="38578" applyFont="1" applyFill="1" applyBorder="1" applyAlignment="1">
      <alignment horizontal="right"/>
    </xf>
    <xf numFmtId="0" fontId="3" fillId="20" borderId="7" xfId="38578" applyFont="1" applyFill="1" applyBorder="1" applyAlignment="1">
      <alignment horizontal="center"/>
    </xf>
    <xf numFmtId="0" fontId="3" fillId="20" borderId="0" xfId="38578" applyNumberFormat="1" applyFont="1" applyFill="1" applyBorder="1" applyAlignment="1"/>
    <xf numFmtId="3" fontId="3" fillId="0" borderId="0" xfId="38578" applyNumberFormat="1" applyFont="1" applyFill="1" applyAlignment="1" applyProtection="1"/>
    <xf numFmtId="171" fontId="3" fillId="0" borderId="0" xfId="38578" applyNumberFormat="1" applyFont="1" applyFill="1" applyBorder="1" applyAlignment="1" applyProtection="1"/>
    <xf numFmtId="3" fontId="3" fillId="0" borderId="0" xfId="38578" applyNumberFormat="1" applyFont="1" applyFill="1" applyAlignment="1"/>
    <xf numFmtId="1" fontId="3" fillId="0" borderId="0" xfId="38578" applyNumberFormat="1" applyFont="1" applyFill="1" applyProtection="1"/>
    <xf numFmtId="0" fontId="3" fillId="0" borderId="0" xfId="38578" applyFont="1" applyFill="1" applyAlignment="1" applyProtection="1"/>
    <xf numFmtId="171" fontId="3" fillId="0" borderId="0" xfId="38578" applyNumberFormat="1" applyFont="1" applyFill="1" applyBorder="1" applyProtection="1"/>
    <xf numFmtId="4" fontId="3" fillId="20" borderId="0" xfId="38578" applyNumberFormat="1" applyFont="1" applyFill="1" applyBorder="1" applyAlignment="1">
      <alignment horizontal="right"/>
    </xf>
    <xf numFmtId="3" fontId="3" fillId="0" borderId="0" xfId="38578" applyNumberFormat="1" applyFont="1" applyFill="1" applyAlignment="1">
      <alignment horizontal="center"/>
    </xf>
    <xf numFmtId="10" fontId="3" fillId="20" borderId="0" xfId="38578" applyNumberFormat="1" applyFont="1" applyFill="1" applyBorder="1" applyAlignment="1">
      <alignment horizontal="right"/>
    </xf>
    <xf numFmtId="174" fontId="3" fillId="20" borderId="0" xfId="38578" applyNumberFormat="1" applyFont="1" applyFill="1" applyBorder="1" applyAlignment="1">
      <alignment horizontal="right"/>
    </xf>
    <xf numFmtId="9" fontId="3" fillId="20" borderId="0" xfId="38578" applyNumberFormat="1" applyFont="1" applyFill="1" applyBorder="1" applyAlignment="1">
      <alignment horizontal="center"/>
    </xf>
    <xf numFmtId="174" fontId="3" fillId="20" borderId="7" xfId="38578" applyNumberFormat="1" applyFont="1" applyFill="1" applyBorder="1" applyAlignment="1">
      <alignment horizontal="right"/>
    </xf>
    <xf numFmtId="3" fontId="3" fillId="20" borderId="16" xfId="38578" quotePrefix="1" applyNumberFormat="1" applyFont="1" applyFill="1" applyBorder="1" applyAlignment="1"/>
    <xf numFmtId="0" fontId="3" fillId="20" borderId="7" xfId="38578" applyFont="1" applyFill="1" applyBorder="1" applyAlignment="1">
      <alignment horizontal="right"/>
    </xf>
    <xf numFmtId="171" fontId="3" fillId="20" borderId="0" xfId="38578" applyNumberFormat="1" applyFont="1" applyFill="1" applyBorder="1" applyAlignment="1"/>
    <xf numFmtId="3" fontId="3" fillId="20" borderId="16" xfId="38578" applyNumberFormat="1" applyFont="1" applyFill="1" applyBorder="1" applyAlignment="1">
      <alignment horizontal="center"/>
    </xf>
    <xf numFmtId="3" fontId="3" fillId="21" borderId="7" xfId="38578" applyNumberFormat="1" applyFont="1" applyFill="1" applyBorder="1" applyAlignment="1"/>
    <xf numFmtId="173" fontId="3" fillId="20" borderId="0" xfId="38578" applyNumberFormat="1" applyFont="1" applyFill="1" applyBorder="1" applyAlignment="1"/>
    <xf numFmtId="173" fontId="3" fillId="20" borderId="0" xfId="38578" applyNumberFormat="1" applyFont="1" applyFill="1" applyBorder="1" applyAlignment="1">
      <alignment horizontal="right"/>
    </xf>
    <xf numFmtId="3" fontId="3" fillId="21" borderId="0" xfId="38578" applyNumberFormat="1" applyFont="1" applyFill="1" applyBorder="1" applyAlignment="1"/>
    <xf numFmtId="173" fontId="3" fillId="20" borderId="0" xfId="38578" applyNumberFormat="1" applyFont="1" applyFill="1" applyBorder="1" applyAlignment="1">
      <alignment horizontal="center"/>
    </xf>
    <xf numFmtId="173" fontId="3" fillId="20" borderId="16" xfId="38578" applyNumberFormat="1" applyFont="1" applyFill="1" applyBorder="1" applyAlignment="1"/>
    <xf numFmtId="170" fontId="3" fillId="20" borderId="0" xfId="38578" applyNumberFormat="1" applyFont="1" applyFill="1" applyBorder="1" applyAlignment="1">
      <alignment horizontal="center"/>
    </xf>
    <xf numFmtId="0" fontId="3" fillId="20" borderId="16" xfId="38578" applyFont="1" applyFill="1" applyBorder="1" applyAlignment="1">
      <alignment horizontal="center"/>
    </xf>
    <xf numFmtId="175" fontId="3" fillId="20" borderId="0" xfId="38578" applyNumberFormat="1" applyFont="1" applyFill="1" applyBorder="1" applyAlignment="1">
      <alignment horizontal="right"/>
    </xf>
    <xf numFmtId="175" fontId="3" fillId="20" borderId="0" xfId="38578" applyNumberFormat="1" applyFont="1" applyFill="1" applyBorder="1" applyAlignment="1"/>
    <xf numFmtId="4" fontId="3" fillId="20" borderId="0" xfId="38578" applyNumberFormat="1" applyFont="1" applyFill="1" applyBorder="1" applyAlignment="1">
      <alignment horizontal="center"/>
    </xf>
    <xf numFmtId="176" fontId="52" fillId="0" borderId="0" xfId="38578" applyNumberFormat="1" applyFont="1" applyFill="1" applyAlignment="1"/>
    <xf numFmtId="10" fontId="3" fillId="20" borderId="0" xfId="38578" applyNumberFormat="1" applyFont="1" applyFill="1" applyBorder="1" applyAlignment="1">
      <alignment horizontal="left"/>
    </xf>
    <xf numFmtId="49" fontId="3" fillId="20" borderId="0" xfId="38578" applyNumberFormat="1" applyFont="1" applyFill="1" applyBorder="1" applyAlignment="1"/>
    <xf numFmtId="49" fontId="3" fillId="20" borderId="0" xfId="38578" applyNumberFormat="1" applyFont="1" applyFill="1" applyBorder="1" applyAlignment="1">
      <alignment horizontal="right"/>
    </xf>
    <xf numFmtId="49" fontId="3" fillId="20" borderId="0" xfId="38578" applyNumberFormat="1" applyFont="1" applyFill="1" applyBorder="1" applyAlignment="1">
      <alignment horizontal="center"/>
    </xf>
    <xf numFmtId="0" fontId="3" fillId="0" borderId="0" xfId="38578" applyFont="1" applyFill="1" applyBorder="1" applyAlignment="1"/>
    <xf numFmtId="3" fontId="3" fillId="22" borderId="7" xfId="38578" applyNumberFormat="1" applyFont="1" applyFill="1" applyBorder="1" applyAlignment="1">
      <alignment horizontal="right"/>
    </xf>
    <xf numFmtId="3" fontId="3" fillId="22" borderId="0" xfId="38578" applyNumberFormat="1" applyFont="1" applyFill="1" applyBorder="1" applyAlignment="1">
      <alignment horizontal="right"/>
    </xf>
    <xf numFmtId="3" fontId="3" fillId="20" borderId="14" xfId="38578" applyNumberFormat="1" applyFont="1" applyFill="1" applyBorder="1" applyAlignment="1"/>
    <xf numFmtId="0" fontId="3" fillId="20" borderId="13" xfId="38578" applyNumberFormat="1" applyFont="1" applyFill="1" applyBorder="1" applyAlignment="1">
      <alignment horizontal="right"/>
    </xf>
    <xf numFmtId="0" fontId="3" fillId="20" borderId="13" xfId="38578" applyNumberFormat="1" applyFont="1" applyFill="1" applyBorder="1"/>
    <xf numFmtId="0" fontId="3" fillId="20" borderId="13" xfId="38578" applyNumberFormat="1" applyFont="1" applyFill="1" applyBorder="1" applyAlignment="1">
      <alignment horizontal="center"/>
    </xf>
    <xf numFmtId="0" fontId="3" fillId="20" borderId="13" xfId="38578" applyFont="1" applyFill="1" applyBorder="1" applyAlignment="1"/>
    <xf numFmtId="0" fontId="4" fillId="20" borderId="13" xfId="38578" applyFont="1" applyFill="1" applyBorder="1" applyAlignment="1"/>
    <xf numFmtId="0" fontId="3" fillId="20" borderId="12" xfId="38578" applyNumberFormat="1" applyFont="1" applyFill="1" applyBorder="1" applyAlignment="1">
      <alignment horizontal="center"/>
    </xf>
    <xf numFmtId="0" fontId="3" fillId="20" borderId="25" xfId="38578" applyNumberFormat="1" applyFont="1" applyFill="1" applyBorder="1"/>
    <xf numFmtId="3" fontId="3" fillId="20" borderId="26" xfId="38578" applyNumberFormat="1" applyFont="1" applyFill="1" applyBorder="1" applyAlignment="1">
      <alignment horizontal="right"/>
    </xf>
    <xf numFmtId="3" fontId="3" fillId="20" borderId="27" xfId="38578" applyNumberFormat="1" applyFont="1" applyFill="1" applyBorder="1" applyAlignment="1">
      <alignment horizontal="right"/>
    </xf>
    <xf numFmtId="3" fontId="3" fillId="20" borderId="27" xfId="38578" applyNumberFormat="1" applyFont="1" applyFill="1" applyBorder="1" applyAlignment="1">
      <alignment horizontal="center"/>
    </xf>
    <xf numFmtId="3" fontId="3" fillId="20" borderId="28" xfId="38578" applyNumberFormat="1" applyFont="1" applyFill="1" applyBorder="1" applyAlignment="1"/>
    <xf numFmtId="3" fontId="3" fillId="20" borderId="27" xfId="38578" applyNumberFormat="1" applyFont="1" applyFill="1" applyBorder="1" applyAlignment="1"/>
    <xf numFmtId="0" fontId="3" fillId="20" borderId="29" xfId="38578" applyNumberFormat="1" applyFont="1" applyFill="1" applyBorder="1"/>
    <xf numFmtId="3" fontId="3" fillId="20" borderId="30" xfId="38578" applyNumberFormat="1" applyFont="1" applyFill="1" applyBorder="1" applyAlignment="1">
      <alignment horizontal="right"/>
    </xf>
    <xf numFmtId="173" fontId="3" fillId="20" borderId="19" xfId="38578" applyNumberFormat="1" applyFont="1" applyFill="1" applyBorder="1" applyAlignment="1">
      <alignment horizontal="right"/>
    </xf>
    <xf numFmtId="3" fontId="3" fillId="20" borderId="19" xfId="38578" applyNumberFormat="1" applyFont="1" applyFill="1" applyBorder="1" applyAlignment="1">
      <alignment horizontal="center"/>
    </xf>
    <xf numFmtId="3" fontId="3" fillId="20" borderId="31" xfId="38578" applyNumberFormat="1" applyFont="1" applyFill="1" applyBorder="1" applyAlignment="1"/>
    <xf numFmtId="0" fontId="3" fillId="20" borderId="19" xfId="38578" applyFont="1" applyFill="1" applyBorder="1" applyAlignment="1"/>
    <xf numFmtId="3" fontId="3" fillId="20" borderId="31" xfId="38578" applyNumberFormat="1" applyFont="1" applyFill="1" applyBorder="1" applyAlignment="1">
      <alignment horizontal="right"/>
    </xf>
    <xf numFmtId="10" fontId="3" fillId="20" borderId="19" xfId="38578" applyNumberFormat="1" applyFont="1" applyFill="1" applyBorder="1" applyAlignment="1">
      <alignment horizontal="left"/>
    </xf>
    <xf numFmtId="170" fontId="3" fillId="20" borderId="0" xfId="38578" applyNumberFormat="1" applyFont="1" applyFill="1" applyBorder="1" applyAlignment="1">
      <alignment horizontal="left"/>
    </xf>
    <xf numFmtId="3" fontId="3" fillId="20" borderId="19" xfId="38578" applyNumberFormat="1" applyFont="1" applyFill="1" applyBorder="1" applyAlignment="1">
      <alignment horizontal="right"/>
    </xf>
    <xf numFmtId="0" fontId="3" fillId="20" borderId="19" xfId="38578" applyFont="1" applyFill="1" applyBorder="1" applyAlignment="1">
      <alignment horizontal="center"/>
    </xf>
    <xf numFmtId="3" fontId="3" fillId="20" borderId="19" xfId="38578" applyNumberFormat="1" applyFont="1" applyFill="1" applyBorder="1" applyAlignment="1"/>
    <xf numFmtId="0" fontId="3" fillId="20" borderId="19" xfId="38578" applyFont="1" applyFill="1" applyBorder="1" applyAlignment="1">
      <alignment horizontal="right"/>
    </xf>
    <xf numFmtId="3" fontId="3" fillId="21" borderId="19" xfId="38578" applyNumberFormat="1" applyFont="1" applyFill="1" applyBorder="1" applyAlignment="1"/>
    <xf numFmtId="174" fontId="3" fillId="20" borderId="19" xfId="38578" applyNumberFormat="1" applyFont="1" applyFill="1" applyBorder="1" applyAlignment="1">
      <alignment horizontal="right"/>
    </xf>
    <xf numFmtId="170" fontId="3" fillId="20" borderId="16" xfId="38578" applyNumberFormat="1" applyFont="1" applyFill="1" applyBorder="1" applyAlignment="1">
      <alignment horizontal="center"/>
    </xf>
    <xf numFmtId="10" fontId="3" fillId="20" borderId="0" xfId="38578" applyNumberFormat="1" applyFont="1" applyFill="1" applyBorder="1" applyAlignment="1">
      <alignment horizontal="left" wrapText="1"/>
    </xf>
    <xf numFmtId="0" fontId="55" fillId="20" borderId="19" xfId="19383" applyFont="1" applyFill="1" applyBorder="1" applyAlignment="1">
      <alignment horizontal="right" vertical="center" indent="1"/>
    </xf>
    <xf numFmtId="10" fontId="3" fillId="20" borderId="19" xfId="38578" applyNumberFormat="1" applyFont="1" applyFill="1" applyBorder="1" applyAlignment="1">
      <alignment horizontal="right"/>
    </xf>
    <xf numFmtId="3" fontId="3" fillId="20" borderId="19" xfId="38578" applyNumberFormat="1" applyFont="1" applyFill="1" applyBorder="1" applyAlignment="1">
      <alignment wrapText="1"/>
    </xf>
    <xf numFmtId="3" fontId="3" fillId="20" borderId="9" xfId="38578" applyNumberFormat="1" applyFont="1" applyFill="1" applyBorder="1" applyAlignment="1"/>
    <xf numFmtId="0" fontId="3" fillId="20" borderId="29" xfId="38578" applyFont="1" applyFill="1" applyBorder="1" applyAlignment="1"/>
    <xf numFmtId="0" fontId="52" fillId="0" borderId="0" xfId="38578" applyNumberFormat="1" applyFont="1" applyFill="1" applyAlignment="1">
      <alignment wrapText="1"/>
    </xf>
    <xf numFmtId="0" fontId="3" fillId="0" borderId="0" xfId="38578" applyFont="1" applyFill="1" applyAlignment="1">
      <alignment wrapText="1"/>
    </xf>
    <xf numFmtId="3" fontId="3" fillId="20" borderId="29" xfId="38578" applyNumberFormat="1" applyFont="1" applyFill="1" applyBorder="1" applyAlignment="1"/>
    <xf numFmtId="175" fontId="3" fillId="20" borderId="19" xfId="38578" applyNumberFormat="1" applyFont="1" applyFill="1" applyBorder="1" applyAlignment="1">
      <alignment horizontal="right"/>
    </xf>
    <xf numFmtId="3" fontId="3" fillId="22" borderId="19" xfId="38578" applyNumberFormat="1" applyFont="1" applyFill="1" applyBorder="1" applyAlignment="1"/>
    <xf numFmtId="3" fontId="3" fillId="22" borderId="32" xfId="38578" applyNumberFormat="1" applyFont="1" applyFill="1" applyBorder="1" applyAlignment="1"/>
    <xf numFmtId="3" fontId="3" fillId="20" borderId="14" xfId="38578" applyNumberFormat="1" applyFont="1" applyFill="1" applyBorder="1"/>
    <xf numFmtId="3" fontId="3" fillId="20" borderId="33" xfId="38578" applyNumberFormat="1" applyFont="1" applyFill="1" applyBorder="1" applyAlignment="1">
      <alignment horizontal="right"/>
    </xf>
    <xf numFmtId="3" fontId="3" fillId="20" borderId="13" xfId="38578" applyNumberFormat="1" applyFont="1" applyFill="1" applyBorder="1" applyAlignment="1"/>
    <xf numFmtId="3" fontId="3" fillId="20" borderId="33" xfId="38578" applyNumberFormat="1" applyFont="1" applyFill="1" applyBorder="1" applyAlignment="1">
      <alignment horizontal="center"/>
    </xf>
    <xf numFmtId="3" fontId="3" fillId="20" borderId="33" xfId="38578" applyNumberFormat="1" applyFont="1" applyFill="1" applyBorder="1" applyAlignment="1"/>
    <xf numFmtId="3" fontId="3" fillId="20" borderId="18" xfId="38578" applyNumberFormat="1" applyFont="1" applyFill="1" applyBorder="1" applyAlignment="1"/>
    <xf numFmtId="3" fontId="3" fillId="20" borderId="34" xfId="38578" applyNumberFormat="1" applyFont="1" applyFill="1" applyBorder="1" applyAlignment="1"/>
    <xf numFmtId="170" fontId="3" fillId="20" borderId="27" xfId="38578" applyNumberFormat="1" applyFont="1" applyFill="1" applyBorder="1" applyAlignment="1">
      <alignment horizontal="right"/>
    </xf>
    <xf numFmtId="3" fontId="3" fillId="20" borderId="21" xfId="38578" applyNumberFormat="1" applyFont="1" applyFill="1" applyBorder="1" applyAlignment="1">
      <alignment horizontal="center"/>
    </xf>
    <xf numFmtId="3" fontId="3" fillId="20" borderId="21" xfId="38578" applyNumberFormat="1" applyFont="1" applyFill="1" applyBorder="1" applyAlignment="1"/>
    <xf numFmtId="0" fontId="3" fillId="20" borderId="35" xfId="38578" applyNumberFormat="1" applyFont="1" applyFill="1" applyBorder="1"/>
    <xf numFmtId="3" fontId="3" fillId="20" borderId="36" xfId="38578" applyNumberFormat="1" applyFont="1" applyFill="1" applyBorder="1" applyAlignment="1">
      <alignment horizontal="right"/>
    </xf>
    <xf numFmtId="0" fontId="3" fillId="20" borderId="6" xfId="38578" applyNumberFormat="1" applyFont="1" applyFill="1" applyBorder="1"/>
    <xf numFmtId="0" fontId="3" fillId="20" borderId="19" xfId="38578" applyNumberFormat="1" applyFont="1" applyFill="1" applyBorder="1" applyAlignment="1">
      <alignment horizontal="right"/>
    </xf>
    <xf numFmtId="0" fontId="3" fillId="20" borderId="9" xfId="38578" applyNumberFormat="1" applyFont="1" applyFill="1" applyBorder="1" applyAlignment="1">
      <alignment horizontal="center"/>
    </xf>
    <xf numFmtId="3" fontId="3" fillId="20" borderId="8" xfId="38578" applyNumberFormat="1" applyFont="1" applyFill="1" applyBorder="1" applyAlignment="1"/>
    <xf numFmtId="3" fontId="3" fillId="20" borderId="6" xfId="38578" applyNumberFormat="1" applyFont="1" applyFill="1" applyBorder="1" applyAlignment="1"/>
    <xf numFmtId="3" fontId="3" fillId="20" borderId="9" xfId="38578" applyNumberFormat="1" applyFont="1" applyFill="1" applyBorder="1" applyAlignment="1">
      <alignment horizontal="center"/>
    </xf>
    <xf numFmtId="3" fontId="3" fillId="21" borderId="9" xfId="38578" applyNumberFormat="1" applyFont="1" applyFill="1" applyBorder="1" applyAlignment="1"/>
    <xf numFmtId="0" fontId="3" fillId="20" borderId="9" xfId="38578" applyFont="1" applyFill="1" applyBorder="1" applyAlignment="1"/>
    <xf numFmtId="0" fontId="3" fillId="20" borderId="16" xfId="38578" applyNumberFormat="1" applyFont="1" applyFill="1" applyBorder="1" applyAlignment="1">
      <alignment horizontal="right"/>
    </xf>
    <xf numFmtId="3" fontId="3" fillId="20" borderId="0" xfId="38578" applyNumberFormat="1" applyFont="1" applyFill="1" applyBorder="1" applyAlignment="1">
      <alignment horizontal="right" wrapText="1"/>
    </xf>
    <xf numFmtId="3" fontId="3" fillId="20" borderId="6" xfId="38578" applyNumberFormat="1" applyFont="1" applyFill="1" applyBorder="1" applyAlignment="1">
      <alignment wrapText="1"/>
    </xf>
    <xf numFmtId="175" fontId="3" fillId="20" borderId="19" xfId="38578" applyNumberFormat="1" applyFont="1" applyFill="1" applyBorder="1" applyAlignment="1">
      <alignment horizontal="right" wrapText="1"/>
    </xf>
    <xf numFmtId="3" fontId="3" fillId="20" borderId="9" xfId="38578" applyNumberFormat="1" applyFont="1" applyFill="1" applyBorder="1" applyAlignment="1">
      <alignment horizontal="center" wrapText="1"/>
    </xf>
    <xf numFmtId="3" fontId="3" fillId="22" borderId="9" xfId="38578" applyNumberFormat="1" applyFont="1" applyFill="1" applyBorder="1" applyAlignment="1">
      <alignment wrapText="1"/>
    </xf>
    <xf numFmtId="0" fontId="3" fillId="20" borderId="9" xfId="38578" applyFont="1" applyFill="1" applyBorder="1" applyAlignment="1">
      <alignment wrapText="1"/>
    </xf>
    <xf numFmtId="170" fontId="3" fillId="20" borderId="19" xfId="38578" applyNumberFormat="1" applyFont="1" applyFill="1" applyBorder="1" applyAlignment="1">
      <alignment horizontal="right"/>
    </xf>
    <xf numFmtId="3" fontId="3" fillId="20" borderId="6" xfId="38578" applyNumberFormat="1" applyFont="1" applyFill="1" applyBorder="1" applyAlignment="1">
      <alignment horizontal="center"/>
    </xf>
    <xf numFmtId="3" fontId="3" fillId="22" borderId="9" xfId="38578" applyNumberFormat="1" applyFont="1" applyFill="1" applyBorder="1" applyAlignment="1"/>
    <xf numFmtId="170" fontId="3" fillId="20" borderId="16" xfId="38578" applyNumberFormat="1" applyFont="1" applyFill="1" applyBorder="1" applyAlignment="1">
      <alignment horizontal="center" wrapText="1"/>
    </xf>
    <xf numFmtId="170" fontId="3" fillId="20" borderId="29" xfId="38578" applyNumberFormat="1" applyFont="1" applyFill="1" applyBorder="1" applyAlignment="1">
      <alignment horizontal="center"/>
    </xf>
    <xf numFmtId="0" fontId="3" fillId="20" borderId="0" xfId="38578" applyNumberFormat="1" applyFont="1" applyFill="1" applyBorder="1" applyAlignment="1">
      <alignment wrapText="1"/>
    </xf>
    <xf numFmtId="164" fontId="3" fillId="22" borderId="9" xfId="1" applyNumberFormat="1" applyFont="1" applyFill="1" applyBorder="1" applyAlignment="1"/>
    <xf numFmtId="164" fontId="3" fillId="22" borderId="9" xfId="1" applyNumberFormat="1" applyFont="1" applyFill="1" applyBorder="1" applyAlignment="1">
      <alignment wrapText="1"/>
    </xf>
    <xf numFmtId="3" fontId="3" fillId="20" borderId="16" xfId="38578" applyNumberFormat="1" applyFont="1" applyFill="1" applyBorder="1" applyAlignment="1">
      <alignment wrapText="1"/>
    </xf>
    <xf numFmtId="164" fontId="3" fillId="20" borderId="9" xfId="1" applyNumberFormat="1" applyFont="1" applyFill="1" applyBorder="1" applyAlignment="1"/>
    <xf numFmtId="170" fontId="3" fillId="20" borderId="14" xfId="38578" applyNumberFormat="1" applyFont="1" applyFill="1" applyBorder="1" applyAlignment="1">
      <alignment horizontal="center"/>
    </xf>
    <xf numFmtId="0" fontId="3" fillId="20" borderId="13" xfId="38578" applyFont="1" applyFill="1" applyBorder="1" applyAlignment="1">
      <alignment horizontal="center"/>
    </xf>
    <xf numFmtId="3" fontId="4" fillId="20" borderId="11" xfId="38578" applyNumberFormat="1" applyFont="1" applyFill="1" applyBorder="1" applyAlignment="1"/>
    <xf numFmtId="0" fontId="3" fillId="20" borderId="33" xfId="38578" applyFont="1" applyFill="1" applyBorder="1" applyAlignment="1">
      <alignment horizontal="right"/>
    </xf>
    <xf numFmtId="0" fontId="3" fillId="20" borderId="37" xfId="38578" applyFont="1" applyFill="1" applyBorder="1" applyAlignment="1">
      <alignment horizontal="center"/>
    </xf>
    <xf numFmtId="0" fontId="3" fillId="20" borderId="37" xfId="38578" applyFont="1" applyFill="1" applyBorder="1" applyAlignment="1"/>
    <xf numFmtId="164" fontId="3" fillId="20" borderId="0" xfId="1" applyNumberFormat="1" applyFont="1" applyFill="1" applyBorder="1"/>
    <xf numFmtId="0" fontId="3" fillId="20" borderId="9" xfId="38578" applyNumberFormat="1" applyFont="1" applyFill="1" applyBorder="1"/>
    <xf numFmtId="0" fontId="3" fillId="20" borderId="9" xfId="38578" applyFont="1" applyFill="1" applyBorder="1"/>
    <xf numFmtId="0" fontId="3" fillId="20" borderId="37" xfId="38578" applyNumberFormat="1" applyFont="1" applyFill="1" applyBorder="1" applyAlignment="1">
      <alignment horizontal="center"/>
    </xf>
    <xf numFmtId="3" fontId="3" fillId="20" borderId="13" xfId="38578" applyNumberFormat="1" applyFont="1" applyFill="1" applyBorder="1"/>
    <xf numFmtId="0" fontId="3" fillId="20" borderId="37" xfId="38578" applyNumberFormat="1" applyFont="1" applyFill="1" applyBorder="1"/>
    <xf numFmtId="0" fontId="3" fillId="20" borderId="13" xfId="38578" applyFont="1" applyFill="1" applyBorder="1"/>
    <xf numFmtId="49" fontId="3" fillId="20" borderId="7" xfId="38578" applyNumberFormat="1" applyFont="1" applyFill="1" applyBorder="1" applyAlignment="1">
      <alignment horizontal="center"/>
    </xf>
    <xf numFmtId="49" fontId="3" fillId="20" borderId="7" xfId="38578" applyNumberFormat="1" applyFont="1" applyFill="1" applyBorder="1" applyAlignment="1">
      <alignment horizontal="right"/>
    </xf>
    <xf numFmtId="0" fontId="4" fillId="20" borderId="0" xfId="38578" applyFont="1" applyFill="1" applyBorder="1" applyAlignment="1">
      <alignment horizontal="center"/>
    </xf>
    <xf numFmtId="0" fontId="3" fillId="20" borderId="0" xfId="38578" applyNumberFormat="1" applyFont="1" applyFill="1" applyBorder="1" applyAlignment="1">
      <alignment horizontal="left"/>
    </xf>
    <xf numFmtId="3" fontId="3" fillId="20" borderId="15" xfId="38578" applyNumberFormat="1" applyFont="1" applyFill="1" applyBorder="1" applyAlignment="1"/>
    <xf numFmtId="0" fontId="3" fillId="20" borderId="14" xfId="38578" applyFont="1" applyFill="1" applyBorder="1" applyAlignment="1">
      <alignment horizontal="right"/>
    </xf>
    <xf numFmtId="0" fontId="3" fillId="20" borderId="13" xfId="38578" applyFont="1" applyFill="1" applyBorder="1" applyAlignment="1">
      <alignment horizontal="right"/>
    </xf>
    <xf numFmtId="0" fontId="52" fillId="0" borderId="0" xfId="0" applyFont="1" applyBorder="1"/>
    <xf numFmtId="0" fontId="52" fillId="0" borderId="0" xfId="0" applyFont="1" applyBorder="1" applyAlignment="1">
      <alignment horizontal="center"/>
    </xf>
    <xf numFmtId="3" fontId="3" fillId="0" borderId="0" xfId="0" applyNumberFormat="1" applyFont="1" applyFill="1" applyBorder="1"/>
    <xf numFmtId="0" fontId="52" fillId="0" borderId="0" xfId="0" applyFont="1"/>
    <xf numFmtId="0" fontId="52" fillId="20" borderId="13" xfId="0" applyFont="1" applyFill="1" applyBorder="1"/>
    <xf numFmtId="0" fontId="52" fillId="20" borderId="0" xfId="0" applyFont="1" applyFill="1" applyBorder="1"/>
    <xf numFmtId="0" fontId="52" fillId="20" borderId="15" xfId="0" applyFont="1" applyFill="1" applyBorder="1"/>
    <xf numFmtId="0" fontId="49" fillId="20" borderId="0" xfId="0" applyFont="1" applyFill="1" applyBorder="1" applyAlignment="1">
      <alignment horizontal="centerContinuous" wrapText="1"/>
    </xf>
    <xf numFmtId="0" fontId="49" fillId="20" borderId="0" xfId="0" applyFont="1" applyFill="1" applyBorder="1" applyAlignment="1">
      <alignment horizontal="center" wrapText="1"/>
    </xf>
    <xf numFmtId="0" fontId="49" fillId="20" borderId="16" xfId="0" applyFont="1" applyFill="1" applyBorder="1" applyAlignment="1">
      <alignment horizontal="centerContinuous" wrapText="1"/>
    </xf>
    <xf numFmtId="0" fontId="47" fillId="20" borderId="17" xfId="0" applyFont="1" applyFill="1" applyBorder="1" applyAlignment="1">
      <alignment horizontal="center"/>
    </xf>
    <xf numFmtId="37" fontId="3" fillId="20" borderId="7" xfId="42319" applyNumberFormat="1" applyFont="1" applyFill="1" applyBorder="1" applyAlignment="1">
      <alignment horizontal="center"/>
    </xf>
    <xf numFmtId="37" fontId="3" fillId="20" borderId="18" xfId="42319" applyNumberFormat="1" applyFont="1" applyFill="1" applyBorder="1" applyAlignment="1">
      <alignment horizontal="center"/>
    </xf>
    <xf numFmtId="0" fontId="3" fillId="20" borderId="15" xfId="38787" applyFont="1" applyFill="1" applyBorder="1" applyAlignment="1">
      <alignment horizontal="center"/>
    </xf>
    <xf numFmtId="0" fontId="3" fillId="20" borderId="0" xfId="39548" applyFont="1" applyFill="1" applyBorder="1"/>
    <xf numFmtId="170" fontId="3" fillId="20" borderId="11" xfId="42188" applyNumberFormat="1" applyFont="1" applyFill="1" applyBorder="1"/>
    <xf numFmtId="0" fontId="3" fillId="20" borderId="0" xfId="38791" applyFont="1" applyFill="1" applyBorder="1"/>
    <xf numFmtId="0" fontId="3" fillId="20" borderId="0" xfId="39550" applyFont="1" applyFill="1" applyBorder="1"/>
    <xf numFmtId="0" fontId="3" fillId="20" borderId="0" xfId="39552" applyFont="1" applyFill="1" applyBorder="1"/>
    <xf numFmtId="0" fontId="52" fillId="20" borderId="40" xfId="0" quotePrefix="1" applyFont="1" applyFill="1" applyBorder="1"/>
    <xf numFmtId="3" fontId="3" fillId="20" borderId="0" xfId="18360" applyNumberFormat="1" applyFont="1" applyFill="1" applyBorder="1"/>
    <xf numFmtId="0" fontId="3" fillId="20" borderId="36" xfId="39554" applyFont="1" applyFill="1" applyBorder="1"/>
    <xf numFmtId="49" fontId="3" fillId="20" borderId="15" xfId="39562" applyNumberFormat="1" applyFont="1" applyFill="1" applyBorder="1" applyAlignment="1">
      <alignment horizontal="center"/>
    </xf>
    <xf numFmtId="0" fontId="52" fillId="20" borderId="7" xfId="0" applyFont="1" applyFill="1" applyBorder="1"/>
    <xf numFmtId="0" fontId="52" fillId="20" borderId="14" xfId="0" applyFont="1" applyFill="1" applyBorder="1"/>
    <xf numFmtId="0" fontId="52" fillId="20" borderId="16" xfId="0" applyFont="1" applyFill="1" applyBorder="1"/>
    <xf numFmtId="0" fontId="52" fillId="20" borderId="41" xfId="0" quotePrefix="1" applyFont="1" applyFill="1" applyBorder="1"/>
    <xf numFmtId="0" fontId="52" fillId="20" borderId="40" xfId="0" applyFont="1" applyFill="1" applyBorder="1"/>
    <xf numFmtId="49" fontId="3" fillId="20" borderId="15" xfId="38787" applyNumberFormat="1" applyFont="1" applyFill="1" applyBorder="1" applyAlignment="1">
      <alignment horizontal="center"/>
    </xf>
    <xf numFmtId="0" fontId="3" fillId="20" borderId="15" xfId="38790" applyFont="1" applyFill="1" applyBorder="1" applyAlignment="1">
      <alignment horizontal="center"/>
    </xf>
    <xf numFmtId="170" fontId="3" fillId="20" borderId="0" xfId="42188" applyNumberFormat="1" applyFont="1" applyFill="1" applyBorder="1"/>
    <xf numFmtId="38" fontId="3" fillId="20" borderId="0" xfId="38792" applyNumberFormat="1" applyFont="1" applyFill="1" applyBorder="1"/>
    <xf numFmtId="0" fontId="51" fillId="20" borderId="13" xfId="0" applyFont="1" applyFill="1" applyBorder="1" applyAlignment="1">
      <alignment horizontal="centerContinuous" wrapText="1"/>
    </xf>
    <xf numFmtId="0" fontId="47" fillId="20" borderId="13" xfId="0" applyFont="1" applyFill="1" applyBorder="1" applyAlignment="1">
      <alignment horizontal="centerContinuous" wrapText="1"/>
    </xf>
    <xf numFmtId="0" fontId="47" fillId="20" borderId="14" xfId="0" applyFont="1" applyFill="1" applyBorder="1" applyAlignment="1">
      <alignment horizontal="centerContinuous" wrapText="1"/>
    </xf>
    <xf numFmtId="0" fontId="47" fillId="20" borderId="0" xfId="0" applyFont="1" applyFill="1" applyBorder="1" applyAlignment="1">
      <alignment horizontal="centerContinuous" wrapText="1"/>
    </xf>
    <xf numFmtId="0" fontId="47" fillId="20" borderId="16" xfId="0" applyFont="1" applyFill="1" applyBorder="1" applyAlignment="1">
      <alignment horizontal="centerContinuous" wrapText="1"/>
    </xf>
    <xf numFmtId="0" fontId="47" fillId="20" borderId="15" xfId="0" applyFont="1" applyFill="1" applyBorder="1" applyAlignment="1">
      <alignment horizontal="center"/>
    </xf>
    <xf numFmtId="0" fontId="49" fillId="20" borderId="10" xfId="0" applyFont="1" applyFill="1" applyBorder="1"/>
    <xf numFmtId="5" fontId="47" fillId="20" borderId="9" xfId="0" applyNumberFormat="1" applyFont="1" applyFill="1" applyBorder="1"/>
    <xf numFmtId="0" fontId="47" fillId="20" borderId="16" xfId="0" applyFont="1" applyFill="1" applyBorder="1"/>
    <xf numFmtId="0" fontId="47" fillId="20" borderId="16" xfId="0" applyFont="1" applyFill="1" applyBorder="1" applyAlignment="1">
      <alignment wrapText="1"/>
    </xf>
    <xf numFmtId="0" fontId="47" fillId="20" borderId="9" xfId="0" applyFont="1" applyFill="1" applyBorder="1"/>
    <xf numFmtId="0" fontId="47" fillId="20" borderId="0" xfId="0" applyFont="1" applyFill="1" applyBorder="1"/>
    <xf numFmtId="170" fontId="47" fillId="20" borderId="9" xfId="0" applyNumberFormat="1" applyFont="1" applyFill="1" applyBorder="1"/>
    <xf numFmtId="3" fontId="47" fillId="20" borderId="16" xfId="0" applyNumberFormat="1" applyFont="1" applyFill="1" applyBorder="1" applyAlignment="1">
      <alignment horizontal="right"/>
    </xf>
    <xf numFmtId="0" fontId="47" fillId="20" borderId="7" xfId="0" applyFont="1" applyFill="1" applyBorder="1"/>
    <xf numFmtId="5" fontId="47" fillId="20" borderId="21" xfId="0" applyNumberFormat="1" applyFont="1" applyFill="1" applyBorder="1"/>
    <xf numFmtId="0" fontId="47" fillId="20" borderId="18" xfId="0" applyFont="1" applyFill="1" applyBorder="1"/>
    <xf numFmtId="0" fontId="48" fillId="20" borderId="0" xfId="0" applyFont="1" applyFill="1" applyBorder="1"/>
    <xf numFmtId="0" fontId="47" fillId="20" borderId="19" xfId="0" applyFont="1" applyFill="1" applyBorder="1"/>
    <xf numFmtId="0" fontId="47" fillId="20" borderId="37" xfId="0" applyFont="1" applyFill="1" applyBorder="1"/>
    <xf numFmtId="5" fontId="47" fillId="20" borderId="19" xfId="0" applyNumberFormat="1" applyFont="1" applyFill="1" applyBorder="1"/>
    <xf numFmtId="170" fontId="47" fillId="20" borderId="39" xfId="0" applyNumberFormat="1" applyFont="1" applyFill="1" applyBorder="1"/>
    <xf numFmtId="170" fontId="47" fillId="20" borderId="38" xfId="0" applyNumberFormat="1" applyFont="1" applyFill="1" applyBorder="1"/>
    <xf numFmtId="170" fontId="47" fillId="20" borderId="19" xfId="0" applyNumberFormat="1" applyFont="1" applyFill="1" applyBorder="1"/>
    <xf numFmtId="3" fontId="47" fillId="20" borderId="16" xfId="0" applyNumberFormat="1" applyFont="1" applyFill="1" applyBorder="1" applyAlignment="1">
      <alignment horizontal="left"/>
    </xf>
    <xf numFmtId="5" fontId="47" fillId="20" borderId="19" xfId="0" applyNumberFormat="1" applyFont="1" applyFill="1" applyBorder="1" applyAlignment="1">
      <alignment horizontal="right"/>
    </xf>
    <xf numFmtId="5" fontId="47" fillId="20" borderId="9" xfId="0" applyNumberFormat="1" applyFont="1" applyFill="1" applyBorder="1" applyAlignment="1">
      <alignment horizontal="right"/>
    </xf>
    <xf numFmtId="5" fontId="47" fillId="20" borderId="27" xfId="0" applyNumberFormat="1" applyFont="1" applyFill="1" applyBorder="1"/>
    <xf numFmtId="0" fontId="52" fillId="20" borderId="15" xfId="0" applyFont="1" applyFill="1" applyBorder="1" applyAlignment="1">
      <alignment horizontal="center"/>
    </xf>
    <xf numFmtId="0" fontId="53" fillId="20" borderId="0" xfId="0" applyFont="1" applyFill="1" applyBorder="1" applyAlignment="1">
      <alignment horizontal="center"/>
    </xf>
    <xf numFmtId="37" fontId="4" fillId="20" borderId="0" xfId="19386" applyNumberFormat="1" applyFont="1" applyFill="1" applyBorder="1" applyAlignment="1">
      <alignment horizontal="center"/>
    </xf>
    <xf numFmtId="37" fontId="4" fillId="20" borderId="0" xfId="42319" applyNumberFormat="1" applyFont="1" applyFill="1" applyBorder="1" applyAlignment="1">
      <alignment horizontal="center"/>
    </xf>
    <xf numFmtId="37" fontId="3" fillId="20" borderId="0" xfId="42319" applyNumberFormat="1" applyFont="1" applyFill="1" applyBorder="1" applyAlignment="1">
      <alignment horizontal="center"/>
    </xf>
    <xf numFmtId="37" fontId="3" fillId="20" borderId="0" xfId="19386" applyNumberFormat="1" applyFont="1" applyFill="1" applyBorder="1" applyAlignment="1">
      <alignment horizontal="center"/>
    </xf>
    <xf numFmtId="0" fontId="3" fillId="20" borderId="0" xfId="19386" applyFont="1" applyFill="1" applyBorder="1" applyAlignment="1">
      <alignment horizontal="center"/>
    </xf>
    <xf numFmtId="38" fontId="3" fillId="20" borderId="0" xfId="42319" applyFont="1" applyFill="1" applyBorder="1" applyAlignment="1">
      <alignment horizontal="center"/>
    </xf>
    <xf numFmtId="0" fontId="52" fillId="20" borderId="16" xfId="0" applyFont="1" applyFill="1" applyBorder="1" applyAlignment="1">
      <alignment horizontal="center"/>
    </xf>
    <xf numFmtId="0" fontId="52" fillId="20" borderId="12" xfId="0" applyFont="1" applyFill="1" applyBorder="1" applyAlignment="1">
      <alignment horizontal="center"/>
    </xf>
    <xf numFmtId="3" fontId="4" fillId="20" borderId="13" xfId="42319" applyNumberFormat="1" applyFont="1" applyFill="1" applyBorder="1" applyAlignment="1">
      <alignment horizontal="left"/>
    </xf>
    <xf numFmtId="38" fontId="3" fillId="20" borderId="13" xfId="42319" applyFont="1" applyFill="1" applyBorder="1" applyAlignment="1">
      <alignment horizontal="centerContinuous"/>
    </xf>
    <xf numFmtId="38" fontId="3" fillId="20" borderId="0" xfId="42319" applyFont="1" applyFill="1" applyBorder="1"/>
    <xf numFmtId="38" fontId="3" fillId="20" borderId="0" xfId="42319" applyFont="1" applyFill="1" applyBorder="1" applyAlignment="1">
      <alignment horizontal="right"/>
    </xf>
    <xf numFmtId="173" fontId="3" fillId="20" borderId="0" xfId="42319" applyNumberFormat="1" applyFont="1" applyFill="1" applyBorder="1"/>
    <xf numFmtId="174" fontId="3" fillId="20" borderId="0" xfId="42319" applyNumberFormat="1" applyFont="1" applyFill="1" applyBorder="1" applyAlignment="1">
      <alignment horizontal="center"/>
    </xf>
    <xf numFmtId="38" fontId="3" fillId="20" borderId="0" xfId="19386" applyNumberFormat="1" applyFont="1" applyFill="1" applyBorder="1" applyAlignment="1">
      <alignment horizontal="center"/>
    </xf>
    <xf numFmtId="38" fontId="3" fillId="20" borderId="10" xfId="42319" applyFont="1" applyFill="1" applyBorder="1"/>
    <xf numFmtId="38" fontId="3" fillId="20" borderId="10" xfId="42319" applyFont="1" applyFill="1" applyBorder="1" applyAlignment="1">
      <alignment horizontal="center"/>
    </xf>
    <xf numFmtId="38" fontId="3" fillId="20" borderId="10" xfId="42319" applyFont="1" applyFill="1" applyBorder="1" applyAlignment="1">
      <alignment horizontal="right"/>
    </xf>
    <xf numFmtId="3" fontId="3" fillId="20" borderId="0" xfId="19386" applyNumberFormat="1" applyFont="1" applyFill="1" applyBorder="1"/>
    <xf numFmtId="177" fontId="3" fillId="20" borderId="0" xfId="42319" applyNumberFormat="1" applyFont="1" applyFill="1" applyBorder="1"/>
    <xf numFmtId="0" fontId="52" fillId="20" borderId="17" xfId="0" applyFont="1" applyFill="1" applyBorder="1" applyAlignment="1">
      <alignment horizontal="center"/>
    </xf>
    <xf numFmtId="38" fontId="3" fillId="20" borderId="7" xfId="42319" applyFont="1" applyFill="1" applyBorder="1"/>
    <xf numFmtId="0" fontId="52" fillId="20" borderId="18" xfId="0" applyFont="1" applyFill="1" applyBorder="1"/>
    <xf numFmtId="38" fontId="3" fillId="20" borderId="10" xfId="0" applyNumberFormat="1" applyFont="1" applyFill="1" applyBorder="1"/>
    <xf numFmtId="38" fontId="3" fillId="20" borderId="10" xfId="0" applyNumberFormat="1" applyFont="1" applyFill="1" applyBorder="1" applyAlignment="1">
      <alignment horizontal="center"/>
    </xf>
    <xf numFmtId="38" fontId="3" fillId="20" borderId="16" xfId="42319" applyFont="1" applyFill="1" applyBorder="1"/>
    <xf numFmtId="38" fontId="3" fillId="20" borderId="0" xfId="0" applyNumberFormat="1" applyFont="1" applyFill="1" applyBorder="1"/>
    <xf numFmtId="3" fontId="3" fillId="20" borderId="0" xfId="0" applyNumberFormat="1" applyFont="1" applyFill="1" applyBorder="1"/>
    <xf numFmtId="3" fontId="3" fillId="20" borderId="7" xfId="0" applyNumberFormat="1" applyFont="1" applyFill="1" applyBorder="1"/>
    <xf numFmtId="38" fontId="3" fillId="20" borderId="18" xfId="42319" applyFont="1" applyFill="1" applyBorder="1"/>
    <xf numFmtId="38" fontId="3" fillId="20" borderId="14" xfId="42319" applyFont="1" applyFill="1" applyBorder="1"/>
    <xf numFmtId="38" fontId="4" fillId="20" borderId="0" xfId="42319" applyFont="1" applyFill="1" applyBorder="1"/>
    <xf numFmtId="170" fontId="3" fillId="20" borderId="0" xfId="42319" applyNumberFormat="1" applyFont="1" applyFill="1" applyBorder="1"/>
    <xf numFmtId="10" fontId="3" fillId="20" borderId="0" xfId="42319" applyNumberFormat="1" applyFont="1" applyFill="1" applyBorder="1" applyAlignment="1">
      <alignment horizontal="center"/>
    </xf>
    <xf numFmtId="10" fontId="3" fillId="20" borderId="0" xfId="42319" applyNumberFormat="1" applyFont="1" applyFill="1" applyBorder="1"/>
    <xf numFmtId="174" fontId="3" fillId="20" borderId="0" xfId="42319" applyNumberFormat="1" applyFont="1" applyFill="1" applyBorder="1"/>
    <xf numFmtId="38" fontId="3" fillId="20" borderId="16" xfId="42319" applyFont="1" applyFill="1" applyBorder="1" applyAlignment="1">
      <alignment horizontal="center"/>
    </xf>
    <xf numFmtId="10" fontId="3" fillId="20" borderId="0" xfId="42319" applyNumberFormat="1" applyFont="1" applyFill="1" applyBorder="1" applyAlignment="1">
      <alignment horizontal="centerContinuous"/>
    </xf>
    <xf numFmtId="3" fontId="3" fillId="20" borderId="13" xfId="0" applyNumberFormat="1" applyFont="1" applyFill="1" applyBorder="1" applyAlignment="1">
      <alignment horizontal="centerContinuous"/>
    </xf>
    <xf numFmtId="38" fontId="3" fillId="20" borderId="13" xfId="42319" applyFont="1" applyFill="1" applyBorder="1"/>
    <xf numFmtId="3" fontId="4" fillId="20" borderId="0" xfId="0" applyNumberFormat="1" applyFont="1" applyFill="1" applyBorder="1" applyAlignment="1">
      <alignment horizontal="center"/>
    </xf>
    <xf numFmtId="3" fontId="3" fillId="20" borderId="0" xfId="0" applyNumberFormat="1" applyFont="1" applyFill="1" applyBorder="1" applyAlignment="1">
      <alignment horizontal="center"/>
    </xf>
    <xf numFmtId="38" fontId="4" fillId="20" borderId="0" xfId="0" applyNumberFormat="1" applyFont="1" applyFill="1" applyBorder="1" applyAlignment="1">
      <alignment horizontal="left" vertical="center"/>
    </xf>
    <xf numFmtId="38" fontId="3" fillId="20" borderId="0" xfId="0" applyNumberFormat="1" applyFont="1" applyFill="1" applyBorder="1" applyAlignment="1">
      <alignment vertical="center"/>
    </xf>
    <xf numFmtId="38" fontId="3" fillId="20" borderId="0" xfId="0" applyNumberFormat="1" applyFont="1" applyFill="1" applyBorder="1" applyAlignment="1">
      <alignment horizontal="left" vertical="center"/>
    </xf>
    <xf numFmtId="38" fontId="3" fillId="20" borderId="7" xfId="0" applyNumberFormat="1" applyFont="1" applyFill="1" applyBorder="1" applyAlignment="1">
      <alignment horizontal="left" vertical="center"/>
    </xf>
    <xf numFmtId="38" fontId="3" fillId="20" borderId="7" xfId="0" applyNumberFormat="1" applyFont="1" applyFill="1" applyBorder="1" applyAlignment="1">
      <alignment vertical="center"/>
    </xf>
    <xf numFmtId="3" fontId="4" fillId="20" borderId="0" xfId="0" applyNumberFormat="1" applyFont="1" applyFill="1" applyBorder="1" applyAlignment="1">
      <alignment horizontal="left"/>
    </xf>
    <xf numFmtId="3" fontId="4" fillId="20" borderId="0" xfId="0" applyNumberFormat="1" applyFont="1" applyFill="1" applyBorder="1" applyAlignment="1">
      <alignment vertical="center"/>
    </xf>
    <xf numFmtId="3" fontId="3" fillId="20" borderId="0" xfId="0" applyNumberFormat="1" applyFont="1" applyFill="1" applyBorder="1" applyAlignment="1">
      <alignment vertical="center"/>
    </xf>
    <xf numFmtId="167" fontId="46" fillId="20" borderId="0" xfId="2" applyNumberFormat="1" applyFont="1" applyFill="1" applyBorder="1"/>
    <xf numFmtId="0" fontId="52" fillId="20" borderId="44" xfId="0" applyFont="1" applyFill="1" applyBorder="1"/>
    <xf numFmtId="0" fontId="46" fillId="20" borderId="16" xfId="0" applyFont="1" applyFill="1" applyBorder="1"/>
    <xf numFmtId="0" fontId="46" fillId="20" borderId="18" xfId="0" applyFont="1" applyFill="1" applyBorder="1"/>
    <xf numFmtId="0" fontId="2" fillId="0" borderId="0" xfId="0" applyFont="1" applyAlignment="1">
      <alignment horizontal="center"/>
    </xf>
    <xf numFmtId="37" fontId="3" fillId="20" borderId="19" xfId="38578" applyNumberFormat="1" applyFont="1" applyFill="1" applyBorder="1" applyAlignment="1">
      <alignment horizontal="right"/>
    </xf>
    <xf numFmtId="3" fontId="4" fillId="20" borderId="0" xfId="42319" applyNumberFormat="1" applyFont="1" applyFill="1" applyBorder="1" applyAlignment="1">
      <alignment horizontal="left"/>
    </xf>
    <xf numFmtId="3" fontId="3" fillId="20" borderId="0" xfId="0" applyNumberFormat="1" applyFont="1" applyFill="1" applyBorder="1" applyAlignment="1">
      <alignment horizontal="centerContinuous"/>
    </xf>
    <xf numFmtId="3" fontId="4" fillId="20" borderId="0" xfId="0" applyNumberFormat="1" applyFont="1" applyFill="1" applyBorder="1" applyAlignment="1">
      <alignment horizontal="centerContinuous"/>
    </xf>
    <xf numFmtId="3" fontId="3" fillId="20" borderId="0" xfId="42319" applyNumberFormat="1" applyFont="1" applyFill="1" applyBorder="1" applyAlignment="1">
      <alignment horizontal="right"/>
    </xf>
    <xf numFmtId="0" fontId="3" fillId="20" borderId="0" xfId="38788" applyFont="1" applyFill="1" applyBorder="1"/>
    <xf numFmtId="0" fontId="53" fillId="20" borderId="0" xfId="0" applyFont="1" applyFill="1" applyBorder="1"/>
    <xf numFmtId="0" fontId="3" fillId="20" borderId="0" xfId="38791" applyFont="1" applyFill="1" applyBorder="1" applyAlignment="1">
      <alignment vertical="center"/>
    </xf>
    <xf numFmtId="0" fontId="3" fillId="20" borderId="0" xfId="39562" applyFont="1" applyFill="1" applyBorder="1"/>
    <xf numFmtId="38" fontId="3" fillId="0" borderId="0" xfId="0" applyNumberFormat="1" applyFont="1" applyFill="1" applyBorder="1" applyAlignment="1">
      <alignment horizontal="left"/>
    </xf>
    <xf numFmtId="0" fontId="4" fillId="0" borderId="3" xfId="0" applyFont="1" applyFill="1" applyBorder="1" applyAlignment="1">
      <alignment horizontal="center"/>
    </xf>
    <xf numFmtId="0" fontId="4" fillId="0" borderId="3" xfId="0" applyFont="1" applyFill="1" applyBorder="1"/>
    <xf numFmtId="164" fontId="4" fillId="0" borderId="3" xfId="0" applyNumberFormat="1" applyFont="1" applyFill="1" applyBorder="1" applyAlignment="1">
      <alignment horizontal="right"/>
    </xf>
    <xf numFmtId="0" fontId="3" fillId="20" borderId="0" xfId="0" applyFont="1" applyFill="1" applyBorder="1"/>
    <xf numFmtId="3" fontId="3" fillId="0" borderId="0" xfId="0" applyNumberFormat="1" applyFont="1" applyFill="1" applyBorder="1" applyAlignment="1">
      <alignment vertical="center"/>
    </xf>
    <xf numFmtId="38" fontId="3" fillId="20" borderId="40" xfId="0" applyNumberFormat="1" applyFont="1" applyFill="1" applyBorder="1"/>
    <xf numFmtId="164" fontId="3" fillId="20" borderId="0" xfId="1" applyNumberFormat="1" applyFont="1" applyFill="1" applyBorder="1" applyAlignment="1">
      <alignment horizontal="left"/>
    </xf>
    <xf numFmtId="164" fontId="3" fillId="20" borderId="16" xfId="1" applyNumberFormat="1" applyFont="1" applyFill="1" applyBorder="1"/>
    <xf numFmtId="0" fontId="3" fillId="20" borderId="7" xfId="0" applyFont="1" applyFill="1" applyBorder="1"/>
    <xf numFmtId="164" fontId="3" fillId="20" borderId="7" xfId="1" applyNumberFormat="1" applyFont="1" applyFill="1" applyBorder="1"/>
    <xf numFmtId="38" fontId="3" fillId="20" borderId="7" xfId="0" applyNumberFormat="1" applyFont="1" applyFill="1" applyBorder="1"/>
    <xf numFmtId="164" fontId="3" fillId="20" borderId="18" xfId="1" applyNumberFormat="1" applyFont="1" applyFill="1" applyBorder="1"/>
    <xf numFmtId="0" fontId="4" fillId="20" borderId="15" xfId="0" applyFont="1" applyFill="1" applyBorder="1" applyAlignment="1">
      <alignment horizontal="center"/>
    </xf>
    <xf numFmtId="0" fontId="3" fillId="20" borderId="13" xfId="0" applyFont="1" applyFill="1" applyBorder="1"/>
    <xf numFmtId="164" fontId="3" fillId="20" borderId="13" xfId="1" applyNumberFormat="1" applyFont="1" applyFill="1" applyBorder="1"/>
    <xf numFmtId="38" fontId="3" fillId="20" borderId="13" xfId="0" applyNumberFormat="1" applyFont="1" applyFill="1" applyBorder="1"/>
    <xf numFmtId="164" fontId="3" fillId="20" borderId="13" xfId="0" applyNumberFormat="1" applyFont="1" applyFill="1" applyBorder="1"/>
    <xf numFmtId="164" fontId="3" fillId="20" borderId="14" xfId="0" applyNumberFormat="1" applyFont="1" applyFill="1" applyBorder="1"/>
    <xf numFmtId="164" fontId="53" fillId="20" borderId="15" xfId="1" applyNumberFormat="1" applyFont="1" applyFill="1" applyBorder="1" applyAlignment="1">
      <alignment horizontal="center" wrapText="1"/>
    </xf>
    <xf numFmtId="38" fontId="4" fillId="20" borderId="40" xfId="0" applyNumberFormat="1" applyFont="1" applyFill="1" applyBorder="1" applyAlignment="1">
      <alignment horizontal="center"/>
    </xf>
    <xf numFmtId="0" fontId="4" fillId="20" borderId="0" xfId="0" applyFont="1" applyFill="1" applyBorder="1" applyAlignment="1">
      <alignment horizontal="left"/>
    </xf>
    <xf numFmtId="164" fontId="53" fillId="20" borderId="0" xfId="1" applyNumberFormat="1" applyFont="1" applyFill="1" applyBorder="1" applyAlignment="1">
      <alignment horizontal="center" wrapText="1"/>
    </xf>
    <xf numFmtId="164" fontId="53" fillId="20" borderId="0" xfId="1" applyNumberFormat="1" applyFont="1" applyFill="1" applyBorder="1" applyAlignment="1">
      <alignment horizontal="center"/>
    </xf>
    <xf numFmtId="38" fontId="53" fillId="20" borderId="0" xfId="0" applyNumberFormat="1" applyFont="1" applyFill="1" applyBorder="1" applyAlignment="1">
      <alignment horizontal="center"/>
    </xf>
    <xf numFmtId="164" fontId="53" fillId="20" borderId="16" xfId="0" applyNumberFormat="1" applyFont="1" applyFill="1" applyBorder="1" applyAlignment="1">
      <alignment horizontal="center" wrapText="1"/>
    </xf>
    <xf numFmtId="164" fontId="52" fillId="20" borderId="15" xfId="1" applyNumberFormat="1" applyFont="1" applyFill="1" applyBorder="1"/>
    <xf numFmtId="164" fontId="52" fillId="20" borderId="40" xfId="1" applyNumberFormat="1" applyFont="1" applyFill="1" applyBorder="1"/>
    <xf numFmtId="38" fontId="52" fillId="20" borderId="0" xfId="0" applyNumberFormat="1" applyFont="1" applyFill="1" applyBorder="1"/>
    <xf numFmtId="164" fontId="52" fillId="20" borderId="16" xfId="0" applyNumberFormat="1" applyFont="1" applyFill="1" applyBorder="1"/>
    <xf numFmtId="0" fontId="52" fillId="20" borderId="2" xfId="0" applyFont="1" applyFill="1" applyBorder="1"/>
    <xf numFmtId="164" fontId="3" fillId="20" borderId="2" xfId="1" applyNumberFormat="1" applyFont="1" applyFill="1" applyBorder="1"/>
    <xf numFmtId="10" fontId="52" fillId="20" borderId="2" xfId="3" applyNumberFormat="1" applyFont="1" applyFill="1" applyBorder="1"/>
    <xf numFmtId="38" fontId="3" fillId="20" borderId="2" xfId="0" applyNumberFormat="1" applyFont="1" applyFill="1" applyBorder="1"/>
    <xf numFmtId="164" fontId="3" fillId="20" borderId="23" xfId="0" applyNumberFormat="1" applyFont="1" applyFill="1" applyBorder="1"/>
    <xf numFmtId="0" fontId="52" fillId="20" borderId="5" xfId="0" applyFont="1" applyFill="1" applyBorder="1"/>
    <xf numFmtId="164" fontId="3" fillId="20" borderId="5" xfId="1" applyNumberFormat="1" applyFont="1" applyFill="1" applyBorder="1"/>
    <xf numFmtId="10" fontId="52" fillId="20" borderId="5" xfId="3" applyNumberFormat="1" applyFont="1" applyFill="1" applyBorder="1"/>
    <xf numFmtId="38" fontId="3" fillId="20" borderId="5" xfId="0" applyNumberFormat="1" applyFont="1" applyFill="1" applyBorder="1"/>
    <xf numFmtId="164" fontId="3" fillId="20" borderId="29" xfId="0" applyNumberFormat="1" applyFont="1" applyFill="1" applyBorder="1"/>
    <xf numFmtId="38" fontId="52" fillId="20" borderId="13" xfId="0" applyNumberFormat="1" applyFont="1" applyFill="1" applyBorder="1"/>
    <xf numFmtId="164" fontId="52" fillId="20" borderId="14" xfId="0" applyNumberFormat="1" applyFont="1" applyFill="1" applyBorder="1"/>
    <xf numFmtId="0" fontId="52" fillId="0" borderId="0" xfId="0" applyFont="1" applyFill="1"/>
    <xf numFmtId="49" fontId="57" fillId="20" borderId="24" xfId="19632" applyNumberFormat="1" applyFont="1" applyFill="1" applyBorder="1" applyAlignment="1">
      <alignment horizontal="left"/>
    </xf>
    <xf numFmtId="0" fontId="52" fillId="20" borderId="17" xfId="0" applyFont="1" applyFill="1" applyBorder="1"/>
    <xf numFmtId="0" fontId="52" fillId="20" borderId="46" xfId="0" applyFont="1" applyFill="1" applyBorder="1"/>
    <xf numFmtId="164" fontId="52" fillId="20" borderId="46" xfId="1" applyNumberFormat="1" applyFont="1" applyFill="1" applyBorder="1"/>
    <xf numFmtId="38" fontId="52" fillId="20" borderId="46" xfId="0" applyNumberFormat="1" applyFont="1" applyFill="1" applyBorder="1"/>
    <xf numFmtId="164" fontId="52" fillId="20" borderId="25" xfId="0" applyNumberFormat="1" applyFont="1" applyFill="1" applyBorder="1"/>
    <xf numFmtId="164" fontId="52" fillId="0" borderId="0" xfId="1" applyNumberFormat="1" applyFont="1"/>
    <xf numFmtId="38" fontId="52" fillId="0" borderId="0" xfId="0" applyNumberFormat="1" applyFont="1"/>
    <xf numFmtId="164" fontId="52" fillId="0" borderId="0" xfId="0" applyNumberFormat="1" applyFont="1"/>
    <xf numFmtId="164" fontId="4" fillId="20" borderId="0" xfId="1" applyNumberFormat="1" applyFont="1" applyFill="1" applyBorder="1" applyAlignment="1">
      <alignment horizontal="center" wrapText="1"/>
    </xf>
    <xf numFmtId="38" fontId="4" fillId="20" borderId="0" xfId="0" applyNumberFormat="1" applyFont="1" applyFill="1" applyBorder="1" applyAlignment="1">
      <alignment horizontal="center" wrapText="1"/>
    </xf>
    <xf numFmtId="164" fontId="4" fillId="20" borderId="16" xfId="1" applyNumberFormat="1" applyFont="1" applyFill="1" applyBorder="1" applyAlignment="1">
      <alignment horizontal="center" wrapText="1"/>
    </xf>
    <xf numFmtId="164" fontId="52" fillId="20" borderId="0" xfId="1" applyNumberFormat="1" applyFont="1" applyFill="1" applyBorder="1"/>
    <xf numFmtId="0" fontId="3" fillId="20" borderId="0" xfId="0" applyFont="1" applyFill="1" applyBorder="1" applyAlignment="1">
      <alignment horizontal="left"/>
    </xf>
    <xf numFmtId="164" fontId="52" fillId="20" borderId="13" xfId="1" applyNumberFormat="1" applyFont="1" applyFill="1" applyBorder="1"/>
    <xf numFmtId="38" fontId="4" fillId="20" borderId="16" xfId="0" applyNumberFormat="1" applyFont="1" applyFill="1" applyBorder="1" applyAlignment="1">
      <alignment horizontal="center"/>
    </xf>
    <xf numFmtId="38" fontId="3" fillId="20" borderId="16" xfId="0" applyNumberFormat="1" applyFont="1" applyFill="1" applyBorder="1"/>
    <xf numFmtId="38" fontId="3" fillId="20" borderId="18" xfId="0" applyNumberFormat="1" applyFont="1" applyFill="1" applyBorder="1"/>
    <xf numFmtId="0" fontId="3" fillId="20" borderId="49" xfId="38578" applyFont="1" applyFill="1" applyBorder="1" applyAlignment="1">
      <alignment horizontal="left"/>
    </xf>
    <xf numFmtId="0" fontId="4" fillId="20" borderId="50" xfId="0" applyFont="1" applyFill="1" applyBorder="1" applyAlignment="1">
      <alignment horizontal="center" wrapText="1"/>
    </xf>
    <xf numFmtId="0" fontId="3" fillId="20" borderId="50" xfId="0" applyFont="1" applyFill="1" applyBorder="1" applyAlignment="1">
      <alignment horizontal="center"/>
    </xf>
    <xf numFmtId="0" fontId="3" fillId="20" borderId="51" xfId="0" applyFont="1" applyFill="1" applyBorder="1" applyAlignment="1">
      <alignment horizontal="center"/>
    </xf>
    <xf numFmtId="0" fontId="45" fillId="0" borderId="15" xfId="0" applyFont="1" applyFill="1" applyBorder="1" applyAlignment="1">
      <alignment horizontal="left" vertical="top"/>
    </xf>
    <xf numFmtId="0" fontId="58" fillId="0" borderId="0" xfId="0" applyFont="1" applyFill="1" applyBorder="1" applyAlignment="1">
      <alignment horizontal="center" vertical="center" wrapText="1" readingOrder="1"/>
    </xf>
    <xf numFmtId="0" fontId="58" fillId="0" borderId="0" xfId="0" applyFont="1" applyFill="1" applyBorder="1" applyAlignment="1">
      <alignment horizontal="left" vertical="top" wrapText="1"/>
    </xf>
    <xf numFmtId="0" fontId="58" fillId="0" borderId="0" xfId="0" applyFont="1" applyFill="1" applyBorder="1" applyAlignment="1">
      <alignment vertical="top" wrapText="1"/>
    </xf>
    <xf numFmtId="0" fontId="58" fillId="0" borderId="0" xfId="0" applyFont="1" applyFill="1" applyBorder="1" applyAlignment="1">
      <alignment horizontal="center" vertical="top"/>
    </xf>
    <xf numFmtId="167" fontId="58" fillId="0" borderId="0" xfId="2" applyNumberFormat="1" applyFont="1" applyFill="1" applyBorder="1"/>
    <xf numFmtId="0" fontId="58" fillId="0" borderId="9" xfId="0" applyFont="1" applyFill="1" applyBorder="1" applyAlignment="1">
      <alignment vertical="top" wrapText="1"/>
    </xf>
    <xf numFmtId="0" fontId="58" fillId="0" borderId="9" xfId="0" applyFont="1" applyFill="1" applyBorder="1" applyAlignment="1">
      <alignment vertical="top"/>
    </xf>
    <xf numFmtId="167" fontId="58" fillId="0" borderId="9" xfId="2" applyNumberFormat="1" applyFont="1" applyFill="1" applyBorder="1" applyAlignment="1">
      <alignment vertical="top"/>
    </xf>
    <xf numFmtId="0" fontId="58" fillId="0" borderId="16" xfId="0" applyFont="1" applyFill="1" applyBorder="1" applyAlignment="1">
      <alignment wrapText="1"/>
    </xf>
    <xf numFmtId="0" fontId="45" fillId="0" borderId="0" xfId="0" applyFont="1" applyFill="1" applyBorder="1" applyAlignment="1">
      <alignment horizontal="left" vertical="top" wrapText="1"/>
    </xf>
    <xf numFmtId="0" fontId="45" fillId="0" borderId="0" xfId="0" applyFont="1" applyFill="1" applyBorder="1" applyAlignment="1">
      <alignment vertical="top" wrapText="1"/>
    </xf>
    <xf numFmtId="0" fontId="45" fillId="0" borderId="0" xfId="0" applyFont="1" applyFill="1" applyBorder="1" applyAlignment="1">
      <alignment horizontal="center" vertical="top"/>
    </xf>
    <xf numFmtId="167" fontId="60" fillId="0" borderId="0" xfId="2" applyNumberFormat="1" applyFont="1" applyFill="1" applyBorder="1"/>
    <xf numFmtId="0" fontId="45" fillId="0" borderId="9" xfId="0" applyFont="1" applyFill="1" applyBorder="1" applyAlignment="1">
      <alignment vertical="top" wrapText="1"/>
    </xf>
    <xf numFmtId="0" fontId="45" fillId="0" borderId="9" xfId="0" applyFont="1" applyFill="1" applyBorder="1" applyAlignment="1">
      <alignment vertical="top"/>
    </xf>
    <xf numFmtId="167" fontId="45" fillId="0" borderId="9" xfId="2" applyNumberFormat="1" applyFont="1" applyFill="1" applyBorder="1" applyAlignment="1">
      <alignment vertical="top"/>
    </xf>
    <xf numFmtId="0" fontId="45" fillId="0" borderId="16" xfId="0" applyFont="1" applyFill="1" applyBorder="1" applyAlignment="1">
      <alignment wrapText="1"/>
    </xf>
    <xf numFmtId="167" fontId="45" fillId="0" borderId="0" xfId="2" applyNumberFormat="1" applyFont="1" applyFill="1" applyBorder="1"/>
    <xf numFmtId="0" fontId="45" fillId="0" borderId="16" xfId="0" applyFont="1" applyFill="1" applyBorder="1" applyAlignment="1">
      <alignment vertical="top" wrapText="1"/>
    </xf>
    <xf numFmtId="0" fontId="62" fillId="0" borderId="0" xfId="0" applyFont="1" applyFill="1" applyBorder="1" applyAlignment="1">
      <alignment vertical="top" wrapText="1"/>
    </xf>
    <xf numFmtId="167" fontId="62" fillId="0" borderId="0" xfId="2" applyNumberFormat="1" applyFont="1" applyFill="1" applyBorder="1"/>
    <xf numFmtId="167" fontId="61" fillId="0" borderId="0" xfId="2" applyNumberFormat="1" applyFont="1" applyFill="1" applyBorder="1"/>
    <xf numFmtId="178" fontId="45" fillId="0" borderId="16" xfId="0" applyNumberFormat="1" applyFont="1" applyFill="1" applyBorder="1" applyAlignment="1">
      <alignment wrapText="1"/>
    </xf>
    <xf numFmtId="0" fontId="45" fillId="0" borderId="19" xfId="0" applyFont="1" applyFill="1" applyBorder="1" applyAlignment="1">
      <alignment vertical="top"/>
    </xf>
    <xf numFmtId="0" fontId="45" fillId="0" borderId="19" xfId="0" applyFont="1" applyFill="1" applyBorder="1" applyAlignment="1">
      <alignment horizontal="left" vertical="top"/>
    </xf>
    <xf numFmtId="0" fontId="45" fillId="0" borderId="19" xfId="0" applyFont="1" applyFill="1" applyBorder="1" applyAlignment="1">
      <alignment horizontal="center" vertical="top"/>
    </xf>
    <xf numFmtId="167" fontId="60" fillId="0" borderId="9" xfId="2" applyNumberFormat="1" applyFont="1" applyFill="1" applyBorder="1" applyAlignment="1">
      <alignment vertical="top"/>
    </xf>
    <xf numFmtId="167" fontId="61" fillId="0" borderId="9" xfId="2" applyNumberFormat="1" applyFont="1" applyFill="1" applyBorder="1" applyAlignment="1">
      <alignment vertical="top"/>
    </xf>
    <xf numFmtId="0" fontId="47" fillId="0" borderId="0" xfId="0" applyFont="1" applyFill="1" applyBorder="1" applyAlignment="1">
      <alignment vertical="top"/>
    </xf>
    <xf numFmtId="167" fontId="60" fillId="0" borderId="19" xfId="2" applyNumberFormat="1" applyFont="1" applyFill="1" applyBorder="1" applyAlignment="1">
      <alignment vertical="top"/>
    </xf>
    <xf numFmtId="0" fontId="45" fillId="0" borderId="40" xfId="0" applyFont="1" applyFill="1" applyBorder="1" applyAlignment="1">
      <alignment wrapText="1"/>
    </xf>
    <xf numFmtId="167" fontId="45" fillId="0" borderId="19" xfId="2" applyNumberFormat="1" applyFont="1" applyFill="1" applyBorder="1" applyAlignment="1">
      <alignment vertical="top"/>
    </xf>
    <xf numFmtId="178" fontId="45" fillId="0" borderId="40" xfId="0" applyNumberFormat="1" applyFont="1" applyFill="1" applyBorder="1" applyAlignment="1">
      <alignment wrapText="1"/>
    </xf>
    <xf numFmtId="0" fontId="45" fillId="0" borderId="0" xfId="0" applyFont="1" applyFill="1" applyBorder="1"/>
    <xf numFmtId="0" fontId="58" fillId="0" borderId="0" xfId="0" applyFont="1" applyFill="1" applyBorder="1" applyAlignment="1">
      <alignment wrapText="1"/>
    </xf>
    <xf numFmtId="0" fontId="45" fillId="0" borderId="0" xfId="0" applyFont="1" applyFill="1" applyBorder="1" applyAlignment="1">
      <alignment wrapText="1"/>
    </xf>
    <xf numFmtId="0" fontId="45" fillId="0" borderId="9" xfId="0" applyFont="1" applyFill="1" applyBorder="1" applyAlignment="1">
      <alignment horizontal="left" vertical="top"/>
    </xf>
    <xf numFmtId="0" fontId="45" fillId="0" borderId="9" xfId="0" applyFont="1" applyFill="1" applyBorder="1" applyAlignment="1">
      <alignment horizontal="center" vertical="top"/>
    </xf>
    <xf numFmtId="167" fontId="45" fillId="0" borderId="16" xfId="2" applyNumberFormat="1" applyFont="1" applyFill="1" applyBorder="1" applyAlignment="1">
      <alignment wrapText="1"/>
    </xf>
    <xf numFmtId="0" fontId="45" fillId="0" borderId="0" xfId="0" applyFont="1" applyFill="1" applyBorder="1" applyAlignment="1">
      <alignment horizontal="left" vertical="top"/>
    </xf>
    <xf numFmtId="0" fontId="49" fillId="0" borderId="0" xfId="0" applyFont="1" applyFill="1" applyBorder="1" applyAlignment="1">
      <alignment horizontal="center" readingOrder="1"/>
    </xf>
    <xf numFmtId="0" fontId="47" fillId="24" borderId="15" xfId="0" applyFont="1" applyFill="1" applyBorder="1" applyAlignment="1">
      <alignment horizontal="left" vertical="top"/>
    </xf>
    <xf numFmtId="0" fontId="49" fillId="0" borderId="0" xfId="0" applyFont="1" applyFill="1" applyBorder="1" applyAlignment="1">
      <alignment horizontal="left" vertical="top"/>
    </xf>
    <xf numFmtId="0" fontId="49" fillId="0" borderId="0" xfId="0" applyFont="1" applyFill="1" applyBorder="1"/>
    <xf numFmtId="0" fontId="49" fillId="0" borderId="48" xfId="0" applyFont="1" applyFill="1" applyBorder="1"/>
    <xf numFmtId="0" fontId="47" fillId="0" borderId="15" xfId="0" applyFont="1" applyFill="1" applyBorder="1" applyAlignment="1">
      <alignment horizontal="left" vertical="top"/>
    </xf>
    <xf numFmtId="0" fontId="47" fillId="0" borderId="0" xfId="0" applyFont="1" applyFill="1" applyBorder="1" applyAlignment="1">
      <alignment horizontal="left" vertical="top"/>
    </xf>
    <xf numFmtId="0" fontId="47" fillId="25" borderId="0" xfId="0" applyFont="1" applyFill="1" applyBorder="1"/>
    <xf numFmtId="0" fontId="47" fillId="0" borderId="48" xfId="0" applyFont="1" applyFill="1" applyBorder="1"/>
    <xf numFmtId="0" fontId="47" fillId="0" borderId="0" xfId="0" applyFont="1" applyFill="1" applyBorder="1"/>
    <xf numFmtId="164" fontId="3" fillId="0" borderId="0" xfId="1" applyNumberFormat="1" applyFont="1" applyFill="1" applyBorder="1" applyAlignment="1">
      <alignment horizontal="left"/>
    </xf>
    <xf numFmtId="164" fontId="3" fillId="20" borderId="0" xfId="0" applyNumberFormat="1" applyFont="1" applyFill="1" applyBorder="1"/>
    <xf numFmtId="0" fontId="58" fillId="0" borderId="0" xfId="0" applyFont="1" applyFill="1" applyBorder="1"/>
    <xf numFmtId="0" fontId="45" fillId="0" borderId="0" xfId="0" applyFont="1" applyFill="1" applyBorder="1" applyAlignment="1">
      <alignment vertical="top"/>
    </xf>
    <xf numFmtId="5" fontId="47" fillId="20" borderId="0" xfId="0" applyNumberFormat="1" applyFont="1" applyFill="1" applyBorder="1"/>
    <xf numFmtId="170" fontId="47" fillId="20" borderId="0" xfId="0" applyNumberFormat="1" applyFont="1" applyFill="1" applyBorder="1"/>
    <xf numFmtId="0" fontId="51" fillId="20" borderId="0" xfId="0" applyFont="1" applyFill="1" applyBorder="1" applyAlignment="1">
      <alignment horizontal="centerContinuous" wrapText="1"/>
    </xf>
    <xf numFmtId="0" fontId="47" fillId="20" borderId="0" xfId="0" applyFont="1" applyFill="1" applyBorder="1" applyAlignment="1">
      <alignment wrapText="1"/>
    </xf>
    <xf numFmtId="3" fontId="47" fillId="20" borderId="0" xfId="0" applyNumberFormat="1" applyFont="1" applyFill="1" applyBorder="1" applyAlignment="1">
      <alignment horizontal="right"/>
    </xf>
    <xf numFmtId="0" fontId="46" fillId="20" borderId="0" xfId="0" applyFont="1" applyFill="1" applyBorder="1"/>
    <xf numFmtId="37" fontId="3" fillId="20" borderId="10" xfId="42319" applyNumberFormat="1" applyFont="1" applyFill="1" applyBorder="1" applyAlignment="1">
      <alignment horizontal="center"/>
    </xf>
    <xf numFmtId="0" fontId="49" fillId="20" borderId="0" xfId="0" applyFont="1" applyFill="1" applyBorder="1" applyAlignment="1">
      <alignment horizontal="left"/>
    </xf>
    <xf numFmtId="0" fontId="47" fillId="20" borderId="0" xfId="0" applyFont="1" applyFill="1" applyBorder="1" applyAlignment="1">
      <alignment horizontal="left"/>
    </xf>
    <xf numFmtId="0" fontId="48" fillId="20" borderId="0" xfId="0" applyFont="1" applyFill="1" applyBorder="1" applyAlignment="1">
      <alignment horizontal="left"/>
    </xf>
    <xf numFmtId="5" fontId="47" fillId="20" borderId="0" xfId="0" applyNumberFormat="1" applyFont="1" applyFill="1" applyBorder="1" applyAlignment="1">
      <alignment horizontal="center"/>
    </xf>
    <xf numFmtId="170" fontId="47" fillId="20" borderId="0" xfId="3" applyNumberFormat="1" applyFont="1" applyFill="1" applyBorder="1"/>
    <xf numFmtId="167" fontId="47" fillId="20" borderId="0" xfId="2" applyNumberFormat="1" applyFont="1" applyFill="1" applyBorder="1"/>
    <xf numFmtId="0" fontId="45" fillId="20" borderId="0" xfId="0" applyFont="1" applyFill="1" applyBorder="1"/>
    <xf numFmtId="0" fontId="3" fillId="20" borderId="13" xfId="38578" applyNumberFormat="1" applyFont="1" applyFill="1" applyBorder="1" applyAlignment="1"/>
    <xf numFmtId="0" fontId="3" fillId="20" borderId="13" xfId="38578" applyNumberFormat="1" applyFont="1" applyFill="1" applyBorder="1" applyAlignment="1">
      <alignment horizontal="left"/>
    </xf>
    <xf numFmtId="0" fontId="4" fillId="20" borderId="13" xfId="38578" applyFont="1" applyFill="1" applyBorder="1" applyAlignment="1">
      <alignment horizontal="center"/>
    </xf>
    <xf numFmtId="0" fontId="3" fillId="20" borderId="14" xfId="38578" applyNumberFormat="1" applyFont="1" applyFill="1" applyBorder="1" applyAlignment="1">
      <alignment horizontal="right"/>
    </xf>
    <xf numFmtId="9" fontId="3" fillId="20" borderId="0" xfId="3" applyFont="1" applyFill="1" applyBorder="1" applyAlignment="1">
      <alignment horizontal="right"/>
    </xf>
    <xf numFmtId="0" fontId="3" fillId="20" borderId="37" xfId="38578" applyFont="1" applyFill="1" applyBorder="1"/>
    <xf numFmtId="0" fontId="3" fillId="20" borderId="11" xfId="38578" applyFont="1" applyFill="1" applyBorder="1" applyAlignment="1">
      <alignment horizontal="center"/>
    </xf>
    <xf numFmtId="3" fontId="3" fillId="20" borderId="37" xfId="38578" applyNumberFormat="1" applyFont="1" applyFill="1" applyBorder="1" applyAlignment="1">
      <alignment horizontal="center"/>
    </xf>
    <xf numFmtId="0" fontId="3" fillId="20" borderId="14" xfId="38578" applyNumberFormat="1" applyFont="1" applyFill="1" applyBorder="1"/>
    <xf numFmtId="0" fontId="3" fillId="20" borderId="52" xfId="38578" applyNumberFormat="1" applyFont="1" applyFill="1" applyBorder="1"/>
    <xf numFmtId="37" fontId="3" fillId="20" borderId="36" xfId="38578" applyNumberFormat="1" applyFont="1" applyFill="1" applyBorder="1" applyAlignment="1">
      <alignment horizontal="right"/>
    </xf>
    <xf numFmtId="0" fontId="64" fillId="0" borderId="0" xfId="0" applyFont="1"/>
    <xf numFmtId="164" fontId="3" fillId="20" borderId="16" xfId="0" applyNumberFormat="1" applyFont="1" applyFill="1" applyBorder="1"/>
    <xf numFmtId="0" fontId="3" fillId="20" borderId="10" xfId="0" applyFont="1" applyFill="1" applyBorder="1"/>
    <xf numFmtId="164" fontId="3" fillId="20" borderId="10" xfId="1" applyNumberFormat="1" applyFont="1" applyFill="1" applyBorder="1"/>
    <xf numFmtId="164" fontId="52" fillId="20" borderId="0" xfId="1" applyNumberFormat="1" applyFont="1" applyFill="1" applyBorder="1" applyAlignment="1">
      <alignment horizontal="center" wrapText="1"/>
    </xf>
    <xf numFmtId="164" fontId="3" fillId="20" borderId="22" xfId="1" applyNumberFormat="1" applyFont="1" applyFill="1" applyBorder="1"/>
    <xf numFmtId="17" fontId="3" fillId="20" borderId="11" xfId="38578" applyNumberFormat="1" applyFont="1" applyFill="1" applyBorder="1" applyAlignment="1">
      <alignment horizontal="left"/>
    </xf>
    <xf numFmtId="0" fontId="3" fillId="20" borderId="11" xfId="38578" applyFont="1" applyFill="1" applyBorder="1"/>
    <xf numFmtId="164" fontId="3" fillId="21" borderId="11" xfId="1" applyNumberFormat="1" applyFont="1" applyFill="1" applyBorder="1" applyAlignment="1">
      <alignment horizontal="right"/>
    </xf>
    <xf numFmtId="9" fontId="3" fillId="20" borderId="13" xfId="3" applyFont="1" applyFill="1" applyBorder="1" applyAlignment="1">
      <alignment horizontal="right"/>
    </xf>
    <xf numFmtId="0" fontId="3" fillId="20" borderId="6" xfId="38578" applyNumberFormat="1" applyFont="1" applyFill="1" applyBorder="1" applyAlignment="1">
      <alignment horizontal="center"/>
    </xf>
    <xf numFmtId="17" fontId="3" fillId="20" borderId="19" xfId="38578" applyNumberFormat="1" applyFont="1" applyFill="1" applyBorder="1"/>
    <xf numFmtId="164" fontId="3" fillId="21" borderId="32" xfId="1" applyNumberFormat="1" applyFont="1" applyFill="1" applyBorder="1" applyAlignment="1">
      <alignment horizontal="right"/>
    </xf>
    <xf numFmtId="0" fontId="3" fillId="20" borderId="10" xfId="38578" applyNumberFormat="1" applyFont="1" applyFill="1" applyBorder="1"/>
    <xf numFmtId="0" fontId="3" fillId="20" borderId="22" xfId="38578" applyNumberFormat="1" applyFont="1" applyFill="1" applyBorder="1"/>
    <xf numFmtId="0" fontId="3" fillId="20" borderId="21" xfId="38578" applyNumberFormat="1" applyFont="1" applyFill="1" applyBorder="1"/>
    <xf numFmtId="164" fontId="3" fillId="20" borderId="7" xfId="1" applyNumberFormat="1" applyFont="1" applyFill="1" applyBorder="1" applyAlignment="1">
      <alignment horizontal="right"/>
    </xf>
    <xf numFmtId="0" fontId="3" fillId="20" borderId="21" xfId="38578" applyNumberFormat="1" applyFont="1" applyFill="1" applyBorder="1" applyAlignment="1">
      <alignment horizontal="center"/>
    </xf>
    <xf numFmtId="0" fontId="3" fillId="20" borderId="19" xfId="38578" applyNumberFormat="1" applyFont="1" applyFill="1" applyBorder="1"/>
    <xf numFmtId="0" fontId="3" fillId="20" borderId="50" xfId="38578" applyFont="1" applyFill="1" applyBorder="1" applyAlignment="1">
      <alignment horizontal="left"/>
    </xf>
    <xf numFmtId="0" fontId="3" fillId="20" borderId="15" xfId="38578" applyFont="1" applyFill="1" applyBorder="1"/>
    <xf numFmtId="37" fontId="3" fillId="20" borderId="33" xfId="38578" applyNumberFormat="1" applyFont="1" applyFill="1" applyBorder="1"/>
    <xf numFmtId="37" fontId="3" fillId="20" borderId="53" xfId="38578" applyNumberFormat="1" applyFont="1" applyFill="1" applyBorder="1"/>
    <xf numFmtId="37" fontId="3" fillId="20" borderId="27" xfId="38578" applyNumberFormat="1" applyFont="1" applyFill="1" applyBorder="1" applyAlignment="1">
      <alignment horizontal="right"/>
    </xf>
    <xf numFmtId="37" fontId="3" fillId="20" borderId="0" xfId="0" applyNumberFormat="1" applyFont="1" applyFill="1" applyBorder="1"/>
    <xf numFmtId="37" fontId="3" fillId="20" borderId="7" xfId="0" applyNumberFormat="1" applyFont="1" applyFill="1" applyBorder="1"/>
    <xf numFmtId="3" fontId="0" fillId="0" borderId="0" xfId="0" applyNumberFormat="1"/>
    <xf numFmtId="0" fontId="3" fillId="0" borderId="15" xfId="38578" applyFont="1" applyFill="1" applyBorder="1"/>
    <xf numFmtId="0" fontId="3" fillId="0" borderId="0" xfId="38578" applyNumberFormat="1" applyFont="1" applyFill="1" applyBorder="1" applyAlignment="1"/>
    <xf numFmtId="0" fontId="3" fillId="20" borderId="12" xfId="38578" applyFont="1" applyFill="1" applyBorder="1"/>
    <xf numFmtId="9" fontId="52" fillId="20" borderId="0" xfId="3" applyNumberFormat="1" applyFont="1" applyFill="1" applyBorder="1"/>
    <xf numFmtId="0" fontId="65" fillId="0" borderId="0" xfId="42327" applyNumberFormat="1" applyFill="1"/>
    <xf numFmtId="0" fontId="65" fillId="0" borderId="0" xfId="42327" applyBorder="1"/>
    <xf numFmtId="0" fontId="65" fillId="0" borderId="0" xfId="42327"/>
    <xf numFmtId="0" fontId="0" fillId="20" borderId="15" xfId="0" applyFont="1" applyFill="1" applyBorder="1" applyAlignment="1">
      <alignment horizontal="center"/>
    </xf>
    <xf numFmtId="164" fontId="52" fillId="20" borderId="0" xfId="0" applyNumberFormat="1" applyFont="1" applyFill="1" applyBorder="1"/>
    <xf numFmtId="0" fontId="52" fillId="0" borderId="17" xfId="0" applyFont="1" applyBorder="1"/>
    <xf numFmtId="37" fontId="3" fillId="20" borderId="53" xfId="38578" applyNumberFormat="1" applyFont="1" applyFill="1" applyBorder="1" applyAlignment="1">
      <alignment horizontal="right"/>
    </xf>
    <xf numFmtId="0" fontId="68" fillId="20" borderId="9" xfId="38578" applyFont="1" applyFill="1" applyBorder="1"/>
    <xf numFmtId="37" fontId="3" fillId="21" borderId="0" xfId="38578" applyNumberFormat="1" applyFont="1" applyFill="1" applyBorder="1" applyAlignment="1">
      <alignment horizontal="right"/>
    </xf>
    <xf numFmtId="0" fontId="4" fillId="20" borderId="52" xfId="0" applyFont="1" applyFill="1" applyBorder="1" applyAlignment="1">
      <alignment horizontal="left"/>
    </xf>
    <xf numFmtId="164" fontId="53" fillId="20" borderId="52" xfId="1" applyNumberFormat="1" applyFont="1" applyFill="1" applyBorder="1" applyAlignment="1">
      <alignment horizontal="center" wrapText="1"/>
    </xf>
    <xf numFmtId="164" fontId="53" fillId="20" borderId="52" xfId="1" applyNumberFormat="1" applyFont="1" applyFill="1" applyBorder="1" applyAlignment="1">
      <alignment horizontal="center"/>
    </xf>
    <xf numFmtId="38" fontId="53" fillId="20" borderId="52" xfId="0" applyNumberFormat="1" applyFont="1" applyFill="1" applyBorder="1" applyAlignment="1">
      <alignment horizontal="center"/>
    </xf>
    <xf numFmtId="0" fontId="53" fillId="20" borderId="52" xfId="0" applyFont="1" applyFill="1" applyBorder="1" applyAlignment="1">
      <alignment horizontal="center"/>
    </xf>
    <xf numFmtId="164" fontId="53" fillId="20" borderId="35" xfId="0" applyNumberFormat="1" applyFont="1" applyFill="1" applyBorder="1" applyAlignment="1">
      <alignment horizontal="center" wrapText="1"/>
    </xf>
    <xf numFmtId="0" fontId="3" fillId="20" borderId="15" xfId="0" applyFont="1" applyFill="1" applyBorder="1" applyAlignment="1">
      <alignment horizontal="center"/>
    </xf>
    <xf numFmtId="164" fontId="46" fillId="20" borderId="0" xfId="1" applyNumberFormat="1" applyFont="1" applyFill="1" applyBorder="1"/>
    <xf numFmtId="164" fontId="46" fillId="20" borderId="10" xfId="1" applyNumberFormat="1" applyFont="1" applyFill="1" applyBorder="1"/>
    <xf numFmtId="164" fontId="48" fillId="20" borderId="10" xfId="1" applyNumberFormat="1" applyFont="1" applyFill="1" applyBorder="1"/>
    <xf numFmtId="0" fontId="4" fillId="20" borderId="0" xfId="38578" applyFont="1" applyFill="1" applyBorder="1" applyAlignment="1">
      <alignment horizontal="center" wrapText="1"/>
    </xf>
    <xf numFmtId="10" fontId="46" fillId="20" borderId="0" xfId="3" applyNumberFormat="1" applyFont="1" applyFill="1" applyBorder="1"/>
    <xf numFmtId="0" fontId="3" fillId="20" borderId="10" xfId="38578" applyFont="1" applyFill="1" applyBorder="1"/>
    <xf numFmtId="0" fontId="0" fillId="26" borderId="0" xfId="0" applyFill="1"/>
    <xf numFmtId="179" fontId="3" fillId="0" borderId="0" xfId="0" applyNumberFormat="1" applyFont="1" applyFill="1" applyBorder="1" applyAlignment="1">
      <alignment horizontal="center"/>
    </xf>
    <xf numFmtId="0" fontId="46" fillId="20" borderId="7" xfId="0" applyFont="1" applyFill="1" applyBorder="1"/>
    <xf numFmtId="10" fontId="46" fillId="20" borderId="7" xfId="3" applyNumberFormat="1" applyFont="1" applyFill="1" applyBorder="1"/>
    <xf numFmtId="49" fontId="3" fillId="20" borderId="17" xfId="39562" applyNumberFormat="1" applyFont="1" applyFill="1" applyBorder="1" applyAlignment="1">
      <alignment horizontal="center"/>
    </xf>
    <xf numFmtId="0" fontId="68" fillId="20" borderId="16" xfId="0" applyFont="1" applyFill="1" applyBorder="1"/>
    <xf numFmtId="0" fontId="68" fillId="20" borderId="16" xfId="0" quotePrefix="1" applyFont="1" applyFill="1" applyBorder="1"/>
    <xf numFmtId="49" fontId="3" fillId="20" borderId="15" xfId="38790" applyNumberFormat="1" applyFont="1" applyFill="1" applyBorder="1" applyAlignment="1">
      <alignment horizontal="center"/>
    </xf>
    <xf numFmtId="164" fontId="53" fillId="20" borderId="2" xfId="1" applyNumberFormat="1" applyFont="1" applyFill="1" applyBorder="1"/>
    <xf numFmtId="0" fontId="3" fillId="20" borderId="58" xfId="38578" applyFont="1" applyFill="1" applyBorder="1" applyAlignment="1">
      <alignment horizontal="left"/>
    </xf>
    <xf numFmtId="0" fontId="3" fillId="20" borderId="48" xfId="38578" applyFont="1" applyFill="1" applyBorder="1" applyAlignment="1">
      <alignment horizontal="left"/>
    </xf>
    <xf numFmtId="0" fontId="3" fillId="20" borderId="48" xfId="38578" applyFont="1" applyFill="1" applyBorder="1" applyAlignment="1"/>
    <xf numFmtId="0" fontId="69" fillId="20" borderId="16" xfId="0" applyFont="1" applyFill="1" applyBorder="1"/>
    <xf numFmtId="0" fontId="0" fillId="20" borderId="12" xfId="0" applyFill="1" applyBorder="1"/>
    <xf numFmtId="0" fontId="0" fillId="20" borderId="14" xfId="0" applyFill="1" applyBorder="1"/>
    <xf numFmtId="0" fontId="0" fillId="20" borderId="15" xfId="0" applyFill="1" applyBorder="1"/>
    <xf numFmtId="0" fontId="0" fillId="20" borderId="16" xfId="0" applyFill="1" applyBorder="1"/>
    <xf numFmtId="0" fontId="56" fillId="20" borderId="15" xfId="0" applyFont="1" applyFill="1" applyBorder="1"/>
    <xf numFmtId="0" fontId="56" fillId="20" borderId="16" xfId="0" applyFont="1" applyFill="1" applyBorder="1"/>
    <xf numFmtId="0" fontId="67" fillId="20" borderId="15" xfId="0" applyFont="1" applyFill="1" applyBorder="1" applyAlignment="1">
      <alignment horizontal="left"/>
    </xf>
    <xf numFmtId="0" fontId="67" fillId="20" borderId="16" xfId="0" applyFont="1" applyFill="1" applyBorder="1" applyAlignment="1">
      <alignment horizontal="left"/>
    </xf>
    <xf numFmtId="0" fontId="65" fillId="20" borderId="16" xfId="42327" applyFill="1" applyBorder="1"/>
    <xf numFmtId="0" fontId="0" fillId="20" borderId="17" xfId="0" applyFill="1" applyBorder="1"/>
    <xf numFmtId="0" fontId="0" fillId="20" borderId="18" xfId="0" applyFill="1" applyBorder="1"/>
    <xf numFmtId="0" fontId="4" fillId="20" borderId="24" xfId="0" applyFont="1" applyFill="1" applyBorder="1" applyAlignment="1">
      <alignment horizontal="center" wrapText="1"/>
    </xf>
    <xf numFmtId="0" fontId="4" fillId="20" borderId="10" xfId="0" applyFont="1" applyFill="1" applyBorder="1" applyAlignment="1">
      <alignment horizontal="left" vertical="top"/>
    </xf>
    <xf numFmtId="0" fontId="4" fillId="20" borderId="10" xfId="0" applyFont="1" applyFill="1" applyBorder="1" applyAlignment="1">
      <alignment horizontal="left"/>
    </xf>
    <xf numFmtId="164" fontId="4" fillId="20" borderId="10" xfId="1" applyNumberFormat="1" applyFont="1" applyFill="1" applyBorder="1" applyAlignment="1">
      <alignment horizontal="center" vertical="top" wrapText="1"/>
    </xf>
    <xf numFmtId="38" fontId="4" fillId="20" borderId="10" xfId="0" applyNumberFormat="1" applyFont="1" applyFill="1" applyBorder="1" applyAlignment="1">
      <alignment horizontal="center" vertical="top" wrapText="1"/>
    </xf>
    <xf numFmtId="164" fontId="4" fillId="20" borderId="22" xfId="1" applyNumberFormat="1" applyFont="1" applyFill="1" applyBorder="1" applyAlignment="1">
      <alignment horizontal="center" vertical="top" wrapText="1"/>
    </xf>
    <xf numFmtId="0" fontId="47" fillId="20" borderId="12" xfId="0" applyFont="1" applyFill="1" applyBorder="1"/>
    <xf numFmtId="0" fontId="45" fillId="20" borderId="13" xfId="0" applyFont="1" applyFill="1" applyBorder="1" applyAlignment="1">
      <alignment horizontal="left" vertical="top" wrapText="1"/>
    </xf>
    <xf numFmtId="0" fontId="45" fillId="20" borderId="13" xfId="0" applyFont="1" applyFill="1" applyBorder="1"/>
    <xf numFmtId="0" fontId="45" fillId="20" borderId="13" xfId="0" applyFont="1" applyFill="1" applyBorder="1" applyAlignment="1">
      <alignment horizontal="center" vertical="top"/>
    </xf>
    <xf numFmtId="167" fontId="45" fillId="20" borderId="13" xfId="2" applyNumberFormat="1" applyFont="1" applyFill="1" applyBorder="1"/>
    <xf numFmtId="0" fontId="45" fillId="20" borderId="14" xfId="0" applyFont="1" applyFill="1" applyBorder="1"/>
    <xf numFmtId="0" fontId="45" fillId="20" borderId="0" xfId="0" applyFont="1" applyFill="1" applyBorder="1" applyAlignment="1">
      <alignment horizontal="left" vertical="top"/>
    </xf>
    <xf numFmtId="0" fontId="45" fillId="20" borderId="0" xfId="0" applyFont="1" applyFill="1" applyBorder="1" applyAlignment="1">
      <alignment horizontal="left" vertical="top" wrapText="1"/>
    </xf>
    <xf numFmtId="0" fontId="45" fillId="20" borderId="0" xfId="0" applyFont="1" applyFill="1" applyBorder="1" applyAlignment="1">
      <alignment horizontal="center" vertical="top"/>
    </xf>
    <xf numFmtId="167" fontId="45" fillId="20" borderId="0" xfId="2" applyNumberFormat="1" applyFont="1" applyFill="1" applyBorder="1"/>
    <xf numFmtId="0" fontId="45" fillId="20" borderId="16" xfId="0" applyFont="1" applyFill="1" applyBorder="1"/>
    <xf numFmtId="0" fontId="45" fillId="0" borderId="0" xfId="0" applyFont="1" applyFill="1" applyBorder="1" applyAlignment="1">
      <alignment horizontal="center" vertical="top" readingOrder="1"/>
    </xf>
    <xf numFmtId="167" fontId="60" fillId="20" borderId="0" xfId="0" applyNumberFormat="1" applyFont="1" applyFill="1" applyBorder="1"/>
    <xf numFmtId="0" fontId="58" fillId="20" borderId="0" xfId="0" applyFont="1" applyFill="1" applyBorder="1" applyAlignment="1">
      <alignment horizontal="left" vertical="top"/>
    </xf>
    <xf numFmtId="0" fontId="45" fillId="20" borderId="0" xfId="0" applyFont="1" applyFill="1" applyBorder="1" applyAlignment="1">
      <alignment wrapText="1"/>
    </xf>
    <xf numFmtId="0" fontId="59" fillId="20" borderId="0" xfId="0" applyFont="1" applyFill="1" applyBorder="1" applyAlignment="1">
      <alignment horizontal="center" vertical="center" wrapText="1" readingOrder="1"/>
    </xf>
    <xf numFmtId="0" fontId="45" fillId="20" borderId="7" xfId="0" applyFont="1" applyFill="1" applyBorder="1" applyAlignment="1">
      <alignment horizontal="left" vertical="top"/>
    </xf>
    <xf numFmtId="0" fontId="4" fillId="20" borderId="13" xfId="0" applyFont="1" applyFill="1" applyBorder="1" applyAlignment="1">
      <alignment horizontal="left"/>
    </xf>
    <xf numFmtId="0" fontId="70" fillId="20" borderId="15" xfId="0" applyFont="1" applyFill="1" applyBorder="1" applyAlignment="1">
      <alignment horizontal="left" vertical="top"/>
    </xf>
    <xf numFmtId="0" fontId="58" fillId="0" borderId="15" xfId="0" applyFont="1" applyFill="1" applyBorder="1" applyAlignment="1">
      <alignment horizontal="left" vertical="top"/>
    </xf>
    <xf numFmtId="0" fontId="45" fillId="20" borderId="15" xfId="0" applyFont="1" applyFill="1" applyBorder="1" applyAlignment="1">
      <alignment horizontal="left" vertical="top"/>
    </xf>
    <xf numFmtId="0" fontId="45" fillId="20" borderId="15" xfId="0" applyFont="1" applyFill="1" applyBorder="1"/>
    <xf numFmtId="0" fontId="45" fillId="20" borderId="17" xfId="0" applyFont="1" applyFill="1" applyBorder="1" applyAlignment="1">
      <alignment horizontal="left" vertical="top"/>
    </xf>
    <xf numFmtId="0" fontId="45" fillId="20" borderId="46" xfId="0" applyFont="1" applyFill="1" applyBorder="1" applyAlignment="1">
      <alignment horizontal="left" vertical="top" wrapText="1"/>
    </xf>
    <xf numFmtId="0" fontId="45" fillId="20" borderId="46" xfId="0" applyFont="1" applyFill="1" applyBorder="1"/>
    <xf numFmtId="0" fontId="45" fillId="20" borderId="46" xfId="0" applyFont="1" applyFill="1" applyBorder="1" applyAlignment="1">
      <alignment horizontal="center" vertical="top"/>
    </xf>
    <xf numFmtId="167" fontId="45" fillId="20" borderId="46" xfId="2" applyNumberFormat="1" applyFont="1" applyFill="1" applyBorder="1"/>
    <xf numFmtId="0" fontId="45" fillId="20" borderId="54" xfId="0" applyFont="1" applyFill="1" applyBorder="1" applyAlignment="1">
      <alignment horizontal="left" vertical="top"/>
    </xf>
    <xf numFmtId="0" fontId="45" fillId="20" borderId="46" xfId="0" applyFont="1" applyFill="1" applyBorder="1" applyAlignment="1">
      <alignment horizontal="left" vertical="top"/>
    </xf>
    <xf numFmtId="0" fontId="58" fillId="20" borderId="15" xfId="0" applyFont="1" applyFill="1" applyBorder="1" applyAlignment="1">
      <alignment horizontal="center" vertical="center" wrapText="1" readingOrder="1"/>
    </xf>
    <xf numFmtId="0" fontId="58" fillId="20" borderId="0" xfId="0" applyFont="1" applyFill="1" applyBorder="1" applyAlignment="1">
      <alignment horizontal="center" vertical="center" wrapText="1" readingOrder="1"/>
    </xf>
    <xf numFmtId="0" fontId="58" fillId="20" borderId="6" xfId="0" applyFont="1" applyFill="1" applyBorder="1" applyAlignment="1">
      <alignment horizontal="center" vertical="center" wrapText="1"/>
    </xf>
    <xf numFmtId="167" fontId="58" fillId="20" borderId="0" xfId="2" applyNumberFormat="1" applyFont="1" applyFill="1" applyBorder="1" applyAlignment="1">
      <alignment horizontal="center" vertical="center" wrapText="1" readingOrder="1"/>
    </xf>
    <xf numFmtId="0" fontId="59" fillId="20" borderId="9" xfId="0" applyFont="1" applyFill="1" applyBorder="1" applyAlignment="1">
      <alignment horizontal="center" vertical="center" wrapText="1" readingOrder="1"/>
    </xf>
    <xf numFmtId="0" fontId="58" fillId="20" borderId="16" xfId="0" applyFont="1" applyFill="1" applyBorder="1" applyAlignment="1">
      <alignment horizontal="center" vertical="center" wrapText="1" readingOrder="1"/>
    </xf>
    <xf numFmtId="0" fontId="45" fillId="20" borderId="25" xfId="0" applyFont="1" applyFill="1" applyBorder="1"/>
    <xf numFmtId="0" fontId="47" fillId="20" borderId="13" xfId="0" applyFont="1" applyFill="1" applyBorder="1" applyAlignment="1">
      <alignment horizontal="left" vertical="top"/>
    </xf>
    <xf numFmtId="0" fontId="47" fillId="20" borderId="13" xfId="0" applyFont="1" applyFill="1" applyBorder="1"/>
    <xf numFmtId="0" fontId="47" fillId="20" borderId="15" xfId="0" applyFont="1" applyFill="1" applyBorder="1" applyAlignment="1">
      <alignment horizontal="left" vertical="top"/>
    </xf>
    <xf numFmtId="0" fontId="47" fillId="20" borderId="0" xfId="0" applyFont="1" applyFill="1" applyBorder="1" applyAlignment="1">
      <alignment horizontal="left" vertical="top"/>
    </xf>
    <xf numFmtId="0" fontId="47" fillId="20" borderId="17" xfId="0" applyFont="1" applyFill="1" applyBorder="1" applyAlignment="1">
      <alignment horizontal="left" vertical="top"/>
    </xf>
    <xf numFmtId="0" fontId="71" fillId="20" borderId="7" xfId="0" applyFont="1" applyFill="1" applyBorder="1" applyAlignment="1">
      <alignment horizontal="left" vertical="top"/>
    </xf>
    <xf numFmtId="0" fontId="49" fillId="20" borderId="24" xfId="0" applyFont="1" applyFill="1" applyBorder="1" applyAlignment="1">
      <alignment horizontal="center" readingOrder="1"/>
    </xf>
    <xf numFmtId="0" fontId="49" fillId="20" borderId="0" xfId="0" applyFont="1" applyFill="1" applyBorder="1" applyAlignment="1">
      <alignment horizontal="center" readingOrder="1"/>
    </xf>
    <xf numFmtId="0" fontId="49" fillId="20" borderId="0" xfId="0" applyFont="1" applyFill="1" applyBorder="1" applyAlignment="1">
      <alignment horizontal="center" wrapText="1" readingOrder="1"/>
    </xf>
    <xf numFmtId="0" fontId="49" fillId="20" borderId="48" xfId="0" applyFont="1" applyFill="1" applyBorder="1" applyAlignment="1">
      <alignment horizontal="center" readingOrder="1"/>
    </xf>
    <xf numFmtId="49" fontId="3" fillId="20" borderId="17" xfId="38790" applyNumberFormat="1" applyFont="1" applyFill="1" applyBorder="1" applyAlignment="1">
      <alignment horizontal="center"/>
    </xf>
    <xf numFmtId="180" fontId="52" fillId="20" borderId="0" xfId="3" applyNumberFormat="1" applyFont="1" applyFill="1" applyBorder="1"/>
    <xf numFmtId="0" fontId="0" fillId="20" borderId="7" xfId="0" applyFill="1" applyBorder="1"/>
    <xf numFmtId="0" fontId="3" fillId="20" borderId="0" xfId="38578" applyFont="1" applyFill="1" applyBorder="1"/>
    <xf numFmtId="164" fontId="3" fillId="20" borderId="10" xfId="0" applyNumberFormat="1" applyFont="1" applyFill="1" applyBorder="1" applyAlignment="1">
      <alignment horizontal="right"/>
    </xf>
    <xf numFmtId="3" fontId="4" fillId="28" borderId="52" xfId="0" applyNumberFormat="1" applyFont="1" applyFill="1" applyBorder="1" applyAlignment="1">
      <alignment horizontal="left"/>
    </xf>
    <xf numFmtId="3" fontId="3" fillId="28" borderId="52" xfId="0" applyNumberFormat="1" applyFont="1" applyFill="1" applyBorder="1"/>
    <xf numFmtId="0" fontId="52" fillId="28" borderId="52" xfId="0" applyFont="1" applyFill="1" applyBorder="1"/>
    <xf numFmtId="164" fontId="3" fillId="20" borderId="10" xfId="0" applyNumberFormat="1" applyFont="1" applyFill="1" applyBorder="1"/>
    <xf numFmtId="9" fontId="52" fillId="20" borderId="2" xfId="3" applyNumberFormat="1" applyFont="1" applyFill="1" applyBorder="1"/>
    <xf numFmtId="0" fontId="72" fillId="0" borderId="0" xfId="0" applyFont="1" applyFill="1" applyBorder="1" applyAlignment="1">
      <alignment horizontal="left"/>
    </xf>
    <xf numFmtId="9" fontId="52" fillId="20" borderId="13" xfId="3" applyNumberFormat="1" applyFont="1" applyFill="1" applyBorder="1"/>
    <xf numFmtId="167" fontId="3" fillId="20" borderId="0" xfId="2" applyNumberFormat="1" applyFont="1" applyFill="1" applyBorder="1"/>
    <xf numFmtId="167" fontId="3" fillId="20" borderId="0" xfId="2" applyNumberFormat="1" applyFont="1" applyFill="1" applyBorder="1" applyAlignment="1">
      <alignment horizontal="right"/>
    </xf>
    <xf numFmtId="167" fontId="3" fillId="20" borderId="9" xfId="2" applyNumberFormat="1" applyFont="1" applyFill="1" applyBorder="1" applyAlignment="1">
      <alignment horizontal="right"/>
    </xf>
    <xf numFmtId="167" fontId="3" fillId="20" borderId="9" xfId="2" applyNumberFormat="1" applyFont="1" applyFill="1" applyBorder="1" applyAlignment="1">
      <alignment horizontal="center"/>
    </xf>
    <xf numFmtId="0" fontId="45" fillId="0" borderId="15" xfId="0" applyFont="1" applyBorder="1" applyAlignment="1">
      <alignment horizontal="left" vertical="top"/>
    </xf>
    <xf numFmtId="0" fontId="45" fillId="0" borderId="9" xfId="0" applyFont="1" applyBorder="1" applyAlignment="1">
      <alignment vertical="top"/>
    </xf>
    <xf numFmtId="0" fontId="45" fillId="0" borderId="16" xfId="0" applyFont="1" applyBorder="1" applyAlignment="1">
      <alignment wrapText="1"/>
    </xf>
    <xf numFmtId="0" fontId="45" fillId="0" borderId="0" xfId="0" applyFont="1"/>
    <xf numFmtId="0" fontId="47" fillId="0" borderId="15" xfId="0" applyFont="1" applyBorder="1" applyAlignment="1">
      <alignment horizontal="left" vertical="top"/>
    </xf>
    <xf numFmtId="0" fontId="47" fillId="0" borderId="0" xfId="0" applyFont="1"/>
    <xf numFmtId="0" fontId="47" fillId="0" borderId="48" xfId="0" applyFont="1" applyBorder="1"/>
    <xf numFmtId="0" fontId="62" fillId="20" borderId="12" xfId="0" applyFont="1" applyFill="1" applyBorder="1"/>
    <xf numFmtId="0" fontId="62" fillId="20" borderId="15" xfId="38578" applyFont="1" applyFill="1" applyBorder="1" applyAlignment="1">
      <alignment horizontal="left"/>
    </xf>
    <xf numFmtId="0" fontId="62" fillId="0" borderId="59" xfId="0" applyFont="1" applyBorder="1" applyAlignment="1">
      <alignment vertical="top" wrapText="1"/>
    </xf>
    <xf numFmtId="164" fontId="3" fillId="20" borderId="0" xfId="0" applyNumberFormat="1" applyFont="1" applyFill="1" applyBorder="1" applyAlignment="1">
      <alignment horizontal="right"/>
    </xf>
    <xf numFmtId="0" fontId="3" fillId="20" borderId="24" xfId="0" applyFont="1" applyFill="1" applyBorder="1"/>
    <xf numFmtId="164" fontId="53" fillId="20" borderId="45" xfId="1" applyNumberFormat="1" applyFont="1" applyFill="1" applyBorder="1"/>
    <xf numFmtId="0" fontId="53" fillId="20" borderId="7" xfId="0" applyFont="1" applyFill="1" applyBorder="1"/>
    <xf numFmtId="164" fontId="52" fillId="20" borderId="7" xfId="1" applyNumberFormat="1" applyFont="1" applyFill="1" applyBorder="1"/>
    <xf numFmtId="167" fontId="47" fillId="20" borderId="0" xfId="2" applyNumberFormat="1" applyFont="1" applyFill="1" applyBorder="1" applyAlignment="1">
      <alignment horizontal="right"/>
    </xf>
    <xf numFmtId="0" fontId="0" fillId="20" borderId="0" xfId="0" applyFill="1"/>
    <xf numFmtId="164" fontId="4" fillId="0" borderId="10" xfId="1" applyNumberFormat="1" applyFont="1" applyFill="1" applyBorder="1" applyAlignment="1">
      <alignment horizontal="center" vertical="top" wrapText="1"/>
    </xf>
    <xf numFmtId="37" fontId="3" fillId="20" borderId="0" xfId="38578" applyNumberFormat="1" applyFont="1" applyFill="1" applyBorder="1"/>
    <xf numFmtId="0" fontId="75" fillId="0" borderId="0" xfId="0" applyFont="1"/>
    <xf numFmtId="167" fontId="46" fillId="0" borderId="0" xfId="2" applyNumberFormat="1" applyFont="1" applyBorder="1"/>
    <xf numFmtId="167" fontId="45" fillId="0" borderId="0" xfId="0" applyNumberFormat="1" applyFont="1" applyBorder="1"/>
    <xf numFmtId="164" fontId="52" fillId="20" borderId="18" xfId="1" applyNumberFormat="1" applyFont="1" applyFill="1" applyBorder="1"/>
    <xf numFmtId="164" fontId="53" fillId="20" borderId="16" xfId="1" applyNumberFormat="1" applyFont="1" applyFill="1" applyBorder="1"/>
    <xf numFmtId="164" fontId="52" fillId="20" borderId="16" xfId="1" applyNumberFormat="1" applyFont="1" applyFill="1" applyBorder="1"/>
    <xf numFmtId="0" fontId="53" fillId="20" borderId="18" xfId="0" applyFont="1" applyFill="1" applyBorder="1"/>
    <xf numFmtId="0" fontId="62" fillId="0" borderId="59" xfId="0" applyFont="1" applyFill="1" applyBorder="1" applyAlignment="1">
      <alignment vertical="top" wrapText="1"/>
    </xf>
    <xf numFmtId="0" fontId="3" fillId="20" borderId="5" xfId="38578" applyFont="1" applyFill="1" applyBorder="1"/>
    <xf numFmtId="0" fontId="0" fillId="20" borderId="5" xfId="0" applyFill="1" applyBorder="1"/>
    <xf numFmtId="0" fontId="3" fillId="20" borderId="19" xfId="38578" applyFont="1" applyFill="1" applyBorder="1"/>
    <xf numFmtId="164" fontId="3" fillId="21" borderId="9" xfId="1" applyNumberFormat="1" applyFont="1" applyFill="1" applyBorder="1" applyAlignment="1">
      <alignment horizontal="right"/>
    </xf>
    <xf numFmtId="49" fontId="57" fillId="20" borderId="0" xfId="19632" applyNumberFormat="1" applyFont="1" applyFill="1" applyBorder="1" applyAlignment="1">
      <alignment horizontal="left"/>
    </xf>
    <xf numFmtId="164" fontId="52" fillId="20" borderId="2" xfId="1" applyNumberFormat="1" applyFont="1" applyFill="1" applyBorder="1"/>
    <xf numFmtId="164" fontId="52" fillId="20" borderId="5" xfId="1" applyNumberFormat="1" applyFont="1" applyFill="1" applyBorder="1"/>
    <xf numFmtId="49" fontId="57" fillId="20" borderId="13" xfId="19632" applyNumberFormat="1" applyFont="1" applyFill="1" applyBorder="1" applyAlignment="1">
      <alignment horizontal="left"/>
    </xf>
    <xf numFmtId="49" fontId="57" fillId="20" borderId="2" xfId="19632" applyNumberFormat="1" applyFont="1" applyFill="1" applyBorder="1" applyAlignment="1">
      <alignment horizontal="left"/>
    </xf>
    <xf numFmtId="49" fontId="57" fillId="23" borderId="7" xfId="19632" applyNumberFormat="1" applyFont="1" applyFill="1" applyBorder="1" applyAlignment="1">
      <alignment horizontal="left"/>
    </xf>
    <xf numFmtId="0" fontId="47" fillId="20" borderId="24" xfId="0" applyFont="1" applyFill="1" applyBorder="1" applyAlignment="1">
      <alignment horizontal="center"/>
    </xf>
    <xf numFmtId="37" fontId="3" fillId="20" borderId="22" xfId="42319" applyNumberFormat="1" applyFont="1" applyFill="1" applyBorder="1" applyAlignment="1">
      <alignment horizontal="center"/>
    </xf>
    <xf numFmtId="0" fontId="45" fillId="20" borderId="7" xfId="0" applyFont="1" applyFill="1" applyBorder="1"/>
    <xf numFmtId="0" fontId="45" fillId="20" borderId="18" xfId="0" applyFont="1" applyFill="1" applyBorder="1"/>
    <xf numFmtId="0" fontId="48" fillId="20" borderId="2" xfId="0" applyFont="1" applyFill="1" applyBorder="1" applyAlignment="1">
      <alignment horizontal="left"/>
    </xf>
    <xf numFmtId="5" fontId="48" fillId="20" borderId="2" xfId="0" applyNumberFormat="1" applyFont="1" applyFill="1" applyBorder="1"/>
    <xf numFmtId="167" fontId="48" fillId="20" borderId="2" xfId="2" applyNumberFormat="1" applyFont="1" applyFill="1" applyBorder="1"/>
    <xf numFmtId="9" fontId="48" fillId="20" borderId="2" xfId="3" applyFont="1" applyFill="1" applyBorder="1"/>
    <xf numFmtId="0" fontId="48" fillId="22" borderId="2" xfId="0" applyFont="1" applyFill="1" applyBorder="1"/>
    <xf numFmtId="0" fontId="65" fillId="20" borderId="14" xfId="42327" applyFill="1" applyBorder="1"/>
    <xf numFmtId="0" fontId="75" fillId="0" borderId="0" xfId="0" applyFont="1" applyBorder="1"/>
    <xf numFmtId="0" fontId="75" fillId="0" borderId="16" xfId="0" applyFont="1" applyBorder="1"/>
    <xf numFmtId="0" fontId="47" fillId="0" borderId="0" xfId="0" applyFont="1" applyBorder="1" applyAlignment="1">
      <alignment horizontal="left" vertical="top"/>
    </xf>
    <xf numFmtId="0" fontId="47" fillId="0" borderId="0" xfId="0" applyFont="1" applyBorder="1"/>
    <xf numFmtId="0" fontId="49" fillId="0" borderId="0" xfId="0" applyFont="1" applyBorder="1" applyAlignment="1">
      <alignment horizontal="left" vertical="top"/>
    </xf>
    <xf numFmtId="0" fontId="47" fillId="24" borderId="17" xfId="0" applyFont="1" applyFill="1" applyBorder="1" applyAlignment="1">
      <alignment horizontal="left" vertical="top"/>
    </xf>
    <xf numFmtId="0" fontId="47" fillId="0" borderId="7" xfId="0" applyFont="1" applyBorder="1" applyAlignment="1">
      <alignment horizontal="left" vertical="top"/>
    </xf>
    <xf numFmtId="0" fontId="47" fillId="0" borderId="7" xfId="0" applyFont="1" applyBorder="1"/>
    <xf numFmtId="0" fontId="47" fillId="0" borderId="60" xfId="0" applyFont="1" applyBorder="1"/>
    <xf numFmtId="0" fontId="60" fillId="27" borderId="0" xfId="0" applyFont="1" applyFill="1" applyBorder="1" applyAlignment="1">
      <alignment wrapText="1"/>
    </xf>
    <xf numFmtId="0" fontId="60" fillId="0" borderId="0" xfId="0" applyFont="1" applyBorder="1" applyAlignment="1">
      <alignment wrapText="1"/>
    </xf>
    <xf numFmtId="0" fontId="45" fillId="0" borderId="0" xfId="0" applyFont="1" applyBorder="1" applyAlignment="1">
      <alignment horizontal="center" vertical="top" readingOrder="1"/>
    </xf>
    <xf numFmtId="0" fontId="45" fillId="0" borderId="0" xfId="0" applyFont="1" applyBorder="1" applyAlignment="1">
      <alignment horizontal="left" vertical="top" wrapText="1"/>
    </xf>
    <xf numFmtId="0" fontId="45" fillId="0" borderId="0" xfId="0" applyFont="1" applyBorder="1" applyAlignment="1">
      <alignment vertical="top" wrapText="1"/>
    </xf>
    <xf numFmtId="0" fontId="45" fillId="0" borderId="0" xfId="0" applyFont="1" applyBorder="1" applyAlignment="1">
      <alignment horizontal="center" vertical="top"/>
    </xf>
    <xf numFmtId="167" fontId="45" fillId="0" borderId="0" xfId="2" applyNumberFormat="1" applyFont="1" applyBorder="1"/>
    <xf numFmtId="0" fontId="45" fillId="20" borderId="61" xfId="0" applyFont="1" applyFill="1" applyBorder="1" applyAlignment="1">
      <alignment wrapText="1"/>
    </xf>
    <xf numFmtId="0" fontId="45" fillId="20" borderId="62" xfId="0" applyFont="1" applyFill="1" applyBorder="1" applyAlignment="1">
      <alignment wrapText="1"/>
    </xf>
    <xf numFmtId="0" fontId="45" fillId="0" borderId="61" xfId="0" applyFont="1" applyBorder="1"/>
    <xf numFmtId="0" fontId="45" fillId="0" borderId="62" xfId="0" applyFont="1" applyBorder="1"/>
    <xf numFmtId="0" fontId="60" fillId="0" borderId="61" xfId="0" applyFont="1" applyBorder="1"/>
    <xf numFmtId="0" fontId="62" fillId="0" borderId="62" xfId="0" applyFont="1" applyBorder="1"/>
    <xf numFmtId="0" fontId="60" fillId="0" borderId="62" xfId="0" applyFont="1" applyBorder="1"/>
    <xf numFmtId="0" fontId="60" fillId="0" borderId="62" xfId="0" applyFont="1" applyBorder="1" applyAlignment="1">
      <alignment wrapText="1"/>
    </xf>
    <xf numFmtId="0" fontId="62" fillId="0" borderId="63" xfId="0" applyFont="1" applyBorder="1" applyAlignment="1">
      <alignment vertical="top" wrapText="1"/>
    </xf>
    <xf numFmtId="0" fontId="62" fillId="0" borderId="64" xfId="0" applyFont="1" applyBorder="1" applyAlignment="1">
      <alignment vertical="top" wrapText="1"/>
    </xf>
    <xf numFmtId="0" fontId="62" fillId="0" borderId="65" xfId="0" applyFont="1" applyBorder="1" applyAlignment="1">
      <alignment vertical="top" wrapText="1"/>
    </xf>
    <xf numFmtId="0" fontId="74" fillId="20" borderId="14" xfId="42327" applyFont="1" applyFill="1" applyBorder="1"/>
    <xf numFmtId="0" fontId="65" fillId="0" borderId="14" xfId="42327" applyBorder="1"/>
    <xf numFmtId="38" fontId="3" fillId="20" borderId="0" xfId="19386" applyNumberFormat="1" applyFont="1" applyFill="1" applyBorder="1"/>
    <xf numFmtId="0" fontId="65" fillId="0" borderId="13" xfId="42327" applyBorder="1"/>
    <xf numFmtId="0" fontId="65" fillId="20" borderId="13" xfId="42327" applyFill="1" applyBorder="1"/>
    <xf numFmtId="0" fontId="3" fillId="0" borderId="12" xfId="0" applyFont="1" applyFill="1" applyBorder="1" applyAlignment="1">
      <alignment horizontal="left"/>
    </xf>
    <xf numFmtId="0" fontId="3" fillId="0" borderId="13" xfId="0" applyFont="1" applyFill="1" applyBorder="1" applyAlignment="1">
      <alignment horizontal="left"/>
    </xf>
    <xf numFmtId="37" fontId="4" fillId="0" borderId="13" xfId="0" applyNumberFormat="1" applyFont="1" applyFill="1" applyBorder="1" applyAlignment="1">
      <alignment horizontal="center"/>
    </xf>
    <xf numFmtId="0" fontId="4" fillId="0" borderId="13" xfId="0" applyFont="1" applyFill="1" applyBorder="1" applyAlignment="1">
      <alignment horizontal="center"/>
    </xf>
    <xf numFmtId="0" fontId="65" fillId="0" borderId="13" xfId="42327" applyFill="1" applyBorder="1" applyAlignment="1">
      <alignment horizontal="center"/>
    </xf>
    <xf numFmtId="164" fontId="4" fillId="0" borderId="13" xfId="0" applyNumberFormat="1" applyFont="1" applyFill="1" applyBorder="1" applyAlignment="1">
      <alignment horizontal="center"/>
    </xf>
    <xf numFmtId="164" fontId="4" fillId="0" borderId="14" xfId="1" applyNumberFormat="1" applyFont="1" applyFill="1" applyBorder="1" applyAlignment="1">
      <alignment horizontal="center"/>
    </xf>
    <xf numFmtId="0" fontId="3" fillId="0" borderId="15" xfId="0" applyFont="1" applyFill="1" applyBorder="1" applyAlignment="1">
      <alignment horizontal="left"/>
    </xf>
    <xf numFmtId="164" fontId="4" fillId="0" borderId="16" xfId="1" applyNumberFormat="1" applyFont="1" applyFill="1" applyBorder="1" applyAlignment="1">
      <alignment horizontal="center"/>
    </xf>
    <xf numFmtId="164" fontId="4" fillId="0" borderId="16" xfId="1" applyNumberFormat="1" applyFont="1" applyFill="1" applyBorder="1"/>
    <xf numFmtId="0" fontId="3" fillId="0" borderId="15" xfId="0" applyFont="1" applyFill="1" applyBorder="1" applyAlignment="1">
      <alignment horizontal="center"/>
    </xf>
    <xf numFmtId="179" fontId="3" fillId="0" borderId="16" xfId="0" applyNumberFormat="1" applyFont="1" applyFill="1" applyBorder="1" applyAlignment="1">
      <alignment horizontal="center"/>
    </xf>
    <xf numFmtId="0" fontId="4" fillId="0" borderId="15" xfId="0" applyFont="1" applyFill="1" applyBorder="1" applyAlignment="1">
      <alignment horizontal="center"/>
    </xf>
    <xf numFmtId="164" fontId="4" fillId="0" borderId="16" xfId="1" applyNumberFormat="1" applyFont="1" applyFill="1" applyBorder="1" applyAlignment="1">
      <alignment horizontal="center" wrapText="1"/>
    </xf>
    <xf numFmtId="164" fontId="3" fillId="0" borderId="16" xfId="1" applyNumberFormat="1" applyFont="1" applyFill="1" applyBorder="1"/>
    <xf numFmtId="164" fontId="4" fillId="0" borderId="23" xfId="1" applyNumberFormat="1" applyFont="1" applyFill="1" applyBorder="1"/>
    <xf numFmtId="164" fontId="4" fillId="0" borderId="23" xfId="0" applyNumberFormat="1" applyFont="1" applyFill="1" applyBorder="1" applyAlignment="1">
      <alignment horizontal="right"/>
    </xf>
    <xf numFmtId="164" fontId="4" fillId="0" borderId="66" xfId="0" applyNumberFormat="1" applyFont="1" applyFill="1" applyBorder="1" applyAlignment="1">
      <alignment horizontal="right"/>
    </xf>
    <xf numFmtId="0" fontId="3" fillId="0" borderId="7" xfId="0" applyFont="1" applyFill="1" applyBorder="1" applyAlignment="1">
      <alignment horizontal="center"/>
    </xf>
    <xf numFmtId="38" fontId="3" fillId="0" borderId="7" xfId="0" applyNumberFormat="1" applyFont="1" applyFill="1" applyBorder="1" applyAlignment="1">
      <alignment horizontal="center"/>
    </xf>
    <xf numFmtId="0" fontId="3" fillId="0" borderId="7" xfId="0" applyFont="1" applyFill="1" applyBorder="1" applyAlignment="1">
      <alignment horizontal="left"/>
    </xf>
    <xf numFmtId="164" fontId="3" fillId="0" borderId="7" xfId="0" applyNumberFormat="1" applyFont="1" applyFill="1" applyBorder="1" applyAlignment="1">
      <alignment horizontal="center"/>
    </xf>
    <xf numFmtId="164" fontId="3" fillId="0" borderId="18" xfId="1" applyNumberFormat="1" applyFont="1" applyFill="1" applyBorder="1"/>
    <xf numFmtId="0" fontId="52" fillId="0" borderId="16" xfId="0" applyFont="1" applyBorder="1"/>
    <xf numFmtId="164" fontId="47" fillId="20" borderId="0" xfId="1" applyNumberFormat="1" applyFont="1" applyFill="1" applyBorder="1"/>
    <xf numFmtId="164" fontId="47" fillId="20" borderId="0" xfId="1" applyNumberFormat="1" applyFont="1" applyFill="1" applyBorder="1" applyAlignment="1">
      <alignment horizontal="right"/>
    </xf>
    <xf numFmtId="164" fontId="48" fillId="20" borderId="2" xfId="1" applyNumberFormat="1" applyFont="1" applyFill="1" applyBorder="1"/>
    <xf numFmtId="164" fontId="45" fillId="20" borderId="0" xfId="1" applyNumberFormat="1" applyFont="1" applyFill="1" applyBorder="1"/>
    <xf numFmtId="164" fontId="47" fillId="20" borderId="16" xfId="1" applyNumberFormat="1" applyFont="1" applyFill="1" applyBorder="1"/>
    <xf numFmtId="164" fontId="47" fillId="20" borderId="16" xfId="1" applyNumberFormat="1" applyFont="1" applyFill="1" applyBorder="1" applyAlignment="1">
      <alignment horizontal="right"/>
    </xf>
    <xf numFmtId="164" fontId="46" fillId="20" borderId="16" xfId="1" applyNumberFormat="1" applyFont="1" applyFill="1" applyBorder="1"/>
    <xf numFmtId="164" fontId="46" fillId="20" borderId="22" xfId="1" applyNumberFormat="1" applyFont="1" applyFill="1" applyBorder="1"/>
    <xf numFmtId="164" fontId="48" fillId="0" borderId="2" xfId="1" applyNumberFormat="1" applyFont="1" applyBorder="1"/>
    <xf numFmtId="164" fontId="48" fillId="20" borderId="23" xfId="1" applyNumberFormat="1" applyFont="1" applyFill="1" applyBorder="1"/>
    <xf numFmtId="164" fontId="47" fillId="20" borderId="0" xfId="1" applyNumberFormat="1" applyFont="1" applyFill="1" applyBorder="1" applyAlignment="1">
      <alignment wrapText="1"/>
    </xf>
    <xf numFmtId="164" fontId="45" fillId="20" borderId="16" xfId="1" applyNumberFormat="1" applyFont="1" applyFill="1" applyBorder="1"/>
    <xf numFmtId="164" fontId="45" fillId="20" borderId="22" xfId="1" applyNumberFormat="1" applyFont="1" applyFill="1" applyBorder="1"/>
    <xf numFmtId="164" fontId="3" fillId="20" borderId="33" xfId="1" applyNumberFormat="1" applyFont="1" applyFill="1" applyBorder="1" applyAlignment="1"/>
    <xf numFmtId="164" fontId="3" fillId="20" borderId="19" xfId="1" applyNumberFormat="1" applyFont="1" applyFill="1" applyBorder="1"/>
    <xf numFmtId="164" fontId="3" fillId="20" borderId="19" xfId="1" applyNumberFormat="1" applyFont="1" applyFill="1" applyBorder="1" applyAlignment="1">
      <alignment horizontal="right"/>
    </xf>
    <xf numFmtId="164" fontId="3" fillId="20" borderId="36" xfId="1" applyNumberFormat="1" applyFont="1" applyFill="1" applyBorder="1" applyAlignment="1">
      <alignment horizontal="right"/>
    </xf>
    <xf numFmtId="164" fontId="4" fillId="20" borderId="57" xfId="1" applyNumberFormat="1" applyFont="1" applyFill="1" applyBorder="1" applyAlignment="1">
      <alignment horizontal="right"/>
    </xf>
    <xf numFmtId="164" fontId="3" fillId="20" borderId="53" xfId="1" applyNumberFormat="1" applyFont="1" applyFill="1" applyBorder="1" applyAlignment="1">
      <alignment horizontal="right"/>
    </xf>
    <xf numFmtId="164" fontId="2" fillId="20" borderId="5" xfId="1" applyNumberFormat="1" applyFont="1" applyFill="1" applyBorder="1"/>
    <xf numFmtId="164" fontId="4" fillId="20" borderId="56" xfId="1" applyNumberFormat="1" applyFont="1" applyFill="1" applyBorder="1"/>
    <xf numFmtId="164" fontId="4" fillId="20" borderId="56" xfId="1" applyNumberFormat="1" applyFont="1" applyFill="1" applyBorder="1" applyAlignment="1">
      <alignment horizontal="center"/>
    </xf>
    <xf numFmtId="164" fontId="4" fillId="20" borderId="55" xfId="1" applyNumberFormat="1" applyFont="1" applyFill="1" applyBorder="1" applyAlignment="1">
      <alignment horizontal="right"/>
    </xf>
    <xf numFmtId="164" fontId="4" fillId="20" borderId="9" xfId="1" applyNumberFormat="1" applyFont="1" applyFill="1" applyBorder="1"/>
    <xf numFmtId="164" fontId="4" fillId="20" borderId="6" xfId="1" applyNumberFormat="1" applyFont="1" applyFill="1" applyBorder="1" applyAlignment="1">
      <alignment horizontal="center"/>
    </xf>
    <xf numFmtId="164" fontId="4" fillId="20" borderId="0" xfId="1" applyNumberFormat="1" applyFont="1" applyFill="1" applyBorder="1" applyAlignment="1">
      <alignment horizontal="right"/>
    </xf>
    <xf numFmtId="164" fontId="4" fillId="20" borderId="32" xfId="1" applyNumberFormat="1" applyFont="1" applyFill="1" applyBorder="1"/>
    <xf numFmtId="164" fontId="4" fillId="20" borderId="20" xfId="1" applyNumberFormat="1" applyFont="1" applyFill="1" applyBorder="1" applyAlignment="1">
      <alignment horizontal="center"/>
    </xf>
    <xf numFmtId="164" fontId="4" fillId="20" borderId="10" xfId="1" applyNumberFormat="1" applyFont="1" applyFill="1" applyBorder="1" applyAlignment="1">
      <alignment horizontal="right"/>
    </xf>
    <xf numFmtId="164" fontId="3" fillId="20" borderId="6" xfId="1" applyNumberFormat="1" applyFont="1" applyFill="1" applyBorder="1" applyAlignment="1">
      <alignment horizontal="center"/>
    </xf>
    <xf numFmtId="164" fontId="3" fillId="20" borderId="0" xfId="1" applyNumberFormat="1" applyFont="1" applyFill="1" applyBorder="1" applyAlignment="1">
      <alignment horizontal="right"/>
    </xf>
    <xf numFmtId="164" fontId="3" fillId="20" borderId="9" xfId="1" applyNumberFormat="1" applyFont="1" applyFill="1" applyBorder="1"/>
    <xf numFmtId="164" fontId="3" fillId="20" borderId="9" xfId="1" applyNumberFormat="1" applyFont="1" applyFill="1" applyBorder="1" applyAlignment="1">
      <alignment horizontal="right"/>
    </xf>
    <xf numFmtId="164" fontId="3" fillId="20" borderId="9" xfId="1" applyNumberFormat="1" applyFont="1" applyFill="1" applyBorder="1" applyAlignment="1">
      <alignment horizontal="center"/>
    </xf>
    <xf numFmtId="164" fontId="3" fillId="21" borderId="0" xfId="1" applyNumberFormat="1" applyFont="1" applyFill="1" applyBorder="1"/>
    <xf numFmtId="164" fontId="3" fillId="22" borderId="0" xfId="1" applyNumberFormat="1" applyFont="1" applyFill="1" applyBorder="1" applyAlignment="1"/>
    <xf numFmtId="164" fontId="3" fillId="20" borderId="42" xfId="1" applyNumberFormat="1" applyFont="1" applyFill="1" applyBorder="1"/>
    <xf numFmtId="164" fontId="3" fillId="20" borderId="27" xfId="1" applyNumberFormat="1" applyFont="1" applyFill="1" applyBorder="1" applyAlignment="1">
      <alignment horizontal="right"/>
    </xf>
    <xf numFmtId="38" fontId="3" fillId="20" borderId="43" xfId="38792" applyNumberFormat="1" applyFont="1" applyFill="1" applyBorder="1"/>
    <xf numFmtId="164" fontId="3" fillId="20" borderId="3" xfId="5447" applyNumberFormat="1" applyFont="1" applyFill="1" applyBorder="1"/>
    <xf numFmtId="3" fontId="3" fillId="20" borderId="0" xfId="18360" applyNumberFormat="1" applyFont="1" applyFill="1" applyBorder="1" applyAlignment="1">
      <alignment horizontal="right"/>
    </xf>
    <xf numFmtId="0" fontId="2" fillId="20" borderId="15" xfId="0" applyFont="1" applyFill="1" applyBorder="1" applyAlignment="1">
      <alignment horizontal="center"/>
    </xf>
    <xf numFmtId="0" fontId="2" fillId="20" borderId="16" xfId="0" applyFont="1" applyFill="1" applyBorder="1" applyAlignment="1">
      <alignment horizontal="center"/>
    </xf>
    <xf numFmtId="0" fontId="3" fillId="20" borderId="0" xfId="38578" applyFont="1" applyFill="1" applyBorder="1" applyAlignment="1"/>
    <xf numFmtId="0" fontId="3" fillId="20" borderId="16" xfId="38578" applyFont="1" applyFill="1" applyBorder="1" applyAlignment="1"/>
    <xf numFmtId="0" fontId="3" fillId="20" borderId="0" xfId="38578" applyFont="1" applyFill="1" applyBorder="1" applyAlignment="1">
      <alignment wrapText="1"/>
    </xf>
    <xf numFmtId="0" fontId="3" fillId="20" borderId="0" xfId="38578" applyFont="1" applyFill="1" applyBorder="1" applyAlignment="1">
      <alignment horizontal="left"/>
    </xf>
    <xf numFmtId="0" fontId="52" fillId="20" borderId="0" xfId="0" applyFont="1" applyFill="1" applyBorder="1" applyAlignment="1">
      <alignment horizontal="left"/>
    </xf>
    <xf numFmtId="0" fontId="52" fillId="20" borderId="16" xfId="0" applyFont="1" applyFill="1" applyBorder="1" applyAlignment="1">
      <alignment horizontal="left"/>
    </xf>
    <xf numFmtId="0" fontId="3" fillId="20" borderId="12" xfId="38578" applyFont="1" applyFill="1" applyBorder="1" applyAlignment="1">
      <alignment horizontal="left"/>
    </xf>
    <xf numFmtId="0" fontId="3" fillId="20" borderId="13" xfId="38578" applyFont="1" applyFill="1" applyBorder="1" applyAlignment="1">
      <alignment horizontal="left"/>
    </xf>
    <xf numFmtId="0" fontId="3" fillId="20" borderId="15" xfId="38578" applyFont="1" applyFill="1" applyBorder="1" applyAlignment="1">
      <alignment horizontal="left"/>
    </xf>
    <xf numFmtId="38" fontId="3" fillId="0" borderId="0" xfId="0" applyNumberFormat="1" applyFont="1" applyFill="1" applyBorder="1" applyAlignment="1">
      <alignment wrapText="1"/>
    </xf>
    <xf numFmtId="0" fontId="3" fillId="0" borderId="0" xfId="0" applyFont="1" applyFill="1" applyBorder="1" applyAlignment="1"/>
    <xf numFmtId="0" fontId="3" fillId="0" borderId="0" xfId="0" applyFont="1" applyFill="1" applyBorder="1" applyAlignment="1">
      <alignment vertical="top"/>
    </xf>
    <xf numFmtId="164" fontId="3" fillId="20" borderId="33" xfId="1" applyNumberFormat="1" applyFont="1" applyFill="1" applyBorder="1"/>
    <xf numFmtId="164" fontId="3" fillId="0" borderId="0" xfId="0" applyNumberFormat="1" applyFont="1"/>
    <xf numFmtId="0" fontId="48" fillId="29" borderId="0" xfId="0" applyFont="1" applyFill="1" applyBorder="1"/>
    <xf numFmtId="0" fontId="3" fillId="29" borderId="0" xfId="38788" applyFont="1" applyFill="1" applyBorder="1"/>
    <xf numFmtId="0" fontId="2" fillId="0" borderId="10" xfId="0" applyFont="1" applyBorder="1"/>
    <xf numFmtId="0" fontId="2" fillId="0" borderId="10" xfId="0" applyFont="1" applyBorder="1" applyAlignment="1">
      <alignment horizontal="center"/>
    </xf>
    <xf numFmtId="167" fontId="2" fillId="0" borderId="10" xfId="2" applyNumberFormat="1" applyFont="1" applyBorder="1"/>
    <xf numFmtId="14" fontId="0" fillId="0" borderId="0" xfId="0" applyNumberFormat="1"/>
    <xf numFmtId="0" fontId="0" fillId="0" borderId="0" xfId="0" applyAlignment="1">
      <alignment horizontal="center"/>
    </xf>
    <xf numFmtId="167" fontId="1" fillId="0" borderId="0" xfId="2" applyNumberFormat="1" applyFont="1" applyBorder="1"/>
    <xf numFmtId="167" fontId="0" fillId="0" borderId="0" xfId="2" applyNumberFormat="1" applyFont="1"/>
    <xf numFmtId="164" fontId="0" fillId="0" borderId="0" xfId="1" applyNumberFormat="1" applyFont="1"/>
    <xf numFmtId="164" fontId="3" fillId="0" borderId="19" xfId="1" applyNumberFormat="1" applyFont="1" applyFill="1" applyBorder="1" applyAlignment="1">
      <alignment horizontal="right"/>
    </xf>
    <xf numFmtId="43" fontId="3" fillId="20" borderId="0" xfId="1" applyFont="1" applyFill="1" applyBorder="1"/>
    <xf numFmtId="164" fontId="3" fillId="20" borderId="6" xfId="1" applyNumberFormat="1" applyFont="1" applyFill="1" applyBorder="1"/>
    <xf numFmtId="164" fontId="3" fillId="29" borderId="0" xfId="1" applyNumberFormat="1" applyFont="1" applyFill="1" applyBorder="1"/>
    <xf numFmtId="164" fontId="3" fillId="20" borderId="3" xfId="1" applyNumberFormat="1" applyFont="1" applyFill="1" applyBorder="1"/>
    <xf numFmtId="43" fontId="3" fillId="20" borderId="10" xfId="1" applyFont="1" applyFill="1" applyBorder="1"/>
    <xf numFmtId="164" fontId="3" fillId="20" borderId="43" xfId="1" applyNumberFormat="1" applyFont="1" applyFill="1" applyBorder="1"/>
    <xf numFmtId="43" fontId="3" fillId="20" borderId="0" xfId="1" applyFont="1" applyFill="1" applyBorder="1" applyAlignment="1">
      <alignment horizontal="center"/>
    </xf>
    <xf numFmtId="164" fontId="3" fillId="20" borderId="47" xfId="1" applyNumberFormat="1" applyFont="1" applyFill="1" applyBorder="1"/>
    <xf numFmtId="164" fontId="3" fillId="29" borderId="6" xfId="1" applyNumberFormat="1" applyFont="1" applyFill="1" applyBorder="1"/>
    <xf numFmtId="164" fontId="47" fillId="20" borderId="9" xfId="1" applyNumberFormat="1" applyFont="1" applyFill="1" applyBorder="1"/>
    <xf numFmtId="164" fontId="47" fillId="20" borderId="21" xfId="1" applyNumberFormat="1" applyFont="1" applyFill="1" applyBorder="1"/>
    <xf numFmtId="164" fontId="46" fillId="29" borderId="0" xfId="1" applyNumberFormat="1" applyFont="1" applyFill="1" applyBorder="1"/>
    <xf numFmtId="38" fontId="4" fillId="20" borderId="22" xfId="0" applyNumberFormat="1" applyFont="1" applyFill="1" applyBorder="1" applyAlignment="1">
      <alignment vertical="top"/>
    </xf>
    <xf numFmtId="38" fontId="4" fillId="20" borderId="16" xfId="0" applyNumberFormat="1" applyFont="1" applyFill="1" applyBorder="1" applyAlignment="1">
      <alignment horizontal="left"/>
    </xf>
    <xf numFmtId="0" fontId="4" fillId="20" borderId="0" xfId="38578" applyFont="1" applyFill="1" applyBorder="1"/>
    <xf numFmtId="0" fontId="4" fillId="20" borderId="9" xfId="38578" applyNumberFormat="1" applyFont="1" applyFill="1" applyBorder="1"/>
    <xf numFmtId="0" fontId="4" fillId="20" borderId="0" xfId="38578" applyNumberFormat="1" applyFont="1" applyFill="1" applyBorder="1"/>
    <xf numFmtId="0" fontId="4" fillId="20" borderId="9" xfId="38578" applyNumberFormat="1" applyFont="1" applyFill="1" applyBorder="1" applyAlignment="1">
      <alignment horizontal="center"/>
    </xf>
    <xf numFmtId="0" fontId="4" fillId="20" borderId="0" xfId="38578" applyNumberFormat="1" applyFont="1" applyFill="1" applyBorder="1" applyAlignment="1">
      <alignment horizontal="right"/>
    </xf>
    <xf numFmtId="164" fontId="4" fillId="29" borderId="19" xfId="1" applyNumberFormat="1" applyFont="1" applyFill="1" applyBorder="1" applyAlignment="1">
      <alignment horizontal="right"/>
    </xf>
    <xf numFmtId="0" fontId="3" fillId="20" borderId="67" xfId="38578" applyFont="1" applyFill="1" applyBorder="1" applyAlignment="1">
      <alignment horizontal="center"/>
    </xf>
    <xf numFmtId="0" fontId="3" fillId="20" borderId="5" xfId="38578" applyNumberFormat="1" applyFont="1" applyFill="1" applyBorder="1"/>
    <xf numFmtId="0" fontId="4" fillId="20" borderId="5" xfId="38578" applyFont="1" applyFill="1" applyBorder="1" applyAlignment="1">
      <alignment horizontal="center"/>
    </xf>
    <xf numFmtId="0" fontId="4" fillId="20" borderId="5" xfId="38578" applyFont="1" applyFill="1" applyBorder="1" applyAlignment="1">
      <alignment horizontal="center" wrapText="1"/>
    </xf>
    <xf numFmtId="0" fontId="4" fillId="20" borderId="55" xfId="38578" applyFont="1" applyFill="1" applyBorder="1"/>
    <xf numFmtId="164" fontId="3" fillId="20" borderId="10" xfId="1" applyNumberFormat="1" applyFont="1" applyFill="1" applyBorder="1" applyAlignment="1">
      <alignment horizontal="right"/>
    </xf>
    <xf numFmtId="38" fontId="3" fillId="20" borderId="0" xfId="42319" applyFont="1" applyFill="1"/>
    <xf numFmtId="3" fontId="3" fillId="20" borderId="0" xfId="19386" applyNumberFormat="1" applyFont="1" applyFill="1"/>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7" xfId="0" applyBorder="1" applyAlignment="1">
      <alignment vertical="top" wrapText="1"/>
    </xf>
    <xf numFmtId="0" fontId="0" fillId="0" borderId="18" xfId="0" applyBorder="1" applyAlignment="1">
      <alignment vertical="top" wrapText="1"/>
    </xf>
    <xf numFmtId="0" fontId="2" fillId="20" borderId="15" xfId="0" applyFont="1" applyFill="1" applyBorder="1" applyAlignment="1">
      <alignment horizontal="center"/>
    </xf>
    <xf numFmtId="0" fontId="2" fillId="20" borderId="16" xfId="0" applyFont="1" applyFill="1" applyBorder="1" applyAlignment="1">
      <alignment horizontal="center"/>
    </xf>
    <xf numFmtId="0" fontId="56" fillId="20" borderId="15" xfId="0" applyFont="1" applyFill="1" applyBorder="1" applyAlignment="1">
      <alignment horizontal="center"/>
    </xf>
    <xf numFmtId="0" fontId="56" fillId="20" borderId="16" xfId="0" applyFont="1" applyFill="1" applyBorder="1" applyAlignment="1">
      <alignment horizontal="center"/>
    </xf>
    <xf numFmtId="0" fontId="73" fillId="20" borderId="15" xfId="0" applyFont="1" applyFill="1" applyBorder="1" applyAlignment="1">
      <alignment horizontal="center"/>
    </xf>
    <xf numFmtId="0" fontId="73" fillId="20" borderId="16" xfId="0" applyFont="1" applyFill="1" applyBorder="1" applyAlignment="1">
      <alignment horizontal="center"/>
    </xf>
    <xf numFmtId="0" fontId="66" fillId="20" borderId="15" xfId="0" applyFont="1" applyFill="1" applyBorder="1" applyAlignment="1">
      <alignment horizontal="center"/>
    </xf>
    <xf numFmtId="0" fontId="66" fillId="20" borderId="16" xfId="0" applyFont="1" applyFill="1" applyBorder="1" applyAlignment="1">
      <alignment horizontal="center"/>
    </xf>
    <xf numFmtId="0" fontId="3" fillId="20" borderId="0" xfId="38578" applyFont="1" applyFill="1" applyBorder="1" applyAlignment="1"/>
    <xf numFmtId="0" fontId="3" fillId="20" borderId="16" xfId="38578" applyFont="1" applyFill="1" applyBorder="1" applyAlignment="1"/>
    <xf numFmtId="0" fontId="3" fillId="20" borderId="0" xfId="38578" applyFont="1" applyFill="1" applyBorder="1" applyAlignment="1">
      <alignment wrapText="1"/>
    </xf>
    <xf numFmtId="0" fontId="3" fillId="20" borderId="16" xfId="38578" applyFont="1" applyFill="1" applyBorder="1" applyAlignment="1">
      <alignment wrapText="1"/>
    </xf>
    <xf numFmtId="0" fontId="3" fillId="20" borderId="0" xfId="38578" applyFont="1" applyFill="1" applyBorder="1" applyAlignment="1">
      <alignment horizontal="left"/>
    </xf>
    <xf numFmtId="0" fontId="3" fillId="20" borderId="16" xfId="38578" applyFont="1" applyFill="1" applyBorder="1" applyAlignment="1">
      <alignment horizontal="left"/>
    </xf>
    <xf numFmtId="0" fontId="52" fillId="20" borderId="7" xfId="0" applyFont="1" applyFill="1" applyBorder="1" applyAlignment="1">
      <alignment horizontal="left"/>
    </xf>
    <xf numFmtId="0" fontId="52" fillId="20" borderId="18" xfId="0" applyFont="1" applyFill="1" applyBorder="1" applyAlignment="1">
      <alignment horizontal="left"/>
    </xf>
    <xf numFmtId="0" fontId="52" fillId="20" borderId="0" xfId="0" applyFont="1" applyFill="1" applyBorder="1" applyAlignment="1">
      <alignment horizontal="left"/>
    </xf>
    <xf numFmtId="0" fontId="52" fillId="20" borderId="16" xfId="0" applyFont="1" applyFill="1" applyBorder="1" applyAlignment="1">
      <alignment horizontal="left"/>
    </xf>
    <xf numFmtId="0" fontId="3" fillId="20" borderId="12" xfId="38578" applyFont="1" applyFill="1" applyBorder="1" applyAlignment="1">
      <alignment horizontal="left"/>
    </xf>
    <xf numFmtId="0" fontId="3" fillId="20" borderId="13" xfId="38578" applyFont="1" applyFill="1" applyBorder="1" applyAlignment="1">
      <alignment horizontal="left"/>
    </xf>
    <xf numFmtId="0" fontId="3" fillId="20" borderId="15" xfId="38578" applyFont="1" applyFill="1" applyBorder="1" applyAlignment="1">
      <alignment horizontal="left"/>
    </xf>
    <xf numFmtId="38" fontId="3" fillId="0" borderId="0" xfId="0" applyNumberFormat="1" applyFont="1" applyFill="1" applyBorder="1" applyAlignment="1">
      <alignment wrapText="1"/>
    </xf>
    <xf numFmtId="0" fontId="3" fillId="0" borderId="0" xfId="0" applyFont="1" applyFill="1" applyBorder="1" applyAlignment="1"/>
    <xf numFmtId="38" fontId="3" fillId="0" borderId="0" xfId="0" applyNumberFormat="1" applyFont="1" applyFill="1" applyBorder="1" applyAlignment="1">
      <alignment horizontal="left" vertical="top" wrapText="1"/>
    </xf>
    <xf numFmtId="0" fontId="3" fillId="0" borderId="0" xfId="0" applyFont="1" applyFill="1" applyBorder="1" applyAlignment="1">
      <alignment vertical="top"/>
    </xf>
    <xf numFmtId="0" fontId="58" fillId="20" borderId="46" xfId="0" applyFont="1" applyFill="1" applyBorder="1" applyAlignment="1">
      <alignment horizontal="center"/>
    </xf>
    <xf numFmtId="0" fontId="45" fillId="20" borderId="7" xfId="0" applyFont="1" applyFill="1" applyBorder="1" applyAlignment="1">
      <alignment horizontal="left" vertical="top" wrapText="1"/>
    </xf>
    <xf numFmtId="0" fontId="45" fillId="20" borderId="18" xfId="0" applyFont="1" applyFill="1" applyBorder="1" applyAlignment="1">
      <alignment horizontal="left" vertical="top" wrapText="1"/>
    </xf>
  </cellXfs>
  <cellStyles count="42328">
    <cellStyle name="20% - Accent1 10" xfId="4" xr:uid="{00000000-0005-0000-0000-000000000000}"/>
    <cellStyle name="20% - Accent1 10 2" xfId="5" xr:uid="{00000000-0005-0000-0000-000001000000}"/>
    <cellStyle name="20% - Accent1 10 2 2" xfId="6" xr:uid="{00000000-0005-0000-0000-000002000000}"/>
    <cellStyle name="20% - Accent1 10 2 2 2" xfId="7" xr:uid="{00000000-0005-0000-0000-000003000000}"/>
    <cellStyle name="20% - Accent1 10 2 3" xfId="8" xr:uid="{00000000-0005-0000-0000-000004000000}"/>
    <cellStyle name="20% - Accent1 10 2 4" xfId="9" xr:uid="{00000000-0005-0000-0000-000005000000}"/>
    <cellStyle name="20% - Accent1 10 2 5" xfId="10" xr:uid="{00000000-0005-0000-0000-000006000000}"/>
    <cellStyle name="20% - Accent1 10 3" xfId="11" xr:uid="{00000000-0005-0000-0000-000007000000}"/>
    <cellStyle name="20% - Accent1 10 3 2" xfId="12" xr:uid="{00000000-0005-0000-0000-000008000000}"/>
    <cellStyle name="20% - Accent1 10 3 3" xfId="13" xr:uid="{00000000-0005-0000-0000-000009000000}"/>
    <cellStyle name="20% - Accent1 10 3 4" xfId="14" xr:uid="{00000000-0005-0000-0000-00000A000000}"/>
    <cellStyle name="20% - Accent1 10 4" xfId="15" xr:uid="{00000000-0005-0000-0000-00000B000000}"/>
    <cellStyle name="20% - Accent1 10 4 2" xfId="16" xr:uid="{00000000-0005-0000-0000-00000C000000}"/>
    <cellStyle name="20% - Accent1 10 5" xfId="17" xr:uid="{00000000-0005-0000-0000-00000D000000}"/>
    <cellStyle name="20% - Accent1 10 6" xfId="18" xr:uid="{00000000-0005-0000-0000-00000E000000}"/>
    <cellStyle name="20% - Accent1 10 7" xfId="19" xr:uid="{00000000-0005-0000-0000-00000F000000}"/>
    <cellStyle name="20% - Accent1 10 8" xfId="20" xr:uid="{00000000-0005-0000-0000-000010000000}"/>
    <cellStyle name="20% - Accent1 11" xfId="21" xr:uid="{00000000-0005-0000-0000-000011000000}"/>
    <cellStyle name="20% - Accent1 11 2" xfId="22" xr:uid="{00000000-0005-0000-0000-000012000000}"/>
    <cellStyle name="20% - Accent1 11 2 2" xfId="23" xr:uid="{00000000-0005-0000-0000-000013000000}"/>
    <cellStyle name="20% - Accent1 11 2 2 2" xfId="24" xr:uid="{00000000-0005-0000-0000-000014000000}"/>
    <cellStyle name="20% - Accent1 11 2 3" xfId="25" xr:uid="{00000000-0005-0000-0000-000015000000}"/>
    <cellStyle name="20% - Accent1 11 2 4" xfId="26" xr:uid="{00000000-0005-0000-0000-000016000000}"/>
    <cellStyle name="20% - Accent1 11 2 5" xfId="27" xr:uid="{00000000-0005-0000-0000-000017000000}"/>
    <cellStyle name="20% - Accent1 11 3" xfId="28" xr:uid="{00000000-0005-0000-0000-000018000000}"/>
    <cellStyle name="20% - Accent1 11 3 2" xfId="29" xr:uid="{00000000-0005-0000-0000-000019000000}"/>
    <cellStyle name="20% - Accent1 11 3 3" xfId="30" xr:uid="{00000000-0005-0000-0000-00001A000000}"/>
    <cellStyle name="20% - Accent1 11 3 4" xfId="31" xr:uid="{00000000-0005-0000-0000-00001B000000}"/>
    <cellStyle name="20% - Accent1 11 4" xfId="32" xr:uid="{00000000-0005-0000-0000-00001C000000}"/>
    <cellStyle name="20% - Accent1 11 4 2" xfId="33" xr:uid="{00000000-0005-0000-0000-00001D000000}"/>
    <cellStyle name="20% - Accent1 11 5" xfId="34" xr:uid="{00000000-0005-0000-0000-00001E000000}"/>
    <cellStyle name="20% - Accent1 11 6" xfId="35" xr:uid="{00000000-0005-0000-0000-00001F000000}"/>
    <cellStyle name="20% - Accent1 11 7" xfId="36" xr:uid="{00000000-0005-0000-0000-000020000000}"/>
    <cellStyle name="20% - Accent1 11 8" xfId="37" xr:uid="{00000000-0005-0000-0000-000021000000}"/>
    <cellStyle name="20% - Accent1 12" xfId="38" xr:uid="{00000000-0005-0000-0000-000022000000}"/>
    <cellStyle name="20% - Accent1 12 2" xfId="39" xr:uid="{00000000-0005-0000-0000-000023000000}"/>
    <cellStyle name="20% - Accent1 12 2 2" xfId="40" xr:uid="{00000000-0005-0000-0000-000024000000}"/>
    <cellStyle name="20% - Accent1 12 2 2 2" xfId="41" xr:uid="{00000000-0005-0000-0000-000025000000}"/>
    <cellStyle name="20% - Accent1 12 2 3" xfId="42" xr:uid="{00000000-0005-0000-0000-000026000000}"/>
    <cellStyle name="20% - Accent1 12 2 4" xfId="43" xr:uid="{00000000-0005-0000-0000-000027000000}"/>
    <cellStyle name="20% - Accent1 12 2 5" xfId="44" xr:uid="{00000000-0005-0000-0000-000028000000}"/>
    <cellStyle name="20% - Accent1 12 3" xfId="45" xr:uid="{00000000-0005-0000-0000-000029000000}"/>
    <cellStyle name="20% - Accent1 12 3 2" xfId="46" xr:uid="{00000000-0005-0000-0000-00002A000000}"/>
    <cellStyle name="20% - Accent1 12 3 3" xfId="47" xr:uid="{00000000-0005-0000-0000-00002B000000}"/>
    <cellStyle name="20% - Accent1 12 3 4" xfId="48" xr:uid="{00000000-0005-0000-0000-00002C000000}"/>
    <cellStyle name="20% - Accent1 12 4" xfId="49" xr:uid="{00000000-0005-0000-0000-00002D000000}"/>
    <cellStyle name="20% - Accent1 12 4 2" xfId="50" xr:uid="{00000000-0005-0000-0000-00002E000000}"/>
    <cellStyle name="20% - Accent1 12 5" xfId="51" xr:uid="{00000000-0005-0000-0000-00002F000000}"/>
    <cellStyle name="20% - Accent1 12 6" xfId="52" xr:uid="{00000000-0005-0000-0000-000030000000}"/>
    <cellStyle name="20% - Accent1 12 7" xfId="53" xr:uid="{00000000-0005-0000-0000-000031000000}"/>
    <cellStyle name="20% - Accent1 12 8" xfId="54" xr:uid="{00000000-0005-0000-0000-000032000000}"/>
    <cellStyle name="20% - Accent1 13" xfId="55" xr:uid="{00000000-0005-0000-0000-000033000000}"/>
    <cellStyle name="20% - Accent1 13 2" xfId="56" xr:uid="{00000000-0005-0000-0000-000034000000}"/>
    <cellStyle name="20% - Accent1 13 2 2" xfId="57" xr:uid="{00000000-0005-0000-0000-000035000000}"/>
    <cellStyle name="20% - Accent1 13 2 3" xfId="58" xr:uid="{00000000-0005-0000-0000-000036000000}"/>
    <cellStyle name="20% - Accent1 13 2 4" xfId="59" xr:uid="{00000000-0005-0000-0000-000037000000}"/>
    <cellStyle name="20% - Accent1 13 3" xfId="60" xr:uid="{00000000-0005-0000-0000-000038000000}"/>
    <cellStyle name="20% - Accent1 13 3 2" xfId="61" xr:uid="{00000000-0005-0000-0000-000039000000}"/>
    <cellStyle name="20% - Accent1 13 4" xfId="62" xr:uid="{00000000-0005-0000-0000-00003A000000}"/>
    <cellStyle name="20% - Accent1 13 5" xfId="63" xr:uid="{00000000-0005-0000-0000-00003B000000}"/>
    <cellStyle name="20% - Accent1 13 6" xfId="64" xr:uid="{00000000-0005-0000-0000-00003C000000}"/>
    <cellStyle name="20% - Accent1 14" xfId="65" xr:uid="{00000000-0005-0000-0000-00003D000000}"/>
    <cellStyle name="20% - Accent1 14 2" xfId="66" xr:uid="{00000000-0005-0000-0000-00003E000000}"/>
    <cellStyle name="20% - Accent1 14 2 2" xfId="67" xr:uid="{00000000-0005-0000-0000-00003F000000}"/>
    <cellStyle name="20% - Accent1 14 3" xfId="68" xr:uid="{00000000-0005-0000-0000-000040000000}"/>
    <cellStyle name="20% - Accent1 14 4" xfId="69" xr:uid="{00000000-0005-0000-0000-000041000000}"/>
    <cellStyle name="20% - Accent1 14 5" xfId="70" xr:uid="{00000000-0005-0000-0000-000042000000}"/>
    <cellStyle name="20% - Accent1 15" xfId="71" xr:uid="{00000000-0005-0000-0000-000043000000}"/>
    <cellStyle name="20% - Accent1 15 2" xfId="72" xr:uid="{00000000-0005-0000-0000-000044000000}"/>
    <cellStyle name="20% - Accent1 15 2 2" xfId="73" xr:uid="{00000000-0005-0000-0000-000045000000}"/>
    <cellStyle name="20% - Accent1 15 3" xfId="74" xr:uid="{00000000-0005-0000-0000-000046000000}"/>
    <cellStyle name="20% - Accent1 15 4" xfId="75" xr:uid="{00000000-0005-0000-0000-000047000000}"/>
    <cellStyle name="20% - Accent1 15 5" xfId="76" xr:uid="{00000000-0005-0000-0000-000048000000}"/>
    <cellStyle name="20% - Accent1 16" xfId="77" xr:uid="{00000000-0005-0000-0000-000049000000}"/>
    <cellStyle name="20% - Accent1 16 2" xfId="78" xr:uid="{00000000-0005-0000-0000-00004A000000}"/>
    <cellStyle name="20% - Accent1 17" xfId="79" xr:uid="{00000000-0005-0000-0000-00004B000000}"/>
    <cellStyle name="20% - Accent1 18" xfId="80" xr:uid="{00000000-0005-0000-0000-00004C000000}"/>
    <cellStyle name="20% - Accent1 19" xfId="81" xr:uid="{00000000-0005-0000-0000-00004D000000}"/>
    <cellStyle name="20% - Accent1 2" xfId="82" xr:uid="{00000000-0005-0000-0000-00004E000000}"/>
    <cellStyle name="20% - Accent1 2 10" xfId="83" xr:uid="{00000000-0005-0000-0000-00004F000000}"/>
    <cellStyle name="20% - Accent1 2 11" xfId="84" xr:uid="{00000000-0005-0000-0000-000050000000}"/>
    <cellStyle name="20% - Accent1 2 2" xfId="85" xr:uid="{00000000-0005-0000-0000-000051000000}"/>
    <cellStyle name="20% - Accent1 2 2 10" xfId="86" xr:uid="{00000000-0005-0000-0000-000052000000}"/>
    <cellStyle name="20% - Accent1 2 2 2" xfId="87" xr:uid="{00000000-0005-0000-0000-000053000000}"/>
    <cellStyle name="20% - Accent1 2 2 2 2" xfId="88" xr:uid="{00000000-0005-0000-0000-000054000000}"/>
    <cellStyle name="20% - Accent1 2 2 2 2 2" xfId="89" xr:uid="{00000000-0005-0000-0000-000055000000}"/>
    <cellStyle name="20% - Accent1 2 2 2 2 2 2" xfId="90" xr:uid="{00000000-0005-0000-0000-000056000000}"/>
    <cellStyle name="20% - Accent1 2 2 2 2 2 3" xfId="91" xr:uid="{00000000-0005-0000-0000-000057000000}"/>
    <cellStyle name="20% - Accent1 2 2 2 2 3" xfId="92" xr:uid="{00000000-0005-0000-0000-000058000000}"/>
    <cellStyle name="20% - Accent1 2 2 2 2 4" xfId="93" xr:uid="{00000000-0005-0000-0000-000059000000}"/>
    <cellStyle name="20% - Accent1 2 2 2 2 5" xfId="94" xr:uid="{00000000-0005-0000-0000-00005A000000}"/>
    <cellStyle name="20% - Accent1 2 2 2 2 6" xfId="95" xr:uid="{00000000-0005-0000-0000-00005B000000}"/>
    <cellStyle name="20% - Accent1 2 2 2 3" xfId="96" xr:uid="{00000000-0005-0000-0000-00005C000000}"/>
    <cellStyle name="20% - Accent1 2 2 2 3 2" xfId="97" xr:uid="{00000000-0005-0000-0000-00005D000000}"/>
    <cellStyle name="20% - Accent1 2 2 2 3 2 2" xfId="98" xr:uid="{00000000-0005-0000-0000-00005E000000}"/>
    <cellStyle name="20% - Accent1 2 2 2 3 3" xfId="99" xr:uid="{00000000-0005-0000-0000-00005F000000}"/>
    <cellStyle name="20% - Accent1 2 2 2 3 4" xfId="100" xr:uid="{00000000-0005-0000-0000-000060000000}"/>
    <cellStyle name="20% - Accent1 2 2 2 3 5" xfId="101" xr:uid="{00000000-0005-0000-0000-000061000000}"/>
    <cellStyle name="20% - Accent1 2 2 2 4" xfId="102" xr:uid="{00000000-0005-0000-0000-000062000000}"/>
    <cellStyle name="20% - Accent1 2 2 2 4 2" xfId="103" xr:uid="{00000000-0005-0000-0000-000063000000}"/>
    <cellStyle name="20% - Accent1 2 2 2 4 3" xfId="104" xr:uid="{00000000-0005-0000-0000-000064000000}"/>
    <cellStyle name="20% - Accent1 2 2 2 4 4" xfId="105" xr:uid="{00000000-0005-0000-0000-000065000000}"/>
    <cellStyle name="20% - Accent1 2 2 2 5" xfId="106" xr:uid="{00000000-0005-0000-0000-000066000000}"/>
    <cellStyle name="20% - Accent1 2 2 2 5 2" xfId="107" xr:uid="{00000000-0005-0000-0000-000067000000}"/>
    <cellStyle name="20% - Accent1 2 2 2 6" xfId="108" xr:uid="{00000000-0005-0000-0000-000068000000}"/>
    <cellStyle name="20% - Accent1 2 2 2 7" xfId="109" xr:uid="{00000000-0005-0000-0000-000069000000}"/>
    <cellStyle name="20% - Accent1 2 2 2 8" xfId="110" xr:uid="{00000000-0005-0000-0000-00006A000000}"/>
    <cellStyle name="20% - Accent1 2 2 2 9" xfId="111" xr:uid="{00000000-0005-0000-0000-00006B000000}"/>
    <cellStyle name="20% - Accent1 2 2 3" xfId="112" xr:uid="{00000000-0005-0000-0000-00006C000000}"/>
    <cellStyle name="20% - Accent1 2 2 3 2" xfId="113" xr:uid="{00000000-0005-0000-0000-00006D000000}"/>
    <cellStyle name="20% - Accent1 2 2 3 2 2" xfId="114" xr:uid="{00000000-0005-0000-0000-00006E000000}"/>
    <cellStyle name="20% - Accent1 2 2 3 2 3" xfId="115" xr:uid="{00000000-0005-0000-0000-00006F000000}"/>
    <cellStyle name="20% - Accent1 2 2 3 3" xfId="116" xr:uid="{00000000-0005-0000-0000-000070000000}"/>
    <cellStyle name="20% - Accent1 2 2 3 4" xfId="117" xr:uid="{00000000-0005-0000-0000-000071000000}"/>
    <cellStyle name="20% - Accent1 2 2 3 5" xfId="118" xr:uid="{00000000-0005-0000-0000-000072000000}"/>
    <cellStyle name="20% - Accent1 2 2 3 6" xfId="119" xr:uid="{00000000-0005-0000-0000-000073000000}"/>
    <cellStyle name="20% - Accent1 2 2 4" xfId="120" xr:uid="{00000000-0005-0000-0000-000074000000}"/>
    <cellStyle name="20% - Accent1 2 2 4 2" xfId="121" xr:uid="{00000000-0005-0000-0000-000075000000}"/>
    <cellStyle name="20% - Accent1 2 2 4 2 2" xfId="122" xr:uid="{00000000-0005-0000-0000-000076000000}"/>
    <cellStyle name="20% - Accent1 2 2 4 3" xfId="123" xr:uid="{00000000-0005-0000-0000-000077000000}"/>
    <cellStyle name="20% - Accent1 2 2 4 4" xfId="124" xr:uid="{00000000-0005-0000-0000-000078000000}"/>
    <cellStyle name="20% - Accent1 2 2 4 5" xfId="125" xr:uid="{00000000-0005-0000-0000-000079000000}"/>
    <cellStyle name="20% - Accent1 2 2 5" xfId="126" xr:uid="{00000000-0005-0000-0000-00007A000000}"/>
    <cellStyle name="20% - Accent1 2 2 5 2" xfId="127" xr:uid="{00000000-0005-0000-0000-00007B000000}"/>
    <cellStyle name="20% - Accent1 2 2 5 3" xfId="128" xr:uid="{00000000-0005-0000-0000-00007C000000}"/>
    <cellStyle name="20% - Accent1 2 2 5 4" xfId="129" xr:uid="{00000000-0005-0000-0000-00007D000000}"/>
    <cellStyle name="20% - Accent1 2 2 6" xfId="130" xr:uid="{00000000-0005-0000-0000-00007E000000}"/>
    <cellStyle name="20% - Accent1 2 2 6 2" xfId="131" xr:uid="{00000000-0005-0000-0000-00007F000000}"/>
    <cellStyle name="20% - Accent1 2 2 7" xfId="132" xr:uid="{00000000-0005-0000-0000-000080000000}"/>
    <cellStyle name="20% - Accent1 2 2 8" xfId="133" xr:uid="{00000000-0005-0000-0000-000081000000}"/>
    <cellStyle name="20% - Accent1 2 2 9" xfId="134" xr:uid="{00000000-0005-0000-0000-000082000000}"/>
    <cellStyle name="20% - Accent1 2 3" xfId="135" xr:uid="{00000000-0005-0000-0000-000083000000}"/>
    <cellStyle name="20% - Accent1 2 3 2" xfId="136" xr:uid="{00000000-0005-0000-0000-000084000000}"/>
    <cellStyle name="20% - Accent1 2 3 2 2" xfId="137" xr:uid="{00000000-0005-0000-0000-000085000000}"/>
    <cellStyle name="20% - Accent1 2 3 2 2 2" xfId="138" xr:uid="{00000000-0005-0000-0000-000086000000}"/>
    <cellStyle name="20% - Accent1 2 3 2 2 3" xfId="139" xr:uid="{00000000-0005-0000-0000-000087000000}"/>
    <cellStyle name="20% - Accent1 2 3 2 3" xfId="140" xr:uid="{00000000-0005-0000-0000-000088000000}"/>
    <cellStyle name="20% - Accent1 2 3 2 4" xfId="141" xr:uid="{00000000-0005-0000-0000-000089000000}"/>
    <cellStyle name="20% - Accent1 2 3 2 5" xfId="142" xr:uid="{00000000-0005-0000-0000-00008A000000}"/>
    <cellStyle name="20% - Accent1 2 3 2 6" xfId="143" xr:uid="{00000000-0005-0000-0000-00008B000000}"/>
    <cellStyle name="20% - Accent1 2 3 3" xfId="144" xr:uid="{00000000-0005-0000-0000-00008C000000}"/>
    <cellStyle name="20% - Accent1 2 3 3 2" xfId="145" xr:uid="{00000000-0005-0000-0000-00008D000000}"/>
    <cellStyle name="20% - Accent1 2 3 3 2 2" xfId="146" xr:uid="{00000000-0005-0000-0000-00008E000000}"/>
    <cellStyle name="20% - Accent1 2 3 3 3" xfId="147" xr:uid="{00000000-0005-0000-0000-00008F000000}"/>
    <cellStyle name="20% - Accent1 2 3 3 4" xfId="148" xr:uid="{00000000-0005-0000-0000-000090000000}"/>
    <cellStyle name="20% - Accent1 2 3 3 5" xfId="149" xr:uid="{00000000-0005-0000-0000-000091000000}"/>
    <cellStyle name="20% - Accent1 2 3 4" xfId="150" xr:uid="{00000000-0005-0000-0000-000092000000}"/>
    <cellStyle name="20% - Accent1 2 3 4 2" xfId="151" xr:uid="{00000000-0005-0000-0000-000093000000}"/>
    <cellStyle name="20% - Accent1 2 3 4 3" xfId="152" xr:uid="{00000000-0005-0000-0000-000094000000}"/>
    <cellStyle name="20% - Accent1 2 3 4 4" xfId="153" xr:uid="{00000000-0005-0000-0000-000095000000}"/>
    <cellStyle name="20% - Accent1 2 3 5" xfId="154" xr:uid="{00000000-0005-0000-0000-000096000000}"/>
    <cellStyle name="20% - Accent1 2 3 5 2" xfId="155" xr:uid="{00000000-0005-0000-0000-000097000000}"/>
    <cellStyle name="20% - Accent1 2 3 6" xfId="156" xr:uid="{00000000-0005-0000-0000-000098000000}"/>
    <cellStyle name="20% - Accent1 2 3 7" xfId="157" xr:uid="{00000000-0005-0000-0000-000099000000}"/>
    <cellStyle name="20% - Accent1 2 3 8" xfId="158" xr:uid="{00000000-0005-0000-0000-00009A000000}"/>
    <cellStyle name="20% - Accent1 2 3 9" xfId="159" xr:uid="{00000000-0005-0000-0000-00009B000000}"/>
    <cellStyle name="20% - Accent1 2 4" xfId="160" xr:uid="{00000000-0005-0000-0000-00009C000000}"/>
    <cellStyle name="20% - Accent1 2 4 2" xfId="161" xr:uid="{00000000-0005-0000-0000-00009D000000}"/>
    <cellStyle name="20% - Accent1 2 4 2 2" xfId="162" xr:uid="{00000000-0005-0000-0000-00009E000000}"/>
    <cellStyle name="20% - Accent1 2 4 2 3" xfId="163" xr:uid="{00000000-0005-0000-0000-00009F000000}"/>
    <cellStyle name="20% - Accent1 2 4 3" xfId="164" xr:uid="{00000000-0005-0000-0000-0000A0000000}"/>
    <cellStyle name="20% - Accent1 2 4 4" xfId="165" xr:uid="{00000000-0005-0000-0000-0000A1000000}"/>
    <cellStyle name="20% - Accent1 2 4 5" xfId="166" xr:uid="{00000000-0005-0000-0000-0000A2000000}"/>
    <cellStyle name="20% - Accent1 2 4 6" xfId="167" xr:uid="{00000000-0005-0000-0000-0000A3000000}"/>
    <cellStyle name="20% - Accent1 2 5" xfId="168" xr:uid="{00000000-0005-0000-0000-0000A4000000}"/>
    <cellStyle name="20% - Accent1 2 5 2" xfId="169" xr:uid="{00000000-0005-0000-0000-0000A5000000}"/>
    <cellStyle name="20% - Accent1 2 5 2 2" xfId="170" xr:uid="{00000000-0005-0000-0000-0000A6000000}"/>
    <cellStyle name="20% - Accent1 2 5 3" xfId="171" xr:uid="{00000000-0005-0000-0000-0000A7000000}"/>
    <cellStyle name="20% - Accent1 2 5 4" xfId="172" xr:uid="{00000000-0005-0000-0000-0000A8000000}"/>
    <cellStyle name="20% - Accent1 2 5 5" xfId="173" xr:uid="{00000000-0005-0000-0000-0000A9000000}"/>
    <cellStyle name="20% - Accent1 2 6" xfId="174" xr:uid="{00000000-0005-0000-0000-0000AA000000}"/>
    <cellStyle name="20% - Accent1 2 6 2" xfId="175" xr:uid="{00000000-0005-0000-0000-0000AB000000}"/>
    <cellStyle name="20% - Accent1 2 6 2 2" xfId="176" xr:uid="{00000000-0005-0000-0000-0000AC000000}"/>
    <cellStyle name="20% - Accent1 2 6 3" xfId="177" xr:uid="{00000000-0005-0000-0000-0000AD000000}"/>
    <cellStyle name="20% - Accent1 2 6 4" xfId="178" xr:uid="{00000000-0005-0000-0000-0000AE000000}"/>
    <cellStyle name="20% - Accent1 2 6 5" xfId="179" xr:uid="{00000000-0005-0000-0000-0000AF000000}"/>
    <cellStyle name="20% - Accent1 2 7" xfId="180" xr:uid="{00000000-0005-0000-0000-0000B0000000}"/>
    <cellStyle name="20% - Accent1 2 7 2" xfId="181" xr:uid="{00000000-0005-0000-0000-0000B1000000}"/>
    <cellStyle name="20% - Accent1 2 8" xfId="182" xr:uid="{00000000-0005-0000-0000-0000B2000000}"/>
    <cellStyle name="20% - Accent1 2 9" xfId="183" xr:uid="{00000000-0005-0000-0000-0000B3000000}"/>
    <cellStyle name="20% - Accent1 3" xfId="184" xr:uid="{00000000-0005-0000-0000-0000B4000000}"/>
    <cellStyle name="20% - Accent1 3 10" xfId="185" xr:uid="{00000000-0005-0000-0000-0000B5000000}"/>
    <cellStyle name="20% - Accent1 3 2" xfId="186" xr:uid="{00000000-0005-0000-0000-0000B6000000}"/>
    <cellStyle name="20% - Accent1 3 2 2" xfId="187" xr:uid="{00000000-0005-0000-0000-0000B7000000}"/>
    <cellStyle name="20% - Accent1 3 2 2 2" xfId="188" xr:uid="{00000000-0005-0000-0000-0000B8000000}"/>
    <cellStyle name="20% - Accent1 3 2 2 2 2" xfId="189" xr:uid="{00000000-0005-0000-0000-0000B9000000}"/>
    <cellStyle name="20% - Accent1 3 2 2 2 3" xfId="190" xr:uid="{00000000-0005-0000-0000-0000BA000000}"/>
    <cellStyle name="20% - Accent1 3 2 2 3" xfId="191" xr:uid="{00000000-0005-0000-0000-0000BB000000}"/>
    <cellStyle name="20% - Accent1 3 2 2 4" xfId="192" xr:uid="{00000000-0005-0000-0000-0000BC000000}"/>
    <cellStyle name="20% - Accent1 3 2 2 5" xfId="193" xr:uid="{00000000-0005-0000-0000-0000BD000000}"/>
    <cellStyle name="20% - Accent1 3 2 2 6" xfId="194" xr:uid="{00000000-0005-0000-0000-0000BE000000}"/>
    <cellStyle name="20% - Accent1 3 2 3" xfId="195" xr:uid="{00000000-0005-0000-0000-0000BF000000}"/>
    <cellStyle name="20% - Accent1 3 2 3 2" xfId="196" xr:uid="{00000000-0005-0000-0000-0000C0000000}"/>
    <cellStyle name="20% - Accent1 3 2 3 2 2" xfId="197" xr:uid="{00000000-0005-0000-0000-0000C1000000}"/>
    <cellStyle name="20% - Accent1 3 2 3 3" xfId="198" xr:uid="{00000000-0005-0000-0000-0000C2000000}"/>
    <cellStyle name="20% - Accent1 3 2 3 4" xfId="199" xr:uid="{00000000-0005-0000-0000-0000C3000000}"/>
    <cellStyle name="20% - Accent1 3 2 3 5" xfId="200" xr:uid="{00000000-0005-0000-0000-0000C4000000}"/>
    <cellStyle name="20% - Accent1 3 2 4" xfId="201" xr:uid="{00000000-0005-0000-0000-0000C5000000}"/>
    <cellStyle name="20% - Accent1 3 2 4 2" xfId="202" xr:uid="{00000000-0005-0000-0000-0000C6000000}"/>
    <cellStyle name="20% - Accent1 3 2 4 3" xfId="203" xr:uid="{00000000-0005-0000-0000-0000C7000000}"/>
    <cellStyle name="20% - Accent1 3 2 4 4" xfId="204" xr:uid="{00000000-0005-0000-0000-0000C8000000}"/>
    <cellStyle name="20% - Accent1 3 2 5" xfId="205" xr:uid="{00000000-0005-0000-0000-0000C9000000}"/>
    <cellStyle name="20% - Accent1 3 2 5 2" xfId="206" xr:uid="{00000000-0005-0000-0000-0000CA000000}"/>
    <cellStyle name="20% - Accent1 3 2 6" xfId="207" xr:uid="{00000000-0005-0000-0000-0000CB000000}"/>
    <cellStyle name="20% - Accent1 3 2 7" xfId="208" xr:uid="{00000000-0005-0000-0000-0000CC000000}"/>
    <cellStyle name="20% - Accent1 3 2 8" xfId="209" xr:uid="{00000000-0005-0000-0000-0000CD000000}"/>
    <cellStyle name="20% - Accent1 3 2 9" xfId="210" xr:uid="{00000000-0005-0000-0000-0000CE000000}"/>
    <cellStyle name="20% - Accent1 3 3" xfId="211" xr:uid="{00000000-0005-0000-0000-0000CF000000}"/>
    <cellStyle name="20% - Accent1 3 3 2" xfId="212" xr:uid="{00000000-0005-0000-0000-0000D0000000}"/>
    <cellStyle name="20% - Accent1 3 3 2 2" xfId="213" xr:uid="{00000000-0005-0000-0000-0000D1000000}"/>
    <cellStyle name="20% - Accent1 3 3 2 3" xfId="214" xr:uid="{00000000-0005-0000-0000-0000D2000000}"/>
    <cellStyle name="20% - Accent1 3 3 3" xfId="215" xr:uid="{00000000-0005-0000-0000-0000D3000000}"/>
    <cellStyle name="20% - Accent1 3 3 4" xfId="216" xr:uid="{00000000-0005-0000-0000-0000D4000000}"/>
    <cellStyle name="20% - Accent1 3 3 5" xfId="217" xr:uid="{00000000-0005-0000-0000-0000D5000000}"/>
    <cellStyle name="20% - Accent1 3 3 6" xfId="218" xr:uid="{00000000-0005-0000-0000-0000D6000000}"/>
    <cellStyle name="20% - Accent1 3 4" xfId="219" xr:uid="{00000000-0005-0000-0000-0000D7000000}"/>
    <cellStyle name="20% - Accent1 3 4 2" xfId="220" xr:uid="{00000000-0005-0000-0000-0000D8000000}"/>
    <cellStyle name="20% - Accent1 3 4 2 2" xfId="221" xr:uid="{00000000-0005-0000-0000-0000D9000000}"/>
    <cellStyle name="20% - Accent1 3 4 3" xfId="222" xr:uid="{00000000-0005-0000-0000-0000DA000000}"/>
    <cellStyle name="20% - Accent1 3 4 4" xfId="223" xr:uid="{00000000-0005-0000-0000-0000DB000000}"/>
    <cellStyle name="20% - Accent1 3 4 5" xfId="224" xr:uid="{00000000-0005-0000-0000-0000DC000000}"/>
    <cellStyle name="20% - Accent1 3 5" xfId="225" xr:uid="{00000000-0005-0000-0000-0000DD000000}"/>
    <cellStyle name="20% - Accent1 3 5 2" xfId="226" xr:uid="{00000000-0005-0000-0000-0000DE000000}"/>
    <cellStyle name="20% - Accent1 3 5 2 2" xfId="227" xr:uid="{00000000-0005-0000-0000-0000DF000000}"/>
    <cellStyle name="20% - Accent1 3 5 3" xfId="228" xr:uid="{00000000-0005-0000-0000-0000E0000000}"/>
    <cellStyle name="20% - Accent1 3 5 4" xfId="229" xr:uid="{00000000-0005-0000-0000-0000E1000000}"/>
    <cellStyle name="20% - Accent1 3 5 5" xfId="230" xr:uid="{00000000-0005-0000-0000-0000E2000000}"/>
    <cellStyle name="20% - Accent1 3 6" xfId="231" xr:uid="{00000000-0005-0000-0000-0000E3000000}"/>
    <cellStyle name="20% - Accent1 3 6 2" xfId="232" xr:uid="{00000000-0005-0000-0000-0000E4000000}"/>
    <cellStyle name="20% - Accent1 3 7" xfId="233" xr:uid="{00000000-0005-0000-0000-0000E5000000}"/>
    <cellStyle name="20% - Accent1 3 8" xfId="234" xr:uid="{00000000-0005-0000-0000-0000E6000000}"/>
    <cellStyle name="20% - Accent1 3 9" xfId="235" xr:uid="{00000000-0005-0000-0000-0000E7000000}"/>
    <cellStyle name="20% - Accent1 4" xfId="236" xr:uid="{00000000-0005-0000-0000-0000E8000000}"/>
    <cellStyle name="20% - Accent1 4 10" xfId="237" xr:uid="{00000000-0005-0000-0000-0000E9000000}"/>
    <cellStyle name="20% - Accent1 4 2" xfId="238" xr:uid="{00000000-0005-0000-0000-0000EA000000}"/>
    <cellStyle name="20% - Accent1 4 2 2" xfId="239" xr:uid="{00000000-0005-0000-0000-0000EB000000}"/>
    <cellStyle name="20% - Accent1 4 2 2 2" xfId="240" xr:uid="{00000000-0005-0000-0000-0000EC000000}"/>
    <cellStyle name="20% - Accent1 4 2 2 2 2" xfId="241" xr:uid="{00000000-0005-0000-0000-0000ED000000}"/>
    <cellStyle name="20% - Accent1 4 2 2 2 3" xfId="242" xr:uid="{00000000-0005-0000-0000-0000EE000000}"/>
    <cellStyle name="20% - Accent1 4 2 2 3" xfId="243" xr:uid="{00000000-0005-0000-0000-0000EF000000}"/>
    <cellStyle name="20% - Accent1 4 2 2 4" xfId="244" xr:uid="{00000000-0005-0000-0000-0000F0000000}"/>
    <cellStyle name="20% - Accent1 4 2 2 5" xfId="245" xr:uid="{00000000-0005-0000-0000-0000F1000000}"/>
    <cellStyle name="20% - Accent1 4 2 2 6" xfId="246" xr:uid="{00000000-0005-0000-0000-0000F2000000}"/>
    <cellStyle name="20% - Accent1 4 2 3" xfId="247" xr:uid="{00000000-0005-0000-0000-0000F3000000}"/>
    <cellStyle name="20% - Accent1 4 2 3 2" xfId="248" xr:uid="{00000000-0005-0000-0000-0000F4000000}"/>
    <cellStyle name="20% - Accent1 4 2 3 2 2" xfId="249" xr:uid="{00000000-0005-0000-0000-0000F5000000}"/>
    <cellStyle name="20% - Accent1 4 2 3 3" xfId="250" xr:uid="{00000000-0005-0000-0000-0000F6000000}"/>
    <cellStyle name="20% - Accent1 4 2 3 4" xfId="251" xr:uid="{00000000-0005-0000-0000-0000F7000000}"/>
    <cellStyle name="20% - Accent1 4 2 3 5" xfId="252" xr:uid="{00000000-0005-0000-0000-0000F8000000}"/>
    <cellStyle name="20% - Accent1 4 2 4" xfId="253" xr:uid="{00000000-0005-0000-0000-0000F9000000}"/>
    <cellStyle name="20% - Accent1 4 2 4 2" xfId="254" xr:uid="{00000000-0005-0000-0000-0000FA000000}"/>
    <cellStyle name="20% - Accent1 4 2 4 3" xfId="255" xr:uid="{00000000-0005-0000-0000-0000FB000000}"/>
    <cellStyle name="20% - Accent1 4 2 4 4" xfId="256" xr:uid="{00000000-0005-0000-0000-0000FC000000}"/>
    <cellStyle name="20% - Accent1 4 2 5" xfId="257" xr:uid="{00000000-0005-0000-0000-0000FD000000}"/>
    <cellStyle name="20% - Accent1 4 2 5 2" xfId="258" xr:uid="{00000000-0005-0000-0000-0000FE000000}"/>
    <cellStyle name="20% - Accent1 4 2 6" xfId="259" xr:uid="{00000000-0005-0000-0000-0000FF000000}"/>
    <cellStyle name="20% - Accent1 4 2 7" xfId="260" xr:uid="{00000000-0005-0000-0000-000000010000}"/>
    <cellStyle name="20% - Accent1 4 2 8" xfId="261" xr:uid="{00000000-0005-0000-0000-000001010000}"/>
    <cellStyle name="20% - Accent1 4 2 9" xfId="262" xr:uid="{00000000-0005-0000-0000-000002010000}"/>
    <cellStyle name="20% - Accent1 4 3" xfId="263" xr:uid="{00000000-0005-0000-0000-000003010000}"/>
    <cellStyle name="20% - Accent1 4 3 2" xfId="264" xr:uid="{00000000-0005-0000-0000-000004010000}"/>
    <cellStyle name="20% - Accent1 4 3 2 2" xfId="265" xr:uid="{00000000-0005-0000-0000-000005010000}"/>
    <cellStyle name="20% - Accent1 4 3 2 3" xfId="266" xr:uid="{00000000-0005-0000-0000-000006010000}"/>
    <cellStyle name="20% - Accent1 4 3 3" xfId="267" xr:uid="{00000000-0005-0000-0000-000007010000}"/>
    <cellStyle name="20% - Accent1 4 3 4" xfId="268" xr:uid="{00000000-0005-0000-0000-000008010000}"/>
    <cellStyle name="20% - Accent1 4 3 5" xfId="269" xr:uid="{00000000-0005-0000-0000-000009010000}"/>
    <cellStyle name="20% - Accent1 4 3 6" xfId="270" xr:uid="{00000000-0005-0000-0000-00000A010000}"/>
    <cellStyle name="20% - Accent1 4 4" xfId="271" xr:uid="{00000000-0005-0000-0000-00000B010000}"/>
    <cellStyle name="20% - Accent1 4 4 2" xfId="272" xr:uid="{00000000-0005-0000-0000-00000C010000}"/>
    <cellStyle name="20% - Accent1 4 4 2 2" xfId="273" xr:uid="{00000000-0005-0000-0000-00000D010000}"/>
    <cellStyle name="20% - Accent1 4 4 3" xfId="274" xr:uid="{00000000-0005-0000-0000-00000E010000}"/>
    <cellStyle name="20% - Accent1 4 4 4" xfId="275" xr:uid="{00000000-0005-0000-0000-00000F010000}"/>
    <cellStyle name="20% - Accent1 4 4 5" xfId="276" xr:uid="{00000000-0005-0000-0000-000010010000}"/>
    <cellStyle name="20% - Accent1 4 5" xfId="277" xr:uid="{00000000-0005-0000-0000-000011010000}"/>
    <cellStyle name="20% - Accent1 4 5 2" xfId="278" xr:uid="{00000000-0005-0000-0000-000012010000}"/>
    <cellStyle name="20% - Accent1 4 5 2 2" xfId="279" xr:uid="{00000000-0005-0000-0000-000013010000}"/>
    <cellStyle name="20% - Accent1 4 5 3" xfId="280" xr:uid="{00000000-0005-0000-0000-000014010000}"/>
    <cellStyle name="20% - Accent1 4 5 4" xfId="281" xr:uid="{00000000-0005-0000-0000-000015010000}"/>
    <cellStyle name="20% - Accent1 4 5 5" xfId="282" xr:uid="{00000000-0005-0000-0000-000016010000}"/>
    <cellStyle name="20% - Accent1 4 6" xfId="283" xr:uid="{00000000-0005-0000-0000-000017010000}"/>
    <cellStyle name="20% - Accent1 4 6 2" xfId="284" xr:uid="{00000000-0005-0000-0000-000018010000}"/>
    <cellStyle name="20% - Accent1 4 7" xfId="285" xr:uid="{00000000-0005-0000-0000-000019010000}"/>
    <cellStyle name="20% - Accent1 4 8" xfId="286" xr:uid="{00000000-0005-0000-0000-00001A010000}"/>
    <cellStyle name="20% - Accent1 4 9" xfId="287" xr:uid="{00000000-0005-0000-0000-00001B010000}"/>
    <cellStyle name="20% - Accent1 5" xfId="288" xr:uid="{00000000-0005-0000-0000-00001C010000}"/>
    <cellStyle name="20% - Accent1 5 10" xfId="289" xr:uid="{00000000-0005-0000-0000-00001D010000}"/>
    <cellStyle name="20% - Accent1 5 2" xfId="290" xr:uid="{00000000-0005-0000-0000-00001E010000}"/>
    <cellStyle name="20% - Accent1 5 2 2" xfId="291" xr:uid="{00000000-0005-0000-0000-00001F010000}"/>
    <cellStyle name="20% - Accent1 5 2 2 2" xfId="292" xr:uid="{00000000-0005-0000-0000-000020010000}"/>
    <cellStyle name="20% - Accent1 5 2 2 2 2" xfId="293" xr:uid="{00000000-0005-0000-0000-000021010000}"/>
    <cellStyle name="20% - Accent1 5 2 2 2 3" xfId="294" xr:uid="{00000000-0005-0000-0000-000022010000}"/>
    <cellStyle name="20% - Accent1 5 2 2 3" xfId="295" xr:uid="{00000000-0005-0000-0000-000023010000}"/>
    <cellStyle name="20% - Accent1 5 2 2 4" xfId="296" xr:uid="{00000000-0005-0000-0000-000024010000}"/>
    <cellStyle name="20% - Accent1 5 2 2 5" xfId="297" xr:uid="{00000000-0005-0000-0000-000025010000}"/>
    <cellStyle name="20% - Accent1 5 2 2 6" xfId="298" xr:uid="{00000000-0005-0000-0000-000026010000}"/>
    <cellStyle name="20% - Accent1 5 2 3" xfId="299" xr:uid="{00000000-0005-0000-0000-000027010000}"/>
    <cellStyle name="20% - Accent1 5 2 3 2" xfId="300" xr:uid="{00000000-0005-0000-0000-000028010000}"/>
    <cellStyle name="20% - Accent1 5 2 3 2 2" xfId="301" xr:uid="{00000000-0005-0000-0000-000029010000}"/>
    <cellStyle name="20% - Accent1 5 2 3 3" xfId="302" xr:uid="{00000000-0005-0000-0000-00002A010000}"/>
    <cellStyle name="20% - Accent1 5 2 3 4" xfId="303" xr:uid="{00000000-0005-0000-0000-00002B010000}"/>
    <cellStyle name="20% - Accent1 5 2 3 5" xfId="304" xr:uid="{00000000-0005-0000-0000-00002C010000}"/>
    <cellStyle name="20% - Accent1 5 2 4" xfId="305" xr:uid="{00000000-0005-0000-0000-00002D010000}"/>
    <cellStyle name="20% - Accent1 5 2 4 2" xfId="306" xr:uid="{00000000-0005-0000-0000-00002E010000}"/>
    <cellStyle name="20% - Accent1 5 2 4 3" xfId="307" xr:uid="{00000000-0005-0000-0000-00002F010000}"/>
    <cellStyle name="20% - Accent1 5 2 4 4" xfId="308" xr:uid="{00000000-0005-0000-0000-000030010000}"/>
    <cellStyle name="20% - Accent1 5 2 5" xfId="309" xr:uid="{00000000-0005-0000-0000-000031010000}"/>
    <cellStyle name="20% - Accent1 5 2 5 2" xfId="310" xr:uid="{00000000-0005-0000-0000-000032010000}"/>
    <cellStyle name="20% - Accent1 5 2 6" xfId="311" xr:uid="{00000000-0005-0000-0000-000033010000}"/>
    <cellStyle name="20% - Accent1 5 2 7" xfId="312" xr:uid="{00000000-0005-0000-0000-000034010000}"/>
    <cellStyle name="20% - Accent1 5 2 8" xfId="313" xr:uid="{00000000-0005-0000-0000-000035010000}"/>
    <cellStyle name="20% - Accent1 5 2 9" xfId="314" xr:uid="{00000000-0005-0000-0000-000036010000}"/>
    <cellStyle name="20% - Accent1 5 3" xfId="315" xr:uid="{00000000-0005-0000-0000-000037010000}"/>
    <cellStyle name="20% - Accent1 5 3 2" xfId="316" xr:uid="{00000000-0005-0000-0000-000038010000}"/>
    <cellStyle name="20% - Accent1 5 3 2 2" xfId="317" xr:uid="{00000000-0005-0000-0000-000039010000}"/>
    <cellStyle name="20% - Accent1 5 3 2 3" xfId="318" xr:uid="{00000000-0005-0000-0000-00003A010000}"/>
    <cellStyle name="20% - Accent1 5 3 3" xfId="319" xr:uid="{00000000-0005-0000-0000-00003B010000}"/>
    <cellStyle name="20% - Accent1 5 3 4" xfId="320" xr:uid="{00000000-0005-0000-0000-00003C010000}"/>
    <cellStyle name="20% - Accent1 5 3 5" xfId="321" xr:uid="{00000000-0005-0000-0000-00003D010000}"/>
    <cellStyle name="20% - Accent1 5 3 6" xfId="322" xr:uid="{00000000-0005-0000-0000-00003E010000}"/>
    <cellStyle name="20% - Accent1 5 4" xfId="323" xr:uid="{00000000-0005-0000-0000-00003F010000}"/>
    <cellStyle name="20% - Accent1 5 4 2" xfId="324" xr:uid="{00000000-0005-0000-0000-000040010000}"/>
    <cellStyle name="20% - Accent1 5 4 2 2" xfId="325" xr:uid="{00000000-0005-0000-0000-000041010000}"/>
    <cellStyle name="20% - Accent1 5 4 3" xfId="326" xr:uid="{00000000-0005-0000-0000-000042010000}"/>
    <cellStyle name="20% - Accent1 5 4 4" xfId="327" xr:uid="{00000000-0005-0000-0000-000043010000}"/>
    <cellStyle name="20% - Accent1 5 4 5" xfId="328" xr:uid="{00000000-0005-0000-0000-000044010000}"/>
    <cellStyle name="20% - Accent1 5 5" xfId="329" xr:uid="{00000000-0005-0000-0000-000045010000}"/>
    <cellStyle name="20% - Accent1 5 5 2" xfId="330" xr:uid="{00000000-0005-0000-0000-000046010000}"/>
    <cellStyle name="20% - Accent1 5 5 3" xfId="331" xr:uid="{00000000-0005-0000-0000-000047010000}"/>
    <cellStyle name="20% - Accent1 5 5 4" xfId="332" xr:uid="{00000000-0005-0000-0000-000048010000}"/>
    <cellStyle name="20% - Accent1 5 6" xfId="333" xr:uid="{00000000-0005-0000-0000-000049010000}"/>
    <cellStyle name="20% - Accent1 5 6 2" xfId="334" xr:uid="{00000000-0005-0000-0000-00004A010000}"/>
    <cellStyle name="20% - Accent1 5 7" xfId="335" xr:uid="{00000000-0005-0000-0000-00004B010000}"/>
    <cellStyle name="20% - Accent1 5 8" xfId="336" xr:uid="{00000000-0005-0000-0000-00004C010000}"/>
    <cellStyle name="20% - Accent1 5 9" xfId="337" xr:uid="{00000000-0005-0000-0000-00004D010000}"/>
    <cellStyle name="20% - Accent1 6" xfId="338" xr:uid="{00000000-0005-0000-0000-00004E010000}"/>
    <cellStyle name="20% - Accent1 6 10" xfId="339" xr:uid="{00000000-0005-0000-0000-00004F010000}"/>
    <cellStyle name="20% - Accent1 6 2" xfId="340" xr:uid="{00000000-0005-0000-0000-000050010000}"/>
    <cellStyle name="20% - Accent1 6 2 2" xfId="341" xr:uid="{00000000-0005-0000-0000-000051010000}"/>
    <cellStyle name="20% - Accent1 6 2 2 2" xfId="342" xr:uid="{00000000-0005-0000-0000-000052010000}"/>
    <cellStyle name="20% - Accent1 6 2 2 2 2" xfId="343" xr:uid="{00000000-0005-0000-0000-000053010000}"/>
    <cellStyle name="20% - Accent1 6 2 2 2 3" xfId="344" xr:uid="{00000000-0005-0000-0000-000054010000}"/>
    <cellStyle name="20% - Accent1 6 2 2 3" xfId="345" xr:uid="{00000000-0005-0000-0000-000055010000}"/>
    <cellStyle name="20% - Accent1 6 2 2 4" xfId="346" xr:uid="{00000000-0005-0000-0000-000056010000}"/>
    <cellStyle name="20% - Accent1 6 2 2 5" xfId="347" xr:uid="{00000000-0005-0000-0000-000057010000}"/>
    <cellStyle name="20% - Accent1 6 2 2 6" xfId="348" xr:uid="{00000000-0005-0000-0000-000058010000}"/>
    <cellStyle name="20% - Accent1 6 2 3" xfId="349" xr:uid="{00000000-0005-0000-0000-000059010000}"/>
    <cellStyle name="20% - Accent1 6 2 3 2" xfId="350" xr:uid="{00000000-0005-0000-0000-00005A010000}"/>
    <cellStyle name="20% - Accent1 6 2 3 2 2" xfId="351" xr:uid="{00000000-0005-0000-0000-00005B010000}"/>
    <cellStyle name="20% - Accent1 6 2 3 3" xfId="352" xr:uid="{00000000-0005-0000-0000-00005C010000}"/>
    <cellStyle name="20% - Accent1 6 2 3 4" xfId="353" xr:uid="{00000000-0005-0000-0000-00005D010000}"/>
    <cellStyle name="20% - Accent1 6 2 3 5" xfId="354" xr:uid="{00000000-0005-0000-0000-00005E010000}"/>
    <cellStyle name="20% - Accent1 6 2 4" xfId="355" xr:uid="{00000000-0005-0000-0000-00005F010000}"/>
    <cellStyle name="20% - Accent1 6 2 4 2" xfId="356" xr:uid="{00000000-0005-0000-0000-000060010000}"/>
    <cellStyle name="20% - Accent1 6 2 4 3" xfId="357" xr:uid="{00000000-0005-0000-0000-000061010000}"/>
    <cellStyle name="20% - Accent1 6 2 4 4" xfId="358" xr:uid="{00000000-0005-0000-0000-000062010000}"/>
    <cellStyle name="20% - Accent1 6 2 5" xfId="359" xr:uid="{00000000-0005-0000-0000-000063010000}"/>
    <cellStyle name="20% - Accent1 6 2 5 2" xfId="360" xr:uid="{00000000-0005-0000-0000-000064010000}"/>
    <cellStyle name="20% - Accent1 6 2 6" xfId="361" xr:uid="{00000000-0005-0000-0000-000065010000}"/>
    <cellStyle name="20% - Accent1 6 2 7" xfId="362" xr:uid="{00000000-0005-0000-0000-000066010000}"/>
    <cellStyle name="20% - Accent1 6 2 8" xfId="363" xr:uid="{00000000-0005-0000-0000-000067010000}"/>
    <cellStyle name="20% - Accent1 6 2 9" xfId="364" xr:uid="{00000000-0005-0000-0000-000068010000}"/>
    <cellStyle name="20% - Accent1 6 3" xfId="365" xr:uid="{00000000-0005-0000-0000-000069010000}"/>
    <cellStyle name="20% - Accent1 6 3 2" xfId="366" xr:uid="{00000000-0005-0000-0000-00006A010000}"/>
    <cellStyle name="20% - Accent1 6 3 2 2" xfId="367" xr:uid="{00000000-0005-0000-0000-00006B010000}"/>
    <cellStyle name="20% - Accent1 6 3 2 3" xfId="368" xr:uid="{00000000-0005-0000-0000-00006C010000}"/>
    <cellStyle name="20% - Accent1 6 3 3" xfId="369" xr:uid="{00000000-0005-0000-0000-00006D010000}"/>
    <cellStyle name="20% - Accent1 6 3 4" xfId="370" xr:uid="{00000000-0005-0000-0000-00006E010000}"/>
    <cellStyle name="20% - Accent1 6 3 5" xfId="371" xr:uid="{00000000-0005-0000-0000-00006F010000}"/>
    <cellStyle name="20% - Accent1 6 3 6" xfId="372" xr:uid="{00000000-0005-0000-0000-000070010000}"/>
    <cellStyle name="20% - Accent1 6 4" xfId="373" xr:uid="{00000000-0005-0000-0000-000071010000}"/>
    <cellStyle name="20% - Accent1 6 4 2" xfId="374" xr:uid="{00000000-0005-0000-0000-000072010000}"/>
    <cellStyle name="20% - Accent1 6 4 2 2" xfId="375" xr:uid="{00000000-0005-0000-0000-000073010000}"/>
    <cellStyle name="20% - Accent1 6 4 3" xfId="376" xr:uid="{00000000-0005-0000-0000-000074010000}"/>
    <cellStyle name="20% - Accent1 6 4 4" xfId="377" xr:uid="{00000000-0005-0000-0000-000075010000}"/>
    <cellStyle name="20% - Accent1 6 4 5" xfId="378" xr:uid="{00000000-0005-0000-0000-000076010000}"/>
    <cellStyle name="20% - Accent1 6 5" xfId="379" xr:uid="{00000000-0005-0000-0000-000077010000}"/>
    <cellStyle name="20% - Accent1 6 5 2" xfId="380" xr:uid="{00000000-0005-0000-0000-000078010000}"/>
    <cellStyle name="20% - Accent1 6 5 3" xfId="381" xr:uid="{00000000-0005-0000-0000-000079010000}"/>
    <cellStyle name="20% - Accent1 6 5 4" xfId="382" xr:uid="{00000000-0005-0000-0000-00007A010000}"/>
    <cellStyle name="20% - Accent1 6 6" xfId="383" xr:uid="{00000000-0005-0000-0000-00007B010000}"/>
    <cellStyle name="20% - Accent1 6 6 2" xfId="384" xr:uid="{00000000-0005-0000-0000-00007C010000}"/>
    <cellStyle name="20% - Accent1 6 7" xfId="385" xr:uid="{00000000-0005-0000-0000-00007D010000}"/>
    <cellStyle name="20% - Accent1 6 8" xfId="386" xr:uid="{00000000-0005-0000-0000-00007E010000}"/>
    <cellStyle name="20% - Accent1 6 9" xfId="387" xr:uid="{00000000-0005-0000-0000-00007F010000}"/>
    <cellStyle name="20% - Accent1 7" xfId="388" xr:uid="{00000000-0005-0000-0000-000080010000}"/>
    <cellStyle name="20% - Accent1 7 2" xfId="389" xr:uid="{00000000-0005-0000-0000-000081010000}"/>
    <cellStyle name="20% - Accent1 7 2 2" xfId="390" xr:uid="{00000000-0005-0000-0000-000082010000}"/>
    <cellStyle name="20% - Accent1 7 2 2 2" xfId="391" xr:uid="{00000000-0005-0000-0000-000083010000}"/>
    <cellStyle name="20% - Accent1 7 2 2 3" xfId="392" xr:uid="{00000000-0005-0000-0000-000084010000}"/>
    <cellStyle name="20% - Accent1 7 2 3" xfId="393" xr:uid="{00000000-0005-0000-0000-000085010000}"/>
    <cellStyle name="20% - Accent1 7 2 4" xfId="394" xr:uid="{00000000-0005-0000-0000-000086010000}"/>
    <cellStyle name="20% - Accent1 7 2 5" xfId="395" xr:uid="{00000000-0005-0000-0000-000087010000}"/>
    <cellStyle name="20% - Accent1 7 2 6" xfId="396" xr:uid="{00000000-0005-0000-0000-000088010000}"/>
    <cellStyle name="20% - Accent1 7 3" xfId="397" xr:uid="{00000000-0005-0000-0000-000089010000}"/>
    <cellStyle name="20% - Accent1 7 3 2" xfId="398" xr:uid="{00000000-0005-0000-0000-00008A010000}"/>
    <cellStyle name="20% - Accent1 7 3 2 2" xfId="399" xr:uid="{00000000-0005-0000-0000-00008B010000}"/>
    <cellStyle name="20% - Accent1 7 3 3" xfId="400" xr:uid="{00000000-0005-0000-0000-00008C010000}"/>
    <cellStyle name="20% - Accent1 7 3 4" xfId="401" xr:uid="{00000000-0005-0000-0000-00008D010000}"/>
    <cellStyle name="20% - Accent1 7 3 5" xfId="402" xr:uid="{00000000-0005-0000-0000-00008E010000}"/>
    <cellStyle name="20% - Accent1 7 4" xfId="403" xr:uid="{00000000-0005-0000-0000-00008F010000}"/>
    <cellStyle name="20% - Accent1 7 4 2" xfId="404" xr:uid="{00000000-0005-0000-0000-000090010000}"/>
    <cellStyle name="20% - Accent1 7 4 3" xfId="405" xr:uid="{00000000-0005-0000-0000-000091010000}"/>
    <cellStyle name="20% - Accent1 7 4 4" xfId="406" xr:uid="{00000000-0005-0000-0000-000092010000}"/>
    <cellStyle name="20% - Accent1 7 5" xfId="407" xr:uid="{00000000-0005-0000-0000-000093010000}"/>
    <cellStyle name="20% - Accent1 7 5 2" xfId="408" xr:uid="{00000000-0005-0000-0000-000094010000}"/>
    <cellStyle name="20% - Accent1 7 6" xfId="409" xr:uid="{00000000-0005-0000-0000-000095010000}"/>
    <cellStyle name="20% - Accent1 7 7" xfId="410" xr:uid="{00000000-0005-0000-0000-000096010000}"/>
    <cellStyle name="20% - Accent1 7 8" xfId="411" xr:uid="{00000000-0005-0000-0000-000097010000}"/>
    <cellStyle name="20% - Accent1 7 9" xfId="412" xr:uid="{00000000-0005-0000-0000-000098010000}"/>
    <cellStyle name="20% - Accent1 8" xfId="413" xr:uid="{00000000-0005-0000-0000-000099010000}"/>
    <cellStyle name="20% - Accent1 8 2" xfId="414" xr:uid="{00000000-0005-0000-0000-00009A010000}"/>
    <cellStyle name="20% - Accent1 8 2 2" xfId="415" xr:uid="{00000000-0005-0000-0000-00009B010000}"/>
    <cellStyle name="20% - Accent1 8 2 2 2" xfId="416" xr:uid="{00000000-0005-0000-0000-00009C010000}"/>
    <cellStyle name="20% - Accent1 8 2 2 3" xfId="417" xr:uid="{00000000-0005-0000-0000-00009D010000}"/>
    <cellStyle name="20% - Accent1 8 2 3" xfId="418" xr:uid="{00000000-0005-0000-0000-00009E010000}"/>
    <cellStyle name="20% - Accent1 8 2 4" xfId="419" xr:uid="{00000000-0005-0000-0000-00009F010000}"/>
    <cellStyle name="20% - Accent1 8 2 5" xfId="420" xr:uid="{00000000-0005-0000-0000-0000A0010000}"/>
    <cellStyle name="20% - Accent1 8 2 6" xfId="421" xr:uid="{00000000-0005-0000-0000-0000A1010000}"/>
    <cellStyle name="20% - Accent1 8 3" xfId="422" xr:uid="{00000000-0005-0000-0000-0000A2010000}"/>
    <cellStyle name="20% - Accent1 8 3 2" xfId="423" xr:uid="{00000000-0005-0000-0000-0000A3010000}"/>
    <cellStyle name="20% - Accent1 8 3 2 2" xfId="424" xr:uid="{00000000-0005-0000-0000-0000A4010000}"/>
    <cellStyle name="20% - Accent1 8 3 3" xfId="425" xr:uid="{00000000-0005-0000-0000-0000A5010000}"/>
    <cellStyle name="20% - Accent1 8 3 4" xfId="426" xr:uid="{00000000-0005-0000-0000-0000A6010000}"/>
    <cellStyle name="20% - Accent1 8 3 5" xfId="427" xr:uid="{00000000-0005-0000-0000-0000A7010000}"/>
    <cellStyle name="20% - Accent1 8 4" xfId="428" xr:uid="{00000000-0005-0000-0000-0000A8010000}"/>
    <cellStyle name="20% - Accent1 8 4 2" xfId="429" xr:uid="{00000000-0005-0000-0000-0000A9010000}"/>
    <cellStyle name="20% - Accent1 8 4 3" xfId="430" xr:uid="{00000000-0005-0000-0000-0000AA010000}"/>
    <cellStyle name="20% - Accent1 8 4 4" xfId="431" xr:uid="{00000000-0005-0000-0000-0000AB010000}"/>
    <cellStyle name="20% - Accent1 8 5" xfId="432" xr:uid="{00000000-0005-0000-0000-0000AC010000}"/>
    <cellStyle name="20% - Accent1 8 5 2" xfId="433" xr:uid="{00000000-0005-0000-0000-0000AD010000}"/>
    <cellStyle name="20% - Accent1 8 6" xfId="434" xr:uid="{00000000-0005-0000-0000-0000AE010000}"/>
    <cellStyle name="20% - Accent1 8 7" xfId="435" xr:uid="{00000000-0005-0000-0000-0000AF010000}"/>
    <cellStyle name="20% - Accent1 8 8" xfId="436" xr:uid="{00000000-0005-0000-0000-0000B0010000}"/>
    <cellStyle name="20% - Accent1 8 9" xfId="437" xr:uid="{00000000-0005-0000-0000-0000B1010000}"/>
    <cellStyle name="20% - Accent1 9" xfId="438" xr:uid="{00000000-0005-0000-0000-0000B2010000}"/>
    <cellStyle name="20% - Accent1 9 2" xfId="439" xr:uid="{00000000-0005-0000-0000-0000B3010000}"/>
    <cellStyle name="20% - Accent1 9 2 2" xfId="440" xr:uid="{00000000-0005-0000-0000-0000B4010000}"/>
    <cellStyle name="20% - Accent1 9 2 2 2" xfId="441" xr:uid="{00000000-0005-0000-0000-0000B5010000}"/>
    <cellStyle name="20% - Accent1 9 2 3" xfId="442" xr:uid="{00000000-0005-0000-0000-0000B6010000}"/>
    <cellStyle name="20% - Accent1 9 2 4" xfId="443" xr:uid="{00000000-0005-0000-0000-0000B7010000}"/>
    <cellStyle name="20% - Accent1 9 2 5" xfId="444" xr:uid="{00000000-0005-0000-0000-0000B8010000}"/>
    <cellStyle name="20% - Accent1 9 3" xfId="445" xr:uid="{00000000-0005-0000-0000-0000B9010000}"/>
    <cellStyle name="20% - Accent1 9 3 2" xfId="446" xr:uid="{00000000-0005-0000-0000-0000BA010000}"/>
    <cellStyle name="20% - Accent1 9 3 3" xfId="447" xr:uid="{00000000-0005-0000-0000-0000BB010000}"/>
    <cellStyle name="20% - Accent1 9 3 4" xfId="448" xr:uid="{00000000-0005-0000-0000-0000BC010000}"/>
    <cellStyle name="20% - Accent1 9 4" xfId="449" xr:uid="{00000000-0005-0000-0000-0000BD010000}"/>
    <cellStyle name="20% - Accent1 9 4 2" xfId="450" xr:uid="{00000000-0005-0000-0000-0000BE010000}"/>
    <cellStyle name="20% - Accent1 9 5" xfId="451" xr:uid="{00000000-0005-0000-0000-0000BF010000}"/>
    <cellStyle name="20% - Accent1 9 6" xfId="452" xr:uid="{00000000-0005-0000-0000-0000C0010000}"/>
    <cellStyle name="20% - Accent1 9 7" xfId="453" xr:uid="{00000000-0005-0000-0000-0000C1010000}"/>
    <cellStyle name="20% - Accent1 9 8" xfId="454" xr:uid="{00000000-0005-0000-0000-0000C2010000}"/>
    <cellStyle name="20% - Accent2 10" xfId="455" xr:uid="{00000000-0005-0000-0000-0000C3010000}"/>
    <cellStyle name="20% - Accent2 10 2" xfId="456" xr:uid="{00000000-0005-0000-0000-0000C4010000}"/>
    <cellStyle name="20% - Accent2 10 2 2" xfId="457" xr:uid="{00000000-0005-0000-0000-0000C5010000}"/>
    <cellStyle name="20% - Accent2 10 2 2 2" xfId="458" xr:uid="{00000000-0005-0000-0000-0000C6010000}"/>
    <cellStyle name="20% - Accent2 10 2 3" xfId="459" xr:uid="{00000000-0005-0000-0000-0000C7010000}"/>
    <cellStyle name="20% - Accent2 10 2 4" xfId="460" xr:uid="{00000000-0005-0000-0000-0000C8010000}"/>
    <cellStyle name="20% - Accent2 10 2 5" xfId="461" xr:uid="{00000000-0005-0000-0000-0000C9010000}"/>
    <cellStyle name="20% - Accent2 10 3" xfId="462" xr:uid="{00000000-0005-0000-0000-0000CA010000}"/>
    <cellStyle name="20% - Accent2 10 3 2" xfId="463" xr:uid="{00000000-0005-0000-0000-0000CB010000}"/>
    <cellStyle name="20% - Accent2 10 3 3" xfId="464" xr:uid="{00000000-0005-0000-0000-0000CC010000}"/>
    <cellStyle name="20% - Accent2 10 3 4" xfId="465" xr:uid="{00000000-0005-0000-0000-0000CD010000}"/>
    <cellStyle name="20% - Accent2 10 4" xfId="466" xr:uid="{00000000-0005-0000-0000-0000CE010000}"/>
    <cellStyle name="20% - Accent2 10 4 2" xfId="467" xr:uid="{00000000-0005-0000-0000-0000CF010000}"/>
    <cellStyle name="20% - Accent2 10 5" xfId="468" xr:uid="{00000000-0005-0000-0000-0000D0010000}"/>
    <cellStyle name="20% - Accent2 10 6" xfId="469" xr:uid="{00000000-0005-0000-0000-0000D1010000}"/>
    <cellStyle name="20% - Accent2 10 7" xfId="470" xr:uid="{00000000-0005-0000-0000-0000D2010000}"/>
    <cellStyle name="20% - Accent2 10 8" xfId="471" xr:uid="{00000000-0005-0000-0000-0000D3010000}"/>
    <cellStyle name="20% - Accent2 11" xfId="472" xr:uid="{00000000-0005-0000-0000-0000D4010000}"/>
    <cellStyle name="20% - Accent2 11 2" xfId="473" xr:uid="{00000000-0005-0000-0000-0000D5010000}"/>
    <cellStyle name="20% - Accent2 11 2 2" xfId="474" xr:uid="{00000000-0005-0000-0000-0000D6010000}"/>
    <cellStyle name="20% - Accent2 11 2 2 2" xfId="475" xr:uid="{00000000-0005-0000-0000-0000D7010000}"/>
    <cellStyle name="20% - Accent2 11 2 3" xfId="476" xr:uid="{00000000-0005-0000-0000-0000D8010000}"/>
    <cellStyle name="20% - Accent2 11 2 4" xfId="477" xr:uid="{00000000-0005-0000-0000-0000D9010000}"/>
    <cellStyle name="20% - Accent2 11 2 5" xfId="478" xr:uid="{00000000-0005-0000-0000-0000DA010000}"/>
    <cellStyle name="20% - Accent2 11 3" xfId="479" xr:uid="{00000000-0005-0000-0000-0000DB010000}"/>
    <cellStyle name="20% - Accent2 11 3 2" xfId="480" xr:uid="{00000000-0005-0000-0000-0000DC010000}"/>
    <cellStyle name="20% - Accent2 11 3 3" xfId="481" xr:uid="{00000000-0005-0000-0000-0000DD010000}"/>
    <cellStyle name="20% - Accent2 11 3 4" xfId="482" xr:uid="{00000000-0005-0000-0000-0000DE010000}"/>
    <cellStyle name="20% - Accent2 11 4" xfId="483" xr:uid="{00000000-0005-0000-0000-0000DF010000}"/>
    <cellStyle name="20% - Accent2 11 4 2" xfId="484" xr:uid="{00000000-0005-0000-0000-0000E0010000}"/>
    <cellStyle name="20% - Accent2 11 5" xfId="485" xr:uid="{00000000-0005-0000-0000-0000E1010000}"/>
    <cellStyle name="20% - Accent2 11 6" xfId="486" xr:uid="{00000000-0005-0000-0000-0000E2010000}"/>
    <cellStyle name="20% - Accent2 11 7" xfId="487" xr:uid="{00000000-0005-0000-0000-0000E3010000}"/>
    <cellStyle name="20% - Accent2 11 8" xfId="488" xr:uid="{00000000-0005-0000-0000-0000E4010000}"/>
    <cellStyle name="20% - Accent2 12" xfId="489" xr:uid="{00000000-0005-0000-0000-0000E5010000}"/>
    <cellStyle name="20% - Accent2 12 2" xfId="490" xr:uid="{00000000-0005-0000-0000-0000E6010000}"/>
    <cellStyle name="20% - Accent2 12 2 2" xfId="491" xr:uid="{00000000-0005-0000-0000-0000E7010000}"/>
    <cellStyle name="20% - Accent2 12 2 2 2" xfId="492" xr:uid="{00000000-0005-0000-0000-0000E8010000}"/>
    <cellStyle name="20% - Accent2 12 2 3" xfId="493" xr:uid="{00000000-0005-0000-0000-0000E9010000}"/>
    <cellStyle name="20% - Accent2 12 2 4" xfId="494" xr:uid="{00000000-0005-0000-0000-0000EA010000}"/>
    <cellStyle name="20% - Accent2 12 2 5" xfId="495" xr:uid="{00000000-0005-0000-0000-0000EB010000}"/>
    <cellStyle name="20% - Accent2 12 3" xfId="496" xr:uid="{00000000-0005-0000-0000-0000EC010000}"/>
    <cellStyle name="20% - Accent2 12 3 2" xfId="497" xr:uid="{00000000-0005-0000-0000-0000ED010000}"/>
    <cellStyle name="20% - Accent2 12 3 3" xfId="498" xr:uid="{00000000-0005-0000-0000-0000EE010000}"/>
    <cellStyle name="20% - Accent2 12 3 4" xfId="499" xr:uid="{00000000-0005-0000-0000-0000EF010000}"/>
    <cellStyle name="20% - Accent2 12 4" xfId="500" xr:uid="{00000000-0005-0000-0000-0000F0010000}"/>
    <cellStyle name="20% - Accent2 12 4 2" xfId="501" xr:uid="{00000000-0005-0000-0000-0000F1010000}"/>
    <cellStyle name="20% - Accent2 12 5" xfId="502" xr:uid="{00000000-0005-0000-0000-0000F2010000}"/>
    <cellStyle name="20% - Accent2 12 6" xfId="503" xr:uid="{00000000-0005-0000-0000-0000F3010000}"/>
    <cellStyle name="20% - Accent2 12 7" xfId="504" xr:uid="{00000000-0005-0000-0000-0000F4010000}"/>
    <cellStyle name="20% - Accent2 12 8" xfId="505" xr:uid="{00000000-0005-0000-0000-0000F5010000}"/>
    <cellStyle name="20% - Accent2 13" xfId="506" xr:uid="{00000000-0005-0000-0000-0000F6010000}"/>
    <cellStyle name="20% - Accent2 13 2" xfId="507" xr:uid="{00000000-0005-0000-0000-0000F7010000}"/>
    <cellStyle name="20% - Accent2 13 2 2" xfId="508" xr:uid="{00000000-0005-0000-0000-0000F8010000}"/>
    <cellStyle name="20% - Accent2 13 2 3" xfId="509" xr:uid="{00000000-0005-0000-0000-0000F9010000}"/>
    <cellStyle name="20% - Accent2 13 2 4" xfId="510" xr:uid="{00000000-0005-0000-0000-0000FA010000}"/>
    <cellStyle name="20% - Accent2 13 3" xfId="511" xr:uid="{00000000-0005-0000-0000-0000FB010000}"/>
    <cellStyle name="20% - Accent2 13 3 2" xfId="512" xr:uid="{00000000-0005-0000-0000-0000FC010000}"/>
    <cellStyle name="20% - Accent2 13 4" xfId="513" xr:uid="{00000000-0005-0000-0000-0000FD010000}"/>
    <cellStyle name="20% - Accent2 13 5" xfId="514" xr:uid="{00000000-0005-0000-0000-0000FE010000}"/>
    <cellStyle name="20% - Accent2 13 6" xfId="515" xr:uid="{00000000-0005-0000-0000-0000FF010000}"/>
    <cellStyle name="20% - Accent2 14" xfId="516" xr:uid="{00000000-0005-0000-0000-000000020000}"/>
    <cellStyle name="20% - Accent2 14 2" xfId="517" xr:uid="{00000000-0005-0000-0000-000001020000}"/>
    <cellStyle name="20% - Accent2 14 2 2" xfId="518" xr:uid="{00000000-0005-0000-0000-000002020000}"/>
    <cellStyle name="20% - Accent2 14 3" xfId="519" xr:uid="{00000000-0005-0000-0000-000003020000}"/>
    <cellStyle name="20% - Accent2 14 4" xfId="520" xr:uid="{00000000-0005-0000-0000-000004020000}"/>
    <cellStyle name="20% - Accent2 14 5" xfId="521" xr:uid="{00000000-0005-0000-0000-000005020000}"/>
    <cellStyle name="20% - Accent2 15" xfId="522" xr:uid="{00000000-0005-0000-0000-000006020000}"/>
    <cellStyle name="20% - Accent2 15 2" xfId="523" xr:uid="{00000000-0005-0000-0000-000007020000}"/>
    <cellStyle name="20% - Accent2 15 2 2" xfId="524" xr:uid="{00000000-0005-0000-0000-000008020000}"/>
    <cellStyle name="20% - Accent2 15 3" xfId="525" xr:uid="{00000000-0005-0000-0000-000009020000}"/>
    <cellStyle name="20% - Accent2 15 4" xfId="526" xr:uid="{00000000-0005-0000-0000-00000A020000}"/>
    <cellStyle name="20% - Accent2 15 5" xfId="527" xr:uid="{00000000-0005-0000-0000-00000B020000}"/>
    <cellStyle name="20% - Accent2 16" xfId="528" xr:uid="{00000000-0005-0000-0000-00000C020000}"/>
    <cellStyle name="20% - Accent2 16 2" xfId="529" xr:uid="{00000000-0005-0000-0000-00000D020000}"/>
    <cellStyle name="20% - Accent2 17" xfId="530" xr:uid="{00000000-0005-0000-0000-00000E020000}"/>
    <cellStyle name="20% - Accent2 18" xfId="531" xr:uid="{00000000-0005-0000-0000-00000F020000}"/>
    <cellStyle name="20% - Accent2 19" xfId="532" xr:uid="{00000000-0005-0000-0000-000010020000}"/>
    <cellStyle name="20% - Accent2 2" xfId="533" xr:uid="{00000000-0005-0000-0000-000011020000}"/>
    <cellStyle name="20% - Accent2 2 10" xfId="534" xr:uid="{00000000-0005-0000-0000-000012020000}"/>
    <cellStyle name="20% - Accent2 2 11" xfId="535" xr:uid="{00000000-0005-0000-0000-000013020000}"/>
    <cellStyle name="20% - Accent2 2 2" xfId="536" xr:uid="{00000000-0005-0000-0000-000014020000}"/>
    <cellStyle name="20% - Accent2 2 2 10" xfId="537" xr:uid="{00000000-0005-0000-0000-000015020000}"/>
    <cellStyle name="20% - Accent2 2 2 2" xfId="538" xr:uid="{00000000-0005-0000-0000-000016020000}"/>
    <cellStyle name="20% - Accent2 2 2 2 2" xfId="539" xr:uid="{00000000-0005-0000-0000-000017020000}"/>
    <cellStyle name="20% - Accent2 2 2 2 2 2" xfId="540" xr:uid="{00000000-0005-0000-0000-000018020000}"/>
    <cellStyle name="20% - Accent2 2 2 2 2 2 2" xfId="541" xr:uid="{00000000-0005-0000-0000-000019020000}"/>
    <cellStyle name="20% - Accent2 2 2 2 2 2 3" xfId="542" xr:uid="{00000000-0005-0000-0000-00001A020000}"/>
    <cellStyle name="20% - Accent2 2 2 2 2 3" xfId="543" xr:uid="{00000000-0005-0000-0000-00001B020000}"/>
    <cellStyle name="20% - Accent2 2 2 2 2 4" xfId="544" xr:uid="{00000000-0005-0000-0000-00001C020000}"/>
    <cellStyle name="20% - Accent2 2 2 2 2 5" xfId="545" xr:uid="{00000000-0005-0000-0000-00001D020000}"/>
    <cellStyle name="20% - Accent2 2 2 2 2 6" xfId="546" xr:uid="{00000000-0005-0000-0000-00001E020000}"/>
    <cellStyle name="20% - Accent2 2 2 2 3" xfId="547" xr:uid="{00000000-0005-0000-0000-00001F020000}"/>
    <cellStyle name="20% - Accent2 2 2 2 3 2" xfId="548" xr:uid="{00000000-0005-0000-0000-000020020000}"/>
    <cellStyle name="20% - Accent2 2 2 2 3 2 2" xfId="549" xr:uid="{00000000-0005-0000-0000-000021020000}"/>
    <cellStyle name="20% - Accent2 2 2 2 3 3" xfId="550" xr:uid="{00000000-0005-0000-0000-000022020000}"/>
    <cellStyle name="20% - Accent2 2 2 2 3 4" xfId="551" xr:uid="{00000000-0005-0000-0000-000023020000}"/>
    <cellStyle name="20% - Accent2 2 2 2 3 5" xfId="552" xr:uid="{00000000-0005-0000-0000-000024020000}"/>
    <cellStyle name="20% - Accent2 2 2 2 4" xfId="553" xr:uid="{00000000-0005-0000-0000-000025020000}"/>
    <cellStyle name="20% - Accent2 2 2 2 4 2" xfId="554" xr:uid="{00000000-0005-0000-0000-000026020000}"/>
    <cellStyle name="20% - Accent2 2 2 2 4 3" xfId="555" xr:uid="{00000000-0005-0000-0000-000027020000}"/>
    <cellStyle name="20% - Accent2 2 2 2 4 4" xfId="556" xr:uid="{00000000-0005-0000-0000-000028020000}"/>
    <cellStyle name="20% - Accent2 2 2 2 5" xfId="557" xr:uid="{00000000-0005-0000-0000-000029020000}"/>
    <cellStyle name="20% - Accent2 2 2 2 5 2" xfId="558" xr:uid="{00000000-0005-0000-0000-00002A020000}"/>
    <cellStyle name="20% - Accent2 2 2 2 6" xfId="559" xr:uid="{00000000-0005-0000-0000-00002B020000}"/>
    <cellStyle name="20% - Accent2 2 2 2 7" xfId="560" xr:uid="{00000000-0005-0000-0000-00002C020000}"/>
    <cellStyle name="20% - Accent2 2 2 2 8" xfId="561" xr:uid="{00000000-0005-0000-0000-00002D020000}"/>
    <cellStyle name="20% - Accent2 2 2 2 9" xfId="562" xr:uid="{00000000-0005-0000-0000-00002E020000}"/>
    <cellStyle name="20% - Accent2 2 2 3" xfId="563" xr:uid="{00000000-0005-0000-0000-00002F020000}"/>
    <cellStyle name="20% - Accent2 2 2 3 2" xfId="564" xr:uid="{00000000-0005-0000-0000-000030020000}"/>
    <cellStyle name="20% - Accent2 2 2 3 2 2" xfId="565" xr:uid="{00000000-0005-0000-0000-000031020000}"/>
    <cellStyle name="20% - Accent2 2 2 3 2 3" xfId="566" xr:uid="{00000000-0005-0000-0000-000032020000}"/>
    <cellStyle name="20% - Accent2 2 2 3 3" xfId="567" xr:uid="{00000000-0005-0000-0000-000033020000}"/>
    <cellStyle name="20% - Accent2 2 2 3 4" xfId="568" xr:uid="{00000000-0005-0000-0000-000034020000}"/>
    <cellStyle name="20% - Accent2 2 2 3 5" xfId="569" xr:uid="{00000000-0005-0000-0000-000035020000}"/>
    <cellStyle name="20% - Accent2 2 2 3 6" xfId="570" xr:uid="{00000000-0005-0000-0000-000036020000}"/>
    <cellStyle name="20% - Accent2 2 2 4" xfId="571" xr:uid="{00000000-0005-0000-0000-000037020000}"/>
    <cellStyle name="20% - Accent2 2 2 4 2" xfId="572" xr:uid="{00000000-0005-0000-0000-000038020000}"/>
    <cellStyle name="20% - Accent2 2 2 4 2 2" xfId="573" xr:uid="{00000000-0005-0000-0000-000039020000}"/>
    <cellStyle name="20% - Accent2 2 2 4 3" xfId="574" xr:uid="{00000000-0005-0000-0000-00003A020000}"/>
    <cellStyle name="20% - Accent2 2 2 4 4" xfId="575" xr:uid="{00000000-0005-0000-0000-00003B020000}"/>
    <cellStyle name="20% - Accent2 2 2 4 5" xfId="576" xr:uid="{00000000-0005-0000-0000-00003C020000}"/>
    <cellStyle name="20% - Accent2 2 2 5" xfId="577" xr:uid="{00000000-0005-0000-0000-00003D020000}"/>
    <cellStyle name="20% - Accent2 2 2 5 2" xfId="578" xr:uid="{00000000-0005-0000-0000-00003E020000}"/>
    <cellStyle name="20% - Accent2 2 2 5 3" xfId="579" xr:uid="{00000000-0005-0000-0000-00003F020000}"/>
    <cellStyle name="20% - Accent2 2 2 5 4" xfId="580" xr:uid="{00000000-0005-0000-0000-000040020000}"/>
    <cellStyle name="20% - Accent2 2 2 6" xfId="581" xr:uid="{00000000-0005-0000-0000-000041020000}"/>
    <cellStyle name="20% - Accent2 2 2 6 2" xfId="582" xr:uid="{00000000-0005-0000-0000-000042020000}"/>
    <cellStyle name="20% - Accent2 2 2 7" xfId="583" xr:uid="{00000000-0005-0000-0000-000043020000}"/>
    <cellStyle name="20% - Accent2 2 2 8" xfId="584" xr:uid="{00000000-0005-0000-0000-000044020000}"/>
    <cellStyle name="20% - Accent2 2 2 9" xfId="585" xr:uid="{00000000-0005-0000-0000-000045020000}"/>
    <cellStyle name="20% - Accent2 2 3" xfId="586" xr:uid="{00000000-0005-0000-0000-000046020000}"/>
    <cellStyle name="20% - Accent2 2 3 2" xfId="587" xr:uid="{00000000-0005-0000-0000-000047020000}"/>
    <cellStyle name="20% - Accent2 2 3 2 2" xfId="588" xr:uid="{00000000-0005-0000-0000-000048020000}"/>
    <cellStyle name="20% - Accent2 2 3 2 2 2" xfId="589" xr:uid="{00000000-0005-0000-0000-000049020000}"/>
    <cellStyle name="20% - Accent2 2 3 2 2 3" xfId="590" xr:uid="{00000000-0005-0000-0000-00004A020000}"/>
    <cellStyle name="20% - Accent2 2 3 2 3" xfId="591" xr:uid="{00000000-0005-0000-0000-00004B020000}"/>
    <cellStyle name="20% - Accent2 2 3 2 4" xfId="592" xr:uid="{00000000-0005-0000-0000-00004C020000}"/>
    <cellStyle name="20% - Accent2 2 3 2 5" xfId="593" xr:uid="{00000000-0005-0000-0000-00004D020000}"/>
    <cellStyle name="20% - Accent2 2 3 2 6" xfId="594" xr:uid="{00000000-0005-0000-0000-00004E020000}"/>
    <cellStyle name="20% - Accent2 2 3 3" xfId="595" xr:uid="{00000000-0005-0000-0000-00004F020000}"/>
    <cellStyle name="20% - Accent2 2 3 3 2" xfId="596" xr:uid="{00000000-0005-0000-0000-000050020000}"/>
    <cellStyle name="20% - Accent2 2 3 3 2 2" xfId="597" xr:uid="{00000000-0005-0000-0000-000051020000}"/>
    <cellStyle name="20% - Accent2 2 3 3 3" xfId="598" xr:uid="{00000000-0005-0000-0000-000052020000}"/>
    <cellStyle name="20% - Accent2 2 3 3 4" xfId="599" xr:uid="{00000000-0005-0000-0000-000053020000}"/>
    <cellStyle name="20% - Accent2 2 3 3 5" xfId="600" xr:uid="{00000000-0005-0000-0000-000054020000}"/>
    <cellStyle name="20% - Accent2 2 3 4" xfId="601" xr:uid="{00000000-0005-0000-0000-000055020000}"/>
    <cellStyle name="20% - Accent2 2 3 4 2" xfId="602" xr:uid="{00000000-0005-0000-0000-000056020000}"/>
    <cellStyle name="20% - Accent2 2 3 4 3" xfId="603" xr:uid="{00000000-0005-0000-0000-000057020000}"/>
    <cellStyle name="20% - Accent2 2 3 4 4" xfId="604" xr:uid="{00000000-0005-0000-0000-000058020000}"/>
    <cellStyle name="20% - Accent2 2 3 5" xfId="605" xr:uid="{00000000-0005-0000-0000-000059020000}"/>
    <cellStyle name="20% - Accent2 2 3 5 2" xfId="606" xr:uid="{00000000-0005-0000-0000-00005A020000}"/>
    <cellStyle name="20% - Accent2 2 3 6" xfId="607" xr:uid="{00000000-0005-0000-0000-00005B020000}"/>
    <cellStyle name="20% - Accent2 2 3 7" xfId="608" xr:uid="{00000000-0005-0000-0000-00005C020000}"/>
    <cellStyle name="20% - Accent2 2 3 8" xfId="609" xr:uid="{00000000-0005-0000-0000-00005D020000}"/>
    <cellStyle name="20% - Accent2 2 3 9" xfId="610" xr:uid="{00000000-0005-0000-0000-00005E020000}"/>
    <cellStyle name="20% - Accent2 2 4" xfId="611" xr:uid="{00000000-0005-0000-0000-00005F020000}"/>
    <cellStyle name="20% - Accent2 2 4 2" xfId="612" xr:uid="{00000000-0005-0000-0000-000060020000}"/>
    <cellStyle name="20% - Accent2 2 4 2 2" xfId="613" xr:uid="{00000000-0005-0000-0000-000061020000}"/>
    <cellStyle name="20% - Accent2 2 4 2 3" xfId="614" xr:uid="{00000000-0005-0000-0000-000062020000}"/>
    <cellStyle name="20% - Accent2 2 4 3" xfId="615" xr:uid="{00000000-0005-0000-0000-000063020000}"/>
    <cellStyle name="20% - Accent2 2 4 4" xfId="616" xr:uid="{00000000-0005-0000-0000-000064020000}"/>
    <cellStyle name="20% - Accent2 2 4 5" xfId="617" xr:uid="{00000000-0005-0000-0000-000065020000}"/>
    <cellStyle name="20% - Accent2 2 4 6" xfId="618" xr:uid="{00000000-0005-0000-0000-000066020000}"/>
    <cellStyle name="20% - Accent2 2 5" xfId="619" xr:uid="{00000000-0005-0000-0000-000067020000}"/>
    <cellStyle name="20% - Accent2 2 5 2" xfId="620" xr:uid="{00000000-0005-0000-0000-000068020000}"/>
    <cellStyle name="20% - Accent2 2 5 2 2" xfId="621" xr:uid="{00000000-0005-0000-0000-000069020000}"/>
    <cellStyle name="20% - Accent2 2 5 3" xfId="622" xr:uid="{00000000-0005-0000-0000-00006A020000}"/>
    <cellStyle name="20% - Accent2 2 5 4" xfId="623" xr:uid="{00000000-0005-0000-0000-00006B020000}"/>
    <cellStyle name="20% - Accent2 2 5 5" xfId="624" xr:uid="{00000000-0005-0000-0000-00006C020000}"/>
    <cellStyle name="20% - Accent2 2 6" xfId="625" xr:uid="{00000000-0005-0000-0000-00006D020000}"/>
    <cellStyle name="20% - Accent2 2 6 2" xfId="626" xr:uid="{00000000-0005-0000-0000-00006E020000}"/>
    <cellStyle name="20% - Accent2 2 6 2 2" xfId="627" xr:uid="{00000000-0005-0000-0000-00006F020000}"/>
    <cellStyle name="20% - Accent2 2 6 3" xfId="628" xr:uid="{00000000-0005-0000-0000-000070020000}"/>
    <cellStyle name="20% - Accent2 2 6 4" xfId="629" xr:uid="{00000000-0005-0000-0000-000071020000}"/>
    <cellStyle name="20% - Accent2 2 6 5" xfId="630" xr:uid="{00000000-0005-0000-0000-000072020000}"/>
    <cellStyle name="20% - Accent2 2 7" xfId="631" xr:uid="{00000000-0005-0000-0000-000073020000}"/>
    <cellStyle name="20% - Accent2 2 7 2" xfId="632" xr:uid="{00000000-0005-0000-0000-000074020000}"/>
    <cellStyle name="20% - Accent2 2 8" xfId="633" xr:uid="{00000000-0005-0000-0000-000075020000}"/>
    <cellStyle name="20% - Accent2 2 9" xfId="634" xr:uid="{00000000-0005-0000-0000-000076020000}"/>
    <cellStyle name="20% - Accent2 3" xfId="635" xr:uid="{00000000-0005-0000-0000-000077020000}"/>
    <cellStyle name="20% - Accent2 3 10" xfId="636" xr:uid="{00000000-0005-0000-0000-000078020000}"/>
    <cellStyle name="20% - Accent2 3 2" xfId="637" xr:uid="{00000000-0005-0000-0000-000079020000}"/>
    <cellStyle name="20% - Accent2 3 2 2" xfId="638" xr:uid="{00000000-0005-0000-0000-00007A020000}"/>
    <cellStyle name="20% - Accent2 3 2 2 2" xfId="639" xr:uid="{00000000-0005-0000-0000-00007B020000}"/>
    <cellStyle name="20% - Accent2 3 2 2 2 2" xfId="640" xr:uid="{00000000-0005-0000-0000-00007C020000}"/>
    <cellStyle name="20% - Accent2 3 2 2 2 3" xfId="641" xr:uid="{00000000-0005-0000-0000-00007D020000}"/>
    <cellStyle name="20% - Accent2 3 2 2 3" xfId="642" xr:uid="{00000000-0005-0000-0000-00007E020000}"/>
    <cellStyle name="20% - Accent2 3 2 2 4" xfId="643" xr:uid="{00000000-0005-0000-0000-00007F020000}"/>
    <cellStyle name="20% - Accent2 3 2 2 5" xfId="644" xr:uid="{00000000-0005-0000-0000-000080020000}"/>
    <cellStyle name="20% - Accent2 3 2 2 6" xfId="645" xr:uid="{00000000-0005-0000-0000-000081020000}"/>
    <cellStyle name="20% - Accent2 3 2 3" xfId="646" xr:uid="{00000000-0005-0000-0000-000082020000}"/>
    <cellStyle name="20% - Accent2 3 2 3 2" xfId="647" xr:uid="{00000000-0005-0000-0000-000083020000}"/>
    <cellStyle name="20% - Accent2 3 2 3 2 2" xfId="648" xr:uid="{00000000-0005-0000-0000-000084020000}"/>
    <cellStyle name="20% - Accent2 3 2 3 3" xfId="649" xr:uid="{00000000-0005-0000-0000-000085020000}"/>
    <cellStyle name="20% - Accent2 3 2 3 4" xfId="650" xr:uid="{00000000-0005-0000-0000-000086020000}"/>
    <cellStyle name="20% - Accent2 3 2 3 5" xfId="651" xr:uid="{00000000-0005-0000-0000-000087020000}"/>
    <cellStyle name="20% - Accent2 3 2 4" xfId="652" xr:uid="{00000000-0005-0000-0000-000088020000}"/>
    <cellStyle name="20% - Accent2 3 2 4 2" xfId="653" xr:uid="{00000000-0005-0000-0000-000089020000}"/>
    <cellStyle name="20% - Accent2 3 2 4 3" xfId="654" xr:uid="{00000000-0005-0000-0000-00008A020000}"/>
    <cellStyle name="20% - Accent2 3 2 4 4" xfId="655" xr:uid="{00000000-0005-0000-0000-00008B020000}"/>
    <cellStyle name="20% - Accent2 3 2 5" xfId="656" xr:uid="{00000000-0005-0000-0000-00008C020000}"/>
    <cellStyle name="20% - Accent2 3 2 5 2" xfId="657" xr:uid="{00000000-0005-0000-0000-00008D020000}"/>
    <cellStyle name="20% - Accent2 3 2 6" xfId="658" xr:uid="{00000000-0005-0000-0000-00008E020000}"/>
    <cellStyle name="20% - Accent2 3 2 7" xfId="659" xr:uid="{00000000-0005-0000-0000-00008F020000}"/>
    <cellStyle name="20% - Accent2 3 2 8" xfId="660" xr:uid="{00000000-0005-0000-0000-000090020000}"/>
    <cellStyle name="20% - Accent2 3 2 9" xfId="661" xr:uid="{00000000-0005-0000-0000-000091020000}"/>
    <cellStyle name="20% - Accent2 3 3" xfId="662" xr:uid="{00000000-0005-0000-0000-000092020000}"/>
    <cellStyle name="20% - Accent2 3 3 2" xfId="663" xr:uid="{00000000-0005-0000-0000-000093020000}"/>
    <cellStyle name="20% - Accent2 3 3 2 2" xfId="664" xr:uid="{00000000-0005-0000-0000-000094020000}"/>
    <cellStyle name="20% - Accent2 3 3 2 3" xfId="665" xr:uid="{00000000-0005-0000-0000-000095020000}"/>
    <cellStyle name="20% - Accent2 3 3 3" xfId="666" xr:uid="{00000000-0005-0000-0000-000096020000}"/>
    <cellStyle name="20% - Accent2 3 3 4" xfId="667" xr:uid="{00000000-0005-0000-0000-000097020000}"/>
    <cellStyle name="20% - Accent2 3 3 5" xfId="668" xr:uid="{00000000-0005-0000-0000-000098020000}"/>
    <cellStyle name="20% - Accent2 3 3 6" xfId="669" xr:uid="{00000000-0005-0000-0000-000099020000}"/>
    <cellStyle name="20% - Accent2 3 4" xfId="670" xr:uid="{00000000-0005-0000-0000-00009A020000}"/>
    <cellStyle name="20% - Accent2 3 4 2" xfId="671" xr:uid="{00000000-0005-0000-0000-00009B020000}"/>
    <cellStyle name="20% - Accent2 3 4 2 2" xfId="672" xr:uid="{00000000-0005-0000-0000-00009C020000}"/>
    <cellStyle name="20% - Accent2 3 4 3" xfId="673" xr:uid="{00000000-0005-0000-0000-00009D020000}"/>
    <cellStyle name="20% - Accent2 3 4 4" xfId="674" xr:uid="{00000000-0005-0000-0000-00009E020000}"/>
    <cellStyle name="20% - Accent2 3 4 5" xfId="675" xr:uid="{00000000-0005-0000-0000-00009F020000}"/>
    <cellStyle name="20% - Accent2 3 5" xfId="676" xr:uid="{00000000-0005-0000-0000-0000A0020000}"/>
    <cellStyle name="20% - Accent2 3 5 2" xfId="677" xr:uid="{00000000-0005-0000-0000-0000A1020000}"/>
    <cellStyle name="20% - Accent2 3 5 2 2" xfId="678" xr:uid="{00000000-0005-0000-0000-0000A2020000}"/>
    <cellStyle name="20% - Accent2 3 5 3" xfId="679" xr:uid="{00000000-0005-0000-0000-0000A3020000}"/>
    <cellStyle name="20% - Accent2 3 5 4" xfId="680" xr:uid="{00000000-0005-0000-0000-0000A4020000}"/>
    <cellStyle name="20% - Accent2 3 5 5" xfId="681" xr:uid="{00000000-0005-0000-0000-0000A5020000}"/>
    <cellStyle name="20% - Accent2 3 6" xfId="682" xr:uid="{00000000-0005-0000-0000-0000A6020000}"/>
    <cellStyle name="20% - Accent2 3 6 2" xfId="683" xr:uid="{00000000-0005-0000-0000-0000A7020000}"/>
    <cellStyle name="20% - Accent2 3 7" xfId="684" xr:uid="{00000000-0005-0000-0000-0000A8020000}"/>
    <cellStyle name="20% - Accent2 3 8" xfId="685" xr:uid="{00000000-0005-0000-0000-0000A9020000}"/>
    <cellStyle name="20% - Accent2 3 9" xfId="686" xr:uid="{00000000-0005-0000-0000-0000AA020000}"/>
    <cellStyle name="20% - Accent2 4" xfId="687" xr:uid="{00000000-0005-0000-0000-0000AB020000}"/>
    <cellStyle name="20% - Accent2 4 10" xfId="688" xr:uid="{00000000-0005-0000-0000-0000AC020000}"/>
    <cellStyle name="20% - Accent2 4 2" xfId="689" xr:uid="{00000000-0005-0000-0000-0000AD020000}"/>
    <cellStyle name="20% - Accent2 4 2 2" xfId="690" xr:uid="{00000000-0005-0000-0000-0000AE020000}"/>
    <cellStyle name="20% - Accent2 4 2 2 2" xfId="691" xr:uid="{00000000-0005-0000-0000-0000AF020000}"/>
    <cellStyle name="20% - Accent2 4 2 2 2 2" xfId="692" xr:uid="{00000000-0005-0000-0000-0000B0020000}"/>
    <cellStyle name="20% - Accent2 4 2 2 2 3" xfId="693" xr:uid="{00000000-0005-0000-0000-0000B1020000}"/>
    <cellStyle name="20% - Accent2 4 2 2 3" xfId="694" xr:uid="{00000000-0005-0000-0000-0000B2020000}"/>
    <cellStyle name="20% - Accent2 4 2 2 4" xfId="695" xr:uid="{00000000-0005-0000-0000-0000B3020000}"/>
    <cellStyle name="20% - Accent2 4 2 2 5" xfId="696" xr:uid="{00000000-0005-0000-0000-0000B4020000}"/>
    <cellStyle name="20% - Accent2 4 2 2 6" xfId="697" xr:uid="{00000000-0005-0000-0000-0000B5020000}"/>
    <cellStyle name="20% - Accent2 4 2 3" xfId="698" xr:uid="{00000000-0005-0000-0000-0000B6020000}"/>
    <cellStyle name="20% - Accent2 4 2 3 2" xfId="699" xr:uid="{00000000-0005-0000-0000-0000B7020000}"/>
    <cellStyle name="20% - Accent2 4 2 3 2 2" xfId="700" xr:uid="{00000000-0005-0000-0000-0000B8020000}"/>
    <cellStyle name="20% - Accent2 4 2 3 3" xfId="701" xr:uid="{00000000-0005-0000-0000-0000B9020000}"/>
    <cellStyle name="20% - Accent2 4 2 3 4" xfId="702" xr:uid="{00000000-0005-0000-0000-0000BA020000}"/>
    <cellStyle name="20% - Accent2 4 2 3 5" xfId="703" xr:uid="{00000000-0005-0000-0000-0000BB020000}"/>
    <cellStyle name="20% - Accent2 4 2 4" xfId="704" xr:uid="{00000000-0005-0000-0000-0000BC020000}"/>
    <cellStyle name="20% - Accent2 4 2 4 2" xfId="705" xr:uid="{00000000-0005-0000-0000-0000BD020000}"/>
    <cellStyle name="20% - Accent2 4 2 4 3" xfId="706" xr:uid="{00000000-0005-0000-0000-0000BE020000}"/>
    <cellStyle name="20% - Accent2 4 2 4 4" xfId="707" xr:uid="{00000000-0005-0000-0000-0000BF020000}"/>
    <cellStyle name="20% - Accent2 4 2 5" xfId="708" xr:uid="{00000000-0005-0000-0000-0000C0020000}"/>
    <cellStyle name="20% - Accent2 4 2 5 2" xfId="709" xr:uid="{00000000-0005-0000-0000-0000C1020000}"/>
    <cellStyle name="20% - Accent2 4 2 6" xfId="710" xr:uid="{00000000-0005-0000-0000-0000C2020000}"/>
    <cellStyle name="20% - Accent2 4 2 7" xfId="711" xr:uid="{00000000-0005-0000-0000-0000C3020000}"/>
    <cellStyle name="20% - Accent2 4 2 8" xfId="712" xr:uid="{00000000-0005-0000-0000-0000C4020000}"/>
    <cellStyle name="20% - Accent2 4 2 9" xfId="713" xr:uid="{00000000-0005-0000-0000-0000C5020000}"/>
    <cellStyle name="20% - Accent2 4 3" xfId="714" xr:uid="{00000000-0005-0000-0000-0000C6020000}"/>
    <cellStyle name="20% - Accent2 4 3 2" xfId="715" xr:uid="{00000000-0005-0000-0000-0000C7020000}"/>
    <cellStyle name="20% - Accent2 4 3 2 2" xfId="716" xr:uid="{00000000-0005-0000-0000-0000C8020000}"/>
    <cellStyle name="20% - Accent2 4 3 2 3" xfId="717" xr:uid="{00000000-0005-0000-0000-0000C9020000}"/>
    <cellStyle name="20% - Accent2 4 3 3" xfId="718" xr:uid="{00000000-0005-0000-0000-0000CA020000}"/>
    <cellStyle name="20% - Accent2 4 3 4" xfId="719" xr:uid="{00000000-0005-0000-0000-0000CB020000}"/>
    <cellStyle name="20% - Accent2 4 3 5" xfId="720" xr:uid="{00000000-0005-0000-0000-0000CC020000}"/>
    <cellStyle name="20% - Accent2 4 3 6" xfId="721" xr:uid="{00000000-0005-0000-0000-0000CD020000}"/>
    <cellStyle name="20% - Accent2 4 4" xfId="722" xr:uid="{00000000-0005-0000-0000-0000CE020000}"/>
    <cellStyle name="20% - Accent2 4 4 2" xfId="723" xr:uid="{00000000-0005-0000-0000-0000CF020000}"/>
    <cellStyle name="20% - Accent2 4 4 2 2" xfId="724" xr:uid="{00000000-0005-0000-0000-0000D0020000}"/>
    <cellStyle name="20% - Accent2 4 4 3" xfId="725" xr:uid="{00000000-0005-0000-0000-0000D1020000}"/>
    <cellStyle name="20% - Accent2 4 4 4" xfId="726" xr:uid="{00000000-0005-0000-0000-0000D2020000}"/>
    <cellStyle name="20% - Accent2 4 4 5" xfId="727" xr:uid="{00000000-0005-0000-0000-0000D3020000}"/>
    <cellStyle name="20% - Accent2 4 5" xfId="728" xr:uid="{00000000-0005-0000-0000-0000D4020000}"/>
    <cellStyle name="20% - Accent2 4 5 2" xfId="729" xr:uid="{00000000-0005-0000-0000-0000D5020000}"/>
    <cellStyle name="20% - Accent2 4 5 2 2" xfId="730" xr:uid="{00000000-0005-0000-0000-0000D6020000}"/>
    <cellStyle name="20% - Accent2 4 5 3" xfId="731" xr:uid="{00000000-0005-0000-0000-0000D7020000}"/>
    <cellStyle name="20% - Accent2 4 5 4" xfId="732" xr:uid="{00000000-0005-0000-0000-0000D8020000}"/>
    <cellStyle name="20% - Accent2 4 5 5" xfId="733" xr:uid="{00000000-0005-0000-0000-0000D9020000}"/>
    <cellStyle name="20% - Accent2 4 6" xfId="734" xr:uid="{00000000-0005-0000-0000-0000DA020000}"/>
    <cellStyle name="20% - Accent2 4 6 2" xfId="735" xr:uid="{00000000-0005-0000-0000-0000DB020000}"/>
    <cellStyle name="20% - Accent2 4 7" xfId="736" xr:uid="{00000000-0005-0000-0000-0000DC020000}"/>
    <cellStyle name="20% - Accent2 4 8" xfId="737" xr:uid="{00000000-0005-0000-0000-0000DD020000}"/>
    <cellStyle name="20% - Accent2 4 9" xfId="738" xr:uid="{00000000-0005-0000-0000-0000DE020000}"/>
    <cellStyle name="20% - Accent2 5" xfId="739" xr:uid="{00000000-0005-0000-0000-0000DF020000}"/>
    <cellStyle name="20% - Accent2 5 10" xfId="740" xr:uid="{00000000-0005-0000-0000-0000E0020000}"/>
    <cellStyle name="20% - Accent2 5 2" xfId="741" xr:uid="{00000000-0005-0000-0000-0000E1020000}"/>
    <cellStyle name="20% - Accent2 5 2 2" xfId="742" xr:uid="{00000000-0005-0000-0000-0000E2020000}"/>
    <cellStyle name="20% - Accent2 5 2 2 2" xfId="743" xr:uid="{00000000-0005-0000-0000-0000E3020000}"/>
    <cellStyle name="20% - Accent2 5 2 2 2 2" xfId="744" xr:uid="{00000000-0005-0000-0000-0000E4020000}"/>
    <cellStyle name="20% - Accent2 5 2 2 2 3" xfId="745" xr:uid="{00000000-0005-0000-0000-0000E5020000}"/>
    <cellStyle name="20% - Accent2 5 2 2 3" xfId="746" xr:uid="{00000000-0005-0000-0000-0000E6020000}"/>
    <cellStyle name="20% - Accent2 5 2 2 4" xfId="747" xr:uid="{00000000-0005-0000-0000-0000E7020000}"/>
    <cellStyle name="20% - Accent2 5 2 2 5" xfId="748" xr:uid="{00000000-0005-0000-0000-0000E8020000}"/>
    <cellStyle name="20% - Accent2 5 2 2 6" xfId="749" xr:uid="{00000000-0005-0000-0000-0000E9020000}"/>
    <cellStyle name="20% - Accent2 5 2 3" xfId="750" xr:uid="{00000000-0005-0000-0000-0000EA020000}"/>
    <cellStyle name="20% - Accent2 5 2 3 2" xfId="751" xr:uid="{00000000-0005-0000-0000-0000EB020000}"/>
    <cellStyle name="20% - Accent2 5 2 3 2 2" xfId="752" xr:uid="{00000000-0005-0000-0000-0000EC020000}"/>
    <cellStyle name="20% - Accent2 5 2 3 3" xfId="753" xr:uid="{00000000-0005-0000-0000-0000ED020000}"/>
    <cellStyle name="20% - Accent2 5 2 3 4" xfId="754" xr:uid="{00000000-0005-0000-0000-0000EE020000}"/>
    <cellStyle name="20% - Accent2 5 2 3 5" xfId="755" xr:uid="{00000000-0005-0000-0000-0000EF020000}"/>
    <cellStyle name="20% - Accent2 5 2 4" xfId="756" xr:uid="{00000000-0005-0000-0000-0000F0020000}"/>
    <cellStyle name="20% - Accent2 5 2 4 2" xfId="757" xr:uid="{00000000-0005-0000-0000-0000F1020000}"/>
    <cellStyle name="20% - Accent2 5 2 4 3" xfId="758" xr:uid="{00000000-0005-0000-0000-0000F2020000}"/>
    <cellStyle name="20% - Accent2 5 2 4 4" xfId="759" xr:uid="{00000000-0005-0000-0000-0000F3020000}"/>
    <cellStyle name="20% - Accent2 5 2 5" xfId="760" xr:uid="{00000000-0005-0000-0000-0000F4020000}"/>
    <cellStyle name="20% - Accent2 5 2 5 2" xfId="761" xr:uid="{00000000-0005-0000-0000-0000F5020000}"/>
    <cellStyle name="20% - Accent2 5 2 6" xfId="762" xr:uid="{00000000-0005-0000-0000-0000F6020000}"/>
    <cellStyle name="20% - Accent2 5 2 7" xfId="763" xr:uid="{00000000-0005-0000-0000-0000F7020000}"/>
    <cellStyle name="20% - Accent2 5 2 8" xfId="764" xr:uid="{00000000-0005-0000-0000-0000F8020000}"/>
    <cellStyle name="20% - Accent2 5 2 9" xfId="765" xr:uid="{00000000-0005-0000-0000-0000F9020000}"/>
    <cellStyle name="20% - Accent2 5 3" xfId="766" xr:uid="{00000000-0005-0000-0000-0000FA020000}"/>
    <cellStyle name="20% - Accent2 5 3 2" xfId="767" xr:uid="{00000000-0005-0000-0000-0000FB020000}"/>
    <cellStyle name="20% - Accent2 5 3 2 2" xfId="768" xr:uid="{00000000-0005-0000-0000-0000FC020000}"/>
    <cellStyle name="20% - Accent2 5 3 2 3" xfId="769" xr:uid="{00000000-0005-0000-0000-0000FD020000}"/>
    <cellStyle name="20% - Accent2 5 3 3" xfId="770" xr:uid="{00000000-0005-0000-0000-0000FE020000}"/>
    <cellStyle name="20% - Accent2 5 3 4" xfId="771" xr:uid="{00000000-0005-0000-0000-0000FF020000}"/>
    <cellStyle name="20% - Accent2 5 3 5" xfId="772" xr:uid="{00000000-0005-0000-0000-000000030000}"/>
    <cellStyle name="20% - Accent2 5 3 6" xfId="773" xr:uid="{00000000-0005-0000-0000-000001030000}"/>
    <cellStyle name="20% - Accent2 5 4" xfId="774" xr:uid="{00000000-0005-0000-0000-000002030000}"/>
    <cellStyle name="20% - Accent2 5 4 2" xfId="775" xr:uid="{00000000-0005-0000-0000-000003030000}"/>
    <cellStyle name="20% - Accent2 5 4 2 2" xfId="776" xr:uid="{00000000-0005-0000-0000-000004030000}"/>
    <cellStyle name="20% - Accent2 5 4 3" xfId="777" xr:uid="{00000000-0005-0000-0000-000005030000}"/>
    <cellStyle name="20% - Accent2 5 4 4" xfId="778" xr:uid="{00000000-0005-0000-0000-000006030000}"/>
    <cellStyle name="20% - Accent2 5 4 5" xfId="779" xr:uid="{00000000-0005-0000-0000-000007030000}"/>
    <cellStyle name="20% - Accent2 5 5" xfId="780" xr:uid="{00000000-0005-0000-0000-000008030000}"/>
    <cellStyle name="20% - Accent2 5 5 2" xfId="781" xr:uid="{00000000-0005-0000-0000-000009030000}"/>
    <cellStyle name="20% - Accent2 5 5 3" xfId="782" xr:uid="{00000000-0005-0000-0000-00000A030000}"/>
    <cellStyle name="20% - Accent2 5 5 4" xfId="783" xr:uid="{00000000-0005-0000-0000-00000B030000}"/>
    <cellStyle name="20% - Accent2 5 6" xfId="784" xr:uid="{00000000-0005-0000-0000-00000C030000}"/>
    <cellStyle name="20% - Accent2 5 6 2" xfId="785" xr:uid="{00000000-0005-0000-0000-00000D030000}"/>
    <cellStyle name="20% - Accent2 5 7" xfId="786" xr:uid="{00000000-0005-0000-0000-00000E030000}"/>
    <cellStyle name="20% - Accent2 5 8" xfId="787" xr:uid="{00000000-0005-0000-0000-00000F030000}"/>
    <cellStyle name="20% - Accent2 5 9" xfId="788" xr:uid="{00000000-0005-0000-0000-000010030000}"/>
    <cellStyle name="20% - Accent2 6" xfId="789" xr:uid="{00000000-0005-0000-0000-000011030000}"/>
    <cellStyle name="20% - Accent2 6 10" xfId="790" xr:uid="{00000000-0005-0000-0000-000012030000}"/>
    <cellStyle name="20% - Accent2 6 2" xfId="791" xr:uid="{00000000-0005-0000-0000-000013030000}"/>
    <cellStyle name="20% - Accent2 6 2 2" xfId="792" xr:uid="{00000000-0005-0000-0000-000014030000}"/>
    <cellStyle name="20% - Accent2 6 2 2 2" xfId="793" xr:uid="{00000000-0005-0000-0000-000015030000}"/>
    <cellStyle name="20% - Accent2 6 2 2 2 2" xfId="794" xr:uid="{00000000-0005-0000-0000-000016030000}"/>
    <cellStyle name="20% - Accent2 6 2 2 2 3" xfId="795" xr:uid="{00000000-0005-0000-0000-000017030000}"/>
    <cellStyle name="20% - Accent2 6 2 2 3" xfId="796" xr:uid="{00000000-0005-0000-0000-000018030000}"/>
    <cellStyle name="20% - Accent2 6 2 2 4" xfId="797" xr:uid="{00000000-0005-0000-0000-000019030000}"/>
    <cellStyle name="20% - Accent2 6 2 2 5" xfId="798" xr:uid="{00000000-0005-0000-0000-00001A030000}"/>
    <cellStyle name="20% - Accent2 6 2 2 6" xfId="799" xr:uid="{00000000-0005-0000-0000-00001B030000}"/>
    <cellStyle name="20% - Accent2 6 2 3" xfId="800" xr:uid="{00000000-0005-0000-0000-00001C030000}"/>
    <cellStyle name="20% - Accent2 6 2 3 2" xfId="801" xr:uid="{00000000-0005-0000-0000-00001D030000}"/>
    <cellStyle name="20% - Accent2 6 2 3 2 2" xfId="802" xr:uid="{00000000-0005-0000-0000-00001E030000}"/>
    <cellStyle name="20% - Accent2 6 2 3 3" xfId="803" xr:uid="{00000000-0005-0000-0000-00001F030000}"/>
    <cellStyle name="20% - Accent2 6 2 3 4" xfId="804" xr:uid="{00000000-0005-0000-0000-000020030000}"/>
    <cellStyle name="20% - Accent2 6 2 3 5" xfId="805" xr:uid="{00000000-0005-0000-0000-000021030000}"/>
    <cellStyle name="20% - Accent2 6 2 4" xfId="806" xr:uid="{00000000-0005-0000-0000-000022030000}"/>
    <cellStyle name="20% - Accent2 6 2 4 2" xfId="807" xr:uid="{00000000-0005-0000-0000-000023030000}"/>
    <cellStyle name="20% - Accent2 6 2 4 3" xfId="808" xr:uid="{00000000-0005-0000-0000-000024030000}"/>
    <cellStyle name="20% - Accent2 6 2 4 4" xfId="809" xr:uid="{00000000-0005-0000-0000-000025030000}"/>
    <cellStyle name="20% - Accent2 6 2 5" xfId="810" xr:uid="{00000000-0005-0000-0000-000026030000}"/>
    <cellStyle name="20% - Accent2 6 2 5 2" xfId="811" xr:uid="{00000000-0005-0000-0000-000027030000}"/>
    <cellStyle name="20% - Accent2 6 2 6" xfId="812" xr:uid="{00000000-0005-0000-0000-000028030000}"/>
    <cellStyle name="20% - Accent2 6 2 7" xfId="813" xr:uid="{00000000-0005-0000-0000-000029030000}"/>
    <cellStyle name="20% - Accent2 6 2 8" xfId="814" xr:uid="{00000000-0005-0000-0000-00002A030000}"/>
    <cellStyle name="20% - Accent2 6 2 9" xfId="815" xr:uid="{00000000-0005-0000-0000-00002B030000}"/>
    <cellStyle name="20% - Accent2 6 3" xfId="816" xr:uid="{00000000-0005-0000-0000-00002C030000}"/>
    <cellStyle name="20% - Accent2 6 3 2" xfId="817" xr:uid="{00000000-0005-0000-0000-00002D030000}"/>
    <cellStyle name="20% - Accent2 6 3 2 2" xfId="818" xr:uid="{00000000-0005-0000-0000-00002E030000}"/>
    <cellStyle name="20% - Accent2 6 3 2 3" xfId="819" xr:uid="{00000000-0005-0000-0000-00002F030000}"/>
    <cellStyle name="20% - Accent2 6 3 3" xfId="820" xr:uid="{00000000-0005-0000-0000-000030030000}"/>
    <cellStyle name="20% - Accent2 6 3 4" xfId="821" xr:uid="{00000000-0005-0000-0000-000031030000}"/>
    <cellStyle name="20% - Accent2 6 3 5" xfId="822" xr:uid="{00000000-0005-0000-0000-000032030000}"/>
    <cellStyle name="20% - Accent2 6 3 6" xfId="823" xr:uid="{00000000-0005-0000-0000-000033030000}"/>
    <cellStyle name="20% - Accent2 6 4" xfId="824" xr:uid="{00000000-0005-0000-0000-000034030000}"/>
    <cellStyle name="20% - Accent2 6 4 2" xfId="825" xr:uid="{00000000-0005-0000-0000-000035030000}"/>
    <cellStyle name="20% - Accent2 6 4 2 2" xfId="826" xr:uid="{00000000-0005-0000-0000-000036030000}"/>
    <cellStyle name="20% - Accent2 6 4 3" xfId="827" xr:uid="{00000000-0005-0000-0000-000037030000}"/>
    <cellStyle name="20% - Accent2 6 4 4" xfId="828" xr:uid="{00000000-0005-0000-0000-000038030000}"/>
    <cellStyle name="20% - Accent2 6 4 5" xfId="829" xr:uid="{00000000-0005-0000-0000-000039030000}"/>
    <cellStyle name="20% - Accent2 6 5" xfId="830" xr:uid="{00000000-0005-0000-0000-00003A030000}"/>
    <cellStyle name="20% - Accent2 6 5 2" xfId="831" xr:uid="{00000000-0005-0000-0000-00003B030000}"/>
    <cellStyle name="20% - Accent2 6 5 3" xfId="832" xr:uid="{00000000-0005-0000-0000-00003C030000}"/>
    <cellStyle name="20% - Accent2 6 5 4" xfId="833" xr:uid="{00000000-0005-0000-0000-00003D030000}"/>
    <cellStyle name="20% - Accent2 6 6" xfId="834" xr:uid="{00000000-0005-0000-0000-00003E030000}"/>
    <cellStyle name="20% - Accent2 6 6 2" xfId="835" xr:uid="{00000000-0005-0000-0000-00003F030000}"/>
    <cellStyle name="20% - Accent2 6 7" xfId="836" xr:uid="{00000000-0005-0000-0000-000040030000}"/>
    <cellStyle name="20% - Accent2 6 8" xfId="837" xr:uid="{00000000-0005-0000-0000-000041030000}"/>
    <cellStyle name="20% - Accent2 6 9" xfId="838" xr:uid="{00000000-0005-0000-0000-000042030000}"/>
    <cellStyle name="20% - Accent2 7" xfId="839" xr:uid="{00000000-0005-0000-0000-000043030000}"/>
    <cellStyle name="20% - Accent2 7 2" xfId="840" xr:uid="{00000000-0005-0000-0000-000044030000}"/>
    <cellStyle name="20% - Accent2 7 2 2" xfId="841" xr:uid="{00000000-0005-0000-0000-000045030000}"/>
    <cellStyle name="20% - Accent2 7 2 2 2" xfId="842" xr:uid="{00000000-0005-0000-0000-000046030000}"/>
    <cellStyle name="20% - Accent2 7 2 2 3" xfId="843" xr:uid="{00000000-0005-0000-0000-000047030000}"/>
    <cellStyle name="20% - Accent2 7 2 3" xfId="844" xr:uid="{00000000-0005-0000-0000-000048030000}"/>
    <cellStyle name="20% - Accent2 7 2 4" xfId="845" xr:uid="{00000000-0005-0000-0000-000049030000}"/>
    <cellStyle name="20% - Accent2 7 2 5" xfId="846" xr:uid="{00000000-0005-0000-0000-00004A030000}"/>
    <cellStyle name="20% - Accent2 7 2 6" xfId="847" xr:uid="{00000000-0005-0000-0000-00004B030000}"/>
    <cellStyle name="20% - Accent2 7 3" xfId="848" xr:uid="{00000000-0005-0000-0000-00004C030000}"/>
    <cellStyle name="20% - Accent2 7 3 2" xfId="849" xr:uid="{00000000-0005-0000-0000-00004D030000}"/>
    <cellStyle name="20% - Accent2 7 3 2 2" xfId="850" xr:uid="{00000000-0005-0000-0000-00004E030000}"/>
    <cellStyle name="20% - Accent2 7 3 3" xfId="851" xr:uid="{00000000-0005-0000-0000-00004F030000}"/>
    <cellStyle name="20% - Accent2 7 3 4" xfId="852" xr:uid="{00000000-0005-0000-0000-000050030000}"/>
    <cellStyle name="20% - Accent2 7 3 5" xfId="853" xr:uid="{00000000-0005-0000-0000-000051030000}"/>
    <cellStyle name="20% - Accent2 7 4" xfId="854" xr:uid="{00000000-0005-0000-0000-000052030000}"/>
    <cellStyle name="20% - Accent2 7 4 2" xfId="855" xr:uid="{00000000-0005-0000-0000-000053030000}"/>
    <cellStyle name="20% - Accent2 7 4 3" xfId="856" xr:uid="{00000000-0005-0000-0000-000054030000}"/>
    <cellStyle name="20% - Accent2 7 4 4" xfId="857" xr:uid="{00000000-0005-0000-0000-000055030000}"/>
    <cellStyle name="20% - Accent2 7 5" xfId="858" xr:uid="{00000000-0005-0000-0000-000056030000}"/>
    <cellStyle name="20% - Accent2 7 5 2" xfId="859" xr:uid="{00000000-0005-0000-0000-000057030000}"/>
    <cellStyle name="20% - Accent2 7 6" xfId="860" xr:uid="{00000000-0005-0000-0000-000058030000}"/>
    <cellStyle name="20% - Accent2 7 7" xfId="861" xr:uid="{00000000-0005-0000-0000-000059030000}"/>
    <cellStyle name="20% - Accent2 7 8" xfId="862" xr:uid="{00000000-0005-0000-0000-00005A030000}"/>
    <cellStyle name="20% - Accent2 7 9" xfId="863" xr:uid="{00000000-0005-0000-0000-00005B030000}"/>
    <cellStyle name="20% - Accent2 8" xfId="864" xr:uid="{00000000-0005-0000-0000-00005C030000}"/>
    <cellStyle name="20% - Accent2 8 2" xfId="865" xr:uid="{00000000-0005-0000-0000-00005D030000}"/>
    <cellStyle name="20% - Accent2 8 2 2" xfId="866" xr:uid="{00000000-0005-0000-0000-00005E030000}"/>
    <cellStyle name="20% - Accent2 8 2 2 2" xfId="867" xr:uid="{00000000-0005-0000-0000-00005F030000}"/>
    <cellStyle name="20% - Accent2 8 2 2 3" xfId="868" xr:uid="{00000000-0005-0000-0000-000060030000}"/>
    <cellStyle name="20% - Accent2 8 2 3" xfId="869" xr:uid="{00000000-0005-0000-0000-000061030000}"/>
    <cellStyle name="20% - Accent2 8 2 4" xfId="870" xr:uid="{00000000-0005-0000-0000-000062030000}"/>
    <cellStyle name="20% - Accent2 8 2 5" xfId="871" xr:uid="{00000000-0005-0000-0000-000063030000}"/>
    <cellStyle name="20% - Accent2 8 2 6" xfId="872" xr:uid="{00000000-0005-0000-0000-000064030000}"/>
    <cellStyle name="20% - Accent2 8 3" xfId="873" xr:uid="{00000000-0005-0000-0000-000065030000}"/>
    <cellStyle name="20% - Accent2 8 3 2" xfId="874" xr:uid="{00000000-0005-0000-0000-000066030000}"/>
    <cellStyle name="20% - Accent2 8 3 2 2" xfId="875" xr:uid="{00000000-0005-0000-0000-000067030000}"/>
    <cellStyle name="20% - Accent2 8 3 3" xfId="876" xr:uid="{00000000-0005-0000-0000-000068030000}"/>
    <cellStyle name="20% - Accent2 8 3 4" xfId="877" xr:uid="{00000000-0005-0000-0000-000069030000}"/>
    <cellStyle name="20% - Accent2 8 3 5" xfId="878" xr:uid="{00000000-0005-0000-0000-00006A030000}"/>
    <cellStyle name="20% - Accent2 8 4" xfId="879" xr:uid="{00000000-0005-0000-0000-00006B030000}"/>
    <cellStyle name="20% - Accent2 8 4 2" xfId="880" xr:uid="{00000000-0005-0000-0000-00006C030000}"/>
    <cellStyle name="20% - Accent2 8 4 3" xfId="881" xr:uid="{00000000-0005-0000-0000-00006D030000}"/>
    <cellStyle name="20% - Accent2 8 4 4" xfId="882" xr:uid="{00000000-0005-0000-0000-00006E030000}"/>
    <cellStyle name="20% - Accent2 8 5" xfId="883" xr:uid="{00000000-0005-0000-0000-00006F030000}"/>
    <cellStyle name="20% - Accent2 8 5 2" xfId="884" xr:uid="{00000000-0005-0000-0000-000070030000}"/>
    <cellStyle name="20% - Accent2 8 6" xfId="885" xr:uid="{00000000-0005-0000-0000-000071030000}"/>
    <cellStyle name="20% - Accent2 8 7" xfId="886" xr:uid="{00000000-0005-0000-0000-000072030000}"/>
    <cellStyle name="20% - Accent2 8 8" xfId="887" xr:uid="{00000000-0005-0000-0000-000073030000}"/>
    <cellStyle name="20% - Accent2 8 9" xfId="888" xr:uid="{00000000-0005-0000-0000-000074030000}"/>
    <cellStyle name="20% - Accent2 9" xfId="889" xr:uid="{00000000-0005-0000-0000-000075030000}"/>
    <cellStyle name="20% - Accent2 9 2" xfId="890" xr:uid="{00000000-0005-0000-0000-000076030000}"/>
    <cellStyle name="20% - Accent2 9 2 2" xfId="891" xr:uid="{00000000-0005-0000-0000-000077030000}"/>
    <cellStyle name="20% - Accent2 9 2 2 2" xfId="892" xr:uid="{00000000-0005-0000-0000-000078030000}"/>
    <cellStyle name="20% - Accent2 9 2 3" xfId="893" xr:uid="{00000000-0005-0000-0000-000079030000}"/>
    <cellStyle name="20% - Accent2 9 2 4" xfId="894" xr:uid="{00000000-0005-0000-0000-00007A030000}"/>
    <cellStyle name="20% - Accent2 9 2 5" xfId="895" xr:uid="{00000000-0005-0000-0000-00007B030000}"/>
    <cellStyle name="20% - Accent2 9 3" xfId="896" xr:uid="{00000000-0005-0000-0000-00007C030000}"/>
    <cellStyle name="20% - Accent2 9 3 2" xfId="897" xr:uid="{00000000-0005-0000-0000-00007D030000}"/>
    <cellStyle name="20% - Accent2 9 3 3" xfId="898" xr:uid="{00000000-0005-0000-0000-00007E030000}"/>
    <cellStyle name="20% - Accent2 9 3 4" xfId="899" xr:uid="{00000000-0005-0000-0000-00007F030000}"/>
    <cellStyle name="20% - Accent2 9 4" xfId="900" xr:uid="{00000000-0005-0000-0000-000080030000}"/>
    <cellStyle name="20% - Accent2 9 4 2" xfId="901" xr:uid="{00000000-0005-0000-0000-000081030000}"/>
    <cellStyle name="20% - Accent2 9 5" xfId="902" xr:uid="{00000000-0005-0000-0000-000082030000}"/>
    <cellStyle name="20% - Accent2 9 6" xfId="903" xr:uid="{00000000-0005-0000-0000-000083030000}"/>
    <cellStyle name="20% - Accent2 9 7" xfId="904" xr:uid="{00000000-0005-0000-0000-000084030000}"/>
    <cellStyle name="20% - Accent2 9 8" xfId="905" xr:uid="{00000000-0005-0000-0000-000085030000}"/>
    <cellStyle name="20% - Accent3 10" xfId="906" xr:uid="{00000000-0005-0000-0000-000086030000}"/>
    <cellStyle name="20% - Accent3 10 2" xfId="907" xr:uid="{00000000-0005-0000-0000-000087030000}"/>
    <cellStyle name="20% - Accent3 10 2 2" xfId="908" xr:uid="{00000000-0005-0000-0000-000088030000}"/>
    <cellStyle name="20% - Accent3 10 2 2 2" xfId="909" xr:uid="{00000000-0005-0000-0000-000089030000}"/>
    <cellStyle name="20% - Accent3 10 2 3" xfId="910" xr:uid="{00000000-0005-0000-0000-00008A030000}"/>
    <cellStyle name="20% - Accent3 10 2 4" xfId="911" xr:uid="{00000000-0005-0000-0000-00008B030000}"/>
    <cellStyle name="20% - Accent3 10 2 5" xfId="912" xr:uid="{00000000-0005-0000-0000-00008C030000}"/>
    <cellStyle name="20% - Accent3 10 3" xfId="913" xr:uid="{00000000-0005-0000-0000-00008D030000}"/>
    <cellStyle name="20% - Accent3 10 3 2" xfId="914" xr:uid="{00000000-0005-0000-0000-00008E030000}"/>
    <cellStyle name="20% - Accent3 10 3 3" xfId="915" xr:uid="{00000000-0005-0000-0000-00008F030000}"/>
    <cellStyle name="20% - Accent3 10 3 4" xfId="916" xr:uid="{00000000-0005-0000-0000-000090030000}"/>
    <cellStyle name="20% - Accent3 10 4" xfId="917" xr:uid="{00000000-0005-0000-0000-000091030000}"/>
    <cellStyle name="20% - Accent3 10 4 2" xfId="918" xr:uid="{00000000-0005-0000-0000-000092030000}"/>
    <cellStyle name="20% - Accent3 10 5" xfId="919" xr:uid="{00000000-0005-0000-0000-000093030000}"/>
    <cellStyle name="20% - Accent3 10 6" xfId="920" xr:uid="{00000000-0005-0000-0000-000094030000}"/>
    <cellStyle name="20% - Accent3 10 7" xfId="921" xr:uid="{00000000-0005-0000-0000-000095030000}"/>
    <cellStyle name="20% - Accent3 10 8" xfId="922" xr:uid="{00000000-0005-0000-0000-000096030000}"/>
    <cellStyle name="20% - Accent3 11" xfId="923" xr:uid="{00000000-0005-0000-0000-000097030000}"/>
    <cellStyle name="20% - Accent3 11 2" xfId="924" xr:uid="{00000000-0005-0000-0000-000098030000}"/>
    <cellStyle name="20% - Accent3 11 2 2" xfId="925" xr:uid="{00000000-0005-0000-0000-000099030000}"/>
    <cellStyle name="20% - Accent3 11 2 2 2" xfId="926" xr:uid="{00000000-0005-0000-0000-00009A030000}"/>
    <cellStyle name="20% - Accent3 11 2 3" xfId="927" xr:uid="{00000000-0005-0000-0000-00009B030000}"/>
    <cellStyle name="20% - Accent3 11 2 4" xfId="928" xr:uid="{00000000-0005-0000-0000-00009C030000}"/>
    <cellStyle name="20% - Accent3 11 2 5" xfId="929" xr:uid="{00000000-0005-0000-0000-00009D030000}"/>
    <cellStyle name="20% - Accent3 11 3" xfId="930" xr:uid="{00000000-0005-0000-0000-00009E030000}"/>
    <cellStyle name="20% - Accent3 11 3 2" xfId="931" xr:uid="{00000000-0005-0000-0000-00009F030000}"/>
    <cellStyle name="20% - Accent3 11 3 3" xfId="932" xr:uid="{00000000-0005-0000-0000-0000A0030000}"/>
    <cellStyle name="20% - Accent3 11 3 4" xfId="933" xr:uid="{00000000-0005-0000-0000-0000A1030000}"/>
    <cellStyle name="20% - Accent3 11 4" xfId="934" xr:uid="{00000000-0005-0000-0000-0000A2030000}"/>
    <cellStyle name="20% - Accent3 11 4 2" xfId="935" xr:uid="{00000000-0005-0000-0000-0000A3030000}"/>
    <cellStyle name="20% - Accent3 11 5" xfId="936" xr:uid="{00000000-0005-0000-0000-0000A4030000}"/>
    <cellStyle name="20% - Accent3 11 6" xfId="937" xr:uid="{00000000-0005-0000-0000-0000A5030000}"/>
    <cellStyle name="20% - Accent3 11 7" xfId="938" xr:uid="{00000000-0005-0000-0000-0000A6030000}"/>
    <cellStyle name="20% - Accent3 11 8" xfId="939" xr:uid="{00000000-0005-0000-0000-0000A7030000}"/>
    <cellStyle name="20% - Accent3 12" xfId="940" xr:uid="{00000000-0005-0000-0000-0000A8030000}"/>
    <cellStyle name="20% - Accent3 12 2" xfId="941" xr:uid="{00000000-0005-0000-0000-0000A9030000}"/>
    <cellStyle name="20% - Accent3 12 2 2" xfId="942" xr:uid="{00000000-0005-0000-0000-0000AA030000}"/>
    <cellStyle name="20% - Accent3 12 2 2 2" xfId="943" xr:uid="{00000000-0005-0000-0000-0000AB030000}"/>
    <cellStyle name="20% - Accent3 12 2 3" xfId="944" xr:uid="{00000000-0005-0000-0000-0000AC030000}"/>
    <cellStyle name="20% - Accent3 12 2 4" xfId="945" xr:uid="{00000000-0005-0000-0000-0000AD030000}"/>
    <cellStyle name="20% - Accent3 12 2 5" xfId="946" xr:uid="{00000000-0005-0000-0000-0000AE030000}"/>
    <cellStyle name="20% - Accent3 12 3" xfId="947" xr:uid="{00000000-0005-0000-0000-0000AF030000}"/>
    <cellStyle name="20% - Accent3 12 3 2" xfId="948" xr:uid="{00000000-0005-0000-0000-0000B0030000}"/>
    <cellStyle name="20% - Accent3 12 3 3" xfId="949" xr:uid="{00000000-0005-0000-0000-0000B1030000}"/>
    <cellStyle name="20% - Accent3 12 3 4" xfId="950" xr:uid="{00000000-0005-0000-0000-0000B2030000}"/>
    <cellStyle name="20% - Accent3 12 4" xfId="951" xr:uid="{00000000-0005-0000-0000-0000B3030000}"/>
    <cellStyle name="20% - Accent3 12 4 2" xfId="952" xr:uid="{00000000-0005-0000-0000-0000B4030000}"/>
    <cellStyle name="20% - Accent3 12 5" xfId="953" xr:uid="{00000000-0005-0000-0000-0000B5030000}"/>
    <cellStyle name="20% - Accent3 12 6" xfId="954" xr:uid="{00000000-0005-0000-0000-0000B6030000}"/>
    <cellStyle name="20% - Accent3 12 7" xfId="955" xr:uid="{00000000-0005-0000-0000-0000B7030000}"/>
    <cellStyle name="20% - Accent3 12 8" xfId="956" xr:uid="{00000000-0005-0000-0000-0000B8030000}"/>
    <cellStyle name="20% - Accent3 13" xfId="957" xr:uid="{00000000-0005-0000-0000-0000B9030000}"/>
    <cellStyle name="20% - Accent3 13 2" xfId="958" xr:uid="{00000000-0005-0000-0000-0000BA030000}"/>
    <cellStyle name="20% - Accent3 13 2 2" xfId="959" xr:uid="{00000000-0005-0000-0000-0000BB030000}"/>
    <cellStyle name="20% - Accent3 13 2 3" xfId="960" xr:uid="{00000000-0005-0000-0000-0000BC030000}"/>
    <cellStyle name="20% - Accent3 13 2 4" xfId="961" xr:uid="{00000000-0005-0000-0000-0000BD030000}"/>
    <cellStyle name="20% - Accent3 13 3" xfId="962" xr:uid="{00000000-0005-0000-0000-0000BE030000}"/>
    <cellStyle name="20% - Accent3 13 3 2" xfId="963" xr:uid="{00000000-0005-0000-0000-0000BF030000}"/>
    <cellStyle name="20% - Accent3 13 4" xfId="964" xr:uid="{00000000-0005-0000-0000-0000C0030000}"/>
    <cellStyle name="20% - Accent3 13 5" xfId="965" xr:uid="{00000000-0005-0000-0000-0000C1030000}"/>
    <cellStyle name="20% - Accent3 13 6" xfId="966" xr:uid="{00000000-0005-0000-0000-0000C2030000}"/>
    <cellStyle name="20% - Accent3 14" xfId="967" xr:uid="{00000000-0005-0000-0000-0000C3030000}"/>
    <cellStyle name="20% - Accent3 14 2" xfId="968" xr:uid="{00000000-0005-0000-0000-0000C4030000}"/>
    <cellStyle name="20% - Accent3 14 2 2" xfId="969" xr:uid="{00000000-0005-0000-0000-0000C5030000}"/>
    <cellStyle name="20% - Accent3 14 3" xfId="970" xr:uid="{00000000-0005-0000-0000-0000C6030000}"/>
    <cellStyle name="20% - Accent3 14 4" xfId="971" xr:uid="{00000000-0005-0000-0000-0000C7030000}"/>
    <cellStyle name="20% - Accent3 14 5" xfId="972" xr:uid="{00000000-0005-0000-0000-0000C8030000}"/>
    <cellStyle name="20% - Accent3 15" xfId="973" xr:uid="{00000000-0005-0000-0000-0000C9030000}"/>
    <cellStyle name="20% - Accent3 15 2" xfId="974" xr:uid="{00000000-0005-0000-0000-0000CA030000}"/>
    <cellStyle name="20% - Accent3 15 2 2" xfId="975" xr:uid="{00000000-0005-0000-0000-0000CB030000}"/>
    <cellStyle name="20% - Accent3 15 3" xfId="976" xr:uid="{00000000-0005-0000-0000-0000CC030000}"/>
    <cellStyle name="20% - Accent3 15 4" xfId="977" xr:uid="{00000000-0005-0000-0000-0000CD030000}"/>
    <cellStyle name="20% - Accent3 15 5" xfId="978" xr:uid="{00000000-0005-0000-0000-0000CE030000}"/>
    <cellStyle name="20% - Accent3 16" xfId="979" xr:uid="{00000000-0005-0000-0000-0000CF030000}"/>
    <cellStyle name="20% - Accent3 16 2" xfId="980" xr:uid="{00000000-0005-0000-0000-0000D0030000}"/>
    <cellStyle name="20% - Accent3 17" xfId="981" xr:uid="{00000000-0005-0000-0000-0000D1030000}"/>
    <cellStyle name="20% - Accent3 18" xfId="982" xr:uid="{00000000-0005-0000-0000-0000D2030000}"/>
    <cellStyle name="20% - Accent3 19" xfId="983" xr:uid="{00000000-0005-0000-0000-0000D3030000}"/>
    <cellStyle name="20% - Accent3 2" xfId="984" xr:uid="{00000000-0005-0000-0000-0000D4030000}"/>
    <cellStyle name="20% - Accent3 2 10" xfId="985" xr:uid="{00000000-0005-0000-0000-0000D5030000}"/>
    <cellStyle name="20% - Accent3 2 11" xfId="986" xr:uid="{00000000-0005-0000-0000-0000D6030000}"/>
    <cellStyle name="20% - Accent3 2 2" xfId="987" xr:uid="{00000000-0005-0000-0000-0000D7030000}"/>
    <cellStyle name="20% - Accent3 2 2 10" xfId="988" xr:uid="{00000000-0005-0000-0000-0000D8030000}"/>
    <cellStyle name="20% - Accent3 2 2 2" xfId="989" xr:uid="{00000000-0005-0000-0000-0000D9030000}"/>
    <cellStyle name="20% - Accent3 2 2 2 2" xfId="990" xr:uid="{00000000-0005-0000-0000-0000DA030000}"/>
    <cellStyle name="20% - Accent3 2 2 2 2 2" xfId="991" xr:uid="{00000000-0005-0000-0000-0000DB030000}"/>
    <cellStyle name="20% - Accent3 2 2 2 2 2 2" xfId="992" xr:uid="{00000000-0005-0000-0000-0000DC030000}"/>
    <cellStyle name="20% - Accent3 2 2 2 2 2 3" xfId="993" xr:uid="{00000000-0005-0000-0000-0000DD030000}"/>
    <cellStyle name="20% - Accent3 2 2 2 2 3" xfId="994" xr:uid="{00000000-0005-0000-0000-0000DE030000}"/>
    <cellStyle name="20% - Accent3 2 2 2 2 4" xfId="995" xr:uid="{00000000-0005-0000-0000-0000DF030000}"/>
    <cellStyle name="20% - Accent3 2 2 2 2 5" xfId="996" xr:uid="{00000000-0005-0000-0000-0000E0030000}"/>
    <cellStyle name="20% - Accent3 2 2 2 2 6" xfId="997" xr:uid="{00000000-0005-0000-0000-0000E1030000}"/>
    <cellStyle name="20% - Accent3 2 2 2 3" xfId="998" xr:uid="{00000000-0005-0000-0000-0000E2030000}"/>
    <cellStyle name="20% - Accent3 2 2 2 3 2" xfId="999" xr:uid="{00000000-0005-0000-0000-0000E3030000}"/>
    <cellStyle name="20% - Accent3 2 2 2 3 2 2" xfId="1000" xr:uid="{00000000-0005-0000-0000-0000E4030000}"/>
    <cellStyle name="20% - Accent3 2 2 2 3 3" xfId="1001" xr:uid="{00000000-0005-0000-0000-0000E5030000}"/>
    <cellStyle name="20% - Accent3 2 2 2 3 4" xfId="1002" xr:uid="{00000000-0005-0000-0000-0000E6030000}"/>
    <cellStyle name="20% - Accent3 2 2 2 3 5" xfId="1003" xr:uid="{00000000-0005-0000-0000-0000E7030000}"/>
    <cellStyle name="20% - Accent3 2 2 2 4" xfId="1004" xr:uid="{00000000-0005-0000-0000-0000E8030000}"/>
    <cellStyle name="20% - Accent3 2 2 2 4 2" xfId="1005" xr:uid="{00000000-0005-0000-0000-0000E9030000}"/>
    <cellStyle name="20% - Accent3 2 2 2 4 3" xfId="1006" xr:uid="{00000000-0005-0000-0000-0000EA030000}"/>
    <cellStyle name="20% - Accent3 2 2 2 4 4" xfId="1007" xr:uid="{00000000-0005-0000-0000-0000EB030000}"/>
    <cellStyle name="20% - Accent3 2 2 2 5" xfId="1008" xr:uid="{00000000-0005-0000-0000-0000EC030000}"/>
    <cellStyle name="20% - Accent3 2 2 2 5 2" xfId="1009" xr:uid="{00000000-0005-0000-0000-0000ED030000}"/>
    <cellStyle name="20% - Accent3 2 2 2 6" xfId="1010" xr:uid="{00000000-0005-0000-0000-0000EE030000}"/>
    <cellStyle name="20% - Accent3 2 2 2 7" xfId="1011" xr:uid="{00000000-0005-0000-0000-0000EF030000}"/>
    <cellStyle name="20% - Accent3 2 2 2 8" xfId="1012" xr:uid="{00000000-0005-0000-0000-0000F0030000}"/>
    <cellStyle name="20% - Accent3 2 2 2 9" xfId="1013" xr:uid="{00000000-0005-0000-0000-0000F1030000}"/>
    <cellStyle name="20% - Accent3 2 2 3" xfId="1014" xr:uid="{00000000-0005-0000-0000-0000F2030000}"/>
    <cellStyle name="20% - Accent3 2 2 3 2" xfId="1015" xr:uid="{00000000-0005-0000-0000-0000F3030000}"/>
    <cellStyle name="20% - Accent3 2 2 3 2 2" xfId="1016" xr:uid="{00000000-0005-0000-0000-0000F4030000}"/>
    <cellStyle name="20% - Accent3 2 2 3 2 3" xfId="1017" xr:uid="{00000000-0005-0000-0000-0000F5030000}"/>
    <cellStyle name="20% - Accent3 2 2 3 3" xfId="1018" xr:uid="{00000000-0005-0000-0000-0000F6030000}"/>
    <cellStyle name="20% - Accent3 2 2 3 4" xfId="1019" xr:uid="{00000000-0005-0000-0000-0000F7030000}"/>
    <cellStyle name="20% - Accent3 2 2 3 5" xfId="1020" xr:uid="{00000000-0005-0000-0000-0000F8030000}"/>
    <cellStyle name="20% - Accent3 2 2 3 6" xfId="1021" xr:uid="{00000000-0005-0000-0000-0000F9030000}"/>
    <cellStyle name="20% - Accent3 2 2 4" xfId="1022" xr:uid="{00000000-0005-0000-0000-0000FA030000}"/>
    <cellStyle name="20% - Accent3 2 2 4 2" xfId="1023" xr:uid="{00000000-0005-0000-0000-0000FB030000}"/>
    <cellStyle name="20% - Accent3 2 2 4 2 2" xfId="1024" xr:uid="{00000000-0005-0000-0000-0000FC030000}"/>
    <cellStyle name="20% - Accent3 2 2 4 3" xfId="1025" xr:uid="{00000000-0005-0000-0000-0000FD030000}"/>
    <cellStyle name="20% - Accent3 2 2 4 4" xfId="1026" xr:uid="{00000000-0005-0000-0000-0000FE030000}"/>
    <cellStyle name="20% - Accent3 2 2 4 5" xfId="1027" xr:uid="{00000000-0005-0000-0000-0000FF030000}"/>
    <cellStyle name="20% - Accent3 2 2 5" xfId="1028" xr:uid="{00000000-0005-0000-0000-000000040000}"/>
    <cellStyle name="20% - Accent3 2 2 5 2" xfId="1029" xr:uid="{00000000-0005-0000-0000-000001040000}"/>
    <cellStyle name="20% - Accent3 2 2 5 3" xfId="1030" xr:uid="{00000000-0005-0000-0000-000002040000}"/>
    <cellStyle name="20% - Accent3 2 2 5 4" xfId="1031" xr:uid="{00000000-0005-0000-0000-000003040000}"/>
    <cellStyle name="20% - Accent3 2 2 6" xfId="1032" xr:uid="{00000000-0005-0000-0000-000004040000}"/>
    <cellStyle name="20% - Accent3 2 2 6 2" xfId="1033" xr:uid="{00000000-0005-0000-0000-000005040000}"/>
    <cellStyle name="20% - Accent3 2 2 7" xfId="1034" xr:uid="{00000000-0005-0000-0000-000006040000}"/>
    <cellStyle name="20% - Accent3 2 2 8" xfId="1035" xr:uid="{00000000-0005-0000-0000-000007040000}"/>
    <cellStyle name="20% - Accent3 2 2 9" xfId="1036" xr:uid="{00000000-0005-0000-0000-000008040000}"/>
    <cellStyle name="20% - Accent3 2 3" xfId="1037" xr:uid="{00000000-0005-0000-0000-000009040000}"/>
    <cellStyle name="20% - Accent3 2 3 2" xfId="1038" xr:uid="{00000000-0005-0000-0000-00000A040000}"/>
    <cellStyle name="20% - Accent3 2 3 2 2" xfId="1039" xr:uid="{00000000-0005-0000-0000-00000B040000}"/>
    <cellStyle name="20% - Accent3 2 3 2 2 2" xfId="1040" xr:uid="{00000000-0005-0000-0000-00000C040000}"/>
    <cellStyle name="20% - Accent3 2 3 2 2 3" xfId="1041" xr:uid="{00000000-0005-0000-0000-00000D040000}"/>
    <cellStyle name="20% - Accent3 2 3 2 3" xfId="1042" xr:uid="{00000000-0005-0000-0000-00000E040000}"/>
    <cellStyle name="20% - Accent3 2 3 2 4" xfId="1043" xr:uid="{00000000-0005-0000-0000-00000F040000}"/>
    <cellStyle name="20% - Accent3 2 3 2 5" xfId="1044" xr:uid="{00000000-0005-0000-0000-000010040000}"/>
    <cellStyle name="20% - Accent3 2 3 2 6" xfId="1045" xr:uid="{00000000-0005-0000-0000-000011040000}"/>
    <cellStyle name="20% - Accent3 2 3 3" xfId="1046" xr:uid="{00000000-0005-0000-0000-000012040000}"/>
    <cellStyle name="20% - Accent3 2 3 3 2" xfId="1047" xr:uid="{00000000-0005-0000-0000-000013040000}"/>
    <cellStyle name="20% - Accent3 2 3 3 2 2" xfId="1048" xr:uid="{00000000-0005-0000-0000-000014040000}"/>
    <cellStyle name="20% - Accent3 2 3 3 3" xfId="1049" xr:uid="{00000000-0005-0000-0000-000015040000}"/>
    <cellStyle name="20% - Accent3 2 3 3 4" xfId="1050" xr:uid="{00000000-0005-0000-0000-000016040000}"/>
    <cellStyle name="20% - Accent3 2 3 3 5" xfId="1051" xr:uid="{00000000-0005-0000-0000-000017040000}"/>
    <cellStyle name="20% - Accent3 2 3 4" xfId="1052" xr:uid="{00000000-0005-0000-0000-000018040000}"/>
    <cellStyle name="20% - Accent3 2 3 4 2" xfId="1053" xr:uid="{00000000-0005-0000-0000-000019040000}"/>
    <cellStyle name="20% - Accent3 2 3 4 3" xfId="1054" xr:uid="{00000000-0005-0000-0000-00001A040000}"/>
    <cellStyle name="20% - Accent3 2 3 4 4" xfId="1055" xr:uid="{00000000-0005-0000-0000-00001B040000}"/>
    <cellStyle name="20% - Accent3 2 3 5" xfId="1056" xr:uid="{00000000-0005-0000-0000-00001C040000}"/>
    <cellStyle name="20% - Accent3 2 3 5 2" xfId="1057" xr:uid="{00000000-0005-0000-0000-00001D040000}"/>
    <cellStyle name="20% - Accent3 2 3 6" xfId="1058" xr:uid="{00000000-0005-0000-0000-00001E040000}"/>
    <cellStyle name="20% - Accent3 2 3 7" xfId="1059" xr:uid="{00000000-0005-0000-0000-00001F040000}"/>
    <cellStyle name="20% - Accent3 2 3 8" xfId="1060" xr:uid="{00000000-0005-0000-0000-000020040000}"/>
    <cellStyle name="20% - Accent3 2 3 9" xfId="1061" xr:uid="{00000000-0005-0000-0000-000021040000}"/>
    <cellStyle name="20% - Accent3 2 4" xfId="1062" xr:uid="{00000000-0005-0000-0000-000022040000}"/>
    <cellStyle name="20% - Accent3 2 4 2" xfId="1063" xr:uid="{00000000-0005-0000-0000-000023040000}"/>
    <cellStyle name="20% - Accent3 2 4 2 2" xfId="1064" xr:uid="{00000000-0005-0000-0000-000024040000}"/>
    <cellStyle name="20% - Accent3 2 4 2 3" xfId="1065" xr:uid="{00000000-0005-0000-0000-000025040000}"/>
    <cellStyle name="20% - Accent3 2 4 3" xfId="1066" xr:uid="{00000000-0005-0000-0000-000026040000}"/>
    <cellStyle name="20% - Accent3 2 4 4" xfId="1067" xr:uid="{00000000-0005-0000-0000-000027040000}"/>
    <cellStyle name="20% - Accent3 2 4 5" xfId="1068" xr:uid="{00000000-0005-0000-0000-000028040000}"/>
    <cellStyle name="20% - Accent3 2 4 6" xfId="1069" xr:uid="{00000000-0005-0000-0000-000029040000}"/>
    <cellStyle name="20% - Accent3 2 5" xfId="1070" xr:uid="{00000000-0005-0000-0000-00002A040000}"/>
    <cellStyle name="20% - Accent3 2 5 2" xfId="1071" xr:uid="{00000000-0005-0000-0000-00002B040000}"/>
    <cellStyle name="20% - Accent3 2 5 2 2" xfId="1072" xr:uid="{00000000-0005-0000-0000-00002C040000}"/>
    <cellStyle name="20% - Accent3 2 5 3" xfId="1073" xr:uid="{00000000-0005-0000-0000-00002D040000}"/>
    <cellStyle name="20% - Accent3 2 5 4" xfId="1074" xr:uid="{00000000-0005-0000-0000-00002E040000}"/>
    <cellStyle name="20% - Accent3 2 5 5" xfId="1075" xr:uid="{00000000-0005-0000-0000-00002F040000}"/>
    <cellStyle name="20% - Accent3 2 6" xfId="1076" xr:uid="{00000000-0005-0000-0000-000030040000}"/>
    <cellStyle name="20% - Accent3 2 6 2" xfId="1077" xr:uid="{00000000-0005-0000-0000-000031040000}"/>
    <cellStyle name="20% - Accent3 2 6 2 2" xfId="1078" xr:uid="{00000000-0005-0000-0000-000032040000}"/>
    <cellStyle name="20% - Accent3 2 6 3" xfId="1079" xr:uid="{00000000-0005-0000-0000-000033040000}"/>
    <cellStyle name="20% - Accent3 2 6 4" xfId="1080" xr:uid="{00000000-0005-0000-0000-000034040000}"/>
    <cellStyle name="20% - Accent3 2 6 5" xfId="1081" xr:uid="{00000000-0005-0000-0000-000035040000}"/>
    <cellStyle name="20% - Accent3 2 7" xfId="1082" xr:uid="{00000000-0005-0000-0000-000036040000}"/>
    <cellStyle name="20% - Accent3 2 7 2" xfId="1083" xr:uid="{00000000-0005-0000-0000-000037040000}"/>
    <cellStyle name="20% - Accent3 2 8" xfId="1084" xr:uid="{00000000-0005-0000-0000-000038040000}"/>
    <cellStyle name="20% - Accent3 2 9" xfId="1085" xr:uid="{00000000-0005-0000-0000-000039040000}"/>
    <cellStyle name="20% - Accent3 3" xfId="1086" xr:uid="{00000000-0005-0000-0000-00003A040000}"/>
    <cellStyle name="20% - Accent3 3 10" xfId="1087" xr:uid="{00000000-0005-0000-0000-00003B040000}"/>
    <cellStyle name="20% - Accent3 3 2" xfId="1088" xr:uid="{00000000-0005-0000-0000-00003C040000}"/>
    <cellStyle name="20% - Accent3 3 2 2" xfId="1089" xr:uid="{00000000-0005-0000-0000-00003D040000}"/>
    <cellStyle name="20% - Accent3 3 2 2 2" xfId="1090" xr:uid="{00000000-0005-0000-0000-00003E040000}"/>
    <cellStyle name="20% - Accent3 3 2 2 2 2" xfId="1091" xr:uid="{00000000-0005-0000-0000-00003F040000}"/>
    <cellStyle name="20% - Accent3 3 2 2 2 3" xfId="1092" xr:uid="{00000000-0005-0000-0000-000040040000}"/>
    <cellStyle name="20% - Accent3 3 2 2 3" xfId="1093" xr:uid="{00000000-0005-0000-0000-000041040000}"/>
    <cellStyle name="20% - Accent3 3 2 2 4" xfId="1094" xr:uid="{00000000-0005-0000-0000-000042040000}"/>
    <cellStyle name="20% - Accent3 3 2 2 5" xfId="1095" xr:uid="{00000000-0005-0000-0000-000043040000}"/>
    <cellStyle name="20% - Accent3 3 2 2 6" xfId="1096" xr:uid="{00000000-0005-0000-0000-000044040000}"/>
    <cellStyle name="20% - Accent3 3 2 3" xfId="1097" xr:uid="{00000000-0005-0000-0000-000045040000}"/>
    <cellStyle name="20% - Accent3 3 2 3 2" xfId="1098" xr:uid="{00000000-0005-0000-0000-000046040000}"/>
    <cellStyle name="20% - Accent3 3 2 3 2 2" xfId="1099" xr:uid="{00000000-0005-0000-0000-000047040000}"/>
    <cellStyle name="20% - Accent3 3 2 3 3" xfId="1100" xr:uid="{00000000-0005-0000-0000-000048040000}"/>
    <cellStyle name="20% - Accent3 3 2 3 4" xfId="1101" xr:uid="{00000000-0005-0000-0000-000049040000}"/>
    <cellStyle name="20% - Accent3 3 2 3 5" xfId="1102" xr:uid="{00000000-0005-0000-0000-00004A040000}"/>
    <cellStyle name="20% - Accent3 3 2 4" xfId="1103" xr:uid="{00000000-0005-0000-0000-00004B040000}"/>
    <cellStyle name="20% - Accent3 3 2 4 2" xfId="1104" xr:uid="{00000000-0005-0000-0000-00004C040000}"/>
    <cellStyle name="20% - Accent3 3 2 4 3" xfId="1105" xr:uid="{00000000-0005-0000-0000-00004D040000}"/>
    <cellStyle name="20% - Accent3 3 2 4 4" xfId="1106" xr:uid="{00000000-0005-0000-0000-00004E040000}"/>
    <cellStyle name="20% - Accent3 3 2 5" xfId="1107" xr:uid="{00000000-0005-0000-0000-00004F040000}"/>
    <cellStyle name="20% - Accent3 3 2 5 2" xfId="1108" xr:uid="{00000000-0005-0000-0000-000050040000}"/>
    <cellStyle name="20% - Accent3 3 2 6" xfId="1109" xr:uid="{00000000-0005-0000-0000-000051040000}"/>
    <cellStyle name="20% - Accent3 3 2 7" xfId="1110" xr:uid="{00000000-0005-0000-0000-000052040000}"/>
    <cellStyle name="20% - Accent3 3 2 8" xfId="1111" xr:uid="{00000000-0005-0000-0000-000053040000}"/>
    <cellStyle name="20% - Accent3 3 2 9" xfId="1112" xr:uid="{00000000-0005-0000-0000-000054040000}"/>
    <cellStyle name="20% - Accent3 3 3" xfId="1113" xr:uid="{00000000-0005-0000-0000-000055040000}"/>
    <cellStyle name="20% - Accent3 3 3 2" xfId="1114" xr:uid="{00000000-0005-0000-0000-000056040000}"/>
    <cellStyle name="20% - Accent3 3 3 2 2" xfId="1115" xr:uid="{00000000-0005-0000-0000-000057040000}"/>
    <cellStyle name="20% - Accent3 3 3 2 3" xfId="1116" xr:uid="{00000000-0005-0000-0000-000058040000}"/>
    <cellStyle name="20% - Accent3 3 3 3" xfId="1117" xr:uid="{00000000-0005-0000-0000-000059040000}"/>
    <cellStyle name="20% - Accent3 3 3 4" xfId="1118" xr:uid="{00000000-0005-0000-0000-00005A040000}"/>
    <cellStyle name="20% - Accent3 3 3 5" xfId="1119" xr:uid="{00000000-0005-0000-0000-00005B040000}"/>
    <cellStyle name="20% - Accent3 3 3 6" xfId="1120" xr:uid="{00000000-0005-0000-0000-00005C040000}"/>
    <cellStyle name="20% - Accent3 3 4" xfId="1121" xr:uid="{00000000-0005-0000-0000-00005D040000}"/>
    <cellStyle name="20% - Accent3 3 4 2" xfId="1122" xr:uid="{00000000-0005-0000-0000-00005E040000}"/>
    <cellStyle name="20% - Accent3 3 4 2 2" xfId="1123" xr:uid="{00000000-0005-0000-0000-00005F040000}"/>
    <cellStyle name="20% - Accent3 3 4 3" xfId="1124" xr:uid="{00000000-0005-0000-0000-000060040000}"/>
    <cellStyle name="20% - Accent3 3 4 4" xfId="1125" xr:uid="{00000000-0005-0000-0000-000061040000}"/>
    <cellStyle name="20% - Accent3 3 4 5" xfId="1126" xr:uid="{00000000-0005-0000-0000-000062040000}"/>
    <cellStyle name="20% - Accent3 3 5" xfId="1127" xr:uid="{00000000-0005-0000-0000-000063040000}"/>
    <cellStyle name="20% - Accent3 3 5 2" xfId="1128" xr:uid="{00000000-0005-0000-0000-000064040000}"/>
    <cellStyle name="20% - Accent3 3 5 2 2" xfId="1129" xr:uid="{00000000-0005-0000-0000-000065040000}"/>
    <cellStyle name="20% - Accent3 3 5 3" xfId="1130" xr:uid="{00000000-0005-0000-0000-000066040000}"/>
    <cellStyle name="20% - Accent3 3 5 4" xfId="1131" xr:uid="{00000000-0005-0000-0000-000067040000}"/>
    <cellStyle name="20% - Accent3 3 5 5" xfId="1132" xr:uid="{00000000-0005-0000-0000-000068040000}"/>
    <cellStyle name="20% - Accent3 3 6" xfId="1133" xr:uid="{00000000-0005-0000-0000-000069040000}"/>
    <cellStyle name="20% - Accent3 3 6 2" xfId="1134" xr:uid="{00000000-0005-0000-0000-00006A040000}"/>
    <cellStyle name="20% - Accent3 3 7" xfId="1135" xr:uid="{00000000-0005-0000-0000-00006B040000}"/>
    <cellStyle name="20% - Accent3 3 8" xfId="1136" xr:uid="{00000000-0005-0000-0000-00006C040000}"/>
    <cellStyle name="20% - Accent3 3 9" xfId="1137" xr:uid="{00000000-0005-0000-0000-00006D040000}"/>
    <cellStyle name="20% - Accent3 4" xfId="1138" xr:uid="{00000000-0005-0000-0000-00006E040000}"/>
    <cellStyle name="20% - Accent3 4 10" xfId="1139" xr:uid="{00000000-0005-0000-0000-00006F040000}"/>
    <cellStyle name="20% - Accent3 4 2" xfId="1140" xr:uid="{00000000-0005-0000-0000-000070040000}"/>
    <cellStyle name="20% - Accent3 4 2 2" xfId="1141" xr:uid="{00000000-0005-0000-0000-000071040000}"/>
    <cellStyle name="20% - Accent3 4 2 2 2" xfId="1142" xr:uid="{00000000-0005-0000-0000-000072040000}"/>
    <cellStyle name="20% - Accent3 4 2 2 2 2" xfId="1143" xr:uid="{00000000-0005-0000-0000-000073040000}"/>
    <cellStyle name="20% - Accent3 4 2 2 2 3" xfId="1144" xr:uid="{00000000-0005-0000-0000-000074040000}"/>
    <cellStyle name="20% - Accent3 4 2 2 3" xfId="1145" xr:uid="{00000000-0005-0000-0000-000075040000}"/>
    <cellStyle name="20% - Accent3 4 2 2 4" xfId="1146" xr:uid="{00000000-0005-0000-0000-000076040000}"/>
    <cellStyle name="20% - Accent3 4 2 2 5" xfId="1147" xr:uid="{00000000-0005-0000-0000-000077040000}"/>
    <cellStyle name="20% - Accent3 4 2 2 6" xfId="1148" xr:uid="{00000000-0005-0000-0000-000078040000}"/>
    <cellStyle name="20% - Accent3 4 2 3" xfId="1149" xr:uid="{00000000-0005-0000-0000-000079040000}"/>
    <cellStyle name="20% - Accent3 4 2 3 2" xfId="1150" xr:uid="{00000000-0005-0000-0000-00007A040000}"/>
    <cellStyle name="20% - Accent3 4 2 3 2 2" xfId="1151" xr:uid="{00000000-0005-0000-0000-00007B040000}"/>
    <cellStyle name="20% - Accent3 4 2 3 3" xfId="1152" xr:uid="{00000000-0005-0000-0000-00007C040000}"/>
    <cellStyle name="20% - Accent3 4 2 3 4" xfId="1153" xr:uid="{00000000-0005-0000-0000-00007D040000}"/>
    <cellStyle name="20% - Accent3 4 2 3 5" xfId="1154" xr:uid="{00000000-0005-0000-0000-00007E040000}"/>
    <cellStyle name="20% - Accent3 4 2 4" xfId="1155" xr:uid="{00000000-0005-0000-0000-00007F040000}"/>
    <cellStyle name="20% - Accent3 4 2 4 2" xfId="1156" xr:uid="{00000000-0005-0000-0000-000080040000}"/>
    <cellStyle name="20% - Accent3 4 2 4 3" xfId="1157" xr:uid="{00000000-0005-0000-0000-000081040000}"/>
    <cellStyle name="20% - Accent3 4 2 4 4" xfId="1158" xr:uid="{00000000-0005-0000-0000-000082040000}"/>
    <cellStyle name="20% - Accent3 4 2 5" xfId="1159" xr:uid="{00000000-0005-0000-0000-000083040000}"/>
    <cellStyle name="20% - Accent3 4 2 5 2" xfId="1160" xr:uid="{00000000-0005-0000-0000-000084040000}"/>
    <cellStyle name="20% - Accent3 4 2 6" xfId="1161" xr:uid="{00000000-0005-0000-0000-000085040000}"/>
    <cellStyle name="20% - Accent3 4 2 7" xfId="1162" xr:uid="{00000000-0005-0000-0000-000086040000}"/>
    <cellStyle name="20% - Accent3 4 2 8" xfId="1163" xr:uid="{00000000-0005-0000-0000-000087040000}"/>
    <cellStyle name="20% - Accent3 4 2 9" xfId="1164" xr:uid="{00000000-0005-0000-0000-000088040000}"/>
    <cellStyle name="20% - Accent3 4 3" xfId="1165" xr:uid="{00000000-0005-0000-0000-000089040000}"/>
    <cellStyle name="20% - Accent3 4 3 2" xfId="1166" xr:uid="{00000000-0005-0000-0000-00008A040000}"/>
    <cellStyle name="20% - Accent3 4 3 2 2" xfId="1167" xr:uid="{00000000-0005-0000-0000-00008B040000}"/>
    <cellStyle name="20% - Accent3 4 3 2 3" xfId="1168" xr:uid="{00000000-0005-0000-0000-00008C040000}"/>
    <cellStyle name="20% - Accent3 4 3 3" xfId="1169" xr:uid="{00000000-0005-0000-0000-00008D040000}"/>
    <cellStyle name="20% - Accent3 4 3 4" xfId="1170" xr:uid="{00000000-0005-0000-0000-00008E040000}"/>
    <cellStyle name="20% - Accent3 4 3 5" xfId="1171" xr:uid="{00000000-0005-0000-0000-00008F040000}"/>
    <cellStyle name="20% - Accent3 4 3 6" xfId="1172" xr:uid="{00000000-0005-0000-0000-000090040000}"/>
    <cellStyle name="20% - Accent3 4 4" xfId="1173" xr:uid="{00000000-0005-0000-0000-000091040000}"/>
    <cellStyle name="20% - Accent3 4 4 2" xfId="1174" xr:uid="{00000000-0005-0000-0000-000092040000}"/>
    <cellStyle name="20% - Accent3 4 4 2 2" xfId="1175" xr:uid="{00000000-0005-0000-0000-000093040000}"/>
    <cellStyle name="20% - Accent3 4 4 3" xfId="1176" xr:uid="{00000000-0005-0000-0000-000094040000}"/>
    <cellStyle name="20% - Accent3 4 4 4" xfId="1177" xr:uid="{00000000-0005-0000-0000-000095040000}"/>
    <cellStyle name="20% - Accent3 4 4 5" xfId="1178" xr:uid="{00000000-0005-0000-0000-000096040000}"/>
    <cellStyle name="20% - Accent3 4 5" xfId="1179" xr:uid="{00000000-0005-0000-0000-000097040000}"/>
    <cellStyle name="20% - Accent3 4 5 2" xfId="1180" xr:uid="{00000000-0005-0000-0000-000098040000}"/>
    <cellStyle name="20% - Accent3 4 5 2 2" xfId="1181" xr:uid="{00000000-0005-0000-0000-000099040000}"/>
    <cellStyle name="20% - Accent3 4 5 3" xfId="1182" xr:uid="{00000000-0005-0000-0000-00009A040000}"/>
    <cellStyle name="20% - Accent3 4 5 4" xfId="1183" xr:uid="{00000000-0005-0000-0000-00009B040000}"/>
    <cellStyle name="20% - Accent3 4 5 5" xfId="1184" xr:uid="{00000000-0005-0000-0000-00009C040000}"/>
    <cellStyle name="20% - Accent3 4 6" xfId="1185" xr:uid="{00000000-0005-0000-0000-00009D040000}"/>
    <cellStyle name="20% - Accent3 4 6 2" xfId="1186" xr:uid="{00000000-0005-0000-0000-00009E040000}"/>
    <cellStyle name="20% - Accent3 4 7" xfId="1187" xr:uid="{00000000-0005-0000-0000-00009F040000}"/>
    <cellStyle name="20% - Accent3 4 8" xfId="1188" xr:uid="{00000000-0005-0000-0000-0000A0040000}"/>
    <cellStyle name="20% - Accent3 4 9" xfId="1189" xr:uid="{00000000-0005-0000-0000-0000A1040000}"/>
    <cellStyle name="20% - Accent3 5" xfId="1190" xr:uid="{00000000-0005-0000-0000-0000A2040000}"/>
    <cellStyle name="20% - Accent3 5 10" xfId="1191" xr:uid="{00000000-0005-0000-0000-0000A3040000}"/>
    <cellStyle name="20% - Accent3 5 2" xfId="1192" xr:uid="{00000000-0005-0000-0000-0000A4040000}"/>
    <cellStyle name="20% - Accent3 5 2 2" xfId="1193" xr:uid="{00000000-0005-0000-0000-0000A5040000}"/>
    <cellStyle name="20% - Accent3 5 2 2 2" xfId="1194" xr:uid="{00000000-0005-0000-0000-0000A6040000}"/>
    <cellStyle name="20% - Accent3 5 2 2 2 2" xfId="1195" xr:uid="{00000000-0005-0000-0000-0000A7040000}"/>
    <cellStyle name="20% - Accent3 5 2 2 2 3" xfId="1196" xr:uid="{00000000-0005-0000-0000-0000A8040000}"/>
    <cellStyle name="20% - Accent3 5 2 2 3" xfId="1197" xr:uid="{00000000-0005-0000-0000-0000A9040000}"/>
    <cellStyle name="20% - Accent3 5 2 2 4" xfId="1198" xr:uid="{00000000-0005-0000-0000-0000AA040000}"/>
    <cellStyle name="20% - Accent3 5 2 2 5" xfId="1199" xr:uid="{00000000-0005-0000-0000-0000AB040000}"/>
    <cellStyle name="20% - Accent3 5 2 2 6" xfId="1200" xr:uid="{00000000-0005-0000-0000-0000AC040000}"/>
    <cellStyle name="20% - Accent3 5 2 3" xfId="1201" xr:uid="{00000000-0005-0000-0000-0000AD040000}"/>
    <cellStyle name="20% - Accent3 5 2 3 2" xfId="1202" xr:uid="{00000000-0005-0000-0000-0000AE040000}"/>
    <cellStyle name="20% - Accent3 5 2 3 2 2" xfId="1203" xr:uid="{00000000-0005-0000-0000-0000AF040000}"/>
    <cellStyle name="20% - Accent3 5 2 3 3" xfId="1204" xr:uid="{00000000-0005-0000-0000-0000B0040000}"/>
    <cellStyle name="20% - Accent3 5 2 3 4" xfId="1205" xr:uid="{00000000-0005-0000-0000-0000B1040000}"/>
    <cellStyle name="20% - Accent3 5 2 3 5" xfId="1206" xr:uid="{00000000-0005-0000-0000-0000B2040000}"/>
    <cellStyle name="20% - Accent3 5 2 4" xfId="1207" xr:uid="{00000000-0005-0000-0000-0000B3040000}"/>
    <cellStyle name="20% - Accent3 5 2 4 2" xfId="1208" xr:uid="{00000000-0005-0000-0000-0000B4040000}"/>
    <cellStyle name="20% - Accent3 5 2 4 3" xfId="1209" xr:uid="{00000000-0005-0000-0000-0000B5040000}"/>
    <cellStyle name="20% - Accent3 5 2 4 4" xfId="1210" xr:uid="{00000000-0005-0000-0000-0000B6040000}"/>
    <cellStyle name="20% - Accent3 5 2 5" xfId="1211" xr:uid="{00000000-0005-0000-0000-0000B7040000}"/>
    <cellStyle name="20% - Accent3 5 2 5 2" xfId="1212" xr:uid="{00000000-0005-0000-0000-0000B8040000}"/>
    <cellStyle name="20% - Accent3 5 2 6" xfId="1213" xr:uid="{00000000-0005-0000-0000-0000B9040000}"/>
    <cellStyle name="20% - Accent3 5 2 7" xfId="1214" xr:uid="{00000000-0005-0000-0000-0000BA040000}"/>
    <cellStyle name="20% - Accent3 5 2 8" xfId="1215" xr:uid="{00000000-0005-0000-0000-0000BB040000}"/>
    <cellStyle name="20% - Accent3 5 2 9" xfId="1216" xr:uid="{00000000-0005-0000-0000-0000BC040000}"/>
    <cellStyle name="20% - Accent3 5 3" xfId="1217" xr:uid="{00000000-0005-0000-0000-0000BD040000}"/>
    <cellStyle name="20% - Accent3 5 3 2" xfId="1218" xr:uid="{00000000-0005-0000-0000-0000BE040000}"/>
    <cellStyle name="20% - Accent3 5 3 2 2" xfId="1219" xr:uid="{00000000-0005-0000-0000-0000BF040000}"/>
    <cellStyle name="20% - Accent3 5 3 2 3" xfId="1220" xr:uid="{00000000-0005-0000-0000-0000C0040000}"/>
    <cellStyle name="20% - Accent3 5 3 3" xfId="1221" xr:uid="{00000000-0005-0000-0000-0000C1040000}"/>
    <cellStyle name="20% - Accent3 5 3 4" xfId="1222" xr:uid="{00000000-0005-0000-0000-0000C2040000}"/>
    <cellStyle name="20% - Accent3 5 3 5" xfId="1223" xr:uid="{00000000-0005-0000-0000-0000C3040000}"/>
    <cellStyle name="20% - Accent3 5 3 6" xfId="1224" xr:uid="{00000000-0005-0000-0000-0000C4040000}"/>
    <cellStyle name="20% - Accent3 5 4" xfId="1225" xr:uid="{00000000-0005-0000-0000-0000C5040000}"/>
    <cellStyle name="20% - Accent3 5 4 2" xfId="1226" xr:uid="{00000000-0005-0000-0000-0000C6040000}"/>
    <cellStyle name="20% - Accent3 5 4 2 2" xfId="1227" xr:uid="{00000000-0005-0000-0000-0000C7040000}"/>
    <cellStyle name="20% - Accent3 5 4 3" xfId="1228" xr:uid="{00000000-0005-0000-0000-0000C8040000}"/>
    <cellStyle name="20% - Accent3 5 4 4" xfId="1229" xr:uid="{00000000-0005-0000-0000-0000C9040000}"/>
    <cellStyle name="20% - Accent3 5 4 5" xfId="1230" xr:uid="{00000000-0005-0000-0000-0000CA040000}"/>
    <cellStyle name="20% - Accent3 5 5" xfId="1231" xr:uid="{00000000-0005-0000-0000-0000CB040000}"/>
    <cellStyle name="20% - Accent3 5 5 2" xfId="1232" xr:uid="{00000000-0005-0000-0000-0000CC040000}"/>
    <cellStyle name="20% - Accent3 5 5 3" xfId="1233" xr:uid="{00000000-0005-0000-0000-0000CD040000}"/>
    <cellStyle name="20% - Accent3 5 5 4" xfId="1234" xr:uid="{00000000-0005-0000-0000-0000CE040000}"/>
    <cellStyle name="20% - Accent3 5 6" xfId="1235" xr:uid="{00000000-0005-0000-0000-0000CF040000}"/>
    <cellStyle name="20% - Accent3 5 6 2" xfId="1236" xr:uid="{00000000-0005-0000-0000-0000D0040000}"/>
    <cellStyle name="20% - Accent3 5 7" xfId="1237" xr:uid="{00000000-0005-0000-0000-0000D1040000}"/>
    <cellStyle name="20% - Accent3 5 8" xfId="1238" xr:uid="{00000000-0005-0000-0000-0000D2040000}"/>
    <cellStyle name="20% - Accent3 5 9" xfId="1239" xr:uid="{00000000-0005-0000-0000-0000D3040000}"/>
    <cellStyle name="20% - Accent3 6" xfId="1240" xr:uid="{00000000-0005-0000-0000-0000D4040000}"/>
    <cellStyle name="20% - Accent3 6 10" xfId="1241" xr:uid="{00000000-0005-0000-0000-0000D5040000}"/>
    <cellStyle name="20% - Accent3 6 2" xfId="1242" xr:uid="{00000000-0005-0000-0000-0000D6040000}"/>
    <cellStyle name="20% - Accent3 6 2 2" xfId="1243" xr:uid="{00000000-0005-0000-0000-0000D7040000}"/>
    <cellStyle name="20% - Accent3 6 2 2 2" xfId="1244" xr:uid="{00000000-0005-0000-0000-0000D8040000}"/>
    <cellStyle name="20% - Accent3 6 2 2 2 2" xfId="1245" xr:uid="{00000000-0005-0000-0000-0000D9040000}"/>
    <cellStyle name="20% - Accent3 6 2 2 2 3" xfId="1246" xr:uid="{00000000-0005-0000-0000-0000DA040000}"/>
    <cellStyle name="20% - Accent3 6 2 2 3" xfId="1247" xr:uid="{00000000-0005-0000-0000-0000DB040000}"/>
    <cellStyle name="20% - Accent3 6 2 2 4" xfId="1248" xr:uid="{00000000-0005-0000-0000-0000DC040000}"/>
    <cellStyle name="20% - Accent3 6 2 2 5" xfId="1249" xr:uid="{00000000-0005-0000-0000-0000DD040000}"/>
    <cellStyle name="20% - Accent3 6 2 2 6" xfId="1250" xr:uid="{00000000-0005-0000-0000-0000DE040000}"/>
    <cellStyle name="20% - Accent3 6 2 3" xfId="1251" xr:uid="{00000000-0005-0000-0000-0000DF040000}"/>
    <cellStyle name="20% - Accent3 6 2 3 2" xfId="1252" xr:uid="{00000000-0005-0000-0000-0000E0040000}"/>
    <cellStyle name="20% - Accent3 6 2 3 2 2" xfId="1253" xr:uid="{00000000-0005-0000-0000-0000E1040000}"/>
    <cellStyle name="20% - Accent3 6 2 3 3" xfId="1254" xr:uid="{00000000-0005-0000-0000-0000E2040000}"/>
    <cellStyle name="20% - Accent3 6 2 3 4" xfId="1255" xr:uid="{00000000-0005-0000-0000-0000E3040000}"/>
    <cellStyle name="20% - Accent3 6 2 3 5" xfId="1256" xr:uid="{00000000-0005-0000-0000-0000E4040000}"/>
    <cellStyle name="20% - Accent3 6 2 4" xfId="1257" xr:uid="{00000000-0005-0000-0000-0000E5040000}"/>
    <cellStyle name="20% - Accent3 6 2 4 2" xfId="1258" xr:uid="{00000000-0005-0000-0000-0000E6040000}"/>
    <cellStyle name="20% - Accent3 6 2 4 3" xfId="1259" xr:uid="{00000000-0005-0000-0000-0000E7040000}"/>
    <cellStyle name="20% - Accent3 6 2 4 4" xfId="1260" xr:uid="{00000000-0005-0000-0000-0000E8040000}"/>
    <cellStyle name="20% - Accent3 6 2 5" xfId="1261" xr:uid="{00000000-0005-0000-0000-0000E9040000}"/>
    <cellStyle name="20% - Accent3 6 2 5 2" xfId="1262" xr:uid="{00000000-0005-0000-0000-0000EA040000}"/>
    <cellStyle name="20% - Accent3 6 2 6" xfId="1263" xr:uid="{00000000-0005-0000-0000-0000EB040000}"/>
    <cellStyle name="20% - Accent3 6 2 7" xfId="1264" xr:uid="{00000000-0005-0000-0000-0000EC040000}"/>
    <cellStyle name="20% - Accent3 6 2 8" xfId="1265" xr:uid="{00000000-0005-0000-0000-0000ED040000}"/>
    <cellStyle name="20% - Accent3 6 2 9" xfId="1266" xr:uid="{00000000-0005-0000-0000-0000EE040000}"/>
    <cellStyle name="20% - Accent3 6 3" xfId="1267" xr:uid="{00000000-0005-0000-0000-0000EF040000}"/>
    <cellStyle name="20% - Accent3 6 3 2" xfId="1268" xr:uid="{00000000-0005-0000-0000-0000F0040000}"/>
    <cellStyle name="20% - Accent3 6 3 2 2" xfId="1269" xr:uid="{00000000-0005-0000-0000-0000F1040000}"/>
    <cellStyle name="20% - Accent3 6 3 2 3" xfId="1270" xr:uid="{00000000-0005-0000-0000-0000F2040000}"/>
    <cellStyle name="20% - Accent3 6 3 3" xfId="1271" xr:uid="{00000000-0005-0000-0000-0000F3040000}"/>
    <cellStyle name="20% - Accent3 6 3 4" xfId="1272" xr:uid="{00000000-0005-0000-0000-0000F4040000}"/>
    <cellStyle name="20% - Accent3 6 3 5" xfId="1273" xr:uid="{00000000-0005-0000-0000-0000F5040000}"/>
    <cellStyle name="20% - Accent3 6 3 6" xfId="1274" xr:uid="{00000000-0005-0000-0000-0000F6040000}"/>
    <cellStyle name="20% - Accent3 6 4" xfId="1275" xr:uid="{00000000-0005-0000-0000-0000F7040000}"/>
    <cellStyle name="20% - Accent3 6 4 2" xfId="1276" xr:uid="{00000000-0005-0000-0000-0000F8040000}"/>
    <cellStyle name="20% - Accent3 6 4 2 2" xfId="1277" xr:uid="{00000000-0005-0000-0000-0000F9040000}"/>
    <cellStyle name="20% - Accent3 6 4 3" xfId="1278" xr:uid="{00000000-0005-0000-0000-0000FA040000}"/>
    <cellStyle name="20% - Accent3 6 4 4" xfId="1279" xr:uid="{00000000-0005-0000-0000-0000FB040000}"/>
    <cellStyle name="20% - Accent3 6 4 5" xfId="1280" xr:uid="{00000000-0005-0000-0000-0000FC040000}"/>
    <cellStyle name="20% - Accent3 6 5" xfId="1281" xr:uid="{00000000-0005-0000-0000-0000FD040000}"/>
    <cellStyle name="20% - Accent3 6 5 2" xfId="1282" xr:uid="{00000000-0005-0000-0000-0000FE040000}"/>
    <cellStyle name="20% - Accent3 6 5 3" xfId="1283" xr:uid="{00000000-0005-0000-0000-0000FF040000}"/>
    <cellStyle name="20% - Accent3 6 5 4" xfId="1284" xr:uid="{00000000-0005-0000-0000-000000050000}"/>
    <cellStyle name="20% - Accent3 6 6" xfId="1285" xr:uid="{00000000-0005-0000-0000-000001050000}"/>
    <cellStyle name="20% - Accent3 6 6 2" xfId="1286" xr:uid="{00000000-0005-0000-0000-000002050000}"/>
    <cellStyle name="20% - Accent3 6 7" xfId="1287" xr:uid="{00000000-0005-0000-0000-000003050000}"/>
    <cellStyle name="20% - Accent3 6 8" xfId="1288" xr:uid="{00000000-0005-0000-0000-000004050000}"/>
    <cellStyle name="20% - Accent3 6 9" xfId="1289" xr:uid="{00000000-0005-0000-0000-000005050000}"/>
    <cellStyle name="20% - Accent3 7" xfId="1290" xr:uid="{00000000-0005-0000-0000-000006050000}"/>
    <cellStyle name="20% - Accent3 7 2" xfId="1291" xr:uid="{00000000-0005-0000-0000-000007050000}"/>
    <cellStyle name="20% - Accent3 7 2 2" xfId="1292" xr:uid="{00000000-0005-0000-0000-000008050000}"/>
    <cellStyle name="20% - Accent3 7 2 2 2" xfId="1293" xr:uid="{00000000-0005-0000-0000-000009050000}"/>
    <cellStyle name="20% - Accent3 7 2 2 3" xfId="1294" xr:uid="{00000000-0005-0000-0000-00000A050000}"/>
    <cellStyle name="20% - Accent3 7 2 3" xfId="1295" xr:uid="{00000000-0005-0000-0000-00000B050000}"/>
    <cellStyle name="20% - Accent3 7 2 4" xfId="1296" xr:uid="{00000000-0005-0000-0000-00000C050000}"/>
    <cellStyle name="20% - Accent3 7 2 5" xfId="1297" xr:uid="{00000000-0005-0000-0000-00000D050000}"/>
    <cellStyle name="20% - Accent3 7 2 6" xfId="1298" xr:uid="{00000000-0005-0000-0000-00000E050000}"/>
    <cellStyle name="20% - Accent3 7 3" xfId="1299" xr:uid="{00000000-0005-0000-0000-00000F050000}"/>
    <cellStyle name="20% - Accent3 7 3 2" xfId="1300" xr:uid="{00000000-0005-0000-0000-000010050000}"/>
    <cellStyle name="20% - Accent3 7 3 2 2" xfId="1301" xr:uid="{00000000-0005-0000-0000-000011050000}"/>
    <cellStyle name="20% - Accent3 7 3 3" xfId="1302" xr:uid="{00000000-0005-0000-0000-000012050000}"/>
    <cellStyle name="20% - Accent3 7 3 4" xfId="1303" xr:uid="{00000000-0005-0000-0000-000013050000}"/>
    <cellStyle name="20% - Accent3 7 3 5" xfId="1304" xr:uid="{00000000-0005-0000-0000-000014050000}"/>
    <cellStyle name="20% - Accent3 7 4" xfId="1305" xr:uid="{00000000-0005-0000-0000-000015050000}"/>
    <cellStyle name="20% - Accent3 7 4 2" xfId="1306" xr:uid="{00000000-0005-0000-0000-000016050000}"/>
    <cellStyle name="20% - Accent3 7 4 3" xfId="1307" xr:uid="{00000000-0005-0000-0000-000017050000}"/>
    <cellStyle name="20% - Accent3 7 4 4" xfId="1308" xr:uid="{00000000-0005-0000-0000-000018050000}"/>
    <cellStyle name="20% - Accent3 7 5" xfId="1309" xr:uid="{00000000-0005-0000-0000-000019050000}"/>
    <cellStyle name="20% - Accent3 7 5 2" xfId="1310" xr:uid="{00000000-0005-0000-0000-00001A050000}"/>
    <cellStyle name="20% - Accent3 7 6" xfId="1311" xr:uid="{00000000-0005-0000-0000-00001B050000}"/>
    <cellStyle name="20% - Accent3 7 7" xfId="1312" xr:uid="{00000000-0005-0000-0000-00001C050000}"/>
    <cellStyle name="20% - Accent3 7 8" xfId="1313" xr:uid="{00000000-0005-0000-0000-00001D050000}"/>
    <cellStyle name="20% - Accent3 7 9" xfId="1314" xr:uid="{00000000-0005-0000-0000-00001E050000}"/>
    <cellStyle name="20% - Accent3 8" xfId="1315" xr:uid="{00000000-0005-0000-0000-00001F050000}"/>
    <cellStyle name="20% - Accent3 8 2" xfId="1316" xr:uid="{00000000-0005-0000-0000-000020050000}"/>
    <cellStyle name="20% - Accent3 8 2 2" xfId="1317" xr:uid="{00000000-0005-0000-0000-000021050000}"/>
    <cellStyle name="20% - Accent3 8 2 2 2" xfId="1318" xr:uid="{00000000-0005-0000-0000-000022050000}"/>
    <cellStyle name="20% - Accent3 8 2 2 3" xfId="1319" xr:uid="{00000000-0005-0000-0000-000023050000}"/>
    <cellStyle name="20% - Accent3 8 2 3" xfId="1320" xr:uid="{00000000-0005-0000-0000-000024050000}"/>
    <cellStyle name="20% - Accent3 8 2 4" xfId="1321" xr:uid="{00000000-0005-0000-0000-000025050000}"/>
    <cellStyle name="20% - Accent3 8 2 5" xfId="1322" xr:uid="{00000000-0005-0000-0000-000026050000}"/>
    <cellStyle name="20% - Accent3 8 2 6" xfId="1323" xr:uid="{00000000-0005-0000-0000-000027050000}"/>
    <cellStyle name="20% - Accent3 8 3" xfId="1324" xr:uid="{00000000-0005-0000-0000-000028050000}"/>
    <cellStyle name="20% - Accent3 8 3 2" xfId="1325" xr:uid="{00000000-0005-0000-0000-000029050000}"/>
    <cellStyle name="20% - Accent3 8 3 2 2" xfId="1326" xr:uid="{00000000-0005-0000-0000-00002A050000}"/>
    <cellStyle name="20% - Accent3 8 3 3" xfId="1327" xr:uid="{00000000-0005-0000-0000-00002B050000}"/>
    <cellStyle name="20% - Accent3 8 3 4" xfId="1328" xr:uid="{00000000-0005-0000-0000-00002C050000}"/>
    <cellStyle name="20% - Accent3 8 3 5" xfId="1329" xr:uid="{00000000-0005-0000-0000-00002D050000}"/>
    <cellStyle name="20% - Accent3 8 4" xfId="1330" xr:uid="{00000000-0005-0000-0000-00002E050000}"/>
    <cellStyle name="20% - Accent3 8 4 2" xfId="1331" xr:uid="{00000000-0005-0000-0000-00002F050000}"/>
    <cellStyle name="20% - Accent3 8 4 3" xfId="1332" xr:uid="{00000000-0005-0000-0000-000030050000}"/>
    <cellStyle name="20% - Accent3 8 4 4" xfId="1333" xr:uid="{00000000-0005-0000-0000-000031050000}"/>
    <cellStyle name="20% - Accent3 8 5" xfId="1334" xr:uid="{00000000-0005-0000-0000-000032050000}"/>
    <cellStyle name="20% - Accent3 8 5 2" xfId="1335" xr:uid="{00000000-0005-0000-0000-000033050000}"/>
    <cellStyle name="20% - Accent3 8 6" xfId="1336" xr:uid="{00000000-0005-0000-0000-000034050000}"/>
    <cellStyle name="20% - Accent3 8 7" xfId="1337" xr:uid="{00000000-0005-0000-0000-000035050000}"/>
    <cellStyle name="20% - Accent3 8 8" xfId="1338" xr:uid="{00000000-0005-0000-0000-000036050000}"/>
    <cellStyle name="20% - Accent3 8 9" xfId="1339" xr:uid="{00000000-0005-0000-0000-000037050000}"/>
    <cellStyle name="20% - Accent3 9" xfId="1340" xr:uid="{00000000-0005-0000-0000-000038050000}"/>
    <cellStyle name="20% - Accent3 9 2" xfId="1341" xr:uid="{00000000-0005-0000-0000-000039050000}"/>
    <cellStyle name="20% - Accent3 9 2 2" xfId="1342" xr:uid="{00000000-0005-0000-0000-00003A050000}"/>
    <cellStyle name="20% - Accent3 9 2 2 2" xfId="1343" xr:uid="{00000000-0005-0000-0000-00003B050000}"/>
    <cellStyle name="20% - Accent3 9 2 3" xfId="1344" xr:uid="{00000000-0005-0000-0000-00003C050000}"/>
    <cellStyle name="20% - Accent3 9 2 4" xfId="1345" xr:uid="{00000000-0005-0000-0000-00003D050000}"/>
    <cellStyle name="20% - Accent3 9 2 5" xfId="1346" xr:uid="{00000000-0005-0000-0000-00003E050000}"/>
    <cellStyle name="20% - Accent3 9 3" xfId="1347" xr:uid="{00000000-0005-0000-0000-00003F050000}"/>
    <cellStyle name="20% - Accent3 9 3 2" xfId="1348" xr:uid="{00000000-0005-0000-0000-000040050000}"/>
    <cellStyle name="20% - Accent3 9 3 3" xfId="1349" xr:uid="{00000000-0005-0000-0000-000041050000}"/>
    <cellStyle name="20% - Accent3 9 3 4" xfId="1350" xr:uid="{00000000-0005-0000-0000-000042050000}"/>
    <cellStyle name="20% - Accent3 9 4" xfId="1351" xr:uid="{00000000-0005-0000-0000-000043050000}"/>
    <cellStyle name="20% - Accent3 9 4 2" xfId="1352" xr:uid="{00000000-0005-0000-0000-000044050000}"/>
    <cellStyle name="20% - Accent3 9 5" xfId="1353" xr:uid="{00000000-0005-0000-0000-000045050000}"/>
    <cellStyle name="20% - Accent3 9 6" xfId="1354" xr:uid="{00000000-0005-0000-0000-000046050000}"/>
    <cellStyle name="20% - Accent3 9 7" xfId="1355" xr:uid="{00000000-0005-0000-0000-000047050000}"/>
    <cellStyle name="20% - Accent3 9 8" xfId="1356" xr:uid="{00000000-0005-0000-0000-000048050000}"/>
    <cellStyle name="20% - Accent4 10" xfId="1357" xr:uid="{00000000-0005-0000-0000-000049050000}"/>
    <cellStyle name="20% - Accent4 10 2" xfId="1358" xr:uid="{00000000-0005-0000-0000-00004A050000}"/>
    <cellStyle name="20% - Accent4 10 2 2" xfId="1359" xr:uid="{00000000-0005-0000-0000-00004B050000}"/>
    <cellStyle name="20% - Accent4 10 2 2 2" xfId="1360" xr:uid="{00000000-0005-0000-0000-00004C050000}"/>
    <cellStyle name="20% - Accent4 10 2 3" xfId="1361" xr:uid="{00000000-0005-0000-0000-00004D050000}"/>
    <cellStyle name="20% - Accent4 10 2 4" xfId="1362" xr:uid="{00000000-0005-0000-0000-00004E050000}"/>
    <cellStyle name="20% - Accent4 10 2 5" xfId="1363" xr:uid="{00000000-0005-0000-0000-00004F050000}"/>
    <cellStyle name="20% - Accent4 10 3" xfId="1364" xr:uid="{00000000-0005-0000-0000-000050050000}"/>
    <cellStyle name="20% - Accent4 10 3 2" xfId="1365" xr:uid="{00000000-0005-0000-0000-000051050000}"/>
    <cellStyle name="20% - Accent4 10 3 3" xfId="1366" xr:uid="{00000000-0005-0000-0000-000052050000}"/>
    <cellStyle name="20% - Accent4 10 3 4" xfId="1367" xr:uid="{00000000-0005-0000-0000-000053050000}"/>
    <cellStyle name="20% - Accent4 10 4" xfId="1368" xr:uid="{00000000-0005-0000-0000-000054050000}"/>
    <cellStyle name="20% - Accent4 10 4 2" xfId="1369" xr:uid="{00000000-0005-0000-0000-000055050000}"/>
    <cellStyle name="20% - Accent4 10 5" xfId="1370" xr:uid="{00000000-0005-0000-0000-000056050000}"/>
    <cellStyle name="20% - Accent4 10 6" xfId="1371" xr:uid="{00000000-0005-0000-0000-000057050000}"/>
    <cellStyle name="20% - Accent4 10 7" xfId="1372" xr:uid="{00000000-0005-0000-0000-000058050000}"/>
    <cellStyle name="20% - Accent4 10 8" xfId="1373" xr:uid="{00000000-0005-0000-0000-000059050000}"/>
    <cellStyle name="20% - Accent4 11" xfId="1374" xr:uid="{00000000-0005-0000-0000-00005A050000}"/>
    <cellStyle name="20% - Accent4 11 2" xfId="1375" xr:uid="{00000000-0005-0000-0000-00005B050000}"/>
    <cellStyle name="20% - Accent4 11 2 2" xfId="1376" xr:uid="{00000000-0005-0000-0000-00005C050000}"/>
    <cellStyle name="20% - Accent4 11 2 2 2" xfId="1377" xr:uid="{00000000-0005-0000-0000-00005D050000}"/>
    <cellStyle name="20% - Accent4 11 2 3" xfId="1378" xr:uid="{00000000-0005-0000-0000-00005E050000}"/>
    <cellStyle name="20% - Accent4 11 2 4" xfId="1379" xr:uid="{00000000-0005-0000-0000-00005F050000}"/>
    <cellStyle name="20% - Accent4 11 2 5" xfId="1380" xr:uid="{00000000-0005-0000-0000-000060050000}"/>
    <cellStyle name="20% - Accent4 11 3" xfId="1381" xr:uid="{00000000-0005-0000-0000-000061050000}"/>
    <cellStyle name="20% - Accent4 11 3 2" xfId="1382" xr:uid="{00000000-0005-0000-0000-000062050000}"/>
    <cellStyle name="20% - Accent4 11 3 3" xfId="1383" xr:uid="{00000000-0005-0000-0000-000063050000}"/>
    <cellStyle name="20% - Accent4 11 3 4" xfId="1384" xr:uid="{00000000-0005-0000-0000-000064050000}"/>
    <cellStyle name="20% - Accent4 11 4" xfId="1385" xr:uid="{00000000-0005-0000-0000-000065050000}"/>
    <cellStyle name="20% - Accent4 11 4 2" xfId="1386" xr:uid="{00000000-0005-0000-0000-000066050000}"/>
    <cellStyle name="20% - Accent4 11 5" xfId="1387" xr:uid="{00000000-0005-0000-0000-000067050000}"/>
    <cellStyle name="20% - Accent4 11 6" xfId="1388" xr:uid="{00000000-0005-0000-0000-000068050000}"/>
    <cellStyle name="20% - Accent4 11 7" xfId="1389" xr:uid="{00000000-0005-0000-0000-000069050000}"/>
    <cellStyle name="20% - Accent4 11 8" xfId="1390" xr:uid="{00000000-0005-0000-0000-00006A050000}"/>
    <cellStyle name="20% - Accent4 12" xfId="1391" xr:uid="{00000000-0005-0000-0000-00006B050000}"/>
    <cellStyle name="20% - Accent4 12 2" xfId="1392" xr:uid="{00000000-0005-0000-0000-00006C050000}"/>
    <cellStyle name="20% - Accent4 12 2 2" xfId="1393" xr:uid="{00000000-0005-0000-0000-00006D050000}"/>
    <cellStyle name="20% - Accent4 12 2 2 2" xfId="1394" xr:uid="{00000000-0005-0000-0000-00006E050000}"/>
    <cellStyle name="20% - Accent4 12 2 3" xfId="1395" xr:uid="{00000000-0005-0000-0000-00006F050000}"/>
    <cellStyle name="20% - Accent4 12 2 4" xfId="1396" xr:uid="{00000000-0005-0000-0000-000070050000}"/>
    <cellStyle name="20% - Accent4 12 2 5" xfId="1397" xr:uid="{00000000-0005-0000-0000-000071050000}"/>
    <cellStyle name="20% - Accent4 12 3" xfId="1398" xr:uid="{00000000-0005-0000-0000-000072050000}"/>
    <cellStyle name="20% - Accent4 12 3 2" xfId="1399" xr:uid="{00000000-0005-0000-0000-000073050000}"/>
    <cellStyle name="20% - Accent4 12 3 3" xfId="1400" xr:uid="{00000000-0005-0000-0000-000074050000}"/>
    <cellStyle name="20% - Accent4 12 3 4" xfId="1401" xr:uid="{00000000-0005-0000-0000-000075050000}"/>
    <cellStyle name="20% - Accent4 12 4" xfId="1402" xr:uid="{00000000-0005-0000-0000-000076050000}"/>
    <cellStyle name="20% - Accent4 12 4 2" xfId="1403" xr:uid="{00000000-0005-0000-0000-000077050000}"/>
    <cellStyle name="20% - Accent4 12 5" xfId="1404" xr:uid="{00000000-0005-0000-0000-000078050000}"/>
    <cellStyle name="20% - Accent4 12 6" xfId="1405" xr:uid="{00000000-0005-0000-0000-000079050000}"/>
    <cellStyle name="20% - Accent4 12 7" xfId="1406" xr:uid="{00000000-0005-0000-0000-00007A050000}"/>
    <cellStyle name="20% - Accent4 12 8" xfId="1407" xr:uid="{00000000-0005-0000-0000-00007B050000}"/>
    <cellStyle name="20% - Accent4 13" xfId="1408" xr:uid="{00000000-0005-0000-0000-00007C050000}"/>
    <cellStyle name="20% - Accent4 13 2" xfId="1409" xr:uid="{00000000-0005-0000-0000-00007D050000}"/>
    <cellStyle name="20% - Accent4 13 2 2" xfId="1410" xr:uid="{00000000-0005-0000-0000-00007E050000}"/>
    <cellStyle name="20% - Accent4 13 2 3" xfId="1411" xr:uid="{00000000-0005-0000-0000-00007F050000}"/>
    <cellStyle name="20% - Accent4 13 2 4" xfId="1412" xr:uid="{00000000-0005-0000-0000-000080050000}"/>
    <cellStyle name="20% - Accent4 13 3" xfId="1413" xr:uid="{00000000-0005-0000-0000-000081050000}"/>
    <cellStyle name="20% - Accent4 13 3 2" xfId="1414" xr:uid="{00000000-0005-0000-0000-000082050000}"/>
    <cellStyle name="20% - Accent4 13 4" xfId="1415" xr:uid="{00000000-0005-0000-0000-000083050000}"/>
    <cellStyle name="20% - Accent4 13 5" xfId="1416" xr:uid="{00000000-0005-0000-0000-000084050000}"/>
    <cellStyle name="20% - Accent4 13 6" xfId="1417" xr:uid="{00000000-0005-0000-0000-000085050000}"/>
    <cellStyle name="20% - Accent4 14" xfId="1418" xr:uid="{00000000-0005-0000-0000-000086050000}"/>
    <cellStyle name="20% - Accent4 14 2" xfId="1419" xr:uid="{00000000-0005-0000-0000-000087050000}"/>
    <cellStyle name="20% - Accent4 14 2 2" xfId="1420" xr:uid="{00000000-0005-0000-0000-000088050000}"/>
    <cellStyle name="20% - Accent4 14 3" xfId="1421" xr:uid="{00000000-0005-0000-0000-000089050000}"/>
    <cellStyle name="20% - Accent4 14 4" xfId="1422" xr:uid="{00000000-0005-0000-0000-00008A050000}"/>
    <cellStyle name="20% - Accent4 14 5" xfId="1423" xr:uid="{00000000-0005-0000-0000-00008B050000}"/>
    <cellStyle name="20% - Accent4 15" xfId="1424" xr:uid="{00000000-0005-0000-0000-00008C050000}"/>
    <cellStyle name="20% - Accent4 15 2" xfId="1425" xr:uid="{00000000-0005-0000-0000-00008D050000}"/>
    <cellStyle name="20% - Accent4 15 2 2" xfId="1426" xr:uid="{00000000-0005-0000-0000-00008E050000}"/>
    <cellStyle name="20% - Accent4 15 3" xfId="1427" xr:uid="{00000000-0005-0000-0000-00008F050000}"/>
    <cellStyle name="20% - Accent4 15 4" xfId="1428" xr:uid="{00000000-0005-0000-0000-000090050000}"/>
    <cellStyle name="20% - Accent4 15 5" xfId="1429" xr:uid="{00000000-0005-0000-0000-000091050000}"/>
    <cellStyle name="20% - Accent4 16" xfId="1430" xr:uid="{00000000-0005-0000-0000-000092050000}"/>
    <cellStyle name="20% - Accent4 16 2" xfId="1431" xr:uid="{00000000-0005-0000-0000-000093050000}"/>
    <cellStyle name="20% - Accent4 17" xfId="1432" xr:uid="{00000000-0005-0000-0000-000094050000}"/>
    <cellStyle name="20% - Accent4 18" xfId="1433" xr:uid="{00000000-0005-0000-0000-000095050000}"/>
    <cellStyle name="20% - Accent4 19" xfId="1434" xr:uid="{00000000-0005-0000-0000-000096050000}"/>
    <cellStyle name="20% - Accent4 2" xfId="1435" xr:uid="{00000000-0005-0000-0000-000097050000}"/>
    <cellStyle name="20% - Accent4 2 10" xfId="1436" xr:uid="{00000000-0005-0000-0000-000098050000}"/>
    <cellStyle name="20% - Accent4 2 11" xfId="1437" xr:uid="{00000000-0005-0000-0000-000099050000}"/>
    <cellStyle name="20% - Accent4 2 2" xfId="1438" xr:uid="{00000000-0005-0000-0000-00009A050000}"/>
    <cellStyle name="20% - Accent4 2 2 10" xfId="1439" xr:uid="{00000000-0005-0000-0000-00009B050000}"/>
    <cellStyle name="20% - Accent4 2 2 2" xfId="1440" xr:uid="{00000000-0005-0000-0000-00009C050000}"/>
    <cellStyle name="20% - Accent4 2 2 2 2" xfId="1441" xr:uid="{00000000-0005-0000-0000-00009D050000}"/>
    <cellStyle name="20% - Accent4 2 2 2 2 2" xfId="1442" xr:uid="{00000000-0005-0000-0000-00009E050000}"/>
    <cellStyle name="20% - Accent4 2 2 2 2 2 2" xfId="1443" xr:uid="{00000000-0005-0000-0000-00009F050000}"/>
    <cellStyle name="20% - Accent4 2 2 2 2 2 3" xfId="1444" xr:uid="{00000000-0005-0000-0000-0000A0050000}"/>
    <cellStyle name="20% - Accent4 2 2 2 2 3" xfId="1445" xr:uid="{00000000-0005-0000-0000-0000A1050000}"/>
    <cellStyle name="20% - Accent4 2 2 2 2 4" xfId="1446" xr:uid="{00000000-0005-0000-0000-0000A2050000}"/>
    <cellStyle name="20% - Accent4 2 2 2 2 5" xfId="1447" xr:uid="{00000000-0005-0000-0000-0000A3050000}"/>
    <cellStyle name="20% - Accent4 2 2 2 2 6" xfId="1448" xr:uid="{00000000-0005-0000-0000-0000A4050000}"/>
    <cellStyle name="20% - Accent4 2 2 2 3" xfId="1449" xr:uid="{00000000-0005-0000-0000-0000A5050000}"/>
    <cellStyle name="20% - Accent4 2 2 2 3 2" xfId="1450" xr:uid="{00000000-0005-0000-0000-0000A6050000}"/>
    <cellStyle name="20% - Accent4 2 2 2 3 2 2" xfId="1451" xr:uid="{00000000-0005-0000-0000-0000A7050000}"/>
    <cellStyle name="20% - Accent4 2 2 2 3 3" xfId="1452" xr:uid="{00000000-0005-0000-0000-0000A8050000}"/>
    <cellStyle name="20% - Accent4 2 2 2 3 4" xfId="1453" xr:uid="{00000000-0005-0000-0000-0000A9050000}"/>
    <cellStyle name="20% - Accent4 2 2 2 3 5" xfId="1454" xr:uid="{00000000-0005-0000-0000-0000AA050000}"/>
    <cellStyle name="20% - Accent4 2 2 2 4" xfId="1455" xr:uid="{00000000-0005-0000-0000-0000AB050000}"/>
    <cellStyle name="20% - Accent4 2 2 2 4 2" xfId="1456" xr:uid="{00000000-0005-0000-0000-0000AC050000}"/>
    <cellStyle name="20% - Accent4 2 2 2 4 3" xfId="1457" xr:uid="{00000000-0005-0000-0000-0000AD050000}"/>
    <cellStyle name="20% - Accent4 2 2 2 4 4" xfId="1458" xr:uid="{00000000-0005-0000-0000-0000AE050000}"/>
    <cellStyle name="20% - Accent4 2 2 2 5" xfId="1459" xr:uid="{00000000-0005-0000-0000-0000AF050000}"/>
    <cellStyle name="20% - Accent4 2 2 2 5 2" xfId="1460" xr:uid="{00000000-0005-0000-0000-0000B0050000}"/>
    <cellStyle name="20% - Accent4 2 2 2 6" xfId="1461" xr:uid="{00000000-0005-0000-0000-0000B1050000}"/>
    <cellStyle name="20% - Accent4 2 2 2 7" xfId="1462" xr:uid="{00000000-0005-0000-0000-0000B2050000}"/>
    <cellStyle name="20% - Accent4 2 2 2 8" xfId="1463" xr:uid="{00000000-0005-0000-0000-0000B3050000}"/>
    <cellStyle name="20% - Accent4 2 2 2 9" xfId="1464" xr:uid="{00000000-0005-0000-0000-0000B4050000}"/>
    <cellStyle name="20% - Accent4 2 2 3" xfId="1465" xr:uid="{00000000-0005-0000-0000-0000B5050000}"/>
    <cellStyle name="20% - Accent4 2 2 3 2" xfId="1466" xr:uid="{00000000-0005-0000-0000-0000B6050000}"/>
    <cellStyle name="20% - Accent4 2 2 3 2 2" xfId="1467" xr:uid="{00000000-0005-0000-0000-0000B7050000}"/>
    <cellStyle name="20% - Accent4 2 2 3 2 3" xfId="1468" xr:uid="{00000000-0005-0000-0000-0000B8050000}"/>
    <cellStyle name="20% - Accent4 2 2 3 3" xfId="1469" xr:uid="{00000000-0005-0000-0000-0000B9050000}"/>
    <cellStyle name="20% - Accent4 2 2 3 4" xfId="1470" xr:uid="{00000000-0005-0000-0000-0000BA050000}"/>
    <cellStyle name="20% - Accent4 2 2 3 5" xfId="1471" xr:uid="{00000000-0005-0000-0000-0000BB050000}"/>
    <cellStyle name="20% - Accent4 2 2 3 6" xfId="1472" xr:uid="{00000000-0005-0000-0000-0000BC050000}"/>
    <cellStyle name="20% - Accent4 2 2 4" xfId="1473" xr:uid="{00000000-0005-0000-0000-0000BD050000}"/>
    <cellStyle name="20% - Accent4 2 2 4 2" xfId="1474" xr:uid="{00000000-0005-0000-0000-0000BE050000}"/>
    <cellStyle name="20% - Accent4 2 2 4 2 2" xfId="1475" xr:uid="{00000000-0005-0000-0000-0000BF050000}"/>
    <cellStyle name="20% - Accent4 2 2 4 3" xfId="1476" xr:uid="{00000000-0005-0000-0000-0000C0050000}"/>
    <cellStyle name="20% - Accent4 2 2 4 4" xfId="1477" xr:uid="{00000000-0005-0000-0000-0000C1050000}"/>
    <cellStyle name="20% - Accent4 2 2 4 5" xfId="1478" xr:uid="{00000000-0005-0000-0000-0000C2050000}"/>
    <cellStyle name="20% - Accent4 2 2 5" xfId="1479" xr:uid="{00000000-0005-0000-0000-0000C3050000}"/>
    <cellStyle name="20% - Accent4 2 2 5 2" xfId="1480" xr:uid="{00000000-0005-0000-0000-0000C4050000}"/>
    <cellStyle name="20% - Accent4 2 2 5 3" xfId="1481" xr:uid="{00000000-0005-0000-0000-0000C5050000}"/>
    <cellStyle name="20% - Accent4 2 2 5 4" xfId="1482" xr:uid="{00000000-0005-0000-0000-0000C6050000}"/>
    <cellStyle name="20% - Accent4 2 2 6" xfId="1483" xr:uid="{00000000-0005-0000-0000-0000C7050000}"/>
    <cellStyle name="20% - Accent4 2 2 6 2" xfId="1484" xr:uid="{00000000-0005-0000-0000-0000C8050000}"/>
    <cellStyle name="20% - Accent4 2 2 7" xfId="1485" xr:uid="{00000000-0005-0000-0000-0000C9050000}"/>
    <cellStyle name="20% - Accent4 2 2 8" xfId="1486" xr:uid="{00000000-0005-0000-0000-0000CA050000}"/>
    <cellStyle name="20% - Accent4 2 2 9" xfId="1487" xr:uid="{00000000-0005-0000-0000-0000CB050000}"/>
    <cellStyle name="20% - Accent4 2 3" xfId="1488" xr:uid="{00000000-0005-0000-0000-0000CC050000}"/>
    <cellStyle name="20% - Accent4 2 3 2" xfId="1489" xr:uid="{00000000-0005-0000-0000-0000CD050000}"/>
    <cellStyle name="20% - Accent4 2 3 2 2" xfId="1490" xr:uid="{00000000-0005-0000-0000-0000CE050000}"/>
    <cellStyle name="20% - Accent4 2 3 2 2 2" xfId="1491" xr:uid="{00000000-0005-0000-0000-0000CF050000}"/>
    <cellStyle name="20% - Accent4 2 3 2 2 3" xfId="1492" xr:uid="{00000000-0005-0000-0000-0000D0050000}"/>
    <cellStyle name="20% - Accent4 2 3 2 3" xfId="1493" xr:uid="{00000000-0005-0000-0000-0000D1050000}"/>
    <cellStyle name="20% - Accent4 2 3 2 4" xfId="1494" xr:uid="{00000000-0005-0000-0000-0000D2050000}"/>
    <cellStyle name="20% - Accent4 2 3 2 5" xfId="1495" xr:uid="{00000000-0005-0000-0000-0000D3050000}"/>
    <cellStyle name="20% - Accent4 2 3 2 6" xfId="1496" xr:uid="{00000000-0005-0000-0000-0000D4050000}"/>
    <cellStyle name="20% - Accent4 2 3 3" xfId="1497" xr:uid="{00000000-0005-0000-0000-0000D5050000}"/>
    <cellStyle name="20% - Accent4 2 3 3 2" xfId="1498" xr:uid="{00000000-0005-0000-0000-0000D6050000}"/>
    <cellStyle name="20% - Accent4 2 3 3 2 2" xfId="1499" xr:uid="{00000000-0005-0000-0000-0000D7050000}"/>
    <cellStyle name="20% - Accent4 2 3 3 3" xfId="1500" xr:uid="{00000000-0005-0000-0000-0000D8050000}"/>
    <cellStyle name="20% - Accent4 2 3 3 4" xfId="1501" xr:uid="{00000000-0005-0000-0000-0000D9050000}"/>
    <cellStyle name="20% - Accent4 2 3 3 5" xfId="1502" xr:uid="{00000000-0005-0000-0000-0000DA050000}"/>
    <cellStyle name="20% - Accent4 2 3 4" xfId="1503" xr:uid="{00000000-0005-0000-0000-0000DB050000}"/>
    <cellStyle name="20% - Accent4 2 3 4 2" xfId="1504" xr:uid="{00000000-0005-0000-0000-0000DC050000}"/>
    <cellStyle name="20% - Accent4 2 3 4 3" xfId="1505" xr:uid="{00000000-0005-0000-0000-0000DD050000}"/>
    <cellStyle name="20% - Accent4 2 3 4 4" xfId="1506" xr:uid="{00000000-0005-0000-0000-0000DE050000}"/>
    <cellStyle name="20% - Accent4 2 3 5" xfId="1507" xr:uid="{00000000-0005-0000-0000-0000DF050000}"/>
    <cellStyle name="20% - Accent4 2 3 5 2" xfId="1508" xr:uid="{00000000-0005-0000-0000-0000E0050000}"/>
    <cellStyle name="20% - Accent4 2 3 6" xfId="1509" xr:uid="{00000000-0005-0000-0000-0000E1050000}"/>
    <cellStyle name="20% - Accent4 2 3 7" xfId="1510" xr:uid="{00000000-0005-0000-0000-0000E2050000}"/>
    <cellStyle name="20% - Accent4 2 3 8" xfId="1511" xr:uid="{00000000-0005-0000-0000-0000E3050000}"/>
    <cellStyle name="20% - Accent4 2 3 9" xfId="1512" xr:uid="{00000000-0005-0000-0000-0000E4050000}"/>
    <cellStyle name="20% - Accent4 2 4" xfId="1513" xr:uid="{00000000-0005-0000-0000-0000E5050000}"/>
    <cellStyle name="20% - Accent4 2 4 2" xfId="1514" xr:uid="{00000000-0005-0000-0000-0000E6050000}"/>
    <cellStyle name="20% - Accent4 2 4 2 2" xfId="1515" xr:uid="{00000000-0005-0000-0000-0000E7050000}"/>
    <cellStyle name="20% - Accent4 2 4 2 3" xfId="1516" xr:uid="{00000000-0005-0000-0000-0000E8050000}"/>
    <cellStyle name="20% - Accent4 2 4 3" xfId="1517" xr:uid="{00000000-0005-0000-0000-0000E9050000}"/>
    <cellStyle name="20% - Accent4 2 4 4" xfId="1518" xr:uid="{00000000-0005-0000-0000-0000EA050000}"/>
    <cellStyle name="20% - Accent4 2 4 5" xfId="1519" xr:uid="{00000000-0005-0000-0000-0000EB050000}"/>
    <cellStyle name="20% - Accent4 2 4 6" xfId="1520" xr:uid="{00000000-0005-0000-0000-0000EC050000}"/>
    <cellStyle name="20% - Accent4 2 5" xfId="1521" xr:uid="{00000000-0005-0000-0000-0000ED050000}"/>
    <cellStyle name="20% - Accent4 2 5 2" xfId="1522" xr:uid="{00000000-0005-0000-0000-0000EE050000}"/>
    <cellStyle name="20% - Accent4 2 5 2 2" xfId="1523" xr:uid="{00000000-0005-0000-0000-0000EF050000}"/>
    <cellStyle name="20% - Accent4 2 5 3" xfId="1524" xr:uid="{00000000-0005-0000-0000-0000F0050000}"/>
    <cellStyle name="20% - Accent4 2 5 4" xfId="1525" xr:uid="{00000000-0005-0000-0000-0000F1050000}"/>
    <cellStyle name="20% - Accent4 2 5 5" xfId="1526" xr:uid="{00000000-0005-0000-0000-0000F2050000}"/>
    <cellStyle name="20% - Accent4 2 6" xfId="1527" xr:uid="{00000000-0005-0000-0000-0000F3050000}"/>
    <cellStyle name="20% - Accent4 2 6 2" xfId="1528" xr:uid="{00000000-0005-0000-0000-0000F4050000}"/>
    <cellStyle name="20% - Accent4 2 6 2 2" xfId="1529" xr:uid="{00000000-0005-0000-0000-0000F5050000}"/>
    <cellStyle name="20% - Accent4 2 6 3" xfId="1530" xr:uid="{00000000-0005-0000-0000-0000F6050000}"/>
    <cellStyle name="20% - Accent4 2 6 4" xfId="1531" xr:uid="{00000000-0005-0000-0000-0000F7050000}"/>
    <cellStyle name="20% - Accent4 2 6 5" xfId="1532" xr:uid="{00000000-0005-0000-0000-0000F8050000}"/>
    <cellStyle name="20% - Accent4 2 7" xfId="1533" xr:uid="{00000000-0005-0000-0000-0000F9050000}"/>
    <cellStyle name="20% - Accent4 2 7 2" xfId="1534" xr:uid="{00000000-0005-0000-0000-0000FA050000}"/>
    <cellStyle name="20% - Accent4 2 8" xfId="1535" xr:uid="{00000000-0005-0000-0000-0000FB050000}"/>
    <cellStyle name="20% - Accent4 2 9" xfId="1536" xr:uid="{00000000-0005-0000-0000-0000FC050000}"/>
    <cellStyle name="20% - Accent4 3" xfId="1537" xr:uid="{00000000-0005-0000-0000-0000FD050000}"/>
    <cellStyle name="20% - Accent4 3 10" xfId="1538" xr:uid="{00000000-0005-0000-0000-0000FE050000}"/>
    <cellStyle name="20% - Accent4 3 2" xfId="1539" xr:uid="{00000000-0005-0000-0000-0000FF050000}"/>
    <cellStyle name="20% - Accent4 3 2 2" xfId="1540" xr:uid="{00000000-0005-0000-0000-000000060000}"/>
    <cellStyle name="20% - Accent4 3 2 2 2" xfId="1541" xr:uid="{00000000-0005-0000-0000-000001060000}"/>
    <cellStyle name="20% - Accent4 3 2 2 2 2" xfId="1542" xr:uid="{00000000-0005-0000-0000-000002060000}"/>
    <cellStyle name="20% - Accent4 3 2 2 2 3" xfId="1543" xr:uid="{00000000-0005-0000-0000-000003060000}"/>
    <cellStyle name="20% - Accent4 3 2 2 3" xfId="1544" xr:uid="{00000000-0005-0000-0000-000004060000}"/>
    <cellStyle name="20% - Accent4 3 2 2 4" xfId="1545" xr:uid="{00000000-0005-0000-0000-000005060000}"/>
    <cellStyle name="20% - Accent4 3 2 2 5" xfId="1546" xr:uid="{00000000-0005-0000-0000-000006060000}"/>
    <cellStyle name="20% - Accent4 3 2 2 6" xfId="1547" xr:uid="{00000000-0005-0000-0000-000007060000}"/>
    <cellStyle name="20% - Accent4 3 2 3" xfId="1548" xr:uid="{00000000-0005-0000-0000-000008060000}"/>
    <cellStyle name="20% - Accent4 3 2 3 2" xfId="1549" xr:uid="{00000000-0005-0000-0000-000009060000}"/>
    <cellStyle name="20% - Accent4 3 2 3 2 2" xfId="1550" xr:uid="{00000000-0005-0000-0000-00000A060000}"/>
    <cellStyle name="20% - Accent4 3 2 3 3" xfId="1551" xr:uid="{00000000-0005-0000-0000-00000B060000}"/>
    <cellStyle name="20% - Accent4 3 2 3 4" xfId="1552" xr:uid="{00000000-0005-0000-0000-00000C060000}"/>
    <cellStyle name="20% - Accent4 3 2 3 5" xfId="1553" xr:uid="{00000000-0005-0000-0000-00000D060000}"/>
    <cellStyle name="20% - Accent4 3 2 4" xfId="1554" xr:uid="{00000000-0005-0000-0000-00000E060000}"/>
    <cellStyle name="20% - Accent4 3 2 4 2" xfId="1555" xr:uid="{00000000-0005-0000-0000-00000F060000}"/>
    <cellStyle name="20% - Accent4 3 2 4 3" xfId="1556" xr:uid="{00000000-0005-0000-0000-000010060000}"/>
    <cellStyle name="20% - Accent4 3 2 4 4" xfId="1557" xr:uid="{00000000-0005-0000-0000-000011060000}"/>
    <cellStyle name="20% - Accent4 3 2 5" xfId="1558" xr:uid="{00000000-0005-0000-0000-000012060000}"/>
    <cellStyle name="20% - Accent4 3 2 5 2" xfId="1559" xr:uid="{00000000-0005-0000-0000-000013060000}"/>
    <cellStyle name="20% - Accent4 3 2 6" xfId="1560" xr:uid="{00000000-0005-0000-0000-000014060000}"/>
    <cellStyle name="20% - Accent4 3 2 7" xfId="1561" xr:uid="{00000000-0005-0000-0000-000015060000}"/>
    <cellStyle name="20% - Accent4 3 2 8" xfId="1562" xr:uid="{00000000-0005-0000-0000-000016060000}"/>
    <cellStyle name="20% - Accent4 3 2 9" xfId="1563" xr:uid="{00000000-0005-0000-0000-000017060000}"/>
    <cellStyle name="20% - Accent4 3 3" xfId="1564" xr:uid="{00000000-0005-0000-0000-000018060000}"/>
    <cellStyle name="20% - Accent4 3 3 2" xfId="1565" xr:uid="{00000000-0005-0000-0000-000019060000}"/>
    <cellStyle name="20% - Accent4 3 3 2 2" xfId="1566" xr:uid="{00000000-0005-0000-0000-00001A060000}"/>
    <cellStyle name="20% - Accent4 3 3 2 3" xfId="1567" xr:uid="{00000000-0005-0000-0000-00001B060000}"/>
    <cellStyle name="20% - Accent4 3 3 3" xfId="1568" xr:uid="{00000000-0005-0000-0000-00001C060000}"/>
    <cellStyle name="20% - Accent4 3 3 4" xfId="1569" xr:uid="{00000000-0005-0000-0000-00001D060000}"/>
    <cellStyle name="20% - Accent4 3 3 5" xfId="1570" xr:uid="{00000000-0005-0000-0000-00001E060000}"/>
    <cellStyle name="20% - Accent4 3 3 6" xfId="1571" xr:uid="{00000000-0005-0000-0000-00001F060000}"/>
    <cellStyle name="20% - Accent4 3 4" xfId="1572" xr:uid="{00000000-0005-0000-0000-000020060000}"/>
    <cellStyle name="20% - Accent4 3 4 2" xfId="1573" xr:uid="{00000000-0005-0000-0000-000021060000}"/>
    <cellStyle name="20% - Accent4 3 4 2 2" xfId="1574" xr:uid="{00000000-0005-0000-0000-000022060000}"/>
    <cellStyle name="20% - Accent4 3 4 3" xfId="1575" xr:uid="{00000000-0005-0000-0000-000023060000}"/>
    <cellStyle name="20% - Accent4 3 4 4" xfId="1576" xr:uid="{00000000-0005-0000-0000-000024060000}"/>
    <cellStyle name="20% - Accent4 3 4 5" xfId="1577" xr:uid="{00000000-0005-0000-0000-000025060000}"/>
    <cellStyle name="20% - Accent4 3 5" xfId="1578" xr:uid="{00000000-0005-0000-0000-000026060000}"/>
    <cellStyle name="20% - Accent4 3 5 2" xfId="1579" xr:uid="{00000000-0005-0000-0000-000027060000}"/>
    <cellStyle name="20% - Accent4 3 5 2 2" xfId="1580" xr:uid="{00000000-0005-0000-0000-000028060000}"/>
    <cellStyle name="20% - Accent4 3 5 3" xfId="1581" xr:uid="{00000000-0005-0000-0000-000029060000}"/>
    <cellStyle name="20% - Accent4 3 5 4" xfId="1582" xr:uid="{00000000-0005-0000-0000-00002A060000}"/>
    <cellStyle name="20% - Accent4 3 5 5" xfId="1583" xr:uid="{00000000-0005-0000-0000-00002B060000}"/>
    <cellStyle name="20% - Accent4 3 6" xfId="1584" xr:uid="{00000000-0005-0000-0000-00002C060000}"/>
    <cellStyle name="20% - Accent4 3 6 2" xfId="1585" xr:uid="{00000000-0005-0000-0000-00002D060000}"/>
    <cellStyle name="20% - Accent4 3 7" xfId="1586" xr:uid="{00000000-0005-0000-0000-00002E060000}"/>
    <cellStyle name="20% - Accent4 3 8" xfId="1587" xr:uid="{00000000-0005-0000-0000-00002F060000}"/>
    <cellStyle name="20% - Accent4 3 9" xfId="1588" xr:uid="{00000000-0005-0000-0000-000030060000}"/>
    <cellStyle name="20% - Accent4 4" xfId="1589" xr:uid="{00000000-0005-0000-0000-000031060000}"/>
    <cellStyle name="20% - Accent4 4 10" xfId="1590" xr:uid="{00000000-0005-0000-0000-000032060000}"/>
    <cellStyle name="20% - Accent4 4 2" xfId="1591" xr:uid="{00000000-0005-0000-0000-000033060000}"/>
    <cellStyle name="20% - Accent4 4 2 2" xfId="1592" xr:uid="{00000000-0005-0000-0000-000034060000}"/>
    <cellStyle name="20% - Accent4 4 2 2 2" xfId="1593" xr:uid="{00000000-0005-0000-0000-000035060000}"/>
    <cellStyle name="20% - Accent4 4 2 2 2 2" xfId="1594" xr:uid="{00000000-0005-0000-0000-000036060000}"/>
    <cellStyle name="20% - Accent4 4 2 2 2 3" xfId="1595" xr:uid="{00000000-0005-0000-0000-000037060000}"/>
    <cellStyle name="20% - Accent4 4 2 2 3" xfId="1596" xr:uid="{00000000-0005-0000-0000-000038060000}"/>
    <cellStyle name="20% - Accent4 4 2 2 4" xfId="1597" xr:uid="{00000000-0005-0000-0000-000039060000}"/>
    <cellStyle name="20% - Accent4 4 2 2 5" xfId="1598" xr:uid="{00000000-0005-0000-0000-00003A060000}"/>
    <cellStyle name="20% - Accent4 4 2 2 6" xfId="1599" xr:uid="{00000000-0005-0000-0000-00003B060000}"/>
    <cellStyle name="20% - Accent4 4 2 3" xfId="1600" xr:uid="{00000000-0005-0000-0000-00003C060000}"/>
    <cellStyle name="20% - Accent4 4 2 3 2" xfId="1601" xr:uid="{00000000-0005-0000-0000-00003D060000}"/>
    <cellStyle name="20% - Accent4 4 2 3 2 2" xfId="1602" xr:uid="{00000000-0005-0000-0000-00003E060000}"/>
    <cellStyle name="20% - Accent4 4 2 3 3" xfId="1603" xr:uid="{00000000-0005-0000-0000-00003F060000}"/>
    <cellStyle name="20% - Accent4 4 2 3 4" xfId="1604" xr:uid="{00000000-0005-0000-0000-000040060000}"/>
    <cellStyle name="20% - Accent4 4 2 3 5" xfId="1605" xr:uid="{00000000-0005-0000-0000-000041060000}"/>
    <cellStyle name="20% - Accent4 4 2 4" xfId="1606" xr:uid="{00000000-0005-0000-0000-000042060000}"/>
    <cellStyle name="20% - Accent4 4 2 4 2" xfId="1607" xr:uid="{00000000-0005-0000-0000-000043060000}"/>
    <cellStyle name="20% - Accent4 4 2 4 3" xfId="1608" xr:uid="{00000000-0005-0000-0000-000044060000}"/>
    <cellStyle name="20% - Accent4 4 2 4 4" xfId="1609" xr:uid="{00000000-0005-0000-0000-000045060000}"/>
    <cellStyle name="20% - Accent4 4 2 5" xfId="1610" xr:uid="{00000000-0005-0000-0000-000046060000}"/>
    <cellStyle name="20% - Accent4 4 2 5 2" xfId="1611" xr:uid="{00000000-0005-0000-0000-000047060000}"/>
    <cellStyle name="20% - Accent4 4 2 6" xfId="1612" xr:uid="{00000000-0005-0000-0000-000048060000}"/>
    <cellStyle name="20% - Accent4 4 2 7" xfId="1613" xr:uid="{00000000-0005-0000-0000-000049060000}"/>
    <cellStyle name="20% - Accent4 4 2 8" xfId="1614" xr:uid="{00000000-0005-0000-0000-00004A060000}"/>
    <cellStyle name="20% - Accent4 4 2 9" xfId="1615" xr:uid="{00000000-0005-0000-0000-00004B060000}"/>
    <cellStyle name="20% - Accent4 4 3" xfId="1616" xr:uid="{00000000-0005-0000-0000-00004C060000}"/>
    <cellStyle name="20% - Accent4 4 3 2" xfId="1617" xr:uid="{00000000-0005-0000-0000-00004D060000}"/>
    <cellStyle name="20% - Accent4 4 3 2 2" xfId="1618" xr:uid="{00000000-0005-0000-0000-00004E060000}"/>
    <cellStyle name="20% - Accent4 4 3 2 3" xfId="1619" xr:uid="{00000000-0005-0000-0000-00004F060000}"/>
    <cellStyle name="20% - Accent4 4 3 3" xfId="1620" xr:uid="{00000000-0005-0000-0000-000050060000}"/>
    <cellStyle name="20% - Accent4 4 3 4" xfId="1621" xr:uid="{00000000-0005-0000-0000-000051060000}"/>
    <cellStyle name="20% - Accent4 4 3 5" xfId="1622" xr:uid="{00000000-0005-0000-0000-000052060000}"/>
    <cellStyle name="20% - Accent4 4 3 6" xfId="1623" xr:uid="{00000000-0005-0000-0000-000053060000}"/>
    <cellStyle name="20% - Accent4 4 4" xfId="1624" xr:uid="{00000000-0005-0000-0000-000054060000}"/>
    <cellStyle name="20% - Accent4 4 4 2" xfId="1625" xr:uid="{00000000-0005-0000-0000-000055060000}"/>
    <cellStyle name="20% - Accent4 4 4 2 2" xfId="1626" xr:uid="{00000000-0005-0000-0000-000056060000}"/>
    <cellStyle name="20% - Accent4 4 4 3" xfId="1627" xr:uid="{00000000-0005-0000-0000-000057060000}"/>
    <cellStyle name="20% - Accent4 4 4 4" xfId="1628" xr:uid="{00000000-0005-0000-0000-000058060000}"/>
    <cellStyle name="20% - Accent4 4 4 5" xfId="1629" xr:uid="{00000000-0005-0000-0000-000059060000}"/>
    <cellStyle name="20% - Accent4 4 5" xfId="1630" xr:uid="{00000000-0005-0000-0000-00005A060000}"/>
    <cellStyle name="20% - Accent4 4 5 2" xfId="1631" xr:uid="{00000000-0005-0000-0000-00005B060000}"/>
    <cellStyle name="20% - Accent4 4 5 2 2" xfId="1632" xr:uid="{00000000-0005-0000-0000-00005C060000}"/>
    <cellStyle name="20% - Accent4 4 5 3" xfId="1633" xr:uid="{00000000-0005-0000-0000-00005D060000}"/>
    <cellStyle name="20% - Accent4 4 5 4" xfId="1634" xr:uid="{00000000-0005-0000-0000-00005E060000}"/>
    <cellStyle name="20% - Accent4 4 5 5" xfId="1635" xr:uid="{00000000-0005-0000-0000-00005F060000}"/>
    <cellStyle name="20% - Accent4 4 6" xfId="1636" xr:uid="{00000000-0005-0000-0000-000060060000}"/>
    <cellStyle name="20% - Accent4 4 6 2" xfId="1637" xr:uid="{00000000-0005-0000-0000-000061060000}"/>
    <cellStyle name="20% - Accent4 4 7" xfId="1638" xr:uid="{00000000-0005-0000-0000-000062060000}"/>
    <cellStyle name="20% - Accent4 4 8" xfId="1639" xr:uid="{00000000-0005-0000-0000-000063060000}"/>
    <cellStyle name="20% - Accent4 4 9" xfId="1640" xr:uid="{00000000-0005-0000-0000-000064060000}"/>
    <cellStyle name="20% - Accent4 5" xfId="1641" xr:uid="{00000000-0005-0000-0000-000065060000}"/>
    <cellStyle name="20% - Accent4 5 10" xfId="1642" xr:uid="{00000000-0005-0000-0000-000066060000}"/>
    <cellStyle name="20% - Accent4 5 2" xfId="1643" xr:uid="{00000000-0005-0000-0000-000067060000}"/>
    <cellStyle name="20% - Accent4 5 2 2" xfId="1644" xr:uid="{00000000-0005-0000-0000-000068060000}"/>
    <cellStyle name="20% - Accent4 5 2 2 2" xfId="1645" xr:uid="{00000000-0005-0000-0000-000069060000}"/>
    <cellStyle name="20% - Accent4 5 2 2 2 2" xfId="1646" xr:uid="{00000000-0005-0000-0000-00006A060000}"/>
    <cellStyle name="20% - Accent4 5 2 2 2 3" xfId="1647" xr:uid="{00000000-0005-0000-0000-00006B060000}"/>
    <cellStyle name="20% - Accent4 5 2 2 3" xfId="1648" xr:uid="{00000000-0005-0000-0000-00006C060000}"/>
    <cellStyle name="20% - Accent4 5 2 2 4" xfId="1649" xr:uid="{00000000-0005-0000-0000-00006D060000}"/>
    <cellStyle name="20% - Accent4 5 2 2 5" xfId="1650" xr:uid="{00000000-0005-0000-0000-00006E060000}"/>
    <cellStyle name="20% - Accent4 5 2 2 6" xfId="1651" xr:uid="{00000000-0005-0000-0000-00006F060000}"/>
    <cellStyle name="20% - Accent4 5 2 3" xfId="1652" xr:uid="{00000000-0005-0000-0000-000070060000}"/>
    <cellStyle name="20% - Accent4 5 2 3 2" xfId="1653" xr:uid="{00000000-0005-0000-0000-000071060000}"/>
    <cellStyle name="20% - Accent4 5 2 3 2 2" xfId="1654" xr:uid="{00000000-0005-0000-0000-000072060000}"/>
    <cellStyle name="20% - Accent4 5 2 3 3" xfId="1655" xr:uid="{00000000-0005-0000-0000-000073060000}"/>
    <cellStyle name="20% - Accent4 5 2 3 4" xfId="1656" xr:uid="{00000000-0005-0000-0000-000074060000}"/>
    <cellStyle name="20% - Accent4 5 2 3 5" xfId="1657" xr:uid="{00000000-0005-0000-0000-000075060000}"/>
    <cellStyle name="20% - Accent4 5 2 4" xfId="1658" xr:uid="{00000000-0005-0000-0000-000076060000}"/>
    <cellStyle name="20% - Accent4 5 2 4 2" xfId="1659" xr:uid="{00000000-0005-0000-0000-000077060000}"/>
    <cellStyle name="20% - Accent4 5 2 4 3" xfId="1660" xr:uid="{00000000-0005-0000-0000-000078060000}"/>
    <cellStyle name="20% - Accent4 5 2 4 4" xfId="1661" xr:uid="{00000000-0005-0000-0000-000079060000}"/>
    <cellStyle name="20% - Accent4 5 2 5" xfId="1662" xr:uid="{00000000-0005-0000-0000-00007A060000}"/>
    <cellStyle name="20% - Accent4 5 2 5 2" xfId="1663" xr:uid="{00000000-0005-0000-0000-00007B060000}"/>
    <cellStyle name="20% - Accent4 5 2 6" xfId="1664" xr:uid="{00000000-0005-0000-0000-00007C060000}"/>
    <cellStyle name="20% - Accent4 5 2 7" xfId="1665" xr:uid="{00000000-0005-0000-0000-00007D060000}"/>
    <cellStyle name="20% - Accent4 5 2 8" xfId="1666" xr:uid="{00000000-0005-0000-0000-00007E060000}"/>
    <cellStyle name="20% - Accent4 5 2 9" xfId="1667" xr:uid="{00000000-0005-0000-0000-00007F060000}"/>
    <cellStyle name="20% - Accent4 5 3" xfId="1668" xr:uid="{00000000-0005-0000-0000-000080060000}"/>
    <cellStyle name="20% - Accent4 5 3 2" xfId="1669" xr:uid="{00000000-0005-0000-0000-000081060000}"/>
    <cellStyle name="20% - Accent4 5 3 2 2" xfId="1670" xr:uid="{00000000-0005-0000-0000-000082060000}"/>
    <cellStyle name="20% - Accent4 5 3 2 3" xfId="1671" xr:uid="{00000000-0005-0000-0000-000083060000}"/>
    <cellStyle name="20% - Accent4 5 3 3" xfId="1672" xr:uid="{00000000-0005-0000-0000-000084060000}"/>
    <cellStyle name="20% - Accent4 5 3 4" xfId="1673" xr:uid="{00000000-0005-0000-0000-000085060000}"/>
    <cellStyle name="20% - Accent4 5 3 5" xfId="1674" xr:uid="{00000000-0005-0000-0000-000086060000}"/>
    <cellStyle name="20% - Accent4 5 3 6" xfId="1675" xr:uid="{00000000-0005-0000-0000-000087060000}"/>
    <cellStyle name="20% - Accent4 5 4" xfId="1676" xr:uid="{00000000-0005-0000-0000-000088060000}"/>
    <cellStyle name="20% - Accent4 5 4 2" xfId="1677" xr:uid="{00000000-0005-0000-0000-000089060000}"/>
    <cellStyle name="20% - Accent4 5 4 2 2" xfId="1678" xr:uid="{00000000-0005-0000-0000-00008A060000}"/>
    <cellStyle name="20% - Accent4 5 4 3" xfId="1679" xr:uid="{00000000-0005-0000-0000-00008B060000}"/>
    <cellStyle name="20% - Accent4 5 4 4" xfId="1680" xr:uid="{00000000-0005-0000-0000-00008C060000}"/>
    <cellStyle name="20% - Accent4 5 4 5" xfId="1681" xr:uid="{00000000-0005-0000-0000-00008D060000}"/>
    <cellStyle name="20% - Accent4 5 5" xfId="1682" xr:uid="{00000000-0005-0000-0000-00008E060000}"/>
    <cellStyle name="20% - Accent4 5 5 2" xfId="1683" xr:uid="{00000000-0005-0000-0000-00008F060000}"/>
    <cellStyle name="20% - Accent4 5 5 3" xfId="1684" xr:uid="{00000000-0005-0000-0000-000090060000}"/>
    <cellStyle name="20% - Accent4 5 5 4" xfId="1685" xr:uid="{00000000-0005-0000-0000-000091060000}"/>
    <cellStyle name="20% - Accent4 5 6" xfId="1686" xr:uid="{00000000-0005-0000-0000-000092060000}"/>
    <cellStyle name="20% - Accent4 5 6 2" xfId="1687" xr:uid="{00000000-0005-0000-0000-000093060000}"/>
    <cellStyle name="20% - Accent4 5 7" xfId="1688" xr:uid="{00000000-0005-0000-0000-000094060000}"/>
    <cellStyle name="20% - Accent4 5 8" xfId="1689" xr:uid="{00000000-0005-0000-0000-000095060000}"/>
    <cellStyle name="20% - Accent4 5 9" xfId="1690" xr:uid="{00000000-0005-0000-0000-000096060000}"/>
    <cellStyle name="20% - Accent4 6" xfId="1691" xr:uid="{00000000-0005-0000-0000-000097060000}"/>
    <cellStyle name="20% - Accent4 6 10" xfId="1692" xr:uid="{00000000-0005-0000-0000-000098060000}"/>
    <cellStyle name="20% - Accent4 6 2" xfId="1693" xr:uid="{00000000-0005-0000-0000-000099060000}"/>
    <cellStyle name="20% - Accent4 6 2 2" xfId="1694" xr:uid="{00000000-0005-0000-0000-00009A060000}"/>
    <cellStyle name="20% - Accent4 6 2 2 2" xfId="1695" xr:uid="{00000000-0005-0000-0000-00009B060000}"/>
    <cellStyle name="20% - Accent4 6 2 2 2 2" xfId="1696" xr:uid="{00000000-0005-0000-0000-00009C060000}"/>
    <cellStyle name="20% - Accent4 6 2 2 2 3" xfId="1697" xr:uid="{00000000-0005-0000-0000-00009D060000}"/>
    <cellStyle name="20% - Accent4 6 2 2 3" xfId="1698" xr:uid="{00000000-0005-0000-0000-00009E060000}"/>
    <cellStyle name="20% - Accent4 6 2 2 4" xfId="1699" xr:uid="{00000000-0005-0000-0000-00009F060000}"/>
    <cellStyle name="20% - Accent4 6 2 2 5" xfId="1700" xr:uid="{00000000-0005-0000-0000-0000A0060000}"/>
    <cellStyle name="20% - Accent4 6 2 2 6" xfId="1701" xr:uid="{00000000-0005-0000-0000-0000A1060000}"/>
    <cellStyle name="20% - Accent4 6 2 3" xfId="1702" xr:uid="{00000000-0005-0000-0000-0000A2060000}"/>
    <cellStyle name="20% - Accent4 6 2 3 2" xfId="1703" xr:uid="{00000000-0005-0000-0000-0000A3060000}"/>
    <cellStyle name="20% - Accent4 6 2 3 2 2" xfId="1704" xr:uid="{00000000-0005-0000-0000-0000A4060000}"/>
    <cellStyle name="20% - Accent4 6 2 3 3" xfId="1705" xr:uid="{00000000-0005-0000-0000-0000A5060000}"/>
    <cellStyle name="20% - Accent4 6 2 3 4" xfId="1706" xr:uid="{00000000-0005-0000-0000-0000A6060000}"/>
    <cellStyle name="20% - Accent4 6 2 3 5" xfId="1707" xr:uid="{00000000-0005-0000-0000-0000A7060000}"/>
    <cellStyle name="20% - Accent4 6 2 4" xfId="1708" xr:uid="{00000000-0005-0000-0000-0000A8060000}"/>
    <cellStyle name="20% - Accent4 6 2 4 2" xfId="1709" xr:uid="{00000000-0005-0000-0000-0000A9060000}"/>
    <cellStyle name="20% - Accent4 6 2 4 3" xfId="1710" xr:uid="{00000000-0005-0000-0000-0000AA060000}"/>
    <cellStyle name="20% - Accent4 6 2 4 4" xfId="1711" xr:uid="{00000000-0005-0000-0000-0000AB060000}"/>
    <cellStyle name="20% - Accent4 6 2 5" xfId="1712" xr:uid="{00000000-0005-0000-0000-0000AC060000}"/>
    <cellStyle name="20% - Accent4 6 2 5 2" xfId="1713" xr:uid="{00000000-0005-0000-0000-0000AD060000}"/>
    <cellStyle name="20% - Accent4 6 2 6" xfId="1714" xr:uid="{00000000-0005-0000-0000-0000AE060000}"/>
    <cellStyle name="20% - Accent4 6 2 7" xfId="1715" xr:uid="{00000000-0005-0000-0000-0000AF060000}"/>
    <cellStyle name="20% - Accent4 6 2 8" xfId="1716" xr:uid="{00000000-0005-0000-0000-0000B0060000}"/>
    <cellStyle name="20% - Accent4 6 2 9" xfId="1717" xr:uid="{00000000-0005-0000-0000-0000B1060000}"/>
    <cellStyle name="20% - Accent4 6 3" xfId="1718" xr:uid="{00000000-0005-0000-0000-0000B2060000}"/>
    <cellStyle name="20% - Accent4 6 3 2" xfId="1719" xr:uid="{00000000-0005-0000-0000-0000B3060000}"/>
    <cellStyle name="20% - Accent4 6 3 2 2" xfId="1720" xr:uid="{00000000-0005-0000-0000-0000B4060000}"/>
    <cellStyle name="20% - Accent4 6 3 2 3" xfId="1721" xr:uid="{00000000-0005-0000-0000-0000B5060000}"/>
    <cellStyle name="20% - Accent4 6 3 3" xfId="1722" xr:uid="{00000000-0005-0000-0000-0000B6060000}"/>
    <cellStyle name="20% - Accent4 6 3 4" xfId="1723" xr:uid="{00000000-0005-0000-0000-0000B7060000}"/>
    <cellStyle name="20% - Accent4 6 3 5" xfId="1724" xr:uid="{00000000-0005-0000-0000-0000B8060000}"/>
    <cellStyle name="20% - Accent4 6 3 6" xfId="1725" xr:uid="{00000000-0005-0000-0000-0000B9060000}"/>
    <cellStyle name="20% - Accent4 6 4" xfId="1726" xr:uid="{00000000-0005-0000-0000-0000BA060000}"/>
    <cellStyle name="20% - Accent4 6 4 2" xfId="1727" xr:uid="{00000000-0005-0000-0000-0000BB060000}"/>
    <cellStyle name="20% - Accent4 6 4 2 2" xfId="1728" xr:uid="{00000000-0005-0000-0000-0000BC060000}"/>
    <cellStyle name="20% - Accent4 6 4 3" xfId="1729" xr:uid="{00000000-0005-0000-0000-0000BD060000}"/>
    <cellStyle name="20% - Accent4 6 4 4" xfId="1730" xr:uid="{00000000-0005-0000-0000-0000BE060000}"/>
    <cellStyle name="20% - Accent4 6 4 5" xfId="1731" xr:uid="{00000000-0005-0000-0000-0000BF060000}"/>
    <cellStyle name="20% - Accent4 6 5" xfId="1732" xr:uid="{00000000-0005-0000-0000-0000C0060000}"/>
    <cellStyle name="20% - Accent4 6 5 2" xfId="1733" xr:uid="{00000000-0005-0000-0000-0000C1060000}"/>
    <cellStyle name="20% - Accent4 6 5 3" xfId="1734" xr:uid="{00000000-0005-0000-0000-0000C2060000}"/>
    <cellStyle name="20% - Accent4 6 5 4" xfId="1735" xr:uid="{00000000-0005-0000-0000-0000C3060000}"/>
    <cellStyle name="20% - Accent4 6 6" xfId="1736" xr:uid="{00000000-0005-0000-0000-0000C4060000}"/>
    <cellStyle name="20% - Accent4 6 6 2" xfId="1737" xr:uid="{00000000-0005-0000-0000-0000C5060000}"/>
    <cellStyle name="20% - Accent4 6 7" xfId="1738" xr:uid="{00000000-0005-0000-0000-0000C6060000}"/>
    <cellStyle name="20% - Accent4 6 8" xfId="1739" xr:uid="{00000000-0005-0000-0000-0000C7060000}"/>
    <cellStyle name="20% - Accent4 6 9" xfId="1740" xr:uid="{00000000-0005-0000-0000-0000C8060000}"/>
    <cellStyle name="20% - Accent4 7" xfId="1741" xr:uid="{00000000-0005-0000-0000-0000C9060000}"/>
    <cellStyle name="20% - Accent4 7 2" xfId="1742" xr:uid="{00000000-0005-0000-0000-0000CA060000}"/>
    <cellStyle name="20% - Accent4 7 2 2" xfId="1743" xr:uid="{00000000-0005-0000-0000-0000CB060000}"/>
    <cellStyle name="20% - Accent4 7 2 2 2" xfId="1744" xr:uid="{00000000-0005-0000-0000-0000CC060000}"/>
    <cellStyle name="20% - Accent4 7 2 2 3" xfId="1745" xr:uid="{00000000-0005-0000-0000-0000CD060000}"/>
    <cellStyle name="20% - Accent4 7 2 3" xfId="1746" xr:uid="{00000000-0005-0000-0000-0000CE060000}"/>
    <cellStyle name="20% - Accent4 7 2 4" xfId="1747" xr:uid="{00000000-0005-0000-0000-0000CF060000}"/>
    <cellStyle name="20% - Accent4 7 2 5" xfId="1748" xr:uid="{00000000-0005-0000-0000-0000D0060000}"/>
    <cellStyle name="20% - Accent4 7 2 6" xfId="1749" xr:uid="{00000000-0005-0000-0000-0000D1060000}"/>
    <cellStyle name="20% - Accent4 7 3" xfId="1750" xr:uid="{00000000-0005-0000-0000-0000D2060000}"/>
    <cellStyle name="20% - Accent4 7 3 2" xfId="1751" xr:uid="{00000000-0005-0000-0000-0000D3060000}"/>
    <cellStyle name="20% - Accent4 7 3 2 2" xfId="1752" xr:uid="{00000000-0005-0000-0000-0000D4060000}"/>
    <cellStyle name="20% - Accent4 7 3 3" xfId="1753" xr:uid="{00000000-0005-0000-0000-0000D5060000}"/>
    <cellStyle name="20% - Accent4 7 3 4" xfId="1754" xr:uid="{00000000-0005-0000-0000-0000D6060000}"/>
    <cellStyle name="20% - Accent4 7 3 5" xfId="1755" xr:uid="{00000000-0005-0000-0000-0000D7060000}"/>
    <cellStyle name="20% - Accent4 7 4" xfId="1756" xr:uid="{00000000-0005-0000-0000-0000D8060000}"/>
    <cellStyle name="20% - Accent4 7 4 2" xfId="1757" xr:uid="{00000000-0005-0000-0000-0000D9060000}"/>
    <cellStyle name="20% - Accent4 7 4 3" xfId="1758" xr:uid="{00000000-0005-0000-0000-0000DA060000}"/>
    <cellStyle name="20% - Accent4 7 4 4" xfId="1759" xr:uid="{00000000-0005-0000-0000-0000DB060000}"/>
    <cellStyle name="20% - Accent4 7 5" xfId="1760" xr:uid="{00000000-0005-0000-0000-0000DC060000}"/>
    <cellStyle name="20% - Accent4 7 5 2" xfId="1761" xr:uid="{00000000-0005-0000-0000-0000DD060000}"/>
    <cellStyle name="20% - Accent4 7 6" xfId="1762" xr:uid="{00000000-0005-0000-0000-0000DE060000}"/>
    <cellStyle name="20% - Accent4 7 7" xfId="1763" xr:uid="{00000000-0005-0000-0000-0000DF060000}"/>
    <cellStyle name="20% - Accent4 7 8" xfId="1764" xr:uid="{00000000-0005-0000-0000-0000E0060000}"/>
    <cellStyle name="20% - Accent4 7 9" xfId="1765" xr:uid="{00000000-0005-0000-0000-0000E1060000}"/>
    <cellStyle name="20% - Accent4 8" xfId="1766" xr:uid="{00000000-0005-0000-0000-0000E2060000}"/>
    <cellStyle name="20% - Accent4 8 2" xfId="1767" xr:uid="{00000000-0005-0000-0000-0000E3060000}"/>
    <cellStyle name="20% - Accent4 8 2 2" xfId="1768" xr:uid="{00000000-0005-0000-0000-0000E4060000}"/>
    <cellStyle name="20% - Accent4 8 2 2 2" xfId="1769" xr:uid="{00000000-0005-0000-0000-0000E5060000}"/>
    <cellStyle name="20% - Accent4 8 2 2 3" xfId="1770" xr:uid="{00000000-0005-0000-0000-0000E6060000}"/>
    <cellStyle name="20% - Accent4 8 2 3" xfId="1771" xr:uid="{00000000-0005-0000-0000-0000E7060000}"/>
    <cellStyle name="20% - Accent4 8 2 4" xfId="1772" xr:uid="{00000000-0005-0000-0000-0000E8060000}"/>
    <cellStyle name="20% - Accent4 8 2 5" xfId="1773" xr:uid="{00000000-0005-0000-0000-0000E9060000}"/>
    <cellStyle name="20% - Accent4 8 2 6" xfId="1774" xr:uid="{00000000-0005-0000-0000-0000EA060000}"/>
    <cellStyle name="20% - Accent4 8 3" xfId="1775" xr:uid="{00000000-0005-0000-0000-0000EB060000}"/>
    <cellStyle name="20% - Accent4 8 3 2" xfId="1776" xr:uid="{00000000-0005-0000-0000-0000EC060000}"/>
    <cellStyle name="20% - Accent4 8 3 2 2" xfId="1777" xr:uid="{00000000-0005-0000-0000-0000ED060000}"/>
    <cellStyle name="20% - Accent4 8 3 3" xfId="1778" xr:uid="{00000000-0005-0000-0000-0000EE060000}"/>
    <cellStyle name="20% - Accent4 8 3 4" xfId="1779" xr:uid="{00000000-0005-0000-0000-0000EF060000}"/>
    <cellStyle name="20% - Accent4 8 3 5" xfId="1780" xr:uid="{00000000-0005-0000-0000-0000F0060000}"/>
    <cellStyle name="20% - Accent4 8 4" xfId="1781" xr:uid="{00000000-0005-0000-0000-0000F1060000}"/>
    <cellStyle name="20% - Accent4 8 4 2" xfId="1782" xr:uid="{00000000-0005-0000-0000-0000F2060000}"/>
    <cellStyle name="20% - Accent4 8 4 3" xfId="1783" xr:uid="{00000000-0005-0000-0000-0000F3060000}"/>
    <cellStyle name="20% - Accent4 8 4 4" xfId="1784" xr:uid="{00000000-0005-0000-0000-0000F4060000}"/>
    <cellStyle name="20% - Accent4 8 5" xfId="1785" xr:uid="{00000000-0005-0000-0000-0000F5060000}"/>
    <cellStyle name="20% - Accent4 8 5 2" xfId="1786" xr:uid="{00000000-0005-0000-0000-0000F6060000}"/>
    <cellStyle name="20% - Accent4 8 6" xfId="1787" xr:uid="{00000000-0005-0000-0000-0000F7060000}"/>
    <cellStyle name="20% - Accent4 8 7" xfId="1788" xr:uid="{00000000-0005-0000-0000-0000F8060000}"/>
    <cellStyle name="20% - Accent4 8 8" xfId="1789" xr:uid="{00000000-0005-0000-0000-0000F9060000}"/>
    <cellStyle name="20% - Accent4 8 9" xfId="1790" xr:uid="{00000000-0005-0000-0000-0000FA060000}"/>
    <cellStyle name="20% - Accent4 9" xfId="1791" xr:uid="{00000000-0005-0000-0000-0000FB060000}"/>
    <cellStyle name="20% - Accent4 9 2" xfId="1792" xr:uid="{00000000-0005-0000-0000-0000FC060000}"/>
    <cellStyle name="20% - Accent4 9 2 2" xfId="1793" xr:uid="{00000000-0005-0000-0000-0000FD060000}"/>
    <cellStyle name="20% - Accent4 9 2 2 2" xfId="1794" xr:uid="{00000000-0005-0000-0000-0000FE060000}"/>
    <cellStyle name="20% - Accent4 9 2 3" xfId="1795" xr:uid="{00000000-0005-0000-0000-0000FF060000}"/>
    <cellStyle name="20% - Accent4 9 2 4" xfId="1796" xr:uid="{00000000-0005-0000-0000-000000070000}"/>
    <cellStyle name="20% - Accent4 9 2 5" xfId="1797" xr:uid="{00000000-0005-0000-0000-000001070000}"/>
    <cellStyle name="20% - Accent4 9 3" xfId="1798" xr:uid="{00000000-0005-0000-0000-000002070000}"/>
    <cellStyle name="20% - Accent4 9 3 2" xfId="1799" xr:uid="{00000000-0005-0000-0000-000003070000}"/>
    <cellStyle name="20% - Accent4 9 3 3" xfId="1800" xr:uid="{00000000-0005-0000-0000-000004070000}"/>
    <cellStyle name="20% - Accent4 9 3 4" xfId="1801" xr:uid="{00000000-0005-0000-0000-000005070000}"/>
    <cellStyle name="20% - Accent4 9 4" xfId="1802" xr:uid="{00000000-0005-0000-0000-000006070000}"/>
    <cellStyle name="20% - Accent4 9 4 2" xfId="1803" xr:uid="{00000000-0005-0000-0000-000007070000}"/>
    <cellStyle name="20% - Accent4 9 5" xfId="1804" xr:uid="{00000000-0005-0000-0000-000008070000}"/>
    <cellStyle name="20% - Accent4 9 6" xfId="1805" xr:uid="{00000000-0005-0000-0000-000009070000}"/>
    <cellStyle name="20% - Accent4 9 7" xfId="1806" xr:uid="{00000000-0005-0000-0000-00000A070000}"/>
    <cellStyle name="20% - Accent4 9 8" xfId="1807" xr:uid="{00000000-0005-0000-0000-00000B070000}"/>
    <cellStyle name="20% - Accent5 10" xfId="1808" xr:uid="{00000000-0005-0000-0000-00000C070000}"/>
    <cellStyle name="20% - Accent5 10 2" xfId="1809" xr:uid="{00000000-0005-0000-0000-00000D070000}"/>
    <cellStyle name="20% - Accent5 10 2 2" xfId="1810" xr:uid="{00000000-0005-0000-0000-00000E070000}"/>
    <cellStyle name="20% - Accent5 10 2 2 2" xfId="1811" xr:uid="{00000000-0005-0000-0000-00000F070000}"/>
    <cellStyle name="20% - Accent5 10 2 3" xfId="1812" xr:uid="{00000000-0005-0000-0000-000010070000}"/>
    <cellStyle name="20% - Accent5 10 2 4" xfId="1813" xr:uid="{00000000-0005-0000-0000-000011070000}"/>
    <cellStyle name="20% - Accent5 10 2 5" xfId="1814" xr:uid="{00000000-0005-0000-0000-000012070000}"/>
    <cellStyle name="20% - Accent5 10 3" xfId="1815" xr:uid="{00000000-0005-0000-0000-000013070000}"/>
    <cellStyle name="20% - Accent5 10 3 2" xfId="1816" xr:uid="{00000000-0005-0000-0000-000014070000}"/>
    <cellStyle name="20% - Accent5 10 3 3" xfId="1817" xr:uid="{00000000-0005-0000-0000-000015070000}"/>
    <cellStyle name="20% - Accent5 10 3 4" xfId="1818" xr:uid="{00000000-0005-0000-0000-000016070000}"/>
    <cellStyle name="20% - Accent5 10 4" xfId="1819" xr:uid="{00000000-0005-0000-0000-000017070000}"/>
    <cellStyle name="20% - Accent5 10 4 2" xfId="1820" xr:uid="{00000000-0005-0000-0000-000018070000}"/>
    <cellStyle name="20% - Accent5 10 5" xfId="1821" xr:uid="{00000000-0005-0000-0000-000019070000}"/>
    <cellStyle name="20% - Accent5 10 6" xfId="1822" xr:uid="{00000000-0005-0000-0000-00001A070000}"/>
    <cellStyle name="20% - Accent5 10 7" xfId="1823" xr:uid="{00000000-0005-0000-0000-00001B070000}"/>
    <cellStyle name="20% - Accent5 10 8" xfId="1824" xr:uid="{00000000-0005-0000-0000-00001C070000}"/>
    <cellStyle name="20% - Accent5 11" xfId="1825" xr:uid="{00000000-0005-0000-0000-00001D070000}"/>
    <cellStyle name="20% - Accent5 11 2" xfId="1826" xr:uid="{00000000-0005-0000-0000-00001E070000}"/>
    <cellStyle name="20% - Accent5 11 2 2" xfId="1827" xr:uid="{00000000-0005-0000-0000-00001F070000}"/>
    <cellStyle name="20% - Accent5 11 2 2 2" xfId="1828" xr:uid="{00000000-0005-0000-0000-000020070000}"/>
    <cellStyle name="20% - Accent5 11 2 3" xfId="1829" xr:uid="{00000000-0005-0000-0000-000021070000}"/>
    <cellStyle name="20% - Accent5 11 2 4" xfId="1830" xr:uid="{00000000-0005-0000-0000-000022070000}"/>
    <cellStyle name="20% - Accent5 11 2 5" xfId="1831" xr:uid="{00000000-0005-0000-0000-000023070000}"/>
    <cellStyle name="20% - Accent5 11 3" xfId="1832" xr:uid="{00000000-0005-0000-0000-000024070000}"/>
    <cellStyle name="20% - Accent5 11 3 2" xfId="1833" xr:uid="{00000000-0005-0000-0000-000025070000}"/>
    <cellStyle name="20% - Accent5 11 3 3" xfId="1834" xr:uid="{00000000-0005-0000-0000-000026070000}"/>
    <cellStyle name="20% - Accent5 11 3 4" xfId="1835" xr:uid="{00000000-0005-0000-0000-000027070000}"/>
    <cellStyle name="20% - Accent5 11 4" xfId="1836" xr:uid="{00000000-0005-0000-0000-000028070000}"/>
    <cellStyle name="20% - Accent5 11 4 2" xfId="1837" xr:uid="{00000000-0005-0000-0000-000029070000}"/>
    <cellStyle name="20% - Accent5 11 5" xfId="1838" xr:uid="{00000000-0005-0000-0000-00002A070000}"/>
    <cellStyle name="20% - Accent5 11 6" xfId="1839" xr:uid="{00000000-0005-0000-0000-00002B070000}"/>
    <cellStyle name="20% - Accent5 11 7" xfId="1840" xr:uid="{00000000-0005-0000-0000-00002C070000}"/>
    <cellStyle name="20% - Accent5 11 8" xfId="1841" xr:uid="{00000000-0005-0000-0000-00002D070000}"/>
    <cellStyle name="20% - Accent5 12" xfId="1842" xr:uid="{00000000-0005-0000-0000-00002E070000}"/>
    <cellStyle name="20% - Accent5 12 2" xfId="1843" xr:uid="{00000000-0005-0000-0000-00002F070000}"/>
    <cellStyle name="20% - Accent5 12 2 2" xfId="1844" xr:uid="{00000000-0005-0000-0000-000030070000}"/>
    <cellStyle name="20% - Accent5 12 2 2 2" xfId="1845" xr:uid="{00000000-0005-0000-0000-000031070000}"/>
    <cellStyle name="20% - Accent5 12 2 3" xfId="1846" xr:uid="{00000000-0005-0000-0000-000032070000}"/>
    <cellStyle name="20% - Accent5 12 2 4" xfId="1847" xr:uid="{00000000-0005-0000-0000-000033070000}"/>
    <cellStyle name="20% - Accent5 12 2 5" xfId="1848" xr:uid="{00000000-0005-0000-0000-000034070000}"/>
    <cellStyle name="20% - Accent5 12 3" xfId="1849" xr:uid="{00000000-0005-0000-0000-000035070000}"/>
    <cellStyle name="20% - Accent5 12 3 2" xfId="1850" xr:uid="{00000000-0005-0000-0000-000036070000}"/>
    <cellStyle name="20% - Accent5 12 3 3" xfId="1851" xr:uid="{00000000-0005-0000-0000-000037070000}"/>
    <cellStyle name="20% - Accent5 12 3 4" xfId="1852" xr:uid="{00000000-0005-0000-0000-000038070000}"/>
    <cellStyle name="20% - Accent5 12 4" xfId="1853" xr:uid="{00000000-0005-0000-0000-000039070000}"/>
    <cellStyle name="20% - Accent5 12 4 2" xfId="1854" xr:uid="{00000000-0005-0000-0000-00003A070000}"/>
    <cellStyle name="20% - Accent5 12 5" xfId="1855" xr:uid="{00000000-0005-0000-0000-00003B070000}"/>
    <cellStyle name="20% - Accent5 12 6" xfId="1856" xr:uid="{00000000-0005-0000-0000-00003C070000}"/>
    <cellStyle name="20% - Accent5 12 7" xfId="1857" xr:uid="{00000000-0005-0000-0000-00003D070000}"/>
    <cellStyle name="20% - Accent5 12 8" xfId="1858" xr:uid="{00000000-0005-0000-0000-00003E070000}"/>
    <cellStyle name="20% - Accent5 13" xfId="1859" xr:uid="{00000000-0005-0000-0000-00003F070000}"/>
    <cellStyle name="20% - Accent5 13 2" xfId="1860" xr:uid="{00000000-0005-0000-0000-000040070000}"/>
    <cellStyle name="20% - Accent5 13 2 2" xfId="1861" xr:uid="{00000000-0005-0000-0000-000041070000}"/>
    <cellStyle name="20% - Accent5 13 2 3" xfId="1862" xr:uid="{00000000-0005-0000-0000-000042070000}"/>
    <cellStyle name="20% - Accent5 13 2 4" xfId="1863" xr:uid="{00000000-0005-0000-0000-000043070000}"/>
    <cellStyle name="20% - Accent5 13 3" xfId="1864" xr:uid="{00000000-0005-0000-0000-000044070000}"/>
    <cellStyle name="20% - Accent5 13 3 2" xfId="1865" xr:uid="{00000000-0005-0000-0000-000045070000}"/>
    <cellStyle name="20% - Accent5 13 4" xfId="1866" xr:uid="{00000000-0005-0000-0000-000046070000}"/>
    <cellStyle name="20% - Accent5 13 5" xfId="1867" xr:uid="{00000000-0005-0000-0000-000047070000}"/>
    <cellStyle name="20% - Accent5 13 6" xfId="1868" xr:uid="{00000000-0005-0000-0000-000048070000}"/>
    <cellStyle name="20% - Accent5 14" xfId="1869" xr:uid="{00000000-0005-0000-0000-000049070000}"/>
    <cellStyle name="20% - Accent5 14 2" xfId="1870" xr:uid="{00000000-0005-0000-0000-00004A070000}"/>
    <cellStyle name="20% - Accent5 14 2 2" xfId="1871" xr:uid="{00000000-0005-0000-0000-00004B070000}"/>
    <cellStyle name="20% - Accent5 14 3" xfId="1872" xr:uid="{00000000-0005-0000-0000-00004C070000}"/>
    <cellStyle name="20% - Accent5 14 4" xfId="1873" xr:uid="{00000000-0005-0000-0000-00004D070000}"/>
    <cellStyle name="20% - Accent5 14 5" xfId="1874" xr:uid="{00000000-0005-0000-0000-00004E070000}"/>
    <cellStyle name="20% - Accent5 15" xfId="1875" xr:uid="{00000000-0005-0000-0000-00004F070000}"/>
    <cellStyle name="20% - Accent5 15 2" xfId="1876" xr:uid="{00000000-0005-0000-0000-000050070000}"/>
    <cellStyle name="20% - Accent5 15 2 2" xfId="1877" xr:uid="{00000000-0005-0000-0000-000051070000}"/>
    <cellStyle name="20% - Accent5 15 3" xfId="1878" xr:uid="{00000000-0005-0000-0000-000052070000}"/>
    <cellStyle name="20% - Accent5 15 4" xfId="1879" xr:uid="{00000000-0005-0000-0000-000053070000}"/>
    <cellStyle name="20% - Accent5 15 5" xfId="1880" xr:uid="{00000000-0005-0000-0000-000054070000}"/>
    <cellStyle name="20% - Accent5 16" xfId="1881" xr:uid="{00000000-0005-0000-0000-000055070000}"/>
    <cellStyle name="20% - Accent5 16 2" xfId="1882" xr:uid="{00000000-0005-0000-0000-000056070000}"/>
    <cellStyle name="20% - Accent5 17" xfId="1883" xr:uid="{00000000-0005-0000-0000-000057070000}"/>
    <cellStyle name="20% - Accent5 18" xfId="1884" xr:uid="{00000000-0005-0000-0000-000058070000}"/>
    <cellStyle name="20% - Accent5 19" xfId="1885" xr:uid="{00000000-0005-0000-0000-000059070000}"/>
    <cellStyle name="20% - Accent5 2" xfId="1886" xr:uid="{00000000-0005-0000-0000-00005A070000}"/>
    <cellStyle name="20% - Accent5 2 10" xfId="1887" xr:uid="{00000000-0005-0000-0000-00005B070000}"/>
    <cellStyle name="20% - Accent5 2 11" xfId="1888" xr:uid="{00000000-0005-0000-0000-00005C070000}"/>
    <cellStyle name="20% - Accent5 2 2" xfId="1889" xr:uid="{00000000-0005-0000-0000-00005D070000}"/>
    <cellStyle name="20% - Accent5 2 2 10" xfId="1890" xr:uid="{00000000-0005-0000-0000-00005E070000}"/>
    <cellStyle name="20% - Accent5 2 2 2" xfId="1891" xr:uid="{00000000-0005-0000-0000-00005F070000}"/>
    <cellStyle name="20% - Accent5 2 2 2 2" xfId="1892" xr:uid="{00000000-0005-0000-0000-000060070000}"/>
    <cellStyle name="20% - Accent5 2 2 2 2 2" xfId="1893" xr:uid="{00000000-0005-0000-0000-000061070000}"/>
    <cellStyle name="20% - Accent5 2 2 2 2 2 2" xfId="1894" xr:uid="{00000000-0005-0000-0000-000062070000}"/>
    <cellStyle name="20% - Accent5 2 2 2 2 2 3" xfId="1895" xr:uid="{00000000-0005-0000-0000-000063070000}"/>
    <cellStyle name="20% - Accent5 2 2 2 2 3" xfId="1896" xr:uid="{00000000-0005-0000-0000-000064070000}"/>
    <cellStyle name="20% - Accent5 2 2 2 2 4" xfId="1897" xr:uid="{00000000-0005-0000-0000-000065070000}"/>
    <cellStyle name="20% - Accent5 2 2 2 2 5" xfId="1898" xr:uid="{00000000-0005-0000-0000-000066070000}"/>
    <cellStyle name="20% - Accent5 2 2 2 2 6" xfId="1899" xr:uid="{00000000-0005-0000-0000-000067070000}"/>
    <cellStyle name="20% - Accent5 2 2 2 3" xfId="1900" xr:uid="{00000000-0005-0000-0000-000068070000}"/>
    <cellStyle name="20% - Accent5 2 2 2 3 2" xfId="1901" xr:uid="{00000000-0005-0000-0000-000069070000}"/>
    <cellStyle name="20% - Accent5 2 2 2 3 2 2" xfId="1902" xr:uid="{00000000-0005-0000-0000-00006A070000}"/>
    <cellStyle name="20% - Accent5 2 2 2 3 3" xfId="1903" xr:uid="{00000000-0005-0000-0000-00006B070000}"/>
    <cellStyle name="20% - Accent5 2 2 2 3 4" xfId="1904" xr:uid="{00000000-0005-0000-0000-00006C070000}"/>
    <cellStyle name="20% - Accent5 2 2 2 3 5" xfId="1905" xr:uid="{00000000-0005-0000-0000-00006D070000}"/>
    <cellStyle name="20% - Accent5 2 2 2 4" xfId="1906" xr:uid="{00000000-0005-0000-0000-00006E070000}"/>
    <cellStyle name="20% - Accent5 2 2 2 4 2" xfId="1907" xr:uid="{00000000-0005-0000-0000-00006F070000}"/>
    <cellStyle name="20% - Accent5 2 2 2 4 3" xfId="1908" xr:uid="{00000000-0005-0000-0000-000070070000}"/>
    <cellStyle name="20% - Accent5 2 2 2 4 4" xfId="1909" xr:uid="{00000000-0005-0000-0000-000071070000}"/>
    <cellStyle name="20% - Accent5 2 2 2 5" xfId="1910" xr:uid="{00000000-0005-0000-0000-000072070000}"/>
    <cellStyle name="20% - Accent5 2 2 2 5 2" xfId="1911" xr:uid="{00000000-0005-0000-0000-000073070000}"/>
    <cellStyle name="20% - Accent5 2 2 2 6" xfId="1912" xr:uid="{00000000-0005-0000-0000-000074070000}"/>
    <cellStyle name="20% - Accent5 2 2 2 7" xfId="1913" xr:uid="{00000000-0005-0000-0000-000075070000}"/>
    <cellStyle name="20% - Accent5 2 2 2 8" xfId="1914" xr:uid="{00000000-0005-0000-0000-000076070000}"/>
    <cellStyle name="20% - Accent5 2 2 2 9" xfId="1915" xr:uid="{00000000-0005-0000-0000-000077070000}"/>
    <cellStyle name="20% - Accent5 2 2 3" xfId="1916" xr:uid="{00000000-0005-0000-0000-000078070000}"/>
    <cellStyle name="20% - Accent5 2 2 3 2" xfId="1917" xr:uid="{00000000-0005-0000-0000-000079070000}"/>
    <cellStyle name="20% - Accent5 2 2 3 2 2" xfId="1918" xr:uid="{00000000-0005-0000-0000-00007A070000}"/>
    <cellStyle name="20% - Accent5 2 2 3 2 3" xfId="1919" xr:uid="{00000000-0005-0000-0000-00007B070000}"/>
    <cellStyle name="20% - Accent5 2 2 3 3" xfId="1920" xr:uid="{00000000-0005-0000-0000-00007C070000}"/>
    <cellStyle name="20% - Accent5 2 2 3 4" xfId="1921" xr:uid="{00000000-0005-0000-0000-00007D070000}"/>
    <cellStyle name="20% - Accent5 2 2 3 5" xfId="1922" xr:uid="{00000000-0005-0000-0000-00007E070000}"/>
    <cellStyle name="20% - Accent5 2 2 3 6" xfId="1923" xr:uid="{00000000-0005-0000-0000-00007F070000}"/>
    <cellStyle name="20% - Accent5 2 2 4" xfId="1924" xr:uid="{00000000-0005-0000-0000-000080070000}"/>
    <cellStyle name="20% - Accent5 2 2 4 2" xfId="1925" xr:uid="{00000000-0005-0000-0000-000081070000}"/>
    <cellStyle name="20% - Accent5 2 2 4 2 2" xfId="1926" xr:uid="{00000000-0005-0000-0000-000082070000}"/>
    <cellStyle name="20% - Accent5 2 2 4 3" xfId="1927" xr:uid="{00000000-0005-0000-0000-000083070000}"/>
    <cellStyle name="20% - Accent5 2 2 4 4" xfId="1928" xr:uid="{00000000-0005-0000-0000-000084070000}"/>
    <cellStyle name="20% - Accent5 2 2 4 5" xfId="1929" xr:uid="{00000000-0005-0000-0000-000085070000}"/>
    <cellStyle name="20% - Accent5 2 2 5" xfId="1930" xr:uid="{00000000-0005-0000-0000-000086070000}"/>
    <cellStyle name="20% - Accent5 2 2 5 2" xfId="1931" xr:uid="{00000000-0005-0000-0000-000087070000}"/>
    <cellStyle name="20% - Accent5 2 2 5 3" xfId="1932" xr:uid="{00000000-0005-0000-0000-000088070000}"/>
    <cellStyle name="20% - Accent5 2 2 5 4" xfId="1933" xr:uid="{00000000-0005-0000-0000-000089070000}"/>
    <cellStyle name="20% - Accent5 2 2 6" xfId="1934" xr:uid="{00000000-0005-0000-0000-00008A070000}"/>
    <cellStyle name="20% - Accent5 2 2 6 2" xfId="1935" xr:uid="{00000000-0005-0000-0000-00008B070000}"/>
    <cellStyle name="20% - Accent5 2 2 7" xfId="1936" xr:uid="{00000000-0005-0000-0000-00008C070000}"/>
    <cellStyle name="20% - Accent5 2 2 8" xfId="1937" xr:uid="{00000000-0005-0000-0000-00008D070000}"/>
    <cellStyle name="20% - Accent5 2 2 9" xfId="1938" xr:uid="{00000000-0005-0000-0000-00008E070000}"/>
    <cellStyle name="20% - Accent5 2 3" xfId="1939" xr:uid="{00000000-0005-0000-0000-00008F070000}"/>
    <cellStyle name="20% - Accent5 2 3 2" xfId="1940" xr:uid="{00000000-0005-0000-0000-000090070000}"/>
    <cellStyle name="20% - Accent5 2 3 2 2" xfId="1941" xr:uid="{00000000-0005-0000-0000-000091070000}"/>
    <cellStyle name="20% - Accent5 2 3 2 2 2" xfId="1942" xr:uid="{00000000-0005-0000-0000-000092070000}"/>
    <cellStyle name="20% - Accent5 2 3 2 2 3" xfId="1943" xr:uid="{00000000-0005-0000-0000-000093070000}"/>
    <cellStyle name="20% - Accent5 2 3 2 3" xfId="1944" xr:uid="{00000000-0005-0000-0000-000094070000}"/>
    <cellStyle name="20% - Accent5 2 3 2 4" xfId="1945" xr:uid="{00000000-0005-0000-0000-000095070000}"/>
    <cellStyle name="20% - Accent5 2 3 2 5" xfId="1946" xr:uid="{00000000-0005-0000-0000-000096070000}"/>
    <cellStyle name="20% - Accent5 2 3 2 6" xfId="1947" xr:uid="{00000000-0005-0000-0000-000097070000}"/>
    <cellStyle name="20% - Accent5 2 3 3" xfId="1948" xr:uid="{00000000-0005-0000-0000-000098070000}"/>
    <cellStyle name="20% - Accent5 2 3 3 2" xfId="1949" xr:uid="{00000000-0005-0000-0000-000099070000}"/>
    <cellStyle name="20% - Accent5 2 3 3 2 2" xfId="1950" xr:uid="{00000000-0005-0000-0000-00009A070000}"/>
    <cellStyle name="20% - Accent5 2 3 3 3" xfId="1951" xr:uid="{00000000-0005-0000-0000-00009B070000}"/>
    <cellStyle name="20% - Accent5 2 3 3 4" xfId="1952" xr:uid="{00000000-0005-0000-0000-00009C070000}"/>
    <cellStyle name="20% - Accent5 2 3 3 5" xfId="1953" xr:uid="{00000000-0005-0000-0000-00009D070000}"/>
    <cellStyle name="20% - Accent5 2 3 4" xfId="1954" xr:uid="{00000000-0005-0000-0000-00009E070000}"/>
    <cellStyle name="20% - Accent5 2 3 4 2" xfId="1955" xr:uid="{00000000-0005-0000-0000-00009F070000}"/>
    <cellStyle name="20% - Accent5 2 3 4 3" xfId="1956" xr:uid="{00000000-0005-0000-0000-0000A0070000}"/>
    <cellStyle name="20% - Accent5 2 3 4 4" xfId="1957" xr:uid="{00000000-0005-0000-0000-0000A1070000}"/>
    <cellStyle name="20% - Accent5 2 3 5" xfId="1958" xr:uid="{00000000-0005-0000-0000-0000A2070000}"/>
    <cellStyle name="20% - Accent5 2 3 5 2" xfId="1959" xr:uid="{00000000-0005-0000-0000-0000A3070000}"/>
    <cellStyle name="20% - Accent5 2 3 6" xfId="1960" xr:uid="{00000000-0005-0000-0000-0000A4070000}"/>
    <cellStyle name="20% - Accent5 2 3 7" xfId="1961" xr:uid="{00000000-0005-0000-0000-0000A5070000}"/>
    <cellStyle name="20% - Accent5 2 3 8" xfId="1962" xr:uid="{00000000-0005-0000-0000-0000A6070000}"/>
    <cellStyle name="20% - Accent5 2 3 9" xfId="1963" xr:uid="{00000000-0005-0000-0000-0000A7070000}"/>
    <cellStyle name="20% - Accent5 2 4" xfId="1964" xr:uid="{00000000-0005-0000-0000-0000A8070000}"/>
    <cellStyle name="20% - Accent5 2 4 2" xfId="1965" xr:uid="{00000000-0005-0000-0000-0000A9070000}"/>
    <cellStyle name="20% - Accent5 2 4 2 2" xfId="1966" xr:uid="{00000000-0005-0000-0000-0000AA070000}"/>
    <cellStyle name="20% - Accent5 2 4 2 3" xfId="1967" xr:uid="{00000000-0005-0000-0000-0000AB070000}"/>
    <cellStyle name="20% - Accent5 2 4 3" xfId="1968" xr:uid="{00000000-0005-0000-0000-0000AC070000}"/>
    <cellStyle name="20% - Accent5 2 4 4" xfId="1969" xr:uid="{00000000-0005-0000-0000-0000AD070000}"/>
    <cellStyle name="20% - Accent5 2 4 5" xfId="1970" xr:uid="{00000000-0005-0000-0000-0000AE070000}"/>
    <cellStyle name="20% - Accent5 2 4 6" xfId="1971" xr:uid="{00000000-0005-0000-0000-0000AF070000}"/>
    <cellStyle name="20% - Accent5 2 5" xfId="1972" xr:uid="{00000000-0005-0000-0000-0000B0070000}"/>
    <cellStyle name="20% - Accent5 2 5 2" xfId="1973" xr:uid="{00000000-0005-0000-0000-0000B1070000}"/>
    <cellStyle name="20% - Accent5 2 5 2 2" xfId="1974" xr:uid="{00000000-0005-0000-0000-0000B2070000}"/>
    <cellStyle name="20% - Accent5 2 5 3" xfId="1975" xr:uid="{00000000-0005-0000-0000-0000B3070000}"/>
    <cellStyle name="20% - Accent5 2 5 4" xfId="1976" xr:uid="{00000000-0005-0000-0000-0000B4070000}"/>
    <cellStyle name="20% - Accent5 2 5 5" xfId="1977" xr:uid="{00000000-0005-0000-0000-0000B5070000}"/>
    <cellStyle name="20% - Accent5 2 6" xfId="1978" xr:uid="{00000000-0005-0000-0000-0000B6070000}"/>
    <cellStyle name="20% - Accent5 2 6 2" xfId="1979" xr:uid="{00000000-0005-0000-0000-0000B7070000}"/>
    <cellStyle name="20% - Accent5 2 6 2 2" xfId="1980" xr:uid="{00000000-0005-0000-0000-0000B8070000}"/>
    <cellStyle name="20% - Accent5 2 6 3" xfId="1981" xr:uid="{00000000-0005-0000-0000-0000B9070000}"/>
    <cellStyle name="20% - Accent5 2 6 4" xfId="1982" xr:uid="{00000000-0005-0000-0000-0000BA070000}"/>
    <cellStyle name="20% - Accent5 2 6 5" xfId="1983" xr:uid="{00000000-0005-0000-0000-0000BB070000}"/>
    <cellStyle name="20% - Accent5 2 7" xfId="1984" xr:uid="{00000000-0005-0000-0000-0000BC070000}"/>
    <cellStyle name="20% - Accent5 2 7 2" xfId="1985" xr:uid="{00000000-0005-0000-0000-0000BD070000}"/>
    <cellStyle name="20% - Accent5 2 8" xfId="1986" xr:uid="{00000000-0005-0000-0000-0000BE070000}"/>
    <cellStyle name="20% - Accent5 2 9" xfId="1987" xr:uid="{00000000-0005-0000-0000-0000BF070000}"/>
    <cellStyle name="20% - Accent5 3" xfId="1988" xr:uid="{00000000-0005-0000-0000-0000C0070000}"/>
    <cellStyle name="20% - Accent5 3 10" xfId="1989" xr:uid="{00000000-0005-0000-0000-0000C1070000}"/>
    <cellStyle name="20% - Accent5 3 2" xfId="1990" xr:uid="{00000000-0005-0000-0000-0000C2070000}"/>
    <cellStyle name="20% - Accent5 3 2 2" xfId="1991" xr:uid="{00000000-0005-0000-0000-0000C3070000}"/>
    <cellStyle name="20% - Accent5 3 2 2 2" xfId="1992" xr:uid="{00000000-0005-0000-0000-0000C4070000}"/>
    <cellStyle name="20% - Accent5 3 2 2 2 2" xfId="1993" xr:uid="{00000000-0005-0000-0000-0000C5070000}"/>
    <cellStyle name="20% - Accent5 3 2 2 2 3" xfId="1994" xr:uid="{00000000-0005-0000-0000-0000C6070000}"/>
    <cellStyle name="20% - Accent5 3 2 2 3" xfId="1995" xr:uid="{00000000-0005-0000-0000-0000C7070000}"/>
    <cellStyle name="20% - Accent5 3 2 2 4" xfId="1996" xr:uid="{00000000-0005-0000-0000-0000C8070000}"/>
    <cellStyle name="20% - Accent5 3 2 2 5" xfId="1997" xr:uid="{00000000-0005-0000-0000-0000C9070000}"/>
    <cellStyle name="20% - Accent5 3 2 2 6" xfId="1998" xr:uid="{00000000-0005-0000-0000-0000CA070000}"/>
    <cellStyle name="20% - Accent5 3 2 3" xfId="1999" xr:uid="{00000000-0005-0000-0000-0000CB070000}"/>
    <cellStyle name="20% - Accent5 3 2 3 2" xfId="2000" xr:uid="{00000000-0005-0000-0000-0000CC070000}"/>
    <cellStyle name="20% - Accent5 3 2 3 2 2" xfId="2001" xr:uid="{00000000-0005-0000-0000-0000CD070000}"/>
    <cellStyle name="20% - Accent5 3 2 3 3" xfId="2002" xr:uid="{00000000-0005-0000-0000-0000CE070000}"/>
    <cellStyle name="20% - Accent5 3 2 3 4" xfId="2003" xr:uid="{00000000-0005-0000-0000-0000CF070000}"/>
    <cellStyle name="20% - Accent5 3 2 3 5" xfId="2004" xr:uid="{00000000-0005-0000-0000-0000D0070000}"/>
    <cellStyle name="20% - Accent5 3 2 4" xfId="2005" xr:uid="{00000000-0005-0000-0000-0000D1070000}"/>
    <cellStyle name="20% - Accent5 3 2 4 2" xfId="2006" xr:uid="{00000000-0005-0000-0000-0000D2070000}"/>
    <cellStyle name="20% - Accent5 3 2 4 3" xfId="2007" xr:uid="{00000000-0005-0000-0000-0000D3070000}"/>
    <cellStyle name="20% - Accent5 3 2 4 4" xfId="2008" xr:uid="{00000000-0005-0000-0000-0000D4070000}"/>
    <cellStyle name="20% - Accent5 3 2 5" xfId="2009" xr:uid="{00000000-0005-0000-0000-0000D5070000}"/>
    <cellStyle name="20% - Accent5 3 2 5 2" xfId="2010" xr:uid="{00000000-0005-0000-0000-0000D6070000}"/>
    <cellStyle name="20% - Accent5 3 2 6" xfId="2011" xr:uid="{00000000-0005-0000-0000-0000D7070000}"/>
    <cellStyle name="20% - Accent5 3 2 7" xfId="2012" xr:uid="{00000000-0005-0000-0000-0000D8070000}"/>
    <cellStyle name="20% - Accent5 3 2 8" xfId="2013" xr:uid="{00000000-0005-0000-0000-0000D9070000}"/>
    <cellStyle name="20% - Accent5 3 2 9" xfId="2014" xr:uid="{00000000-0005-0000-0000-0000DA070000}"/>
    <cellStyle name="20% - Accent5 3 3" xfId="2015" xr:uid="{00000000-0005-0000-0000-0000DB070000}"/>
    <cellStyle name="20% - Accent5 3 3 2" xfId="2016" xr:uid="{00000000-0005-0000-0000-0000DC070000}"/>
    <cellStyle name="20% - Accent5 3 3 2 2" xfId="2017" xr:uid="{00000000-0005-0000-0000-0000DD070000}"/>
    <cellStyle name="20% - Accent5 3 3 2 3" xfId="2018" xr:uid="{00000000-0005-0000-0000-0000DE070000}"/>
    <cellStyle name="20% - Accent5 3 3 3" xfId="2019" xr:uid="{00000000-0005-0000-0000-0000DF070000}"/>
    <cellStyle name="20% - Accent5 3 3 4" xfId="2020" xr:uid="{00000000-0005-0000-0000-0000E0070000}"/>
    <cellStyle name="20% - Accent5 3 3 5" xfId="2021" xr:uid="{00000000-0005-0000-0000-0000E1070000}"/>
    <cellStyle name="20% - Accent5 3 3 6" xfId="2022" xr:uid="{00000000-0005-0000-0000-0000E2070000}"/>
    <cellStyle name="20% - Accent5 3 4" xfId="2023" xr:uid="{00000000-0005-0000-0000-0000E3070000}"/>
    <cellStyle name="20% - Accent5 3 4 2" xfId="2024" xr:uid="{00000000-0005-0000-0000-0000E4070000}"/>
    <cellStyle name="20% - Accent5 3 4 2 2" xfId="2025" xr:uid="{00000000-0005-0000-0000-0000E5070000}"/>
    <cellStyle name="20% - Accent5 3 4 3" xfId="2026" xr:uid="{00000000-0005-0000-0000-0000E6070000}"/>
    <cellStyle name="20% - Accent5 3 4 4" xfId="2027" xr:uid="{00000000-0005-0000-0000-0000E7070000}"/>
    <cellStyle name="20% - Accent5 3 4 5" xfId="2028" xr:uid="{00000000-0005-0000-0000-0000E8070000}"/>
    <cellStyle name="20% - Accent5 3 5" xfId="2029" xr:uid="{00000000-0005-0000-0000-0000E9070000}"/>
    <cellStyle name="20% - Accent5 3 5 2" xfId="2030" xr:uid="{00000000-0005-0000-0000-0000EA070000}"/>
    <cellStyle name="20% - Accent5 3 5 2 2" xfId="2031" xr:uid="{00000000-0005-0000-0000-0000EB070000}"/>
    <cellStyle name="20% - Accent5 3 5 3" xfId="2032" xr:uid="{00000000-0005-0000-0000-0000EC070000}"/>
    <cellStyle name="20% - Accent5 3 5 4" xfId="2033" xr:uid="{00000000-0005-0000-0000-0000ED070000}"/>
    <cellStyle name="20% - Accent5 3 5 5" xfId="2034" xr:uid="{00000000-0005-0000-0000-0000EE070000}"/>
    <cellStyle name="20% - Accent5 3 6" xfId="2035" xr:uid="{00000000-0005-0000-0000-0000EF070000}"/>
    <cellStyle name="20% - Accent5 3 6 2" xfId="2036" xr:uid="{00000000-0005-0000-0000-0000F0070000}"/>
    <cellStyle name="20% - Accent5 3 7" xfId="2037" xr:uid="{00000000-0005-0000-0000-0000F1070000}"/>
    <cellStyle name="20% - Accent5 3 8" xfId="2038" xr:uid="{00000000-0005-0000-0000-0000F2070000}"/>
    <cellStyle name="20% - Accent5 3 9" xfId="2039" xr:uid="{00000000-0005-0000-0000-0000F3070000}"/>
    <cellStyle name="20% - Accent5 4" xfId="2040" xr:uid="{00000000-0005-0000-0000-0000F4070000}"/>
    <cellStyle name="20% - Accent5 4 10" xfId="2041" xr:uid="{00000000-0005-0000-0000-0000F5070000}"/>
    <cellStyle name="20% - Accent5 4 2" xfId="2042" xr:uid="{00000000-0005-0000-0000-0000F6070000}"/>
    <cellStyle name="20% - Accent5 4 2 2" xfId="2043" xr:uid="{00000000-0005-0000-0000-0000F7070000}"/>
    <cellStyle name="20% - Accent5 4 2 2 2" xfId="2044" xr:uid="{00000000-0005-0000-0000-0000F8070000}"/>
    <cellStyle name="20% - Accent5 4 2 2 2 2" xfId="2045" xr:uid="{00000000-0005-0000-0000-0000F9070000}"/>
    <cellStyle name="20% - Accent5 4 2 2 2 3" xfId="2046" xr:uid="{00000000-0005-0000-0000-0000FA070000}"/>
    <cellStyle name="20% - Accent5 4 2 2 3" xfId="2047" xr:uid="{00000000-0005-0000-0000-0000FB070000}"/>
    <cellStyle name="20% - Accent5 4 2 2 4" xfId="2048" xr:uid="{00000000-0005-0000-0000-0000FC070000}"/>
    <cellStyle name="20% - Accent5 4 2 2 5" xfId="2049" xr:uid="{00000000-0005-0000-0000-0000FD070000}"/>
    <cellStyle name="20% - Accent5 4 2 2 6" xfId="2050" xr:uid="{00000000-0005-0000-0000-0000FE070000}"/>
    <cellStyle name="20% - Accent5 4 2 3" xfId="2051" xr:uid="{00000000-0005-0000-0000-0000FF070000}"/>
    <cellStyle name="20% - Accent5 4 2 3 2" xfId="2052" xr:uid="{00000000-0005-0000-0000-000000080000}"/>
    <cellStyle name="20% - Accent5 4 2 3 2 2" xfId="2053" xr:uid="{00000000-0005-0000-0000-000001080000}"/>
    <cellStyle name="20% - Accent5 4 2 3 3" xfId="2054" xr:uid="{00000000-0005-0000-0000-000002080000}"/>
    <cellStyle name="20% - Accent5 4 2 3 4" xfId="2055" xr:uid="{00000000-0005-0000-0000-000003080000}"/>
    <cellStyle name="20% - Accent5 4 2 3 5" xfId="2056" xr:uid="{00000000-0005-0000-0000-000004080000}"/>
    <cellStyle name="20% - Accent5 4 2 4" xfId="2057" xr:uid="{00000000-0005-0000-0000-000005080000}"/>
    <cellStyle name="20% - Accent5 4 2 4 2" xfId="2058" xr:uid="{00000000-0005-0000-0000-000006080000}"/>
    <cellStyle name="20% - Accent5 4 2 4 3" xfId="2059" xr:uid="{00000000-0005-0000-0000-000007080000}"/>
    <cellStyle name="20% - Accent5 4 2 4 4" xfId="2060" xr:uid="{00000000-0005-0000-0000-000008080000}"/>
    <cellStyle name="20% - Accent5 4 2 5" xfId="2061" xr:uid="{00000000-0005-0000-0000-000009080000}"/>
    <cellStyle name="20% - Accent5 4 2 5 2" xfId="2062" xr:uid="{00000000-0005-0000-0000-00000A080000}"/>
    <cellStyle name="20% - Accent5 4 2 6" xfId="2063" xr:uid="{00000000-0005-0000-0000-00000B080000}"/>
    <cellStyle name="20% - Accent5 4 2 7" xfId="2064" xr:uid="{00000000-0005-0000-0000-00000C080000}"/>
    <cellStyle name="20% - Accent5 4 2 8" xfId="2065" xr:uid="{00000000-0005-0000-0000-00000D080000}"/>
    <cellStyle name="20% - Accent5 4 2 9" xfId="2066" xr:uid="{00000000-0005-0000-0000-00000E080000}"/>
    <cellStyle name="20% - Accent5 4 3" xfId="2067" xr:uid="{00000000-0005-0000-0000-00000F080000}"/>
    <cellStyle name="20% - Accent5 4 3 2" xfId="2068" xr:uid="{00000000-0005-0000-0000-000010080000}"/>
    <cellStyle name="20% - Accent5 4 3 2 2" xfId="2069" xr:uid="{00000000-0005-0000-0000-000011080000}"/>
    <cellStyle name="20% - Accent5 4 3 2 3" xfId="2070" xr:uid="{00000000-0005-0000-0000-000012080000}"/>
    <cellStyle name="20% - Accent5 4 3 3" xfId="2071" xr:uid="{00000000-0005-0000-0000-000013080000}"/>
    <cellStyle name="20% - Accent5 4 3 4" xfId="2072" xr:uid="{00000000-0005-0000-0000-000014080000}"/>
    <cellStyle name="20% - Accent5 4 3 5" xfId="2073" xr:uid="{00000000-0005-0000-0000-000015080000}"/>
    <cellStyle name="20% - Accent5 4 3 6" xfId="2074" xr:uid="{00000000-0005-0000-0000-000016080000}"/>
    <cellStyle name="20% - Accent5 4 4" xfId="2075" xr:uid="{00000000-0005-0000-0000-000017080000}"/>
    <cellStyle name="20% - Accent5 4 4 2" xfId="2076" xr:uid="{00000000-0005-0000-0000-000018080000}"/>
    <cellStyle name="20% - Accent5 4 4 2 2" xfId="2077" xr:uid="{00000000-0005-0000-0000-000019080000}"/>
    <cellStyle name="20% - Accent5 4 4 3" xfId="2078" xr:uid="{00000000-0005-0000-0000-00001A080000}"/>
    <cellStyle name="20% - Accent5 4 4 4" xfId="2079" xr:uid="{00000000-0005-0000-0000-00001B080000}"/>
    <cellStyle name="20% - Accent5 4 4 5" xfId="2080" xr:uid="{00000000-0005-0000-0000-00001C080000}"/>
    <cellStyle name="20% - Accent5 4 5" xfId="2081" xr:uid="{00000000-0005-0000-0000-00001D080000}"/>
    <cellStyle name="20% - Accent5 4 5 2" xfId="2082" xr:uid="{00000000-0005-0000-0000-00001E080000}"/>
    <cellStyle name="20% - Accent5 4 5 2 2" xfId="2083" xr:uid="{00000000-0005-0000-0000-00001F080000}"/>
    <cellStyle name="20% - Accent5 4 5 3" xfId="2084" xr:uid="{00000000-0005-0000-0000-000020080000}"/>
    <cellStyle name="20% - Accent5 4 5 4" xfId="2085" xr:uid="{00000000-0005-0000-0000-000021080000}"/>
    <cellStyle name="20% - Accent5 4 5 5" xfId="2086" xr:uid="{00000000-0005-0000-0000-000022080000}"/>
    <cellStyle name="20% - Accent5 4 6" xfId="2087" xr:uid="{00000000-0005-0000-0000-000023080000}"/>
    <cellStyle name="20% - Accent5 4 6 2" xfId="2088" xr:uid="{00000000-0005-0000-0000-000024080000}"/>
    <cellStyle name="20% - Accent5 4 7" xfId="2089" xr:uid="{00000000-0005-0000-0000-000025080000}"/>
    <cellStyle name="20% - Accent5 4 8" xfId="2090" xr:uid="{00000000-0005-0000-0000-000026080000}"/>
    <cellStyle name="20% - Accent5 4 9" xfId="2091" xr:uid="{00000000-0005-0000-0000-000027080000}"/>
    <cellStyle name="20% - Accent5 5" xfId="2092" xr:uid="{00000000-0005-0000-0000-000028080000}"/>
    <cellStyle name="20% - Accent5 5 10" xfId="2093" xr:uid="{00000000-0005-0000-0000-000029080000}"/>
    <cellStyle name="20% - Accent5 5 2" xfId="2094" xr:uid="{00000000-0005-0000-0000-00002A080000}"/>
    <cellStyle name="20% - Accent5 5 2 2" xfId="2095" xr:uid="{00000000-0005-0000-0000-00002B080000}"/>
    <cellStyle name="20% - Accent5 5 2 2 2" xfId="2096" xr:uid="{00000000-0005-0000-0000-00002C080000}"/>
    <cellStyle name="20% - Accent5 5 2 2 2 2" xfId="2097" xr:uid="{00000000-0005-0000-0000-00002D080000}"/>
    <cellStyle name="20% - Accent5 5 2 2 2 3" xfId="2098" xr:uid="{00000000-0005-0000-0000-00002E080000}"/>
    <cellStyle name="20% - Accent5 5 2 2 3" xfId="2099" xr:uid="{00000000-0005-0000-0000-00002F080000}"/>
    <cellStyle name="20% - Accent5 5 2 2 4" xfId="2100" xr:uid="{00000000-0005-0000-0000-000030080000}"/>
    <cellStyle name="20% - Accent5 5 2 2 5" xfId="2101" xr:uid="{00000000-0005-0000-0000-000031080000}"/>
    <cellStyle name="20% - Accent5 5 2 2 6" xfId="2102" xr:uid="{00000000-0005-0000-0000-000032080000}"/>
    <cellStyle name="20% - Accent5 5 2 3" xfId="2103" xr:uid="{00000000-0005-0000-0000-000033080000}"/>
    <cellStyle name="20% - Accent5 5 2 3 2" xfId="2104" xr:uid="{00000000-0005-0000-0000-000034080000}"/>
    <cellStyle name="20% - Accent5 5 2 3 2 2" xfId="2105" xr:uid="{00000000-0005-0000-0000-000035080000}"/>
    <cellStyle name="20% - Accent5 5 2 3 3" xfId="2106" xr:uid="{00000000-0005-0000-0000-000036080000}"/>
    <cellStyle name="20% - Accent5 5 2 3 4" xfId="2107" xr:uid="{00000000-0005-0000-0000-000037080000}"/>
    <cellStyle name="20% - Accent5 5 2 3 5" xfId="2108" xr:uid="{00000000-0005-0000-0000-000038080000}"/>
    <cellStyle name="20% - Accent5 5 2 4" xfId="2109" xr:uid="{00000000-0005-0000-0000-000039080000}"/>
    <cellStyle name="20% - Accent5 5 2 4 2" xfId="2110" xr:uid="{00000000-0005-0000-0000-00003A080000}"/>
    <cellStyle name="20% - Accent5 5 2 4 3" xfId="2111" xr:uid="{00000000-0005-0000-0000-00003B080000}"/>
    <cellStyle name="20% - Accent5 5 2 4 4" xfId="2112" xr:uid="{00000000-0005-0000-0000-00003C080000}"/>
    <cellStyle name="20% - Accent5 5 2 5" xfId="2113" xr:uid="{00000000-0005-0000-0000-00003D080000}"/>
    <cellStyle name="20% - Accent5 5 2 5 2" xfId="2114" xr:uid="{00000000-0005-0000-0000-00003E080000}"/>
    <cellStyle name="20% - Accent5 5 2 6" xfId="2115" xr:uid="{00000000-0005-0000-0000-00003F080000}"/>
    <cellStyle name="20% - Accent5 5 2 7" xfId="2116" xr:uid="{00000000-0005-0000-0000-000040080000}"/>
    <cellStyle name="20% - Accent5 5 2 8" xfId="2117" xr:uid="{00000000-0005-0000-0000-000041080000}"/>
    <cellStyle name="20% - Accent5 5 2 9" xfId="2118" xr:uid="{00000000-0005-0000-0000-000042080000}"/>
    <cellStyle name="20% - Accent5 5 3" xfId="2119" xr:uid="{00000000-0005-0000-0000-000043080000}"/>
    <cellStyle name="20% - Accent5 5 3 2" xfId="2120" xr:uid="{00000000-0005-0000-0000-000044080000}"/>
    <cellStyle name="20% - Accent5 5 3 2 2" xfId="2121" xr:uid="{00000000-0005-0000-0000-000045080000}"/>
    <cellStyle name="20% - Accent5 5 3 2 3" xfId="2122" xr:uid="{00000000-0005-0000-0000-000046080000}"/>
    <cellStyle name="20% - Accent5 5 3 3" xfId="2123" xr:uid="{00000000-0005-0000-0000-000047080000}"/>
    <cellStyle name="20% - Accent5 5 3 4" xfId="2124" xr:uid="{00000000-0005-0000-0000-000048080000}"/>
    <cellStyle name="20% - Accent5 5 3 5" xfId="2125" xr:uid="{00000000-0005-0000-0000-000049080000}"/>
    <cellStyle name="20% - Accent5 5 3 6" xfId="2126" xr:uid="{00000000-0005-0000-0000-00004A080000}"/>
    <cellStyle name="20% - Accent5 5 4" xfId="2127" xr:uid="{00000000-0005-0000-0000-00004B080000}"/>
    <cellStyle name="20% - Accent5 5 4 2" xfId="2128" xr:uid="{00000000-0005-0000-0000-00004C080000}"/>
    <cellStyle name="20% - Accent5 5 4 2 2" xfId="2129" xr:uid="{00000000-0005-0000-0000-00004D080000}"/>
    <cellStyle name="20% - Accent5 5 4 3" xfId="2130" xr:uid="{00000000-0005-0000-0000-00004E080000}"/>
    <cellStyle name="20% - Accent5 5 4 4" xfId="2131" xr:uid="{00000000-0005-0000-0000-00004F080000}"/>
    <cellStyle name="20% - Accent5 5 4 5" xfId="2132" xr:uid="{00000000-0005-0000-0000-000050080000}"/>
    <cellStyle name="20% - Accent5 5 5" xfId="2133" xr:uid="{00000000-0005-0000-0000-000051080000}"/>
    <cellStyle name="20% - Accent5 5 5 2" xfId="2134" xr:uid="{00000000-0005-0000-0000-000052080000}"/>
    <cellStyle name="20% - Accent5 5 5 3" xfId="2135" xr:uid="{00000000-0005-0000-0000-000053080000}"/>
    <cellStyle name="20% - Accent5 5 5 4" xfId="2136" xr:uid="{00000000-0005-0000-0000-000054080000}"/>
    <cellStyle name="20% - Accent5 5 6" xfId="2137" xr:uid="{00000000-0005-0000-0000-000055080000}"/>
    <cellStyle name="20% - Accent5 5 6 2" xfId="2138" xr:uid="{00000000-0005-0000-0000-000056080000}"/>
    <cellStyle name="20% - Accent5 5 7" xfId="2139" xr:uid="{00000000-0005-0000-0000-000057080000}"/>
    <cellStyle name="20% - Accent5 5 8" xfId="2140" xr:uid="{00000000-0005-0000-0000-000058080000}"/>
    <cellStyle name="20% - Accent5 5 9" xfId="2141" xr:uid="{00000000-0005-0000-0000-000059080000}"/>
    <cellStyle name="20% - Accent5 6" xfId="2142" xr:uid="{00000000-0005-0000-0000-00005A080000}"/>
    <cellStyle name="20% - Accent5 6 10" xfId="2143" xr:uid="{00000000-0005-0000-0000-00005B080000}"/>
    <cellStyle name="20% - Accent5 6 2" xfId="2144" xr:uid="{00000000-0005-0000-0000-00005C080000}"/>
    <cellStyle name="20% - Accent5 6 2 2" xfId="2145" xr:uid="{00000000-0005-0000-0000-00005D080000}"/>
    <cellStyle name="20% - Accent5 6 2 2 2" xfId="2146" xr:uid="{00000000-0005-0000-0000-00005E080000}"/>
    <cellStyle name="20% - Accent5 6 2 2 2 2" xfId="2147" xr:uid="{00000000-0005-0000-0000-00005F080000}"/>
    <cellStyle name="20% - Accent5 6 2 2 2 3" xfId="2148" xr:uid="{00000000-0005-0000-0000-000060080000}"/>
    <cellStyle name="20% - Accent5 6 2 2 3" xfId="2149" xr:uid="{00000000-0005-0000-0000-000061080000}"/>
    <cellStyle name="20% - Accent5 6 2 2 4" xfId="2150" xr:uid="{00000000-0005-0000-0000-000062080000}"/>
    <cellStyle name="20% - Accent5 6 2 2 5" xfId="2151" xr:uid="{00000000-0005-0000-0000-000063080000}"/>
    <cellStyle name="20% - Accent5 6 2 2 6" xfId="2152" xr:uid="{00000000-0005-0000-0000-000064080000}"/>
    <cellStyle name="20% - Accent5 6 2 3" xfId="2153" xr:uid="{00000000-0005-0000-0000-000065080000}"/>
    <cellStyle name="20% - Accent5 6 2 3 2" xfId="2154" xr:uid="{00000000-0005-0000-0000-000066080000}"/>
    <cellStyle name="20% - Accent5 6 2 3 2 2" xfId="2155" xr:uid="{00000000-0005-0000-0000-000067080000}"/>
    <cellStyle name="20% - Accent5 6 2 3 3" xfId="2156" xr:uid="{00000000-0005-0000-0000-000068080000}"/>
    <cellStyle name="20% - Accent5 6 2 3 4" xfId="2157" xr:uid="{00000000-0005-0000-0000-000069080000}"/>
    <cellStyle name="20% - Accent5 6 2 3 5" xfId="2158" xr:uid="{00000000-0005-0000-0000-00006A080000}"/>
    <cellStyle name="20% - Accent5 6 2 4" xfId="2159" xr:uid="{00000000-0005-0000-0000-00006B080000}"/>
    <cellStyle name="20% - Accent5 6 2 4 2" xfId="2160" xr:uid="{00000000-0005-0000-0000-00006C080000}"/>
    <cellStyle name="20% - Accent5 6 2 4 3" xfId="2161" xr:uid="{00000000-0005-0000-0000-00006D080000}"/>
    <cellStyle name="20% - Accent5 6 2 4 4" xfId="2162" xr:uid="{00000000-0005-0000-0000-00006E080000}"/>
    <cellStyle name="20% - Accent5 6 2 5" xfId="2163" xr:uid="{00000000-0005-0000-0000-00006F080000}"/>
    <cellStyle name="20% - Accent5 6 2 5 2" xfId="2164" xr:uid="{00000000-0005-0000-0000-000070080000}"/>
    <cellStyle name="20% - Accent5 6 2 6" xfId="2165" xr:uid="{00000000-0005-0000-0000-000071080000}"/>
    <cellStyle name="20% - Accent5 6 2 7" xfId="2166" xr:uid="{00000000-0005-0000-0000-000072080000}"/>
    <cellStyle name="20% - Accent5 6 2 8" xfId="2167" xr:uid="{00000000-0005-0000-0000-000073080000}"/>
    <cellStyle name="20% - Accent5 6 2 9" xfId="2168" xr:uid="{00000000-0005-0000-0000-000074080000}"/>
    <cellStyle name="20% - Accent5 6 3" xfId="2169" xr:uid="{00000000-0005-0000-0000-000075080000}"/>
    <cellStyle name="20% - Accent5 6 3 2" xfId="2170" xr:uid="{00000000-0005-0000-0000-000076080000}"/>
    <cellStyle name="20% - Accent5 6 3 2 2" xfId="2171" xr:uid="{00000000-0005-0000-0000-000077080000}"/>
    <cellStyle name="20% - Accent5 6 3 2 3" xfId="2172" xr:uid="{00000000-0005-0000-0000-000078080000}"/>
    <cellStyle name="20% - Accent5 6 3 3" xfId="2173" xr:uid="{00000000-0005-0000-0000-000079080000}"/>
    <cellStyle name="20% - Accent5 6 3 4" xfId="2174" xr:uid="{00000000-0005-0000-0000-00007A080000}"/>
    <cellStyle name="20% - Accent5 6 3 5" xfId="2175" xr:uid="{00000000-0005-0000-0000-00007B080000}"/>
    <cellStyle name="20% - Accent5 6 3 6" xfId="2176" xr:uid="{00000000-0005-0000-0000-00007C080000}"/>
    <cellStyle name="20% - Accent5 6 4" xfId="2177" xr:uid="{00000000-0005-0000-0000-00007D080000}"/>
    <cellStyle name="20% - Accent5 6 4 2" xfId="2178" xr:uid="{00000000-0005-0000-0000-00007E080000}"/>
    <cellStyle name="20% - Accent5 6 4 2 2" xfId="2179" xr:uid="{00000000-0005-0000-0000-00007F080000}"/>
    <cellStyle name="20% - Accent5 6 4 3" xfId="2180" xr:uid="{00000000-0005-0000-0000-000080080000}"/>
    <cellStyle name="20% - Accent5 6 4 4" xfId="2181" xr:uid="{00000000-0005-0000-0000-000081080000}"/>
    <cellStyle name="20% - Accent5 6 4 5" xfId="2182" xr:uid="{00000000-0005-0000-0000-000082080000}"/>
    <cellStyle name="20% - Accent5 6 5" xfId="2183" xr:uid="{00000000-0005-0000-0000-000083080000}"/>
    <cellStyle name="20% - Accent5 6 5 2" xfId="2184" xr:uid="{00000000-0005-0000-0000-000084080000}"/>
    <cellStyle name="20% - Accent5 6 5 3" xfId="2185" xr:uid="{00000000-0005-0000-0000-000085080000}"/>
    <cellStyle name="20% - Accent5 6 5 4" xfId="2186" xr:uid="{00000000-0005-0000-0000-000086080000}"/>
    <cellStyle name="20% - Accent5 6 6" xfId="2187" xr:uid="{00000000-0005-0000-0000-000087080000}"/>
    <cellStyle name="20% - Accent5 6 6 2" xfId="2188" xr:uid="{00000000-0005-0000-0000-000088080000}"/>
    <cellStyle name="20% - Accent5 6 7" xfId="2189" xr:uid="{00000000-0005-0000-0000-000089080000}"/>
    <cellStyle name="20% - Accent5 6 8" xfId="2190" xr:uid="{00000000-0005-0000-0000-00008A080000}"/>
    <cellStyle name="20% - Accent5 6 9" xfId="2191" xr:uid="{00000000-0005-0000-0000-00008B080000}"/>
    <cellStyle name="20% - Accent5 7" xfId="2192" xr:uid="{00000000-0005-0000-0000-00008C080000}"/>
    <cellStyle name="20% - Accent5 7 2" xfId="2193" xr:uid="{00000000-0005-0000-0000-00008D080000}"/>
    <cellStyle name="20% - Accent5 7 2 2" xfId="2194" xr:uid="{00000000-0005-0000-0000-00008E080000}"/>
    <cellStyle name="20% - Accent5 7 2 2 2" xfId="2195" xr:uid="{00000000-0005-0000-0000-00008F080000}"/>
    <cellStyle name="20% - Accent5 7 2 2 3" xfId="2196" xr:uid="{00000000-0005-0000-0000-000090080000}"/>
    <cellStyle name="20% - Accent5 7 2 3" xfId="2197" xr:uid="{00000000-0005-0000-0000-000091080000}"/>
    <cellStyle name="20% - Accent5 7 2 4" xfId="2198" xr:uid="{00000000-0005-0000-0000-000092080000}"/>
    <cellStyle name="20% - Accent5 7 2 5" xfId="2199" xr:uid="{00000000-0005-0000-0000-000093080000}"/>
    <cellStyle name="20% - Accent5 7 2 6" xfId="2200" xr:uid="{00000000-0005-0000-0000-000094080000}"/>
    <cellStyle name="20% - Accent5 7 3" xfId="2201" xr:uid="{00000000-0005-0000-0000-000095080000}"/>
    <cellStyle name="20% - Accent5 7 3 2" xfId="2202" xr:uid="{00000000-0005-0000-0000-000096080000}"/>
    <cellStyle name="20% - Accent5 7 3 2 2" xfId="2203" xr:uid="{00000000-0005-0000-0000-000097080000}"/>
    <cellStyle name="20% - Accent5 7 3 3" xfId="2204" xr:uid="{00000000-0005-0000-0000-000098080000}"/>
    <cellStyle name="20% - Accent5 7 3 4" xfId="2205" xr:uid="{00000000-0005-0000-0000-000099080000}"/>
    <cellStyle name="20% - Accent5 7 3 5" xfId="2206" xr:uid="{00000000-0005-0000-0000-00009A080000}"/>
    <cellStyle name="20% - Accent5 7 4" xfId="2207" xr:uid="{00000000-0005-0000-0000-00009B080000}"/>
    <cellStyle name="20% - Accent5 7 4 2" xfId="2208" xr:uid="{00000000-0005-0000-0000-00009C080000}"/>
    <cellStyle name="20% - Accent5 7 4 3" xfId="2209" xr:uid="{00000000-0005-0000-0000-00009D080000}"/>
    <cellStyle name="20% - Accent5 7 4 4" xfId="2210" xr:uid="{00000000-0005-0000-0000-00009E080000}"/>
    <cellStyle name="20% - Accent5 7 5" xfId="2211" xr:uid="{00000000-0005-0000-0000-00009F080000}"/>
    <cellStyle name="20% - Accent5 7 5 2" xfId="2212" xr:uid="{00000000-0005-0000-0000-0000A0080000}"/>
    <cellStyle name="20% - Accent5 7 6" xfId="2213" xr:uid="{00000000-0005-0000-0000-0000A1080000}"/>
    <cellStyle name="20% - Accent5 7 7" xfId="2214" xr:uid="{00000000-0005-0000-0000-0000A2080000}"/>
    <cellStyle name="20% - Accent5 7 8" xfId="2215" xr:uid="{00000000-0005-0000-0000-0000A3080000}"/>
    <cellStyle name="20% - Accent5 7 9" xfId="2216" xr:uid="{00000000-0005-0000-0000-0000A4080000}"/>
    <cellStyle name="20% - Accent5 8" xfId="2217" xr:uid="{00000000-0005-0000-0000-0000A5080000}"/>
    <cellStyle name="20% - Accent5 8 2" xfId="2218" xr:uid="{00000000-0005-0000-0000-0000A6080000}"/>
    <cellStyle name="20% - Accent5 8 2 2" xfId="2219" xr:uid="{00000000-0005-0000-0000-0000A7080000}"/>
    <cellStyle name="20% - Accent5 8 2 2 2" xfId="2220" xr:uid="{00000000-0005-0000-0000-0000A8080000}"/>
    <cellStyle name="20% - Accent5 8 2 2 3" xfId="2221" xr:uid="{00000000-0005-0000-0000-0000A9080000}"/>
    <cellStyle name="20% - Accent5 8 2 3" xfId="2222" xr:uid="{00000000-0005-0000-0000-0000AA080000}"/>
    <cellStyle name="20% - Accent5 8 2 4" xfId="2223" xr:uid="{00000000-0005-0000-0000-0000AB080000}"/>
    <cellStyle name="20% - Accent5 8 2 5" xfId="2224" xr:uid="{00000000-0005-0000-0000-0000AC080000}"/>
    <cellStyle name="20% - Accent5 8 2 6" xfId="2225" xr:uid="{00000000-0005-0000-0000-0000AD080000}"/>
    <cellStyle name="20% - Accent5 8 3" xfId="2226" xr:uid="{00000000-0005-0000-0000-0000AE080000}"/>
    <cellStyle name="20% - Accent5 8 3 2" xfId="2227" xr:uid="{00000000-0005-0000-0000-0000AF080000}"/>
    <cellStyle name="20% - Accent5 8 3 2 2" xfId="2228" xr:uid="{00000000-0005-0000-0000-0000B0080000}"/>
    <cellStyle name="20% - Accent5 8 3 3" xfId="2229" xr:uid="{00000000-0005-0000-0000-0000B1080000}"/>
    <cellStyle name="20% - Accent5 8 3 4" xfId="2230" xr:uid="{00000000-0005-0000-0000-0000B2080000}"/>
    <cellStyle name="20% - Accent5 8 3 5" xfId="2231" xr:uid="{00000000-0005-0000-0000-0000B3080000}"/>
    <cellStyle name="20% - Accent5 8 4" xfId="2232" xr:uid="{00000000-0005-0000-0000-0000B4080000}"/>
    <cellStyle name="20% - Accent5 8 4 2" xfId="2233" xr:uid="{00000000-0005-0000-0000-0000B5080000}"/>
    <cellStyle name="20% - Accent5 8 4 3" xfId="2234" xr:uid="{00000000-0005-0000-0000-0000B6080000}"/>
    <cellStyle name="20% - Accent5 8 4 4" xfId="2235" xr:uid="{00000000-0005-0000-0000-0000B7080000}"/>
    <cellStyle name="20% - Accent5 8 5" xfId="2236" xr:uid="{00000000-0005-0000-0000-0000B8080000}"/>
    <cellStyle name="20% - Accent5 8 5 2" xfId="2237" xr:uid="{00000000-0005-0000-0000-0000B9080000}"/>
    <cellStyle name="20% - Accent5 8 6" xfId="2238" xr:uid="{00000000-0005-0000-0000-0000BA080000}"/>
    <cellStyle name="20% - Accent5 8 7" xfId="2239" xr:uid="{00000000-0005-0000-0000-0000BB080000}"/>
    <cellStyle name="20% - Accent5 8 8" xfId="2240" xr:uid="{00000000-0005-0000-0000-0000BC080000}"/>
    <cellStyle name="20% - Accent5 8 9" xfId="2241" xr:uid="{00000000-0005-0000-0000-0000BD080000}"/>
    <cellStyle name="20% - Accent5 9" xfId="2242" xr:uid="{00000000-0005-0000-0000-0000BE080000}"/>
    <cellStyle name="20% - Accent5 9 2" xfId="2243" xr:uid="{00000000-0005-0000-0000-0000BF080000}"/>
    <cellStyle name="20% - Accent5 9 2 2" xfId="2244" xr:uid="{00000000-0005-0000-0000-0000C0080000}"/>
    <cellStyle name="20% - Accent5 9 2 2 2" xfId="2245" xr:uid="{00000000-0005-0000-0000-0000C1080000}"/>
    <cellStyle name="20% - Accent5 9 2 3" xfId="2246" xr:uid="{00000000-0005-0000-0000-0000C2080000}"/>
    <cellStyle name="20% - Accent5 9 2 4" xfId="2247" xr:uid="{00000000-0005-0000-0000-0000C3080000}"/>
    <cellStyle name="20% - Accent5 9 2 5" xfId="2248" xr:uid="{00000000-0005-0000-0000-0000C4080000}"/>
    <cellStyle name="20% - Accent5 9 3" xfId="2249" xr:uid="{00000000-0005-0000-0000-0000C5080000}"/>
    <cellStyle name="20% - Accent5 9 3 2" xfId="2250" xr:uid="{00000000-0005-0000-0000-0000C6080000}"/>
    <cellStyle name="20% - Accent5 9 3 3" xfId="2251" xr:uid="{00000000-0005-0000-0000-0000C7080000}"/>
    <cellStyle name="20% - Accent5 9 3 4" xfId="2252" xr:uid="{00000000-0005-0000-0000-0000C8080000}"/>
    <cellStyle name="20% - Accent5 9 4" xfId="2253" xr:uid="{00000000-0005-0000-0000-0000C9080000}"/>
    <cellStyle name="20% - Accent5 9 4 2" xfId="2254" xr:uid="{00000000-0005-0000-0000-0000CA080000}"/>
    <cellStyle name="20% - Accent5 9 5" xfId="2255" xr:uid="{00000000-0005-0000-0000-0000CB080000}"/>
    <cellStyle name="20% - Accent5 9 6" xfId="2256" xr:uid="{00000000-0005-0000-0000-0000CC080000}"/>
    <cellStyle name="20% - Accent5 9 7" xfId="2257" xr:uid="{00000000-0005-0000-0000-0000CD080000}"/>
    <cellStyle name="20% - Accent5 9 8" xfId="2258" xr:uid="{00000000-0005-0000-0000-0000CE080000}"/>
    <cellStyle name="20% - Accent6 10" xfId="2259" xr:uid="{00000000-0005-0000-0000-0000CF080000}"/>
    <cellStyle name="20% - Accent6 10 2" xfId="2260" xr:uid="{00000000-0005-0000-0000-0000D0080000}"/>
    <cellStyle name="20% - Accent6 10 2 2" xfId="2261" xr:uid="{00000000-0005-0000-0000-0000D1080000}"/>
    <cellStyle name="20% - Accent6 10 2 2 2" xfId="2262" xr:uid="{00000000-0005-0000-0000-0000D2080000}"/>
    <cellStyle name="20% - Accent6 10 2 3" xfId="2263" xr:uid="{00000000-0005-0000-0000-0000D3080000}"/>
    <cellStyle name="20% - Accent6 10 2 4" xfId="2264" xr:uid="{00000000-0005-0000-0000-0000D4080000}"/>
    <cellStyle name="20% - Accent6 10 2 5" xfId="2265" xr:uid="{00000000-0005-0000-0000-0000D5080000}"/>
    <cellStyle name="20% - Accent6 10 3" xfId="2266" xr:uid="{00000000-0005-0000-0000-0000D6080000}"/>
    <cellStyle name="20% - Accent6 10 3 2" xfId="2267" xr:uid="{00000000-0005-0000-0000-0000D7080000}"/>
    <cellStyle name="20% - Accent6 10 3 3" xfId="2268" xr:uid="{00000000-0005-0000-0000-0000D8080000}"/>
    <cellStyle name="20% - Accent6 10 3 4" xfId="2269" xr:uid="{00000000-0005-0000-0000-0000D9080000}"/>
    <cellStyle name="20% - Accent6 10 4" xfId="2270" xr:uid="{00000000-0005-0000-0000-0000DA080000}"/>
    <cellStyle name="20% - Accent6 10 4 2" xfId="2271" xr:uid="{00000000-0005-0000-0000-0000DB080000}"/>
    <cellStyle name="20% - Accent6 10 5" xfId="2272" xr:uid="{00000000-0005-0000-0000-0000DC080000}"/>
    <cellStyle name="20% - Accent6 10 6" xfId="2273" xr:uid="{00000000-0005-0000-0000-0000DD080000}"/>
    <cellStyle name="20% - Accent6 10 7" xfId="2274" xr:uid="{00000000-0005-0000-0000-0000DE080000}"/>
    <cellStyle name="20% - Accent6 10 8" xfId="2275" xr:uid="{00000000-0005-0000-0000-0000DF080000}"/>
    <cellStyle name="20% - Accent6 11" xfId="2276" xr:uid="{00000000-0005-0000-0000-0000E0080000}"/>
    <cellStyle name="20% - Accent6 11 2" xfId="2277" xr:uid="{00000000-0005-0000-0000-0000E1080000}"/>
    <cellStyle name="20% - Accent6 11 2 2" xfId="2278" xr:uid="{00000000-0005-0000-0000-0000E2080000}"/>
    <cellStyle name="20% - Accent6 11 2 2 2" xfId="2279" xr:uid="{00000000-0005-0000-0000-0000E3080000}"/>
    <cellStyle name="20% - Accent6 11 2 3" xfId="2280" xr:uid="{00000000-0005-0000-0000-0000E4080000}"/>
    <cellStyle name="20% - Accent6 11 2 4" xfId="2281" xr:uid="{00000000-0005-0000-0000-0000E5080000}"/>
    <cellStyle name="20% - Accent6 11 2 5" xfId="2282" xr:uid="{00000000-0005-0000-0000-0000E6080000}"/>
    <cellStyle name="20% - Accent6 11 3" xfId="2283" xr:uid="{00000000-0005-0000-0000-0000E7080000}"/>
    <cellStyle name="20% - Accent6 11 3 2" xfId="2284" xr:uid="{00000000-0005-0000-0000-0000E8080000}"/>
    <cellStyle name="20% - Accent6 11 3 3" xfId="2285" xr:uid="{00000000-0005-0000-0000-0000E9080000}"/>
    <cellStyle name="20% - Accent6 11 3 4" xfId="2286" xr:uid="{00000000-0005-0000-0000-0000EA080000}"/>
    <cellStyle name="20% - Accent6 11 4" xfId="2287" xr:uid="{00000000-0005-0000-0000-0000EB080000}"/>
    <cellStyle name="20% - Accent6 11 4 2" xfId="2288" xr:uid="{00000000-0005-0000-0000-0000EC080000}"/>
    <cellStyle name="20% - Accent6 11 5" xfId="2289" xr:uid="{00000000-0005-0000-0000-0000ED080000}"/>
    <cellStyle name="20% - Accent6 11 6" xfId="2290" xr:uid="{00000000-0005-0000-0000-0000EE080000}"/>
    <cellStyle name="20% - Accent6 11 7" xfId="2291" xr:uid="{00000000-0005-0000-0000-0000EF080000}"/>
    <cellStyle name="20% - Accent6 11 8" xfId="2292" xr:uid="{00000000-0005-0000-0000-0000F0080000}"/>
    <cellStyle name="20% - Accent6 12" xfId="2293" xr:uid="{00000000-0005-0000-0000-0000F1080000}"/>
    <cellStyle name="20% - Accent6 12 2" xfId="2294" xr:uid="{00000000-0005-0000-0000-0000F2080000}"/>
    <cellStyle name="20% - Accent6 12 2 2" xfId="2295" xr:uid="{00000000-0005-0000-0000-0000F3080000}"/>
    <cellStyle name="20% - Accent6 12 2 2 2" xfId="2296" xr:uid="{00000000-0005-0000-0000-0000F4080000}"/>
    <cellStyle name="20% - Accent6 12 2 3" xfId="2297" xr:uid="{00000000-0005-0000-0000-0000F5080000}"/>
    <cellStyle name="20% - Accent6 12 2 4" xfId="2298" xr:uid="{00000000-0005-0000-0000-0000F6080000}"/>
    <cellStyle name="20% - Accent6 12 2 5" xfId="2299" xr:uid="{00000000-0005-0000-0000-0000F7080000}"/>
    <cellStyle name="20% - Accent6 12 3" xfId="2300" xr:uid="{00000000-0005-0000-0000-0000F8080000}"/>
    <cellStyle name="20% - Accent6 12 3 2" xfId="2301" xr:uid="{00000000-0005-0000-0000-0000F9080000}"/>
    <cellStyle name="20% - Accent6 12 3 3" xfId="2302" xr:uid="{00000000-0005-0000-0000-0000FA080000}"/>
    <cellStyle name="20% - Accent6 12 3 4" xfId="2303" xr:uid="{00000000-0005-0000-0000-0000FB080000}"/>
    <cellStyle name="20% - Accent6 12 4" xfId="2304" xr:uid="{00000000-0005-0000-0000-0000FC080000}"/>
    <cellStyle name="20% - Accent6 12 4 2" xfId="2305" xr:uid="{00000000-0005-0000-0000-0000FD080000}"/>
    <cellStyle name="20% - Accent6 12 5" xfId="2306" xr:uid="{00000000-0005-0000-0000-0000FE080000}"/>
    <cellStyle name="20% - Accent6 12 6" xfId="2307" xr:uid="{00000000-0005-0000-0000-0000FF080000}"/>
    <cellStyle name="20% - Accent6 12 7" xfId="2308" xr:uid="{00000000-0005-0000-0000-000000090000}"/>
    <cellStyle name="20% - Accent6 12 8" xfId="2309" xr:uid="{00000000-0005-0000-0000-000001090000}"/>
    <cellStyle name="20% - Accent6 13" xfId="2310" xr:uid="{00000000-0005-0000-0000-000002090000}"/>
    <cellStyle name="20% - Accent6 13 2" xfId="2311" xr:uid="{00000000-0005-0000-0000-000003090000}"/>
    <cellStyle name="20% - Accent6 13 2 2" xfId="2312" xr:uid="{00000000-0005-0000-0000-000004090000}"/>
    <cellStyle name="20% - Accent6 13 2 3" xfId="2313" xr:uid="{00000000-0005-0000-0000-000005090000}"/>
    <cellStyle name="20% - Accent6 13 2 4" xfId="2314" xr:uid="{00000000-0005-0000-0000-000006090000}"/>
    <cellStyle name="20% - Accent6 13 3" xfId="2315" xr:uid="{00000000-0005-0000-0000-000007090000}"/>
    <cellStyle name="20% - Accent6 13 3 2" xfId="2316" xr:uid="{00000000-0005-0000-0000-000008090000}"/>
    <cellStyle name="20% - Accent6 13 4" xfId="2317" xr:uid="{00000000-0005-0000-0000-000009090000}"/>
    <cellStyle name="20% - Accent6 13 5" xfId="2318" xr:uid="{00000000-0005-0000-0000-00000A090000}"/>
    <cellStyle name="20% - Accent6 13 6" xfId="2319" xr:uid="{00000000-0005-0000-0000-00000B090000}"/>
    <cellStyle name="20% - Accent6 14" xfId="2320" xr:uid="{00000000-0005-0000-0000-00000C090000}"/>
    <cellStyle name="20% - Accent6 14 2" xfId="2321" xr:uid="{00000000-0005-0000-0000-00000D090000}"/>
    <cellStyle name="20% - Accent6 14 2 2" xfId="2322" xr:uid="{00000000-0005-0000-0000-00000E090000}"/>
    <cellStyle name="20% - Accent6 14 3" xfId="2323" xr:uid="{00000000-0005-0000-0000-00000F090000}"/>
    <cellStyle name="20% - Accent6 14 4" xfId="2324" xr:uid="{00000000-0005-0000-0000-000010090000}"/>
    <cellStyle name="20% - Accent6 14 5" xfId="2325" xr:uid="{00000000-0005-0000-0000-000011090000}"/>
    <cellStyle name="20% - Accent6 15" xfId="2326" xr:uid="{00000000-0005-0000-0000-000012090000}"/>
    <cellStyle name="20% - Accent6 15 2" xfId="2327" xr:uid="{00000000-0005-0000-0000-000013090000}"/>
    <cellStyle name="20% - Accent6 15 2 2" xfId="2328" xr:uid="{00000000-0005-0000-0000-000014090000}"/>
    <cellStyle name="20% - Accent6 15 3" xfId="2329" xr:uid="{00000000-0005-0000-0000-000015090000}"/>
    <cellStyle name="20% - Accent6 15 4" xfId="2330" xr:uid="{00000000-0005-0000-0000-000016090000}"/>
    <cellStyle name="20% - Accent6 15 5" xfId="2331" xr:uid="{00000000-0005-0000-0000-000017090000}"/>
    <cellStyle name="20% - Accent6 16" xfId="2332" xr:uid="{00000000-0005-0000-0000-000018090000}"/>
    <cellStyle name="20% - Accent6 16 2" xfId="2333" xr:uid="{00000000-0005-0000-0000-000019090000}"/>
    <cellStyle name="20% - Accent6 17" xfId="2334" xr:uid="{00000000-0005-0000-0000-00001A090000}"/>
    <cellStyle name="20% - Accent6 18" xfId="2335" xr:uid="{00000000-0005-0000-0000-00001B090000}"/>
    <cellStyle name="20% - Accent6 19" xfId="2336" xr:uid="{00000000-0005-0000-0000-00001C090000}"/>
    <cellStyle name="20% - Accent6 2" xfId="2337" xr:uid="{00000000-0005-0000-0000-00001D090000}"/>
    <cellStyle name="20% - Accent6 2 10" xfId="2338" xr:uid="{00000000-0005-0000-0000-00001E090000}"/>
    <cellStyle name="20% - Accent6 2 11" xfId="2339" xr:uid="{00000000-0005-0000-0000-00001F090000}"/>
    <cellStyle name="20% - Accent6 2 2" xfId="2340" xr:uid="{00000000-0005-0000-0000-000020090000}"/>
    <cellStyle name="20% - Accent6 2 2 10" xfId="2341" xr:uid="{00000000-0005-0000-0000-000021090000}"/>
    <cellStyle name="20% - Accent6 2 2 2" xfId="2342" xr:uid="{00000000-0005-0000-0000-000022090000}"/>
    <cellStyle name="20% - Accent6 2 2 2 2" xfId="2343" xr:uid="{00000000-0005-0000-0000-000023090000}"/>
    <cellStyle name="20% - Accent6 2 2 2 2 2" xfId="2344" xr:uid="{00000000-0005-0000-0000-000024090000}"/>
    <cellStyle name="20% - Accent6 2 2 2 2 2 2" xfId="2345" xr:uid="{00000000-0005-0000-0000-000025090000}"/>
    <cellStyle name="20% - Accent6 2 2 2 2 2 3" xfId="2346" xr:uid="{00000000-0005-0000-0000-000026090000}"/>
    <cellStyle name="20% - Accent6 2 2 2 2 3" xfId="2347" xr:uid="{00000000-0005-0000-0000-000027090000}"/>
    <cellStyle name="20% - Accent6 2 2 2 2 4" xfId="2348" xr:uid="{00000000-0005-0000-0000-000028090000}"/>
    <cellStyle name="20% - Accent6 2 2 2 2 5" xfId="2349" xr:uid="{00000000-0005-0000-0000-000029090000}"/>
    <cellStyle name="20% - Accent6 2 2 2 2 6" xfId="2350" xr:uid="{00000000-0005-0000-0000-00002A090000}"/>
    <cellStyle name="20% - Accent6 2 2 2 3" xfId="2351" xr:uid="{00000000-0005-0000-0000-00002B090000}"/>
    <cellStyle name="20% - Accent6 2 2 2 3 2" xfId="2352" xr:uid="{00000000-0005-0000-0000-00002C090000}"/>
    <cellStyle name="20% - Accent6 2 2 2 3 2 2" xfId="2353" xr:uid="{00000000-0005-0000-0000-00002D090000}"/>
    <cellStyle name="20% - Accent6 2 2 2 3 3" xfId="2354" xr:uid="{00000000-0005-0000-0000-00002E090000}"/>
    <cellStyle name="20% - Accent6 2 2 2 3 4" xfId="2355" xr:uid="{00000000-0005-0000-0000-00002F090000}"/>
    <cellStyle name="20% - Accent6 2 2 2 3 5" xfId="2356" xr:uid="{00000000-0005-0000-0000-000030090000}"/>
    <cellStyle name="20% - Accent6 2 2 2 4" xfId="2357" xr:uid="{00000000-0005-0000-0000-000031090000}"/>
    <cellStyle name="20% - Accent6 2 2 2 4 2" xfId="2358" xr:uid="{00000000-0005-0000-0000-000032090000}"/>
    <cellStyle name="20% - Accent6 2 2 2 4 3" xfId="2359" xr:uid="{00000000-0005-0000-0000-000033090000}"/>
    <cellStyle name="20% - Accent6 2 2 2 4 4" xfId="2360" xr:uid="{00000000-0005-0000-0000-000034090000}"/>
    <cellStyle name="20% - Accent6 2 2 2 5" xfId="2361" xr:uid="{00000000-0005-0000-0000-000035090000}"/>
    <cellStyle name="20% - Accent6 2 2 2 5 2" xfId="2362" xr:uid="{00000000-0005-0000-0000-000036090000}"/>
    <cellStyle name="20% - Accent6 2 2 2 6" xfId="2363" xr:uid="{00000000-0005-0000-0000-000037090000}"/>
    <cellStyle name="20% - Accent6 2 2 2 7" xfId="2364" xr:uid="{00000000-0005-0000-0000-000038090000}"/>
    <cellStyle name="20% - Accent6 2 2 2 8" xfId="2365" xr:uid="{00000000-0005-0000-0000-000039090000}"/>
    <cellStyle name="20% - Accent6 2 2 2 9" xfId="2366" xr:uid="{00000000-0005-0000-0000-00003A090000}"/>
    <cellStyle name="20% - Accent6 2 2 3" xfId="2367" xr:uid="{00000000-0005-0000-0000-00003B090000}"/>
    <cellStyle name="20% - Accent6 2 2 3 2" xfId="2368" xr:uid="{00000000-0005-0000-0000-00003C090000}"/>
    <cellStyle name="20% - Accent6 2 2 3 2 2" xfId="2369" xr:uid="{00000000-0005-0000-0000-00003D090000}"/>
    <cellStyle name="20% - Accent6 2 2 3 2 3" xfId="2370" xr:uid="{00000000-0005-0000-0000-00003E090000}"/>
    <cellStyle name="20% - Accent6 2 2 3 3" xfId="2371" xr:uid="{00000000-0005-0000-0000-00003F090000}"/>
    <cellStyle name="20% - Accent6 2 2 3 4" xfId="2372" xr:uid="{00000000-0005-0000-0000-000040090000}"/>
    <cellStyle name="20% - Accent6 2 2 3 5" xfId="2373" xr:uid="{00000000-0005-0000-0000-000041090000}"/>
    <cellStyle name="20% - Accent6 2 2 3 6" xfId="2374" xr:uid="{00000000-0005-0000-0000-000042090000}"/>
    <cellStyle name="20% - Accent6 2 2 4" xfId="2375" xr:uid="{00000000-0005-0000-0000-000043090000}"/>
    <cellStyle name="20% - Accent6 2 2 4 2" xfId="2376" xr:uid="{00000000-0005-0000-0000-000044090000}"/>
    <cellStyle name="20% - Accent6 2 2 4 2 2" xfId="2377" xr:uid="{00000000-0005-0000-0000-000045090000}"/>
    <cellStyle name="20% - Accent6 2 2 4 3" xfId="2378" xr:uid="{00000000-0005-0000-0000-000046090000}"/>
    <cellStyle name="20% - Accent6 2 2 4 4" xfId="2379" xr:uid="{00000000-0005-0000-0000-000047090000}"/>
    <cellStyle name="20% - Accent6 2 2 4 5" xfId="2380" xr:uid="{00000000-0005-0000-0000-000048090000}"/>
    <cellStyle name="20% - Accent6 2 2 5" xfId="2381" xr:uid="{00000000-0005-0000-0000-000049090000}"/>
    <cellStyle name="20% - Accent6 2 2 5 2" xfId="2382" xr:uid="{00000000-0005-0000-0000-00004A090000}"/>
    <cellStyle name="20% - Accent6 2 2 5 3" xfId="2383" xr:uid="{00000000-0005-0000-0000-00004B090000}"/>
    <cellStyle name="20% - Accent6 2 2 5 4" xfId="2384" xr:uid="{00000000-0005-0000-0000-00004C090000}"/>
    <cellStyle name="20% - Accent6 2 2 6" xfId="2385" xr:uid="{00000000-0005-0000-0000-00004D090000}"/>
    <cellStyle name="20% - Accent6 2 2 6 2" xfId="2386" xr:uid="{00000000-0005-0000-0000-00004E090000}"/>
    <cellStyle name="20% - Accent6 2 2 7" xfId="2387" xr:uid="{00000000-0005-0000-0000-00004F090000}"/>
    <cellStyle name="20% - Accent6 2 2 8" xfId="2388" xr:uid="{00000000-0005-0000-0000-000050090000}"/>
    <cellStyle name="20% - Accent6 2 2 9" xfId="2389" xr:uid="{00000000-0005-0000-0000-000051090000}"/>
    <cellStyle name="20% - Accent6 2 3" xfId="2390" xr:uid="{00000000-0005-0000-0000-000052090000}"/>
    <cellStyle name="20% - Accent6 2 3 2" xfId="2391" xr:uid="{00000000-0005-0000-0000-000053090000}"/>
    <cellStyle name="20% - Accent6 2 3 2 2" xfId="2392" xr:uid="{00000000-0005-0000-0000-000054090000}"/>
    <cellStyle name="20% - Accent6 2 3 2 2 2" xfId="2393" xr:uid="{00000000-0005-0000-0000-000055090000}"/>
    <cellStyle name="20% - Accent6 2 3 2 2 3" xfId="2394" xr:uid="{00000000-0005-0000-0000-000056090000}"/>
    <cellStyle name="20% - Accent6 2 3 2 3" xfId="2395" xr:uid="{00000000-0005-0000-0000-000057090000}"/>
    <cellStyle name="20% - Accent6 2 3 2 4" xfId="2396" xr:uid="{00000000-0005-0000-0000-000058090000}"/>
    <cellStyle name="20% - Accent6 2 3 2 5" xfId="2397" xr:uid="{00000000-0005-0000-0000-000059090000}"/>
    <cellStyle name="20% - Accent6 2 3 2 6" xfId="2398" xr:uid="{00000000-0005-0000-0000-00005A090000}"/>
    <cellStyle name="20% - Accent6 2 3 3" xfId="2399" xr:uid="{00000000-0005-0000-0000-00005B090000}"/>
    <cellStyle name="20% - Accent6 2 3 3 2" xfId="2400" xr:uid="{00000000-0005-0000-0000-00005C090000}"/>
    <cellStyle name="20% - Accent6 2 3 3 2 2" xfId="2401" xr:uid="{00000000-0005-0000-0000-00005D090000}"/>
    <cellStyle name="20% - Accent6 2 3 3 3" xfId="2402" xr:uid="{00000000-0005-0000-0000-00005E090000}"/>
    <cellStyle name="20% - Accent6 2 3 3 4" xfId="2403" xr:uid="{00000000-0005-0000-0000-00005F090000}"/>
    <cellStyle name="20% - Accent6 2 3 3 5" xfId="2404" xr:uid="{00000000-0005-0000-0000-000060090000}"/>
    <cellStyle name="20% - Accent6 2 3 4" xfId="2405" xr:uid="{00000000-0005-0000-0000-000061090000}"/>
    <cellStyle name="20% - Accent6 2 3 4 2" xfId="2406" xr:uid="{00000000-0005-0000-0000-000062090000}"/>
    <cellStyle name="20% - Accent6 2 3 4 3" xfId="2407" xr:uid="{00000000-0005-0000-0000-000063090000}"/>
    <cellStyle name="20% - Accent6 2 3 4 4" xfId="2408" xr:uid="{00000000-0005-0000-0000-000064090000}"/>
    <cellStyle name="20% - Accent6 2 3 5" xfId="2409" xr:uid="{00000000-0005-0000-0000-000065090000}"/>
    <cellStyle name="20% - Accent6 2 3 5 2" xfId="2410" xr:uid="{00000000-0005-0000-0000-000066090000}"/>
    <cellStyle name="20% - Accent6 2 3 6" xfId="2411" xr:uid="{00000000-0005-0000-0000-000067090000}"/>
    <cellStyle name="20% - Accent6 2 3 7" xfId="2412" xr:uid="{00000000-0005-0000-0000-000068090000}"/>
    <cellStyle name="20% - Accent6 2 3 8" xfId="2413" xr:uid="{00000000-0005-0000-0000-000069090000}"/>
    <cellStyle name="20% - Accent6 2 3 9" xfId="2414" xr:uid="{00000000-0005-0000-0000-00006A090000}"/>
    <cellStyle name="20% - Accent6 2 4" xfId="2415" xr:uid="{00000000-0005-0000-0000-00006B090000}"/>
    <cellStyle name="20% - Accent6 2 4 2" xfId="2416" xr:uid="{00000000-0005-0000-0000-00006C090000}"/>
    <cellStyle name="20% - Accent6 2 4 2 2" xfId="2417" xr:uid="{00000000-0005-0000-0000-00006D090000}"/>
    <cellStyle name="20% - Accent6 2 4 2 3" xfId="2418" xr:uid="{00000000-0005-0000-0000-00006E090000}"/>
    <cellStyle name="20% - Accent6 2 4 3" xfId="2419" xr:uid="{00000000-0005-0000-0000-00006F090000}"/>
    <cellStyle name="20% - Accent6 2 4 4" xfId="2420" xr:uid="{00000000-0005-0000-0000-000070090000}"/>
    <cellStyle name="20% - Accent6 2 4 5" xfId="2421" xr:uid="{00000000-0005-0000-0000-000071090000}"/>
    <cellStyle name="20% - Accent6 2 4 6" xfId="2422" xr:uid="{00000000-0005-0000-0000-000072090000}"/>
    <cellStyle name="20% - Accent6 2 5" xfId="2423" xr:uid="{00000000-0005-0000-0000-000073090000}"/>
    <cellStyle name="20% - Accent6 2 5 2" xfId="2424" xr:uid="{00000000-0005-0000-0000-000074090000}"/>
    <cellStyle name="20% - Accent6 2 5 2 2" xfId="2425" xr:uid="{00000000-0005-0000-0000-000075090000}"/>
    <cellStyle name="20% - Accent6 2 5 3" xfId="2426" xr:uid="{00000000-0005-0000-0000-000076090000}"/>
    <cellStyle name="20% - Accent6 2 5 4" xfId="2427" xr:uid="{00000000-0005-0000-0000-000077090000}"/>
    <cellStyle name="20% - Accent6 2 5 5" xfId="2428" xr:uid="{00000000-0005-0000-0000-000078090000}"/>
    <cellStyle name="20% - Accent6 2 6" xfId="2429" xr:uid="{00000000-0005-0000-0000-000079090000}"/>
    <cellStyle name="20% - Accent6 2 6 2" xfId="2430" xr:uid="{00000000-0005-0000-0000-00007A090000}"/>
    <cellStyle name="20% - Accent6 2 6 2 2" xfId="2431" xr:uid="{00000000-0005-0000-0000-00007B090000}"/>
    <cellStyle name="20% - Accent6 2 6 3" xfId="2432" xr:uid="{00000000-0005-0000-0000-00007C090000}"/>
    <cellStyle name="20% - Accent6 2 6 4" xfId="2433" xr:uid="{00000000-0005-0000-0000-00007D090000}"/>
    <cellStyle name="20% - Accent6 2 6 5" xfId="2434" xr:uid="{00000000-0005-0000-0000-00007E090000}"/>
    <cellStyle name="20% - Accent6 2 7" xfId="2435" xr:uid="{00000000-0005-0000-0000-00007F090000}"/>
    <cellStyle name="20% - Accent6 2 7 2" xfId="2436" xr:uid="{00000000-0005-0000-0000-000080090000}"/>
    <cellStyle name="20% - Accent6 2 8" xfId="2437" xr:uid="{00000000-0005-0000-0000-000081090000}"/>
    <cellStyle name="20% - Accent6 2 9" xfId="2438" xr:uid="{00000000-0005-0000-0000-000082090000}"/>
    <cellStyle name="20% - Accent6 3" xfId="2439" xr:uid="{00000000-0005-0000-0000-000083090000}"/>
    <cellStyle name="20% - Accent6 3 10" xfId="2440" xr:uid="{00000000-0005-0000-0000-000084090000}"/>
    <cellStyle name="20% - Accent6 3 2" xfId="2441" xr:uid="{00000000-0005-0000-0000-000085090000}"/>
    <cellStyle name="20% - Accent6 3 2 2" xfId="2442" xr:uid="{00000000-0005-0000-0000-000086090000}"/>
    <cellStyle name="20% - Accent6 3 2 2 2" xfId="2443" xr:uid="{00000000-0005-0000-0000-000087090000}"/>
    <cellStyle name="20% - Accent6 3 2 2 2 2" xfId="2444" xr:uid="{00000000-0005-0000-0000-000088090000}"/>
    <cellStyle name="20% - Accent6 3 2 2 2 3" xfId="2445" xr:uid="{00000000-0005-0000-0000-000089090000}"/>
    <cellStyle name="20% - Accent6 3 2 2 3" xfId="2446" xr:uid="{00000000-0005-0000-0000-00008A090000}"/>
    <cellStyle name="20% - Accent6 3 2 2 4" xfId="2447" xr:uid="{00000000-0005-0000-0000-00008B090000}"/>
    <cellStyle name="20% - Accent6 3 2 2 5" xfId="2448" xr:uid="{00000000-0005-0000-0000-00008C090000}"/>
    <cellStyle name="20% - Accent6 3 2 2 6" xfId="2449" xr:uid="{00000000-0005-0000-0000-00008D090000}"/>
    <cellStyle name="20% - Accent6 3 2 3" xfId="2450" xr:uid="{00000000-0005-0000-0000-00008E090000}"/>
    <cellStyle name="20% - Accent6 3 2 3 2" xfId="2451" xr:uid="{00000000-0005-0000-0000-00008F090000}"/>
    <cellStyle name="20% - Accent6 3 2 3 2 2" xfId="2452" xr:uid="{00000000-0005-0000-0000-000090090000}"/>
    <cellStyle name="20% - Accent6 3 2 3 3" xfId="2453" xr:uid="{00000000-0005-0000-0000-000091090000}"/>
    <cellStyle name="20% - Accent6 3 2 3 4" xfId="2454" xr:uid="{00000000-0005-0000-0000-000092090000}"/>
    <cellStyle name="20% - Accent6 3 2 3 5" xfId="2455" xr:uid="{00000000-0005-0000-0000-000093090000}"/>
    <cellStyle name="20% - Accent6 3 2 4" xfId="2456" xr:uid="{00000000-0005-0000-0000-000094090000}"/>
    <cellStyle name="20% - Accent6 3 2 4 2" xfId="2457" xr:uid="{00000000-0005-0000-0000-000095090000}"/>
    <cellStyle name="20% - Accent6 3 2 4 3" xfId="2458" xr:uid="{00000000-0005-0000-0000-000096090000}"/>
    <cellStyle name="20% - Accent6 3 2 4 4" xfId="2459" xr:uid="{00000000-0005-0000-0000-000097090000}"/>
    <cellStyle name="20% - Accent6 3 2 5" xfId="2460" xr:uid="{00000000-0005-0000-0000-000098090000}"/>
    <cellStyle name="20% - Accent6 3 2 5 2" xfId="2461" xr:uid="{00000000-0005-0000-0000-000099090000}"/>
    <cellStyle name="20% - Accent6 3 2 6" xfId="2462" xr:uid="{00000000-0005-0000-0000-00009A090000}"/>
    <cellStyle name="20% - Accent6 3 2 7" xfId="2463" xr:uid="{00000000-0005-0000-0000-00009B090000}"/>
    <cellStyle name="20% - Accent6 3 2 8" xfId="2464" xr:uid="{00000000-0005-0000-0000-00009C090000}"/>
    <cellStyle name="20% - Accent6 3 2 9" xfId="2465" xr:uid="{00000000-0005-0000-0000-00009D090000}"/>
    <cellStyle name="20% - Accent6 3 3" xfId="2466" xr:uid="{00000000-0005-0000-0000-00009E090000}"/>
    <cellStyle name="20% - Accent6 3 3 2" xfId="2467" xr:uid="{00000000-0005-0000-0000-00009F090000}"/>
    <cellStyle name="20% - Accent6 3 3 2 2" xfId="2468" xr:uid="{00000000-0005-0000-0000-0000A0090000}"/>
    <cellStyle name="20% - Accent6 3 3 2 3" xfId="2469" xr:uid="{00000000-0005-0000-0000-0000A1090000}"/>
    <cellStyle name="20% - Accent6 3 3 3" xfId="2470" xr:uid="{00000000-0005-0000-0000-0000A2090000}"/>
    <cellStyle name="20% - Accent6 3 3 4" xfId="2471" xr:uid="{00000000-0005-0000-0000-0000A3090000}"/>
    <cellStyle name="20% - Accent6 3 3 5" xfId="2472" xr:uid="{00000000-0005-0000-0000-0000A4090000}"/>
    <cellStyle name="20% - Accent6 3 3 6" xfId="2473" xr:uid="{00000000-0005-0000-0000-0000A5090000}"/>
    <cellStyle name="20% - Accent6 3 4" xfId="2474" xr:uid="{00000000-0005-0000-0000-0000A6090000}"/>
    <cellStyle name="20% - Accent6 3 4 2" xfId="2475" xr:uid="{00000000-0005-0000-0000-0000A7090000}"/>
    <cellStyle name="20% - Accent6 3 4 2 2" xfId="2476" xr:uid="{00000000-0005-0000-0000-0000A8090000}"/>
    <cellStyle name="20% - Accent6 3 4 3" xfId="2477" xr:uid="{00000000-0005-0000-0000-0000A9090000}"/>
    <cellStyle name="20% - Accent6 3 4 4" xfId="2478" xr:uid="{00000000-0005-0000-0000-0000AA090000}"/>
    <cellStyle name="20% - Accent6 3 4 5" xfId="2479" xr:uid="{00000000-0005-0000-0000-0000AB090000}"/>
    <cellStyle name="20% - Accent6 3 5" xfId="2480" xr:uid="{00000000-0005-0000-0000-0000AC090000}"/>
    <cellStyle name="20% - Accent6 3 5 2" xfId="2481" xr:uid="{00000000-0005-0000-0000-0000AD090000}"/>
    <cellStyle name="20% - Accent6 3 5 2 2" xfId="2482" xr:uid="{00000000-0005-0000-0000-0000AE090000}"/>
    <cellStyle name="20% - Accent6 3 5 3" xfId="2483" xr:uid="{00000000-0005-0000-0000-0000AF090000}"/>
    <cellStyle name="20% - Accent6 3 5 4" xfId="2484" xr:uid="{00000000-0005-0000-0000-0000B0090000}"/>
    <cellStyle name="20% - Accent6 3 5 5" xfId="2485" xr:uid="{00000000-0005-0000-0000-0000B1090000}"/>
    <cellStyle name="20% - Accent6 3 6" xfId="2486" xr:uid="{00000000-0005-0000-0000-0000B2090000}"/>
    <cellStyle name="20% - Accent6 3 6 2" xfId="2487" xr:uid="{00000000-0005-0000-0000-0000B3090000}"/>
    <cellStyle name="20% - Accent6 3 7" xfId="2488" xr:uid="{00000000-0005-0000-0000-0000B4090000}"/>
    <cellStyle name="20% - Accent6 3 8" xfId="2489" xr:uid="{00000000-0005-0000-0000-0000B5090000}"/>
    <cellStyle name="20% - Accent6 3 9" xfId="2490" xr:uid="{00000000-0005-0000-0000-0000B6090000}"/>
    <cellStyle name="20% - Accent6 4" xfId="2491" xr:uid="{00000000-0005-0000-0000-0000B7090000}"/>
    <cellStyle name="20% - Accent6 4 10" xfId="2492" xr:uid="{00000000-0005-0000-0000-0000B8090000}"/>
    <cellStyle name="20% - Accent6 4 2" xfId="2493" xr:uid="{00000000-0005-0000-0000-0000B9090000}"/>
    <cellStyle name="20% - Accent6 4 2 2" xfId="2494" xr:uid="{00000000-0005-0000-0000-0000BA090000}"/>
    <cellStyle name="20% - Accent6 4 2 2 2" xfId="2495" xr:uid="{00000000-0005-0000-0000-0000BB090000}"/>
    <cellStyle name="20% - Accent6 4 2 2 2 2" xfId="2496" xr:uid="{00000000-0005-0000-0000-0000BC090000}"/>
    <cellStyle name="20% - Accent6 4 2 2 2 3" xfId="2497" xr:uid="{00000000-0005-0000-0000-0000BD090000}"/>
    <cellStyle name="20% - Accent6 4 2 2 3" xfId="2498" xr:uid="{00000000-0005-0000-0000-0000BE090000}"/>
    <cellStyle name="20% - Accent6 4 2 2 4" xfId="2499" xr:uid="{00000000-0005-0000-0000-0000BF090000}"/>
    <cellStyle name="20% - Accent6 4 2 2 5" xfId="2500" xr:uid="{00000000-0005-0000-0000-0000C0090000}"/>
    <cellStyle name="20% - Accent6 4 2 2 6" xfId="2501" xr:uid="{00000000-0005-0000-0000-0000C1090000}"/>
    <cellStyle name="20% - Accent6 4 2 3" xfId="2502" xr:uid="{00000000-0005-0000-0000-0000C2090000}"/>
    <cellStyle name="20% - Accent6 4 2 3 2" xfId="2503" xr:uid="{00000000-0005-0000-0000-0000C3090000}"/>
    <cellStyle name="20% - Accent6 4 2 3 2 2" xfId="2504" xr:uid="{00000000-0005-0000-0000-0000C4090000}"/>
    <cellStyle name="20% - Accent6 4 2 3 3" xfId="2505" xr:uid="{00000000-0005-0000-0000-0000C5090000}"/>
    <cellStyle name="20% - Accent6 4 2 3 4" xfId="2506" xr:uid="{00000000-0005-0000-0000-0000C6090000}"/>
    <cellStyle name="20% - Accent6 4 2 3 5" xfId="2507" xr:uid="{00000000-0005-0000-0000-0000C7090000}"/>
    <cellStyle name="20% - Accent6 4 2 4" xfId="2508" xr:uid="{00000000-0005-0000-0000-0000C8090000}"/>
    <cellStyle name="20% - Accent6 4 2 4 2" xfId="2509" xr:uid="{00000000-0005-0000-0000-0000C9090000}"/>
    <cellStyle name="20% - Accent6 4 2 4 3" xfId="2510" xr:uid="{00000000-0005-0000-0000-0000CA090000}"/>
    <cellStyle name="20% - Accent6 4 2 4 4" xfId="2511" xr:uid="{00000000-0005-0000-0000-0000CB090000}"/>
    <cellStyle name="20% - Accent6 4 2 5" xfId="2512" xr:uid="{00000000-0005-0000-0000-0000CC090000}"/>
    <cellStyle name="20% - Accent6 4 2 5 2" xfId="2513" xr:uid="{00000000-0005-0000-0000-0000CD090000}"/>
    <cellStyle name="20% - Accent6 4 2 6" xfId="2514" xr:uid="{00000000-0005-0000-0000-0000CE090000}"/>
    <cellStyle name="20% - Accent6 4 2 7" xfId="2515" xr:uid="{00000000-0005-0000-0000-0000CF090000}"/>
    <cellStyle name="20% - Accent6 4 2 8" xfId="2516" xr:uid="{00000000-0005-0000-0000-0000D0090000}"/>
    <cellStyle name="20% - Accent6 4 2 9" xfId="2517" xr:uid="{00000000-0005-0000-0000-0000D1090000}"/>
    <cellStyle name="20% - Accent6 4 3" xfId="2518" xr:uid="{00000000-0005-0000-0000-0000D2090000}"/>
    <cellStyle name="20% - Accent6 4 3 2" xfId="2519" xr:uid="{00000000-0005-0000-0000-0000D3090000}"/>
    <cellStyle name="20% - Accent6 4 3 2 2" xfId="2520" xr:uid="{00000000-0005-0000-0000-0000D4090000}"/>
    <cellStyle name="20% - Accent6 4 3 2 3" xfId="2521" xr:uid="{00000000-0005-0000-0000-0000D5090000}"/>
    <cellStyle name="20% - Accent6 4 3 3" xfId="2522" xr:uid="{00000000-0005-0000-0000-0000D6090000}"/>
    <cellStyle name="20% - Accent6 4 3 4" xfId="2523" xr:uid="{00000000-0005-0000-0000-0000D7090000}"/>
    <cellStyle name="20% - Accent6 4 3 5" xfId="2524" xr:uid="{00000000-0005-0000-0000-0000D8090000}"/>
    <cellStyle name="20% - Accent6 4 3 6" xfId="2525" xr:uid="{00000000-0005-0000-0000-0000D9090000}"/>
    <cellStyle name="20% - Accent6 4 4" xfId="2526" xr:uid="{00000000-0005-0000-0000-0000DA090000}"/>
    <cellStyle name="20% - Accent6 4 4 2" xfId="2527" xr:uid="{00000000-0005-0000-0000-0000DB090000}"/>
    <cellStyle name="20% - Accent6 4 4 2 2" xfId="2528" xr:uid="{00000000-0005-0000-0000-0000DC090000}"/>
    <cellStyle name="20% - Accent6 4 4 3" xfId="2529" xr:uid="{00000000-0005-0000-0000-0000DD090000}"/>
    <cellStyle name="20% - Accent6 4 4 4" xfId="2530" xr:uid="{00000000-0005-0000-0000-0000DE090000}"/>
    <cellStyle name="20% - Accent6 4 4 5" xfId="2531" xr:uid="{00000000-0005-0000-0000-0000DF090000}"/>
    <cellStyle name="20% - Accent6 4 5" xfId="2532" xr:uid="{00000000-0005-0000-0000-0000E0090000}"/>
    <cellStyle name="20% - Accent6 4 5 2" xfId="2533" xr:uid="{00000000-0005-0000-0000-0000E1090000}"/>
    <cellStyle name="20% - Accent6 4 5 2 2" xfId="2534" xr:uid="{00000000-0005-0000-0000-0000E2090000}"/>
    <cellStyle name="20% - Accent6 4 5 3" xfId="2535" xr:uid="{00000000-0005-0000-0000-0000E3090000}"/>
    <cellStyle name="20% - Accent6 4 5 4" xfId="2536" xr:uid="{00000000-0005-0000-0000-0000E4090000}"/>
    <cellStyle name="20% - Accent6 4 5 5" xfId="2537" xr:uid="{00000000-0005-0000-0000-0000E5090000}"/>
    <cellStyle name="20% - Accent6 4 6" xfId="2538" xr:uid="{00000000-0005-0000-0000-0000E6090000}"/>
    <cellStyle name="20% - Accent6 4 6 2" xfId="2539" xr:uid="{00000000-0005-0000-0000-0000E7090000}"/>
    <cellStyle name="20% - Accent6 4 7" xfId="2540" xr:uid="{00000000-0005-0000-0000-0000E8090000}"/>
    <cellStyle name="20% - Accent6 4 8" xfId="2541" xr:uid="{00000000-0005-0000-0000-0000E9090000}"/>
    <cellStyle name="20% - Accent6 4 9" xfId="2542" xr:uid="{00000000-0005-0000-0000-0000EA090000}"/>
    <cellStyle name="20% - Accent6 5" xfId="2543" xr:uid="{00000000-0005-0000-0000-0000EB090000}"/>
    <cellStyle name="20% - Accent6 5 10" xfId="2544" xr:uid="{00000000-0005-0000-0000-0000EC090000}"/>
    <cellStyle name="20% - Accent6 5 2" xfId="2545" xr:uid="{00000000-0005-0000-0000-0000ED090000}"/>
    <cellStyle name="20% - Accent6 5 2 2" xfId="2546" xr:uid="{00000000-0005-0000-0000-0000EE090000}"/>
    <cellStyle name="20% - Accent6 5 2 2 2" xfId="2547" xr:uid="{00000000-0005-0000-0000-0000EF090000}"/>
    <cellStyle name="20% - Accent6 5 2 2 2 2" xfId="2548" xr:uid="{00000000-0005-0000-0000-0000F0090000}"/>
    <cellStyle name="20% - Accent6 5 2 2 2 3" xfId="2549" xr:uid="{00000000-0005-0000-0000-0000F1090000}"/>
    <cellStyle name="20% - Accent6 5 2 2 3" xfId="2550" xr:uid="{00000000-0005-0000-0000-0000F2090000}"/>
    <cellStyle name="20% - Accent6 5 2 2 4" xfId="2551" xr:uid="{00000000-0005-0000-0000-0000F3090000}"/>
    <cellStyle name="20% - Accent6 5 2 2 5" xfId="2552" xr:uid="{00000000-0005-0000-0000-0000F4090000}"/>
    <cellStyle name="20% - Accent6 5 2 2 6" xfId="2553" xr:uid="{00000000-0005-0000-0000-0000F5090000}"/>
    <cellStyle name="20% - Accent6 5 2 3" xfId="2554" xr:uid="{00000000-0005-0000-0000-0000F6090000}"/>
    <cellStyle name="20% - Accent6 5 2 3 2" xfId="2555" xr:uid="{00000000-0005-0000-0000-0000F7090000}"/>
    <cellStyle name="20% - Accent6 5 2 3 2 2" xfId="2556" xr:uid="{00000000-0005-0000-0000-0000F8090000}"/>
    <cellStyle name="20% - Accent6 5 2 3 3" xfId="2557" xr:uid="{00000000-0005-0000-0000-0000F9090000}"/>
    <cellStyle name="20% - Accent6 5 2 3 4" xfId="2558" xr:uid="{00000000-0005-0000-0000-0000FA090000}"/>
    <cellStyle name="20% - Accent6 5 2 3 5" xfId="2559" xr:uid="{00000000-0005-0000-0000-0000FB090000}"/>
    <cellStyle name="20% - Accent6 5 2 4" xfId="2560" xr:uid="{00000000-0005-0000-0000-0000FC090000}"/>
    <cellStyle name="20% - Accent6 5 2 4 2" xfId="2561" xr:uid="{00000000-0005-0000-0000-0000FD090000}"/>
    <cellStyle name="20% - Accent6 5 2 4 3" xfId="2562" xr:uid="{00000000-0005-0000-0000-0000FE090000}"/>
    <cellStyle name="20% - Accent6 5 2 4 4" xfId="2563" xr:uid="{00000000-0005-0000-0000-0000FF090000}"/>
    <cellStyle name="20% - Accent6 5 2 5" xfId="2564" xr:uid="{00000000-0005-0000-0000-0000000A0000}"/>
    <cellStyle name="20% - Accent6 5 2 5 2" xfId="2565" xr:uid="{00000000-0005-0000-0000-0000010A0000}"/>
    <cellStyle name="20% - Accent6 5 2 6" xfId="2566" xr:uid="{00000000-0005-0000-0000-0000020A0000}"/>
    <cellStyle name="20% - Accent6 5 2 7" xfId="2567" xr:uid="{00000000-0005-0000-0000-0000030A0000}"/>
    <cellStyle name="20% - Accent6 5 2 8" xfId="2568" xr:uid="{00000000-0005-0000-0000-0000040A0000}"/>
    <cellStyle name="20% - Accent6 5 2 9" xfId="2569" xr:uid="{00000000-0005-0000-0000-0000050A0000}"/>
    <cellStyle name="20% - Accent6 5 3" xfId="2570" xr:uid="{00000000-0005-0000-0000-0000060A0000}"/>
    <cellStyle name="20% - Accent6 5 3 2" xfId="2571" xr:uid="{00000000-0005-0000-0000-0000070A0000}"/>
    <cellStyle name="20% - Accent6 5 3 2 2" xfId="2572" xr:uid="{00000000-0005-0000-0000-0000080A0000}"/>
    <cellStyle name="20% - Accent6 5 3 2 3" xfId="2573" xr:uid="{00000000-0005-0000-0000-0000090A0000}"/>
    <cellStyle name="20% - Accent6 5 3 3" xfId="2574" xr:uid="{00000000-0005-0000-0000-00000A0A0000}"/>
    <cellStyle name="20% - Accent6 5 3 4" xfId="2575" xr:uid="{00000000-0005-0000-0000-00000B0A0000}"/>
    <cellStyle name="20% - Accent6 5 3 5" xfId="2576" xr:uid="{00000000-0005-0000-0000-00000C0A0000}"/>
    <cellStyle name="20% - Accent6 5 3 6" xfId="2577" xr:uid="{00000000-0005-0000-0000-00000D0A0000}"/>
    <cellStyle name="20% - Accent6 5 4" xfId="2578" xr:uid="{00000000-0005-0000-0000-00000E0A0000}"/>
    <cellStyle name="20% - Accent6 5 4 2" xfId="2579" xr:uid="{00000000-0005-0000-0000-00000F0A0000}"/>
    <cellStyle name="20% - Accent6 5 4 2 2" xfId="2580" xr:uid="{00000000-0005-0000-0000-0000100A0000}"/>
    <cellStyle name="20% - Accent6 5 4 3" xfId="2581" xr:uid="{00000000-0005-0000-0000-0000110A0000}"/>
    <cellStyle name="20% - Accent6 5 4 4" xfId="2582" xr:uid="{00000000-0005-0000-0000-0000120A0000}"/>
    <cellStyle name="20% - Accent6 5 4 5" xfId="2583" xr:uid="{00000000-0005-0000-0000-0000130A0000}"/>
    <cellStyle name="20% - Accent6 5 5" xfId="2584" xr:uid="{00000000-0005-0000-0000-0000140A0000}"/>
    <cellStyle name="20% - Accent6 5 5 2" xfId="2585" xr:uid="{00000000-0005-0000-0000-0000150A0000}"/>
    <cellStyle name="20% - Accent6 5 5 3" xfId="2586" xr:uid="{00000000-0005-0000-0000-0000160A0000}"/>
    <cellStyle name="20% - Accent6 5 5 4" xfId="2587" xr:uid="{00000000-0005-0000-0000-0000170A0000}"/>
    <cellStyle name="20% - Accent6 5 6" xfId="2588" xr:uid="{00000000-0005-0000-0000-0000180A0000}"/>
    <cellStyle name="20% - Accent6 5 6 2" xfId="2589" xr:uid="{00000000-0005-0000-0000-0000190A0000}"/>
    <cellStyle name="20% - Accent6 5 7" xfId="2590" xr:uid="{00000000-0005-0000-0000-00001A0A0000}"/>
    <cellStyle name="20% - Accent6 5 8" xfId="2591" xr:uid="{00000000-0005-0000-0000-00001B0A0000}"/>
    <cellStyle name="20% - Accent6 5 9" xfId="2592" xr:uid="{00000000-0005-0000-0000-00001C0A0000}"/>
    <cellStyle name="20% - Accent6 6" xfId="2593" xr:uid="{00000000-0005-0000-0000-00001D0A0000}"/>
    <cellStyle name="20% - Accent6 6 10" xfId="2594" xr:uid="{00000000-0005-0000-0000-00001E0A0000}"/>
    <cellStyle name="20% - Accent6 6 2" xfId="2595" xr:uid="{00000000-0005-0000-0000-00001F0A0000}"/>
    <cellStyle name="20% - Accent6 6 2 2" xfId="2596" xr:uid="{00000000-0005-0000-0000-0000200A0000}"/>
    <cellStyle name="20% - Accent6 6 2 2 2" xfId="2597" xr:uid="{00000000-0005-0000-0000-0000210A0000}"/>
    <cellStyle name="20% - Accent6 6 2 2 2 2" xfId="2598" xr:uid="{00000000-0005-0000-0000-0000220A0000}"/>
    <cellStyle name="20% - Accent6 6 2 2 2 3" xfId="2599" xr:uid="{00000000-0005-0000-0000-0000230A0000}"/>
    <cellStyle name="20% - Accent6 6 2 2 3" xfId="2600" xr:uid="{00000000-0005-0000-0000-0000240A0000}"/>
    <cellStyle name="20% - Accent6 6 2 2 4" xfId="2601" xr:uid="{00000000-0005-0000-0000-0000250A0000}"/>
    <cellStyle name="20% - Accent6 6 2 2 5" xfId="2602" xr:uid="{00000000-0005-0000-0000-0000260A0000}"/>
    <cellStyle name="20% - Accent6 6 2 2 6" xfId="2603" xr:uid="{00000000-0005-0000-0000-0000270A0000}"/>
    <cellStyle name="20% - Accent6 6 2 3" xfId="2604" xr:uid="{00000000-0005-0000-0000-0000280A0000}"/>
    <cellStyle name="20% - Accent6 6 2 3 2" xfId="2605" xr:uid="{00000000-0005-0000-0000-0000290A0000}"/>
    <cellStyle name="20% - Accent6 6 2 3 2 2" xfId="2606" xr:uid="{00000000-0005-0000-0000-00002A0A0000}"/>
    <cellStyle name="20% - Accent6 6 2 3 3" xfId="2607" xr:uid="{00000000-0005-0000-0000-00002B0A0000}"/>
    <cellStyle name="20% - Accent6 6 2 3 4" xfId="2608" xr:uid="{00000000-0005-0000-0000-00002C0A0000}"/>
    <cellStyle name="20% - Accent6 6 2 3 5" xfId="2609" xr:uid="{00000000-0005-0000-0000-00002D0A0000}"/>
    <cellStyle name="20% - Accent6 6 2 4" xfId="2610" xr:uid="{00000000-0005-0000-0000-00002E0A0000}"/>
    <cellStyle name="20% - Accent6 6 2 4 2" xfId="2611" xr:uid="{00000000-0005-0000-0000-00002F0A0000}"/>
    <cellStyle name="20% - Accent6 6 2 4 3" xfId="2612" xr:uid="{00000000-0005-0000-0000-0000300A0000}"/>
    <cellStyle name="20% - Accent6 6 2 4 4" xfId="2613" xr:uid="{00000000-0005-0000-0000-0000310A0000}"/>
    <cellStyle name="20% - Accent6 6 2 5" xfId="2614" xr:uid="{00000000-0005-0000-0000-0000320A0000}"/>
    <cellStyle name="20% - Accent6 6 2 5 2" xfId="2615" xr:uid="{00000000-0005-0000-0000-0000330A0000}"/>
    <cellStyle name="20% - Accent6 6 2 6" xfId="2616" xr:uid="{00000000-0005-0000-0000-0000340A0000}"/>
    <cellStyle name="20% - Accent6 6 2 7" xfId="2617" xr:uid="{00000000-0005-0000-0000-0000350A0000}"/>
    <cellStyle name="20% - Accent6 6 2 8" xfId="2618" xr:uid="{00000000-0005-0000-0000-0000360A0000}"/>
    <cellStyle name="20% - Accent6 6 2 9" xfId="2619" xr:uid="{00000000-0005-0000-0000-0000370A0000}"/>
    <cellStyle name="20% - Accent6 6 3" xfId="2620" xr:uid="{00000000-0005-0000-0000-0000380A0000}"/>
    <cellStyle name="20% - Accent6 6 3 2" xfId="2621" xr:uid="{00000000-0005-0000-0000-0000390A0000}"/>
    <cellStyle name="20% - Accent6 6 3 2 2" xfId="2622" xr:uid="{00000000-0005-0000-0000-00003A0A0000}"/>
    <cellStyle name="20% - Accent6 6 3 2 3" xfId="2623" xr:uid="{00000000-0005-0000-0000-00003B0A0000}"/>
    <cellStyle name="20% - Accent6 6 3 3" xfId="2624" xr:uid="{00000000-0005-0000-0000-00003C0A0000}"/>
    <cellStyle name="20% - Accent6 6 3 4" xfId="2625" xr:uid="{00000000-0005-0000-0000-00003D0A0000}"/>
    <cellStyle name="20% - Accent6 6 3 5" xfId="2626" xr:uid="{00000000-0005-0000-0000-00003E0A0000}"/>
    <cellStyle name="20% - Accent6 6 3 6" xfId="2627" xr:uid="{00000000-0005-0000-0000-00003F0A0000}"/>
    <cellStyle name="20% - Accent6 6 4" xfId="2628" xr:uid="{00000000-0005-0000-0000-0000400A0000}"/>
    <cellStyle name="20% - Accent6 6 4 2" xfId="2629" xr:uid="{00000000-0005-0000-0000-0000410A0000}"/>
    <cellStyle name="20% - Accent6 6 4 2 2" xfId="2630" xr:uid="{00000000-0005-0000-0000-0000420A0000}"/>
    <cellStyle name="20% - Accent6 6 4 3" xfId="2631" xr:uid="{00000000-0005-0000-0000-0000430A0000}"/>
    <cellStyle name="20% - Accent6 6 4 4" xfId="2632" xr:uid="{00000000-0005-0000-0000-0000440A0000}"/>
    <cellStyle name="20% - Accent6 6 4 5" xfId="2633" xr:uid="{00000000-0005-0000-0000-0000450A0000}"/>
    <cellStyle name="20% - Accent6 6 5" xfId="2634" xr:uid="{00000000-0005-0000-0000-0000460A0000}"/>
    <cellStyle name="20% - Accent6 6 5 2" xfId="2635" xr:uid="{00000000-0005-0000-0000-0000470A0000}"/>
    <cellStyle name="20% - Accent6 6 5 3" xfId="2636" xr:uid="{00000000-0005-0000-0000-0000480A0000}"/>
    <cellStyle name="20% - Accent6 6 5 4" xfId="2637" xr:uid="{00000000-0005-0000-0000-0000490A0000}"/>
    <cellStyle name="20% - Accent6 6 6" xfId="2638" xr:uid="{00000000-0005-0000-0000-00004A0A0000}"/>
    <cellStyle name="20% - Accent6 6 6 2" xfId="2639" xr:uid="{00000000-0005-0000-0000-00004B0A0000}"/>
    <cellStyle name="20% - Accent6 6 7" xfId="2640" xr:uid="{00000000-0005-0000-0000-00004C0A0000}"/>
    <cellStyle name="20% - Accent6 6 8" xfId="2641" xr:uid="{00000000-0005-0000-0000-00004D0A0000}"/>
    <cellStyle name="20% - Accent6 6 9" xfId="2642" xr:uid="{00000000-0005-0000-0000-00004E0A0000}"/>
    <cellStyle name="20% - Accent6 7" xfId="2643" xr:uid="{00000000-0005-0000-0000-00004F0A0000}"/>
    <cellStyle name="20% - Accent6 7 2" xfId="2644" xr:uid="{00000000-0005-0000-0000-0000500A0000}"/>
    <cellStyle name="20% - Accent6 7 2 2" xfId="2645" xr:uid="{00000000-0005-0000-0000-0000510A0000}"/>
    <cellStyle name="20% - Accent6 7 2 2 2" xfId="2646" xr:uid="{00000000-0005-0000-0000-0000520A0000}"/>
    <cellStyle name="20% - Accent6 7 2 2 3" xfId="2647" xr:uid="{00000000-0005-0000-0000-0000530A0000}"/>
    <cellStyle name="20% - Accent6 7 2 3" xfId="2648" xr:uid="{00000000-0005-0000-0000-0000540A0000}"/>
    <cellStyle name="20% - Accent6 7 2 4" xfId="2649" xr:uid="{00000000-0005-0000-0000-0000550A0000}"/>
    <cellStyle name="20% - Accent6 7 2 5" xfId="2650" xr:uid="{00000000-0005-0000-0000-0000560A0000}"/>
    <cellStyle name="20% - Accent6 7 2 6" xfId="2651" xr:uid="{00000000-0005-0000-0000-0000570A0000}"/>
    <cellStyle name="20% - Accent6 7 3" xfId="2652" xr:uid="{00000000-0005-0000-0000-0000580A0000}"/>
    <cellStyle name="20% - Accent6 7 3 2" xfId="2653" xr:uid="{00000000-0005-0000-0000-0000590A0000}"/>
    <cellStyle name="20% - Accent6 7 3 2 2" xfId="2654" xr:uid="{00000000-0005-0000-0000-00005A0A0000}"/>
    <cellStyle name="20% - Accent6 7 3 3" xfId="2655" xr:uid="{00000000-0005-0000-0000-00005B0A0000}"/>
    <cellStyle name="20% - Accent6 7 3 4" xfId="2656" xr:uid="{00000000-0005-0000-0000-00005C0A0000}"/>
    <cellStyle name="20% - Accent6 7 3 5" xfId="2657" xr:uid="{00000000-0005-0000-0000-00005D0A0000}"/>
    <cellStyle name="20% - Accent6 7 4" xfId="2658" xr:uid="{00000000-0005-0000-0000-00005E0A0000}"/>
    <cellStyle name="20% - Accent6 7 4 2" xfId="2659" xr:uid="{00000000-0005-0000-0000-00005F0A0000}"/>
    <cellStyle name="20% - Accent6 7 4 3" xfId="2660" xr:uid="{00000000-0005-0000-0000-0000600A0000}"/>
    <cellStyle name="20% - Accent6 7 4 4" xfId="2661" xr:uid="{00000000-0005-0000-0000-0000610A0000}"/>
    <cellStyle name="20% - Accent6 7 5" xfId="2662" xr:uid="{00000000-0005-0000-0000-0000620A0000}"/>
    <cellStyle name="20% - Accent6 7 5 2" xfId="2663" xr:uid="{00000000-0005-0000-0000-0000630A0000}"/>
    <cellStyle name="20% - Accent6 7 6" xfId="2664" xr:uid="{00000000-0005-0000-0000-0000640A0000}"/>
    <cellStyle name="20% - Accent6 7 7" xfId="2665" xr:uid="{00000000-0005-0000-0000-0000650A0000}"/>
    <cellStyle name="20% - Accent6 7 8" xfId="2666" xr:uid="{00000000-0005-0000-0000-0000660A0000}"/>
    <cellStyle name="20% - Accent6 7 9" xfId="2667" xr:uid="{00000000-0005-0000-0000-0000670A0000}"/>
    <cellStyle name="20% - Accent6 8" xfId="2668" xr:uid="{00000000-0005-0000-0000-0000680A0000}"/>
    <cellStyle name="20% - Accent6 8 2" xfId="2669" xr:uid="{00000000-0005-0000-0000-0000690A0000}"/>
    <cellStyle name="20% - Accent6 8 2 2" xfId="2670" xr:uid="{00000000-0005-0000-0000-00006A0A0000}"/>
    <cellStyle name="20% - Accent6 8 2 2 2" xfId="2671" xr:uid="{00000000-0005-0000-0000-00006B0A0000}"/>
    <cellStyle name="20% - Accent6 8 2 2 3" xfId="2672" xr:uid="{00000000-0005-0000-0000-00006C0A0000}"/>
    <cellStyle name="20% - Accent6 8 2 3" xfId="2673" xr:uid="{00000000-0005-0000-0000-00006D0A0000}"/>
    <cellStyle name="20% - Accent6 8 2 4" xfId="2674" xr:uid="{00000000-0005-0000-0000-00006E0A0000}"/>
    <cellStyle name="20% - Accent6 8 2 5" xfId="2675" xr:uid="{00000000-0005-0000-0000-00006F0A0000}"/>
    <cellStyle name="20% - Accent6 8 2 6" xfId="2676" xr:uid="{00000000-0005-0000-0000-0000700A0000}"/>
    <cellStyle name="20% - Accent6 8 3" xfId="2677" xr:uid="{00000000-0005-0000-0000-0000710A0000}"/>
    <cellStyle name="20% - Accent6 8 3 2" xfId="2678" xr:uid="{00000000-0005-0000-0000-0000720A0000}"/>
    <cellStyle name="20% - Accent6 8 3 2 2" xfId="2679" xr:uid="{00000000-0005-0000-0000-0000730A0000}"/>
    <cellStyle name="20% - Accent6 8 3 3" xfId="2680" xr:uid="{00000000-0005-0000-0000-0000740A0000}"/>
    <cellStyle name="20% - Accent6 8 3 4" xfId="2681" xr:uid="{00000000-0005-0000-0000-0000750A0000}"/>
    <cellStyle name="20% - Accent6 8 3 5" xfId="2682" xr:uid="{00000000-0005-0000-0000-0000760A0000}"/>
    <cellStyle name="20% - Accent6 8 4" xfId="2683" xr:uid="{00000000-0005-0000-0000-0000770A0000}"/>
    <cellStyle name="20% - Accent6 8 4 2" xfId="2684" xr:uid="{00000000-0005-0000-0000-0000780A0000}"/>
    <cellStyle name="20% - Accent6 8 4 3" xfId="2685" xr:uid="{00000000-0005-0000-0000-0000790A0000}"/>
    <cellStyle name="20% - Accent6 8 4 4" xfId="2686" xr:uid="{00000000-0005-0000-0000-00007A0A0000}"/>
    <cellStyle name="20% - Accent6 8 5" xfId="2687" xr:uid="{00000000-0005-0000-0000-00007B0A0000}"/>
    <cellStyle name="20% - Accent6 8 5 2" xfId="2688" xr:uid="{00000000-0005-0000-0000-00007C0A0000}"/>
    <cellStyle name="20% - Accent6 8 6" xfId="2689" xr:uid="{00000000-0005-0000-0000-00007D0A0000}"/>
    <cellStyle name="20% - Accent6 8 7" xfId="2690" xr:uid="{00000000-0005-0000-0000-00007E0A0000}"/>
    <cellStyle name="20% - Accent6 8 8" xfId="2691" xr:uid="{00000000-0005-0000-0000-00007F0A0000}"/>
    <cellStyle name="20% - Accent6 8 9" xfId="2692" xr:uid="{00000000-0005-0000-0000-0000800A0000}"/>
    <cellStyle name="20% - Accent6 9" xfId="2693" xr:uid="{00000000-0005-0000-0000-0000810A0000}"/>
    <cellStyle name="20% - Accent6 9 2" xfId="2694" xr:uid="{00000000-0005-0000-0000-0000820A0000}"/>
    <cellStyle name="20% - Accent6 9 2 2" xfId="2695" xr:uid="{00000000-0005-0000-0000-0000830A0000}"/>
    <cellStyle name="20% - Accent6 9 2 2 2" xfId="2696" xr:uid="{00000000-0005-0000-0000-0000840A0000}"/>
    <cellStyle name="20% - Accent6 9 2 3" xfId="2697" xr:uid="{00000000-0005-0000-0000-0000850A0000}"/>
    <cellStyle name="20% - Accent6 9 2 4" xfId="2698" xr:uid="{00000000-0005-0000-0000-0000860A0000}"/>
    <cellStyle name="20% - Accent6 9 2 5" xfId="2699" xr:uid="{00000000-0005-0000-0000-0000870A0000}"/>
    <cellStyle name="20% - Accent6 9 3" xfId="2700" xr:uid="{00000000-0005-0000-0000-0000880A0000}"/>
    <cellStyle name="20% - Accent6 9 3 2" xfId="2701" xr:uid="{00000000-0005-0000-0000-0000890A0000}"/>
    <cellStyle name="20% - Accent6 9 3 3" xfId="2702" xr:uid="{00000000-0005-0000-0000-00008A0A0000}"/>
    <cellStyle name="20% - Accent6 9 3 4" xfId="2703" xr:uid="{00000000-0005-0000-0000-00008B0A0000}"/>
    <cellStyle name="20% - Accent6 9 4" xfId="2704" xr:uid="{00000000-0005-0000-0000-00008C0A0000}"/>
    <cellStyle name="20% - Accent6 9 4 2" xfId="2705" xr:uid="{00000000-0005-0000-0000-00008D0A0000}"/>
    <cellStyle name="20% - Accent6 9 5" xfId="2706" xr:uid="{00000000-0005-0000-0000-00008E0A0000}"/>
    <cellStyle name="20% - Accent6 9 6" xfId="2707" xr:uid="{00000000-0005-0000-0000-00008F0A0000}"/>
    <cellStyle name="20% - Accent6 9 7" xfId="2708" xr:uid="{00000000-0005-0000-0000-0000900A0000}"/>
    <cellStyle name="20% - Accent6 9 8" xfId="2709" xr:uid="{00000000-0005-0000-0000-0000910A0000}"/>
    <cellStyle name="40% - Accent1 10" xfId="2710" xr:uid="{00000000-0005-0000-0000-0000920A0000}"/>
    <cellStyle name="40% - Accent1 10 2" xfId="2711" xr:uid="{00000000-0005-0000-0000-0000930A0000}"/>
    <cellStyle name="40% - Accent1 10 2 2" xfId="2712" xr:uid="{00000000-0005-0000-0000-0000940A0000}"/>
    <cellStyle name="40% - Accent1 10 2 2 2" xfId="2713" xr:uid="{00000000-0005-0000-0000-0000950A0000}"/>
    <cellStyle name="40% - Accent1 10 2 3" xfId="2714" xr:uid="{00000000-0005-0000-0000-0000960A0000}"/>
    <cellStyle name="40% - Accent1 10 2 4" xfId="2715" xr:uid="{00000000-0005-0000-0000-0000970A0000}"/>
    <cellStyle name="40% - Accent1 10 2 5" xfId="2716" xr:uid="{00000000-0005-0000-0000-0000980A0000}"/>
    <cellStyle name="40% - Accent1 10 3" xfId="2717" xr:uid="{00000000-0005-0000-0000-0000990A0000}"/>
    <cellStyle name="40% - Accent1 10 3 2" xfId="2718" xr:uid="{00000000-0005-0000-0000-00009A0A0000}"/>
    <cellStyle name="40% - Accent1 10 3 3" xfId="2719" xr:uid="{00000000-0005-0000-0000-00009B0A0000}"/>
    <cellStyle name="40% - Accent1 10 3 4" xfId="2720" xr:uid="{00000000-0005-0000-0000-00009C0A0000}"/>
    <cellStyle name="40% - Accent1 10 4" xfId="2721" xr:uid="{00000000-0005-0000-0000-00009D0A0000}"/>
    <cellStyle name="40% - Accent1 10 4 2" xfId="2722" xr:uid="{00000000-0005-0000-0000-00009E0A0000}"/>
    <cellStyle name="40% - Accent1 10 5" xfId="2723" xr:uid="{00000000-0005-0000-0000-00009F0A0000}"/>
    <cellStyle name="40% - Accent1 10 6" xfId="2724" xr:uid="{00000000-0005-0000-0000-0000A00A0000}"/>
    <cellStyle name="40% - Accent1 10 7" xfId="2725" xr:uid="{00000000-0005-0000-0000-0000A10A0000}"/>
    <cellStyle name="40% - Accent1 10 8" xfId="2726" xr:uid="{00000000-0005-0000-0000-0000A20A0000}"/>
    <cellStyle name="40% - Accent1 11" xfId="2727" xr:uid="{00000000-0005-0000-0000-0000A30A0000}"/>
    <cellStyle name="40% - Accent1 11 2" xfId="2728" xr:uid="{00000000-0005-0000-0000-0000A40A0000}"/>
    <cellStyle name="40% - Accent1 11 2 2" xfId="2729" xr:uid="{00000000-0005-0000-0000-0000A50A0000}"/>
    <cellStyle name="40% - Accent1 11 2 2 2" xfId="2730" xr:uid="{00000000-0005-0000-0000-0000A60A0000}"/>
    <cellStyle name="40% - Accent1 11 2 3" xfId="2731" xr:uid="{00000000-0005-0000-0000-0000A70A0000}"/>
    <cellStyle name="40% - Accent1 11 2 4" xfId="2732" xr:uid="{00000000-0005-0000-0000-0000A80A0000}"/>
    <cellStyle name="40% - Accent1 11 2 5" xfId="2733" xr:uid="{00000000-0005-0000-0000-0000A90A0000}"/>
    <cellStyle name="40% - Accent1 11 3" xfId="2734" xr:uid="{00000000-0005-0000-0000-0000AA0A0000}"/>
    <cellStyle name="40% - Accent1 11 3 2" xfId="2735" xr:uid="{00000000-0005-0000-0000-0000AB0A0000}"/>
    <cellStyle name="40% - Accent1 11 3 3" xfId="2736" xr:uid="{00000000-0005-0000-0000-0000AC0A0000}"/>
    <cellStyle name="40% - Accent1 11 3 4" xfId="2737" xr:uid="{00000000-0005-0000-0000-0000AD0A0000}"/>
    <cellStyle name="40% - Accent1 11 4" xfId="2738" xr:uid="{00000000-0005-0000-0000-0000AE0A0000}"/>
    <cellStyle name="40% - Accent1 11 4 2" xfId="2739" xr:uid="{00000000-0005-0000-0000-0000AF0A0000}"/>
    <cellStyle name="40% - Accent1 11 5" xfId="2740" xr:uid="{00000000-0005-0000-0000-0000B00A0000}"/>
    <cellStyle name="40% - Accent1 11 6" xfId="2741" xr:uid="{00000000-0005-0000-0000-0000B10A0000}"/>
    <cellStyle name="40% - Accent1 11 7" xfId="2742" xr:uid="{00000000-0005-0000-0000-0000B20A0000}"/>
    <cellStyle name="40% - Accent1 11 8" xfId="2743" xr:uid="{00000000-0005-0000-0000-0000B30A0000}"/>
    <cellStyle name="40% - Accent1 12" xfId="2744" xr:uid="{00000000-0005-0000-0000-0000B40A0000}"/>
    <cellStyle name="40% - Accent1 12 2" xfId="2745" xr:uid="{00000000-0005-0000-0000-0000B50A0000}"/>
    <cellStyle name="40% - Accent1 12 2 2" xfId="2746" xr:uid="{00000000-0005-0000-0000-0000B60A0000}"/>
    <cellStyle name="40% - Accent1 12 2 2 2" xfId="2747" xr:uid="{00000000-0005-0000-0000-0000B70A0000}"/>
    <cellStyle name="40% - Accent1 12 2 3" xfId="2748" xr:uid="{00000000-0005-0000-0000-0000B80A0000}"/>
    <cellStyle name="40% - Accent1 12 2 4" xfId="2749" xr:uid="{00000000-0005-0000-0000-0000B90A0000}"/>
    <cellStyle name="40% - Accent1 12 2 5" xfId="2750" xr:uid="{00000000-0005-0000-0000-0000BA0A0000}"/>
    <cellStyle name="40% - Accent1 12 3" xfId="2751" xr:uid="{00000000-0005-0000-0000-0000BB0A0000}"/>
    <cellStyle name="40% - Accent1 12 3 2" xfId="2752" xr:uid="{00000000-0005-0000-0000-0000BC0A0000}"/>
    <cellStyle name="40% - Accent1 12 3 3" xfId="2753" xr:uid="{00000000-0005-0000-0000-0000BD0A0000}"/>
    <cellStyle name="40% - Accent1 12 3 4" xfId="2754" xr:uid="{00000000-0005-0000-0000-0000BE0A0000}"/>
    <cellStyle name="40% - Accent1 12 4" xfId="2755" xr:uid="{00000000-0005-0000-0000-0000BF0A0000}"/>
    <cellStyle name="40% - Accent1 12 4 2" xfId="2756" xr:uid="{00000000-0005-0000-0000-0000C00A0000}"/>
    <cellStyle name="40% - Accent1 12 5" xfId="2757" xr:uid="{00000000-0005-0000-0000-0000C10A0000}"/>
    <cellStyle name="40% - Accent1 12 6" xfId="2758" xr:uid="{00000000-0005-0000-0000-0000C20A0000}"/>
    <cellStyle name="40% - Accent1 12 7" xfId="2759" xr:uid="{00000000-0005-0000-0000-0000C30A0000}"/>
    <cellStyle name="40% - Accent1 12 8" xfId="2760" xr:uid="{00000000-0005-0000-0000-0000C40A0000}"/>
    <cellStyle name="40% - Accent1 13" xfId="2761" xr:uid="{00000000-0005-0000-0000-0000C50A0000}"/>
    <cellStyle name="40% - Accent1 13 2" xfId="2762" xr:uid="{00000000-0005-0000-0000-0000C60A0000}"/>
    <cellStyle name="40% - Accent1 13 2 2" xfId="2763" xr:uid="{00000000-0005-0000-0000-0000C70A0000}"/>
    <cellStyle name="40% - Accent1 13 2 3" xfId="2764" xr:uid="{00000000-0005-0000-0000-0000C80A0000}"/>
    <cellStyle name="40% - Accent1 13 2 4" xfId="2765" xr:uid="{00000000-0005-0000-0000-0000C90A0000}"/>
    <cellStyle name="40% - Accent1 13 3" xfId="2766" xr:uid="{00000000-0005-0000-0000-0000CA0A0000}"/>
    <cellStyle name="40% - Accent1 13 3 2" xfId="2767" xr:uid="{00000000-0005-0000-0000-0000CB0A0000}"/>
    <cellStyle name="40% - Accent1 13 4" xfId="2768" xr:uid="{00000000-0005-0000-0000-0000CC0A0000}"/>
    <cellStyle name="40% - Accent1 13 5" xfId="2769" xr:uid="{00000000-0005-0000-0000-0000CD0A0000}"/>
    <cellStyle name="40% - Accent1 13 6" xfId="2770" xr:uid="{00000000-0005-0000-0000-0000CE0A0000}"/>
    <cellStyle name="40% - Accent1 14" xfId="2771" xr:uid="{00000000-0005-0000-0000-0000CF0A0000}"/>
    <cellStyle name="40% - Accent1 14 2" xfId="2772" xr:uid="{00000000-0005-0000-0000-0000D00A0000}"/>
    <cellStyle name="40% - Accent1 14 2 2" xfId="2773" xr:uid="{00000000-0005-0000-0000-0000D10A0000}"/>
    <cellStyle name="40% - Accent1 14 3" xfId="2774" xr:uid="{00000000-0005-0000-0000-0000D20A0000}"/>
    <cellStyle name="40% - Accent1 14 4" xfId="2775" xr:uid="{00000000-0005-0000-0000-0000D30A0000}"/>
    <cellStyle name="40% - Accent1 14 5" xfId="2776" xr:uid="{00000000-0005-0000-0000-0000D40A0000}"/>
    <cellStyle name="40% - Accent1 15" xfId="2777" xr:uid="{00000000-0005-0000-0000-0000D50A0000}"/>
    <cellStyle name="40% - Accent1 15 2" xfId="2778" xr:uid="{00000000-0005-0000-0000-0000D60A0000}"/>
    <cellStyle name="40% - Accent1 15 2 2" xfId="2779" xr:uid="{00000000-0005-0000-0000-0000D70A0000}"/>
    <cellStyle name="40% - Accent1 15 3" xfId="2780" xr:uid="{00000000-0005-0000-0000-0000D80A0000}"/>
    <cellStyle name="40% - Accent1 15 4" xfId="2781" xr:uid="{00000000-0005-0000-0000-0000D90A0000}"/>
    <cellStyle name="40% - Accent1 15 5" xfId="2782" xr:uid="{00000000-0005-0000-0000-0000DA0A0000}"/>
    <cellStyle name="40% - Accent1 16" xfId="2783" xr:uid="{00000000-0005-0000-0000-0000DB0A0000}"/>
    <cellStyle name="40% - Accent1 16 2" xfId="2784" xr:uid="{00000000-0005-0000-0000-0000DC0A0000}"/>
    <cellStyle name="40% - Accent1 17" xfId="2785" xr:uid="{00000000-0005-0000-0000-0000DD0A0000}"/>
    <cellStyle name="40% - Accent1 18" xfId="2786" xr:uid="{00000000-0005-0000-0000-0000DE0A0000}"/>
    <cellStyle name="40% - Accent1 19" xfId="2787" xr:uid="{00000000-0005-0000-0000-0000DF0A0000}"/>
    <cellStyle name="40% - Accent1 2" xfId="2788" xr:uid="{00000000-0005-0000-0000-0000E00A0000}"/>
    <cellStyle name="40% - Accent1 2 10" xfId="2789" xr:uid="{00000000-0005-0000-0000-0000E10A0000}"/>
    <cellStyle name="40% - Accent1 2 11" xfId="2790" xr:uid="{00000000-0005-0000-0000-0000E20A0000}"/>
    <cellStyle name="40% - Accent1 2 2" xfId="2791" xr:uid="{00000000-0005-0000-0000-0000E30A0000}"/>
    <cellStyle name="40% - Accent1 2 2 10" xfId="2792" xr:uid="{00000000-0005-0000-0000-0000E40A0000}"/>
    <cellStyle name="40% - Accent1 2 2 2" xfId="2793" xr:uid="{00000000-0005-0000-0000-0000E50A0000}"/>
    <cellStyle name="40% - Accent1 2 2 2 2" xfId="2794" xr:uid="{00000000-0005-0000-0000-0000E60A0000}"/>
    <cellStyle name="40% - Accent1 2 2 2 2 2" xfId="2795" xr:uid="{00000000-0005-0000-0000-0000E70A0000}"/>
    <cellStyle name="40% - Accent1 2 2 2 2 2 2" xfId="2796" xr:uid="{00000000-0005-0000-0000-0000E80A0000}"/>
    <cellStyle name="40% - Accent1 2 2 2 2 2 3" xfId="2797" xr:uid="{00000000-0005-0000-0000-0000E90A0000}"/>
    <cellStyle name="40% - Accent1 2 2 2 2 3" xfId="2798" xr:uid="{00000000-0005-0000-0000-0000EA0A0000}"/>
    <cellStyle name="40% - Accent1 2 2 2 2 4" xfId="2799" xr:uid="{00000000-0005-0000-0000-0000EB0A0000}"/>
    <cellStyle name="40% - Accent1 2 2 2 2 5" xfId="2800" xr:uid="{00000000-0005-0000-0000-0000EC0A0000}"/>
    <cellStyle name="40% - Accent1 2 2 2 2 6" xfId="2801" xr:uid="{00000000-0005-0000-0000-0000ED0A0000}"/>
    <cellStyle name="40% - Accent1 2 2 2 3" xfId="2802" xr:uid="{00000000-0005-0000-0000-0000EE0A0000}"/>
    <cellStyle name="40% - Accent1 2 2 2 3 2" xfId="2803" xr:uid="{00000000-0005-0000-0000-0000EF0A0000}"/>
    <cellStyle name="40% - Accent1 2 2 2 3 2 2" xfId="2804" xr:uid="{00000000-0005-0000-0000-0000F00A0000}"/>
    <cellStyle name="40% - Accent1 2 2 2 3 3" xfId="2805" xr:uid="{00000000-0005-0000-0000-0000F10A0000}"/>
    <cellStyle name="40% - Accent1 2 2 2 3 4" xfId="2806" xr:uid="{00000000-0005-0000-0000-0000F20A0000}"/>
    <cellStyle name="40% - Accent1 2 2 2 3 5" xfId="2807" xr:uid="{00000000-0005-0000-0000-0000F30A0000}"/>
    <cellStyle name="40% - Accent1 2 2 2 4" xfId="2808" xr:uid="{00000000-0005-0000-0000-0000F40A0000}"/>
    <cellStyle name="40% - Accent1 2 2 2 4 2" xfId="2809" xr:uid="{00000000-0005-0000-0000-0000F50A0000}"/>
    <cellStyle name="40% - Accent1 2 2 2 4 3" xfId="2810" xr:uid="{00000000-0005-0000-0000-0000F60A0000}"/>
    <cellStyle name="40% - Accent1 2 2 2 4 4" xfId="2811" xr:uid="{00000000-0005-0000-0000-0000F70A0000}"/>
    <cellStyle name="40% - Accent1 2 2 2 5" xfId="2812" xr:uid="{00000000-0005-0000-0000-0000F80A0000}"/>
    <cellStyle name="40% - Accent1 2 2 2 5 2" xfId="2813" xr:uid="{00000000-0005-0000-0000-0000F90A0000}"/>
    <cellStyle name="40% - Accent1 2 2 2 6" xfId="2814" xr:uid="{00000000-0005-0000-0000-0000FA0A0000}"/>
    <cellStyle name="40% - Accent1 2 2 2 7" xfId="2815" xr:uid="{00000000-0005-0000-0000-0000FB0A0000}"/>
    <cellStyle name="40% - Accent1 2 2 2 8" xfId="2816" xr:uid="{00000000-0005-0000-0000-0000FC0A0000}"/>
    <cellStyle name="40% - Accent1 2 2 2 9" xfId="2817" xr:uid="{00000000-0005-0000-0000-0000FD0A0000}"/>
    <cellStyle name="40% - Accent1 2 2 3" xfId="2818" xr:uid="{00000000-0005-0000-0000-0000FE0A0000}"/>
    <cellStyle name="40% - Accent1 2 2 3 2" xfId="2819" xr:uid="{00000000-0005-0000-0000-0000FF0A0000}"/>
    <cellStyle name="40% - Accent1 2 2 3 2 2" xfId="2820" xr:uid="{00000000-0005-0000-0000-0000000B0000}"/>
    <cellStyle name="40% - Accent1 2 2 3 2 3" xfId="2821" xr:uid="{00000000-0005-0000-0000-0000010B0000}"/>
    <cellStyle name="40% - Accent1 2 2 3 3" xfId="2822" xr:uid="{00000000-0005-0000-0000-0000020B0000}"/>
    <cellStyle name="40% - Accent1 2 2 3 4" xfId="2823" xr:uid="{00000000-0005-0000-0000-0000030B0000}"/>
    <cellStyle name="40% - Accent1 2 2 3 5" xfId="2824" xr:uid="{00000000-0005-0000-0000-0000040B0000}"/>
    <cellStyle name="40% - Accent1 2 2 3 6" xfId="2825" xr:uid="{00000000-0005-0000-0000-0000050B0000}"/>
    <cellStyle name="40% - Accent1 2 2 4" xfId="2826" xr:uid="{00000000-0005-0000-0000-0000060B0000}"/>
    <cellStyle name="40% - Accent1 2 2 4 2" xfId="2827" xr:uid="{00000000-0005-0000-0000-0000070B0000}"/>
    <cellStyle name="40% - Accent1 2 2 4 2 2" xfId="2828" xr:uid="{00000000-0005-0000-0000-0000080B0000}"/>
    <cellStyle name="40% - Accent1 2 2 4 3" xfId="2829" xr:uid="{00000000-0005-0000-0000-0000090B0000}"/>
    <cellStyle name="40% - Accent1 2 2 4 4" xfId="2830" xr:uid="{00000000-0005-0000-0000-00000A0B0000}"/>
    <cellStyle name="40% - Accent1 2 2 4 5" xfId="2831" xr:uid="{00000000-0005-0000-0000-00000B0B0000}"/>
    <cellStyle name="40% - Accent1 2 2 5" xfId="2832" xr:uid="{00000000-0005-0000-0000-00000C0B0000}"/>
    <cellStyle name="40% - Accent1 2 2 5 2" xfId="2833" xr:uid="{00000000-0005-0000-0000-00000D0B0000}"/>
    <cellStyle name="40% - Accent1 2 2 5 3" xfId="2834" xr:uid="{00000000-0005-0000-0000-00000E0B0000}"/>
    <cellStyle name="40% - Accent1 2 2 5 4" xfId="2835" xr:uid="{00000000-0005-0000-0000-00000F0B0000}"/>
    <cellStyle name="40% - Accent1 2 2 6" xfId="2836" xr:uid="{00000000-0005-0000-0000-0000100B0000}"/>
    <cellStyle name="40% - Accent1 2 2 6 2" xfId="2837" xr:uid="{00000000-0005-0000-0000-0000110B0000}"/>
    <cellStyle name="40% - Accent1 2 2 7" xfId="2838" xr:uid="{00000000-0005-0000-0000-0000120B0000}"/>
    <cellStyle name="40% - Accent1 2 2 8" xfId="2839" xr:uid="{00000000-0005-0000-0000-0000130B0000}"/>
    <cellStyle name="40% - Accent1 2 2 9" xfId="2840" xr:uid="{00000000-0005-0000-0000-0000140B0000}"/>
    <cellStyle name="40% - Accent1 2 3" xfId="2841" xr:uid="{00000000-0005-0000-0000-0000150B0000}"/>
    <cellStyle name="40% - Accent1 2 3 2" xfId="2842" xr:uid="{00000000-0005-0000-0000-0000160B0000}"/>
    <cellStyle name="40% - Accent1 2 3 2 2" xfId="2843" xr:uid="{00000000-0005-0000-0000-0000170B0000}"/>
    <cellStyle name="40% - Accent1 2 3 2 2 2" xfId="2844" xr:uid="{00000000-0005-0000-0000-0000180B0000}"/>
    <cellStyle name="40% - Accent1 2 3 2 2 3" xfId="2845" xr:uid="{00000000-0005-0000-0000-0000190B0000}"/>
    <cellStyle name="40% - Accent1 2 3 2 3" xfId="2846" xr:uid="{00000000-0005-0000-0000-00001A0B0000}"/>
    <cellStyle name="40% - Accent1 2 3 2 4" xfId="2847" xr:uid="{00000000-0005-0000-0000-00001B0B0000}"/>
    <cellStyle name="40% - Accent1 2 3 2 5" xfId="2848" xr:uid="{00000000-0005-0000-0000-00001C0B0000}"/>
    <cellStyle name="40% - Accent1 2 3 2 6" xfId="2849" xr:uid="{00000000-0005-0000-0000-00001D0B0000}"/>
    <cellStyle name="40% - Accent1 2 3 3" xfId="2850" xr:uid="{00000000-0005-0000-0000-00001E0B0000}"/>
    <cellStyle name="40% - Accent1 2 3 3 2" xfId="2851" xr:uid="{00000000-0005-0000-0000-00001F0B0000}"/>
    <cellStyle name="40% - Accent1 2 3 3 2 2" xfId="2852" xr:uid="{00000000-0005-0000-0000-0000200B0000}"/>
    <cellStyle name="40% - Accent1 2 3 3 3" xfId="2853" xr:uid="{00000000-0005-0000-0000-0000210B0000}"/>
    <cellStyle name="40% - Accent1 2 3 3 4" xfId="2854" xr:uid="{00000000-0005-0000-0000-0000220B0000}"/>
    <cellStyle name="40% - Accent1 2 3 3 5" xfId="2855" xr:uid="{00000000-0005-0000-0000-0000230B0000}"/>
    <cellStyle name="40% - Accent1 2 3 4" xfId="2856" xr:uid="{00000000-0005-0000-0000-0000240B0000}"/>
    <cellStyle name="40% - Accent1 2 3 4 2" xfId="2857" xr:uid="{00000000-0005-0000-0000-0000250B0000}"/>
    <cellStyle name="40% - Accent1 2 3 4 3" xfId="2858" xr:uid="{00000000-0005-0000-0000-0000260B0000}"/>
    <cellStyle name="40% - Accent1 2 3 4 4" xfId="2859" xr:uid="{00000000-0005-0000-0000-0000270B0000}"/>
    <cellStyle name="40% - Accent1 2 3 5" xfId="2860" xr:uid="{00000000-0005-0000-0000-0000280B0000}"/>
    <cellStyle name="40% - Accent1 2 3 5 2" xfId="2861" xr:uid="{00000000-0005-0000-0000-0000290B0000}"/>
    <cellStyle name="40% - Accent1 2 3 6" xfId="2862" xr:uid="{00000000-0005-0000-0000-00002A0B0000}"/>
    <cellStyle name="40% - Accent1 2 3 7" xfId="2863" xr:uid="{00000000-0005-0000-0000-00002B0B0000}"/>
    <cellStyle name="40% - Accent1 2 3 8" xfId="2864" xr:uid="{00000000-0005-0000-0000-00002C0B0000}"/>
    <cellStyle name="40% - Accent1 2 3 9" xfId="2865" xr:uid="{00000000-0005-0000-0000-00002D0B0000}"/>
    <cellStyle name="40% - Accent1 2 4" xfId="2866" xr:uid="{00000000-0005-0000-0000-00002E0B0000}"/>
    <cellStyle name="40% - Accent1 2 4 2" xfId="2867" xr:uid="{00000000-0005-0000-0000-00002F0B0000}"/>
    <cellStyle name="40% - Accent1 2 4 2 2" xfId="2868" xr:uid="{00000000-0005-0000-0000-0000300B0000}"/>
    <cellStyle name="40% - Accent1 2 4 2 3" xfId="2869" xr:uid="{00000000-0005-0000-0000-0000310B0000}"/>
    <cellStyle name="40% - Accent1 2 4 3" xfId="2870" xr:uid="{00000000-0005-0000-0000-0000320B0000}"/>
    <cellStyle name="40% - Accent1 2 4 4" xfId="2871" xr:uid="{00000000-0005-0000-0000-0000330B0000}"/>
    <cellStyle name="40% - Accent1 2 4 5" xfId="2872" xr:uid="{00000000-0005-0000-0000-0000340B0000}"/>
    <cellStyle name="40% - Accent1 2 4 6" xfId="2873" xr:uid="{00000000-0005-0000-0000-0000350B0000}"/>
    <cellStyle name="40% - Accent1 2 5" xfId="2874" xr:uid="{00000000-0005-0000-0000-0000360B0000}"/>
    <cellStyle name="40% - Accent1 2 5 2" xfId="2875" xr:uid="{00000000-0005-0000-0000-0000370B0000}"/>
    <cellStyle name="40% - Accent1 2 5 2 2" xfId="2876" xr:uid="{00000000-0005-0000-0000-0000380B0000}"/>
    <cellStyle name="40% - Accent1 2 5 3" xfId="2877" xr:uid="{00000000-0005-0000-0000-0000390B0000}"/>
    <cellStyle name="40% - Accent1 2 5 4" xfId="2878" xr:uid="{00000000-0005-0000-0000-00003A0B0000}"/>
    <cellStyle name="40% - Accent1 2 5 5" xfId="2879" xr:uid="{00000000-0005-0000-0000-00003B0B0000}"/>
    <cellStyle name="40% - Accent1 2 6" xfId="2880" xr:uid="{00000000-0005-0000-0000-00003C0B0000}"/>
    <cellStyle name="40% - Accent1 2 6 2" xfId="2881" xr:uid="{00000000-0005-0000-0000-00003D0B0000}"/>
    <cellStyle name="40% - Accent1 2 6 2 2" xfId="2882" xr:uid="{00000000-0005-0000-0000-00003E0B0000}"/>
    <cellStyle name="40% - Accent1 2 6 3" xfId="2883" xr:uid="{00000000-0005-0000-0000-00003F0B0000}"/>
    <cellStyle name="40% - Accent1 2 6 4" xfId="2884" xr:uid="{00000000-0005-0000-0000-0000400B0000}"/>
    <cellStyle name="40% - Accent1 2 6 5" xfId="2885" xr:uid="{00000000-0005-0000-0000-0000410B0000}"/>
    <cellStyle name="40% - Accent1 2 7" xfId="2886" xr:uid="{00000000-0005-0000-0000-0000420B0000}"/>
    <cellStyle name="40% - Accent1 2 7 2" xfId="2887" xr:uid="{00000000-0005-0000-0000-0000430B0000}"/>
    <cellStyle name="40% - Accent1 2 8" xfId="2888" xr:uid="{00000000-0005-0000-0000-0000440B0000}"/>
    <cellStyle name="40% - Accent1 2 9" xfId="2889" xr:uid="{00000000-0005-0000-0000-0000450B0000}"/>
    <cellStyle name="40% - Accent1 3" xfId="2890" xr:uid="{00000000-0005-0000-0000-0000460B0000}"/>
    <cellStyle name="40% - Accent1 3 10" xfId="2891" xr:uid="{00000000-0005-0000-0000-0000470B0000}"/>
    <cellStyle name="40% - Accent1 3 2" xfId="2892" xr:uid="{00000000-0005-0000-0000-0000480B0000}"/>
    <cellStyle name="40% - Accent1 3 2 2" xfId="2893" xr:uid="{00000000-0005-0000-0000-0000490B0000}"/>
    <cellStyle name="40% - Accent1 3 2 2 2" xfId="2894" xr:uid="{00000000-0005-0000-0000-00004A0B0000}"/>
    <cellStyle name="40% - Accent1 3 2 2 2 2" xfId="2895" xr:uid="{00000000-0005-0000-0000-00004B0B0000}"/>
    <cellStyle name="40% - Accent1 3 2 2 2 3" xfId="2896" xr:uid="{00000000-0005-0000-0000-00004C0B0000}"/>
    <cellStyle name="40% - Accent1 3 2 2 3" xfId="2897" xr:uid="{00000000-0005-0000-0000-00004D0B0000}"/>
    <cellStyle name="40% - Accent1 3 2 2 4" xfId="2898" xr:uid="{00000000-0005-0000-0000-00004E0B0000}"/>
    <cellStyle name="40% - Accent1 3 2 2 5" xfId="2899" xr:uid="{00000000-0005-0000-0000-00004F0B0000}"/>
    <cellStyle name="40% - Accent1 3 2 2 6" xfId="2900" xr:uid="{00000000-0005-0000-0000-0000500B0000}"/>
    <cellStyle name="40% - Accent1 3 2 3" xfId="2901" xr:uid="{00000000-0005-0000-0000-0000510B0000}"/>
    <cellStyle name="40% - Accent1 3 2 3 2" xfId="2902" xr:uid="{00000000-0005-0000-0000-0000520B0000}"/>
    <cellStyle name="40% - Accent1 3 2 3 2 2" xfId="2903" xr:uid="{00000000-0005-0000-0000-0000530B0000}"/>
    <cellStyle name="40% - Accent1 3 2 3 3" xfId="2904" xr:uid="{00000000-0005-0000-0000-0000540B0000}"/>
    <cellStyle name="40% - Accent1 3 2 3 4" xfId="2905" xr:uid="{00000000-0005-0000-0000-0000550B0000}"/>
    <cellStyle name="40% - Accent1 3 2 3 5" xfId="2906" xr:uid="{00000000-0005-0000-0000-0000560B0000}"/>
    <cellStyle name="40% - Accent1 3 2 4" xfId="2907" xr:uid="{00000000-0005-0000-0000-0000570B0000}"/>
    <cellStyle name="40% - Accent1 3 2 4 2" xfId="2908" xr:uid="{00000000-0005-0000-0000-0000580B0000}"/>
    <cellStyle name="40% - Accent1 3 2 4 3" xfId="2909" xr:uid="{00000000-0005-0000-0000-0000590B0000}"/>
    <cellStyle name="40% - Accent1 3 2 4 4" xfId="2910" xr:uid="{00000000-0005-0000-0000-00005A0B0000}"/>
    <cellStyle name="40% - Accent1 3 2 5" xfId="2911" xr:uid="{00000000-0005-0000-0000-00005B0B0000}"/>
    <cellStyle name="40% - Accent1 3 2 5 2" xfId="2912" xr:uid="{00000000-0005-0000-0000-00005C0B0000}"/>
    <cellStyle name="40% - Accent1 3 2 6" xfId="2913" xr:uid="{00000000-0005-0000-0000-00005D0B0000}"/>
    <cellStyle name="40% - Accent1 3 2 7" xfId="2914" xr:uid="{00000000-0005-0000-0000-00005E0B0000}"/>
    <cellStyle name="40% - Accent1 3 2 8" xfId="2915" xr:uid="{00000000-0005-0000-0000-00005F0B0000}"/>
    <cellStyle name="40% - Accent1 3 2 9" xfId="2916" xr:uid="{00000000-0005-0000-0000-0000600B0000}"/>
    <cellStyle name="40% - Accent1 3 3" xfId="2917" xr:uid="{00000000-0005-0000-0000-0000610B0000}"/>
    <cellStyle name="40% - Accent1 3 3 2" xfId="2918" xr:uid="{00000000-0005-0000-0000-0000620B0000}"/>
    <cellStyle name="40% - Accent1 3 3 2 2" xfId="2919" xr:uid="{00000000-0005-0000-0000-0000630B0000}"/>
    <cellStyle name="40% - Accent1 3 3 2 3" xfId="2920" xr:uid="{00000000-0005-0000-0000-0000640B0000}"/>
    <cellStyle name="40% - Accent1 3 3 3" xfId="2921" xr:uid="{00000000-0005-0000-0000-0000650B0000}"/>
    <cellStyle name="40% - Accent1 3 3 4" xfId="2922" xr:uid="{00000000-0005-0000-0000-0000660B0000}"/>
    <cellStyle name="40% - Accent1 3 3 5" xfId="2923" xr:uid="{00000000-0005-0000-0000-0000670B0000}"/>
    <cellStyle name="40% - Accent1 3 3 6" xfId="2924" xr:uid="{00000000-0005-0000-0000-0000680B0000}"/>
    <cellStyle name="40% - Accent1 3 4" xfId="2925" xr:uid="{00000000-0005-0000-0000-0000690B0000}"/>
    <cellStyle name="40% - Accent1 3 4 2" xfId="2926" xr:uid="{00000000-0005-0000-0000-00006A0B0000}"/>
    <cellStyle name="40% - Accent1 3 4 2 2" xfId="2927" xr:uid="{00000000-0005-0000-0000-00006B0B0000}"/>
    <cellStyle name="40% - Accent1 3 4 3" xfId="2928" xr:uid="{00000000-0005-0000-0000-00006C0B0000}"/>
    <cellStyle name="40% - Accent1 3 4 4" xfId="2929" xr:uid="{00000000-0005-0000-0000-00006D0B0000}"/>
    <cellStyle name="40% - Accent1 3 4 5" xfId="2930" xr:uid="{00000000-0005-0000-0000-00006E0B0000}"/>
    <cellStyle name="40% - Accent1 3 5" xfId="2931" xr:uid="{00000000-0005-0000-0000-00006F0B0000}"/>
    <cellStyle name="40% - Accent1 3 5 2" xfId="2932" xr:uid="{00000000-0005-0000-0000-0000700B0000}"/>
    <cellStyle name="40% - Accent1 3 5 2 2" xfId="2933" xr:uid="{00000000-0005-0000-0000-0000710B0000}"/>
    <cellStyle name="40% - Accent1 3 5 3" xfId="2934" xr:uid="{00000000-0005-0000-0000-0000720B0000}"/>
    <cellStyle name="40% - Accent1 3 5 4" xfId="2935" xr:uid="{00000000-0005-0000-0000-0000730B0000}"/>
    <cellStyle name="40% - Accent1 3 5 5" xfId="2936" xr:uid="{00000000-0005-0000-0000-0000740B0000}"/>
    <cellStyle name="40% - Accent1 3 6" xfId="2937" xr:uid="{00000000-0005-0000-0000-0000750B0000}"/>
    <cellStyle name="40% - Accent1 3 6 2" xfId="2938" xr:uid="{00000000-0005-0000-0000-0000760B0000}"/>
    <cellStyle name="40% - Accent1 3 7" xfId="2939" xr:uid="{00000000-0005-0000-0000-0000770B0000}"/>
    <cellStyle name="40% - Accent1 3 8" xfId="2940" xr:uid="{00000000-0005-0000-0000-0000780B0000}"/>
    <cellStyle name="40% - Accent1 3 9" xfId="2941" xr:uid="{00000000-0005-0000-0000-0000790B0000}"/>
    <cellStyle name="40% - Accent1 4" xfId="2942" xr:uid="{00000000-0005-0000-0000-00007A0B0000}"/>
    <cellStyle name="40% - Accent1 4 10" xfId="2943" xr:uid="{00000000-0005-0000-0000-00007B0B0000}"/>
    <cellStyle name="40% - Accent1 4 2" xfId="2944" xr:uid="{00000000-0005-0000-0000-00007C0B0000}"/>
    <cellStyle name="40% - Accent1 4 2 2" xfId="2945" xr:uid="{00000000-0005-0000-0000-00007D0B0000}"/>
    <cellStyle name="40% - Accent1 4 2 2 2" xfId="2946" xr:uid="{00000000-0005-0000-0000-00007E0B0000}"/>
    <cellStyle name="40% - Accent1 4 2 2 2 2" xfId="2947" xr:uid="{00000000-0005-0000-0000-00007F0B0000}"/>
    <cellStyle name="40% - Accent1 4 2 2 2 3" xfId="2948" xr:uid="{00000000-0005-0000-0000-0000800B0000}"/>
    <cellStyle name="40% - Accent1 4 2 2 3" xfId="2949" xr:uid="{00000000-0005-0000-0000-0000810B0000}"/>
    <cellStyle name="40% - Accent1 4 2 2 4" xfId="2950" xr:uid="{00000000-0005-0000-0000-0000820B0000}"/>
    <cellStyle name="40% - Accent1 4 2 2 5" xfId="2951" xr:uid="{00000000-0005-0000-0000-0000830B0000}"/>
    <cellStyle name="40% - Accent1 4 2 2 6" xfId="2952" xr:uid="{00000000-0005-0000-0000-0000840B0000}"/>
    <cellStyle name="40% - Accent1 4 2 3" xfId="2953" xr:uid="{00000000-0005-0000-0000-0000850B0000}"/>
    <cellStyle name="40% - Accent1 4 2 3 2" xfId="2954" xr:uid="{00000000-0005-0000-0000-0000860B0000}"/>
    <cellStyle name="40% - Accent1 4 2 3 2 2" xfId="2955" xr:uid="{00000000-0005-0000-0000-0000870B0000}"/>
    <cellStyle name="40% - Accent1 4 2 3 3" xfId="2956" xr:uid="{00000000-0005-0000-0000-0000880B0000}"/>
    <cellStyle name="40% - Accent1 4 2 3 4" xfId="2957" xr:uid="{00000000-0005-0000-0000-0000890B0000}"/>
    <cellStyle name="40% - Accent1 4 2 3 5" xfId="2958" xr:uid="{00000000-0005-0000-0000-00008A0B0000}"/>
    <cellStyle name="40% - Accent1 4 2 4" xfId="2959" xr:uid="{00000000-0005-0000-0000-00008B0B0000}"/>
    <cellStyle name="40% - Accent1 4 2 4 2" xfId="2960" xr:uid="{00000000-0005-0000-0000-00008C0B0000}"/>
    <cellStyle name="40% - Accent1 4 2 4 3" xfId="2961" xr:uid="{00000000-0005-0000-0000-00008D0B0000}"/>
    <cellStyle name="40% - Accent1 4 2 4 4" xfId="2962" xr:uid="{00000000-0005-0000-0000-00008E0B0000}"/>
    <cellStyle name="40% - Accent1 4 2 5" xfId="2963" xr:uid="{00000000-0005-0000-0000-00008F0B0000}"/>
    <cellStyle name="40% - Accent1 4 2 5 2" xfId="2964" xr:uid="{00000000-0005-0000-0000-0000900B0000}"/>
    <cellStyle name="40% - Accent1 4 2 6" xfId="2965" xr:uid="{00000000-0005-0000-0000-0000910B0000}"/>
    <cellStyle name="40% - Accent1 4 2 7" xfId="2966" xr:uid="{00000000-0005-0000-0000-0000920B0000}"/>
    <cellStyle name="40% - Accent1 4 2 8" xfId="2967" xr:uid="{00000000-0005-0000-0000-0000930B0000}"/>
    <cellStyle name="40% - Accent1 4 2 9" xfId="2968" xr:uid="{00000000-0005-0000-0000-0000940B0000}"/>
    <cellStyle name="40% - Accent1 4 3" xfId="2969" xr:uid="{00000000-0005-0000-0000-0000950B0000}"/>
    <cellStyle name="40% - Accent1 4 3 2" xfId="2970" xr:uid="{00000000-0005-0000-0000-0000960B0000}"/>
    <cellStyle name="40% - Accent1 4 3 2 2" xfId="2971" xr:uid="{00000000-0005-0000-0000-0000970B0000}"/>
    <cellStyle name="40% - Accent1 4 3 2 3" xfId="2972" xr:uid="{00000000-0005-0000-0000-0000980B0000}"/>
    <cellStyle name="40% - Accent1 4 3 3" xfId="2973" xr:uid="{00000000-0005-0000-0000-0000990B0000}"/>
    <cellStyle name="40% - Accent1 4 3 4" xfId="2974" xr:uid="{00000000-0005-0000-0000-00009A0B0000}"/>
    <cellStyle name="40% - Accent1 4 3 5" xfId="2975" xr:uid="{00000000-0005-0000-0000-00009B0B0000}"/>
    <cellStyle name="40% - Accent1 4 3 6" xfId="2976" xr:uid="{00000000-0005-0000-0000-00009C0B0000}"/>
    <cellStyle name="40% - Accent1 4 4" xfId="2977" xr:uid="{00000000-0005-0000-0000-00009D0B0000}"/>
    <cellStyle name="40% - Accent1 4 4 2" xfId="2978" xr:uid="{00000000-0005-0000-0000-00009E0B0000}"/>
    <cellStyle name="40% - Accent1 4 4 2 2" xfId="2979" xr:uid="{00000000-0005-0000-0000-00009F0B0000}"/>
    <cellStyle name="40% - Accent1 4 4 3" xfId="2980" xr:uid="{00000000-0005-0000-0000-0000A00B0000}"/>
    <cellStyle name="40% - Accent1 4 4 4" xfId="2981" xr:uid="{00000000-0005-0000-0000-0000A10B0000}"/>
    <cellStyle name="40% - Accent1 4 4 5" xfId="2982" xr:uid="{00000000-0005-0000-0000-0000A20B0000}"/>
    <cellStyle name="40% - Accent1 4 5" xfId="2983" xr:uid="{00000000-0005-0000-0000-0000A30B0000}"/>
    <cellStyle name="40% - Accent1 4 5 2" xfId="2984" xr:uid="{00000000-0005-0000-0000-0000A40B0000}"/>
    <cellStyle name="40% - Accent1 4 5 2 2" xfId="2985" xr:uid="{00000000-0005-0000-0000-0000A50B0000}"/>
    <cellStyle name="40% - Accent1 4 5 3" xfId="2986" xr:uid="{00000000-0005-0000-0000-0000A60B0000}"/>
    <cellStyle name="40% - Accent1 4 5 4" xfId="2987" xr:uid="{00000000-0005-0000-0000-0000A70B0000}"/>
    <cellStyle name="40% - Accent1 4 5 5" xfId="2988" xr:uid="{00000000-0005-0000-0000-0000A80B0000}"/>
    <cellStyle name="40% - Accent1 4 6" xfId="2989" xr:uid="{00000000-0005-0000-0000-0000A90B0000}"/>
    <cellStyle name="40% - Accent1 4 6 2" xfId="2990" xr:uid="{00000000-0005-0000-0000-0000AA0B0000}"/>
    <cellStyle name="40% - Accent1 4 7" xfId="2991" xr:uid="{00000000-0005-0000-0000-0000AB0B0000}"/>
    <cellStyle name="40% - Accent1 4 8" xfId="2992" xr:uid="{00000000-0005-0000-0000-0000AC0B0000}"/>
    <cellStyle name="40% - Accent1 4 9" xfId="2993" xr:uid="{00000000-0005-0000-0000-0000AD0B0000}"/>
    <cellStyle name="40% - Accent1 5" xfId="2994" xr:uid="{00000000-0005-0000-0000-0000AE0B0000}"/>
    <cellStyle name="40% - Accent1 5 10" xfId="2995" xr:uid="{00000000-0005-0000-0000-0000AF0B0000}"/>
    <cellStyle name="40% - Accent1 5 2" xfId="2996" xr:uid="{00000000-0005-0000-0000-0000B00B0000}"/>
    <cellStyle name="40% - Accent1 5 2 2" xfId="2997" xr:uid="{00000000-0005-0000-0000-0000B10B0000}"/>
    <cellStyle name="40% - Accent1 5 2 2 2" xfId="2998" xr:uid="{00000000-0005-0000-0000-0000B20B0000}"/>
    <cellStyle name="40% - Accent1 5 2 2 2 2" xfId="2999" xr:uid="{00000000-0005-0000-0000-0000B30B0000}"/>
    <cellStyle name="40% - Accent1 5 2 2 2 3" xfId="3000" xr:uid="{00000000-0005-0000-0000-0000B40B0000}"/>
    <cellStyle name="40% - Accent1 5 2 2 3" xfId="3001" xr:uid="{00000000-0005-0000-0000-0000B50B0000}"/>
    <cellStyle name="40% - Accent1 5 2 2 4" xfId="3002" xr:uid="{00000000-0005-0000-0000-0000B60B0000}"/>
    <cellStyle name="40% - Accent1 5 2 2 5" xfId="3003" xr:uid="{00000000-0005-0000-0000-0000B70B0000}"/>
    <cellStyle name="40% - Accent1 5 2 2 6" xfId="3004" xr:uid="{00000000-0005-0000-0000-0000B80B0000}"/>
    <cellStyle name="40% - Accent1 5 2 3" xfId="3005" xr:uid="{00000000-0005-0000-0000-0000B90B0000}"/>
    <cellStyle name="40% - Accent1 5 2 3 2" xfId="3006" xr:uid="{00000000-0005-0000-0000-0000BA0B0000}"/>
    <cellStyle name="40% - Accent1 5 2 3 2 2" xfId="3007" xr:uid="{00000000-0005-0000-0000-0000BB0B0000}"/>
    <cellStyle name="40% - Accent1 5 2 3 3" xfId="3008" xr:uid="{00000000-0005-0000-0000-0000BC0B0000}"/>
    <cellStyle name="40% - Accent1 5 2 3 4" xfId="3009" xr:uid="{00000000-0005-0000-0000-0000BD0B0000}"/>
    <cellStyle name="40% - Accent1 5 2 3 5" xfId="3010" xr:uid="{00000000-0005-0000-0000-0000BE0B0000}"/>
    <cellStyle name="40% - Accent1 5 2 4" xfId="3011" xr:uid="{00000000-0005-0000-0000-0000BF0B0000}"/>
    <cellStyle name="40% - Accent1 5 2 4 2" xfId="3012" xr:uid="{00000000-0005-0000-0000-0000C00B0000}"/>
    <cellStyle name="40% - Accent1 5 2 4 3" xfId="3013" xr:uid="{00000000-0005-0000-0000-0000C10B0000}"/>
    <cellStyle name="40% - Accent1 5 2 4 4" xfId="3014" xr:uid="{00000000-0005-0000-0000-0000C20B0000}"/>
    <cellStyle name="40% - Accent1 5 2 5" xfId="3015" xr:uid="{00000000-0005-0000-0000-0000C30B0000}"/>
    <cellStyle name="40% - Accent1 5 2 5 2" xfId="3016" xr:uid="{00000000-0005-0000-0000-0000C40B0000}"/>
    <cellStyle name="40% - Accent1 5 2 6" xfId="3017" xr:uid="{00000000-0005-0000-0000-0000C50B0000}"/>
    <cellStyle name="40% - Accent1 5 2 7" xfId="3018" xr:uid="{00000000-0005-0000-0000-0000C60B0000}"/>
    <cellStyle name="40% - Accent1 5 2 8" xfId="3019" xr:uid="{00000000-0005-0000-0000-0000C70B0000}"/>
    <cellStyle name="40% - Accent1 5 2 9" xfId="3020" xr:uid="{00000000-0005-0000-0000-0000C80B0000}"/>
    <cellStyle name="40% - Accent1 5 3" xfId="3021" xr:uid="{00000000-0005-0000-0000-0000C90B0000}"/>
    <cellStyle name="40% - Accent1 5 3 2" xfId="3022" xr:uid="{00000000-0005-0000-0000-0000CA0B0000}"/>
    <cellStyle name="40% - Accent1 5 3 2 2" xfId="3023" xr:uid="{00000000-0005-0000-0000-0000CB0B0000}"/>
    <cellStyle name="40% - Accent1 5 3 2 3" xfId="3024" xr:uid="{00000000-0005-0000-0000-0000CC0B0000}"/>
    <cellStyle name="40% - Accent1 5 3 3" xfId="3025" xr:uid="{00000000-0005-0000-0000-0000CD0B0000}"/>
    <cellStyle name="40% - Accent1 5 3 4" xfId="3026" xr:uid="{00000000-0005-0000-0000-0000CE0B0000}"/>
    <cellStyle name="40% - Accent1 5 3 5" xfId="3027" xr:uid="{00000000-0005-0000-0000-0000CF0B0000}"/>
    <cellStyle name="40% - Accent1 5 3 6" xfId="3028" xr:uid="{00000000-0005-0000-0000-0000D00B0000}"/>
    <cellStyle name="40% - Accent1 5 4" xfId="3029" xr:uid="{00000000-0005-0000-0000-0000D10B0000}"/>
    <cellStyle name="40% - Accent1 5 4 2" xfId="3030" xr:uid="{00000000-0005-0000-0000-0000D20B0000}"/>
    <cellStyle name="40% - Accent1 5 4 2 2" xfId="3031" xr:uid="{00000000-0005-0000-0000-0000D30B0000}"/>
    <cellStyle name="40% - Accent1 5 4 3" xfId="3032" xr:uid="{00000000-0005-0000-0000-0000D40B0000}"/>
    <cellStyle name="40% - Accent1 5 4 4" xfId="3033" xr:uid="{00000000-0005-0000-0000-0000D50B0000}"/>
    <cellStyle name="40% - Accent1 5 4 5" xfId="3034" xr:uid="{00000000-0005-0000-0000-0000D60B0000}"/>
    <cellStyle name="40% - Accent1 5 5" xfId="3035" xr:uid="{00000000-0005-0000-0000-0000D70B0000}"/>
    <cellStyle name="40% - Accent1 5 5 2" xfId="3036" xr:uid="{00000000-0005-0000-0000-0000D80B0000}"/>
    <cellStyle name="40% - Accent1 5 5 3" xfId="3037" xr:uid="{00000000-0005-0000-0000-0000D90B0000}"/>
    <cellStyle name="40% - Accent1 5 5 4" xfId="3038" xr:uid="{00000000-0005-0000-0000-0000DA0B0000}"/>
    <cellStyle name="40% - Accent1 5 6" xfId="3039" xr:uid="{00000000-0005-0000-0000-0000DB0B0000}"/>
    <cellStyle name="40% - Accent1 5 6 2" xfId="3040" xr:uid="{00000000-0005-0000-0000-0000DC0B0000}"/>
    <cellStyle name="40% - Accent1 5 7" xfId="3041" xr:uid="{00000000-0005-0000-0000-0000DD0B0000}"/>
    <cellStyle name="40% - Accent1 5 8" xfId="3042" xr:uid="{00000000-0005-0000-0000-0000DE0B0000}"/>
    <cellStyle name="40% - Accent1 5 9" xfId="3043" xr:uid="{00000000-0005-0000-0000-0000DF0B0000}"/>
    <cellStyle name="40% - Accent1 6" xfId="3044" xr:uid="{00000000-0005-0000-0000-0000E00B0000}"/>
    <cellStyle name="40% - Accent1 6 10" xfId="3045" xr:uid="{00000000-0005-0000-0000-0000E10B0000}"/>
    <cellStyle name="40% - Accent1 6 2" xfId="3046" xr:uid="{00000000-0005-0000-0000-0000E20B0000}"/>
    <cellStyle name="40% - Accent1 6 2 2" xfId="3047" xr:uid="{00000000-0005-0000-0000-0000E30B0000}"/>
    <cellStyle name="40% - Accent1 6 2 2 2" xfId="3048" xr:uid="{00000000-0005-0000-0000-0000E40B0000}"/>
    <cellStyle name="40% - Accent1 6 2 2 2 2" xfId="3049" xr:uid="{00000000-0005-0000-0000-0000E50B0000}"/>
    <cellStyle name="40% - Accent1 6 2 2 2 3" xfId="3050" xr:uid="{00000000-0005-0000-0000-0000E60B0000}"/>
    <cellStyle name="40% - Accent1 6 2 2 3" xfId="3051" xr:uid="{00000000-0005-0000-0000-0000E70B0000}"/>
    <cellStyle name="40% - Accent1 6 2 2 4" xfId="3052" xr:uid="{00000000-0005-0000-0000-0000E80B0000}"/>
    <cellStyle name="40% - Accent1 6 2 2 5" xfId="3053" xr:uid="{00000000-0005-0000-0000-0000E90B0000}"/>
    <cellStyle name="40% - Accent1 6 2 2 6" xfId="3054" xr:uid="{00000000-0005-0000-0000-0000EA0B0000}"/>
    <cellStyle name="40% - Accent1 6 2 3" xfId="3055" xr:uid="{00000000-0005-0000-0000-0000EB0B0000}"/>
    <cellStyle name="40% - Accent1 6 2 3 2" xfId="3056" xr:uid="{00000000-0005-0000-0000-0000EC0B0000}"/>
    <cellStyle name="40% - Accent1 6 2 3 2 2" xfId="3057" xr:uid="{00000000-0005-0000-0000-0000ED0B0000}"/>
    <cellStyle name="40% - Accent1 6 2 3 3" xfId="3058" xr:uid="{00000000-0005-0000-0000-0000EE0B0000}"/>
    <cellStyle name="40% - Accent1 6 2 3 4" xfId="3059" xr:uid="{00000000-0005-0000-0000-0000EF0B0000}"/>
    <cellStyle name="40% - Accent1 6 2 3 5" xfId="3060" xr:uid="{00000000-0005-0000-0000-0000F00B0000}"/>
    <cellStyle name="40% - Accent1 6 2 4" xfId="3061" xr:uid="{00000000-0005-0000-0000-0000F10B0000}"/>
    <cellStyle name="40% - Accent1 6 2 4 2" xfId="3062" xr:uid="{00000000-0005-0000-0000-0000F20B0000}"/>
    <cellStyle name="40% - Accent1 6 2 4 3" xfId="3063" xr:uid="{00000000-0005-0000-0000-0000F30B0000}"/>
    <cellStyle name="40% - Accent1 6 2 4 4" xfId="3064" xr:uid="{00000000-0005-0000-0000-0000F40B0000}"/>
    <cellStyle name="40% - Accent1 6 2 5" xfId="3065" xr:uid="{00000000-0005-0000-0000-0000F50B0000}"/>
    <cellStyle name="40% - Accent1 6 2 5 2" xfId="3066" xr:uid="{00000000-0005-0000-0000-0000F60B0000}"/>
    <cellStyle name="40% - Accent1 6 2 6" xfId="3067" xr:uid="{00000000-0005-0000-0000-0000F70B0000}"/>
    <cellStyle name="40% - Accent1 6 2 7" xfId="3068" xr:uid="{00000000-0005-0000-0000-0000F80B0000}"/>
    <cellStyle name="40% - Accent1 6 2 8" xfId="3069" xr:uid="{00000000-0005-0000-0000-0000F90B0000}"/>
    <cellStyle name="40% - Accent1 6 2 9" xfId="3070" xr:uid="{00000000-0005-0000-0000-0000FA0B0000}"/>
    <cellStyle name="40% - Accent1 6 3" xfId="3071" xr:uid="{00000000-0005-0000-0000-0000FB0B0000}"/>
    <cellStyle name="40% - Accent1 6 3 2" xfId="3072" xr:uid="{00000000-0005-0000-0000-0000FC0B0000}"/>
    <cellStyle name="40% - Accent1 6 3 2 2" xfId="3073" xr:uid="{00000000-0005-0000-0000-0000FD0B0000}"/>
    <cellStyle name="40% - Accent1 6 3 2 3" xfId="3074" xr:uid="{00000000-0005-0000-0000-0000FE0B0000}"/>
    <cellStyle name="40% - Accent1 6 3 3" xfId="3075" xr:uid="{00000000-0005-0000-0000-0000FF0B0000}"/>
    <cellStyle name="40% - Accent1 6 3 4" xfId="3076" xr:uid="{00000000-0005-0000-0000-0000000C0000}"/>
    <cellStyle name="40% - Accent1 6 3 5" xfId="3077" xr:uid="{00000000-0005-0000-0000-0000010C0000}"/>
    <cellStyle name="40% - Accent1 6 3 6" xfId="3078" xr:uid="{00000000-0005-0000-0000-0000020C0000}"/>
    <cellStyle name="40% - Accent1 6 4" xfId="3079" xr:uid="{00000000-0005-0000-0000-0000030C0000}"/>
    <cellStyle name="40% - Accent1 6 4 2" xfId="3080" xr:uid="{00000000-0005-0000-0000-0000040C0000}"/>
    <cellStyle name="40% - Accent1 6 4 2 2" xfId="3081" xr:uid="{00000000-0005-0000-0000-0000050C0000}"/>
    <cellStyle name="40% - Accent1 6 4 3" xfId="3082" xr:uid="{00000000-0005-0000-0000-0000060C0000}"/>
    <cellStyle name="40% - Accent1 6 4 4" xfId="3083" xr:uid="{00000000-0005-0000-0000-0000070C0000}"/>
    <cellStyle name="40% - Accent1 6 4 5" xfId="3084" xr:uid="{00000000-0005-0000-0000-0000080C0000}"/>
    <cellStyle name="40% - Accent1 6 5" xfId="3085" xr:uid="{00000000-0005-0000-0000-0000090C0000}"/>
    <cellStyle name="40% - Accent1 6 5 2" xfId="3086" xr:uid="{00000000-0005-0000-0000-00000A0C0000}"/>
    <cellStyle name="40% - Accent1 6 5 3" xfId="3087" xr:uid="{00000000-0005-0000-0000-00000B0C0000}"/>
    <cellStyle name="40% - Accent1 6 5 4" xfId="3088" xr:uid="{00000000-0005-0000-0000-00000C0C0000}"/>
    <cellStyle name="40% - Accent1 6 6" xfId="3089" xr:uid="{00000000-0005-0000-0000-00000D0C0000}"/>
    <cellStyle name="40% - Accent1 6 6 2" xfId="3090" xr:uid="{00000000-0005-0000-0000-00000E0C0000}"/>
    <cellStyle name="40% - Accent1 6 7" xfId="3091" xr:uid="{00000000-0005-0000-0000-00000F0C0000}"/>
    <cellStyle name="40% - Accent1 6 8" xfId="3092" xr:uid="{00000000-0005-0000-0000-0000100C0000}"/>
    <cellStyle name="40% - Accent1 6 9" xfId="3093" xr:uid="{00000000-0005-0000-0000-0000110C0000}"/>
    <cellStyle name="40% - Accent1 7" xfId="3094" xr:uid="{00000000-0005-0000-0000-0000120C0000}"/>
    <cellStyle name="40% - Accent1 7 2" xfId="3095" xr:uid="{00000000-0005-0000-0000-0000130C0000}"/>
    <cellStyle name="40% - Accent1 7 2 2" xfId="3096" xr:uid="{00000000-0005-0000-0000-0000140C0000}"/>
    <cellStyle name="40% - Accent1 7 2 2 2" xfId="3097" xr:uid="{00000000-0005-0000-0000-0000150C0000}"/>
    <cellStyle name="40% - Accent1 7 2 2 3" xfId="3098" xr:uid="{00000000-0005-0000-0000-0000160C0000}"/>
    <cellStyle name="40% - Accent1 7 2 3" xfId="3099" xr:uid="{00000000-0005-0000-0000-0000170C0000}"/>
    <cellStyle name="40% - Accent1 7 2 4" xfId="3100" xr:uid="{00000000-0005-0000-0000-0000180C0000}"/>
    <cellStyle name="40% - Accent1 7 2 5" xfId="3101" xr:uid="{00000000-0005-0000-0000-0000190C0000}"/>
    <cellStyle name="40% - Accent1 7 2 6" xfId="3102" xr:uid="{00000000-0005-0000-0000-00001A0C0000}"/>
    <cellStyle name="40% - Accent1 7 3" xfId="3103" xr:uid="{00000000-0005-0000-0000-00001B0C0000}"/>
    <cellStyle name="40% - Accent1 7 3 2" xfId="3104" xr:uid="{00000000-0005-0000-0000-00001C0C0000}"/>
    <cellStyle name="40% - Accent1 7 3 2 2" xfId="3105" xr:uid="{00000000-0005-0000-0000-00001D0C0000}"/>
    <cellStyle name="40% - Accent1 7 3 3" xfId="3106" xr:uid="{00000000-0005-0000-0000-00001E0C0000}"/>
    <cellStyle name="40% - Accent1 7 3 4" xfId="3107" xr:uid="{00000000-0005-0000-0000-00001F0C0000}"/>
    <cellStyle name="40% - Accent1 7 3 5" xfId="3108" xr:uid="{00000000-0005-0000-0000-0000200C0000}"/>
    <cellStyle name="40% - Accent1 7 4" xfId="3109" xr:uid="{00000000-0005-0000-0000-0000210C0000}"/>
    <cellStyle name="40% - Accent1 7 4 2" xfId="3110" xr:uid="{00000000-0005-0000-0000-0000220C0000}"/>
    <cellStyle name="40% - Accent1 7 4 3" xfId="3111" xr:uid="{00000000-0005-0000-0000-0000230C0000}"/>
    <cellStyle name="40% - Accent1 7 4 4" xfId="3112" xr:uid="{00000000-0005-0000-0000-0000240C0000}"/>
    <cellStyle name="40% - Accent1 7 5" xfId="3113" xr:uid="{00000000-0005-0000-0000-0000250C0000}"/>
    <cellStyle name="40% - Accent1 7 5 2" xfId="3114" xr:uid="{00000000-0005-0000-0000-0000260C0000}"/>
    <cellStyle name="40% - Accent1 7 6" xfId="3115" xr:uid="{00000000-0005-0000-0000-0000270C0000}"/>
    <cellStyle name="40% - Accent1 7 7" xfId="3116" xr:uid="{00000000-0005-0000-0000-0000280C0000}"/>
    <cellStyle name="40% - Accent1 7 8" xfId="3117" xr:uid="{00000000-0005-0000-0000-0000290C0000}"/>
    <cellStyle name="40% - Accent1 7 9" xfId="3118" xr:uid="{00000000-0005-0000-0000-00002A0C0000}"/>
    <cellStyle name="40% - Accent1 8" xfId="3119" xr:uid="{00000000-0005-0000-0000-00002B0C0000}"/>
    <cellStyle name="40% - Accent1 8 2" xfId="3120" xr:uid="{00000000-0005-0000-0000-00002C0C0000}"/>
    <cellStyle name="40% - Accent1 8 2 2" xfId="3121" xr:uid="{00000000-0005-0000-0000-00002D0C0000}"/>
    <cellStyle name="40% - Accent1 8 2 2 2" xfId="3122" xr:uid="{00000000-0005-0000-0000-00002E0C0000}"/>
    <cellStyle name="40% - Accent1 8 2 2 3" xfId="3123" xr:uid="{00000000-0005-0000-0000-00002F0C0000}"/>
    <cellStyle name="40% - Accent1 8 2 3" xfId="3124" xr:uid="{00000000-0005-0000-0000-0000300C0000}"/>
    <cellStyle name="40% - Accent1 8 2 4" xfId="3125" xr:uid="{00000000-0005-0000-0000-0000310C0000}"/>
    <cellStyle name="40% - Accent1 8 2 5" xfId="3126" xr:uid="{00000000-0005-0000-0000-0000320C0000}"/>
    <cellStyle name="40% - Accent1 8 2 6" xfId="3127" xr:uid="{00000000-0005-0000-0000-0000330C0000}"/>
    <cellStyle name="40% - Accent1 8 3" xfId="3128" xr:uid="{00000000-0005-0000-0000-0000340C0000}"/>
    <cellStyle name="40% - Accent1 8 3 2" xfId="3129" xr:uid="{00000000-0005-0000-0000-0000350C0000}"/>
    <cellStyle name="40% - Accent1 8 3 2 2" xfId="3130" xr:uid="{00000000-0005-0000-0000-0000360C0000}"/>
    <cellStyle name="40% - Accent1 8 3 3" xfId="3131" xr:uid="{00000000-0005-0000-0000-0000370C0000}"/>
    <cellStyle name="40% - Accent1 8 3 4" xfId="3132" xr:uid="{00000000-0005-0000-0000-0000380C0000}"/>
    <cellStyle name="40% - Accent1 8 3 5" xfId="3133" xr:uid="{00000000-0005-0000-0000-0000390C0000}"/>
    <cellStyle name="40% - Accent1 8 4" xfId="3134" xr:uid="{00000000-0005-0000-0000-00003A0C0000}"/>
    <cellStyle name="40% - Accent1 8 4 2" xfId="3135" xr:uid="{00000000-0005-0000-0000-00003B0C0000}"/>
    <cellStyle name="40% - Accent1 8 4 3" xfId="3136" xr:uid="{00000000-0005-0000-0000-00003C0C0000}"/>
    <cellStyle name="40% - Accent1 8 4 4" xfId="3137" xr:uid="{00000000-0005-0000-0000-00003D0C0000}"/>
    <cellStyle name="40% - Accent1 8 5" xfId="3138" xr:uid="{00000000-0005-0000-0000-00003E0C0000}"/>
    <cellStyle name="40% - Accent1 8 5 2" xfId="3139" xr:uid="{00000000-0005-0000-0000-00003F0C0000}"/>
    <cellStyle name="40% - Accent1 8 6" xfId="3140" xr:uid="{00000000-0005-0000-0000-0000400C0000}"/>
    <cellStyle name="40% - Accent1 8 7" xfId="3141" xr:uid="{00000000-0005-0000-0000-0000410C0000}"/>
    <cellStyle name="40% - Accent1 8 8" xfId="3142" xr:uid="{00000000-0005-0000-0000-0000420C0000}"/>
    <cellStyle name="40% - Accent1 8 9" xfId="3143" xr:uid="{00000000-0005-0000-0000-0000430C0000}"/>
    <cellStyle name="40% - Accent1 9" xfId="3144" xr:uid="{00000000-0005-0000-0000-0000440C0000}"/>
    <cellStyle name="40% - Accent1 9 2" xfId="3145" xr:uid="{00000000-0005-0000-0000-0000450C0000}"/>
    <cellStyle name="40% - Accent1 9 2 2" xfId="3146" xr:uid="{00000000-0005-0000-0000-0000460C0000}"/>
    <cellStyle name="40% - Accent1 9 2 2 2" xfId="3147" xr:uid="{00000000-0005-0000-0000-0000470C0000}"/>
    <cellStyle name="40% - Accent1 9 2 3" xfId="3148" xr:uid="{00000000-0005-0000-0000-0000480C0000}"/>
    <cellStyle name="40% - Accent1 9 2 4" xfId="3149" xr:uid="{00000000-0005-0000-0000-0000490C0000}"/>
    <cellStyle name="40% - Accent1 9 2 5" xfId="3150" xr:uid="{00000000-0005-0000-0000-00004A0C0000}"/>
    <cellStyle name="40% - Accent1 9 3" xfId="3151" xr:uid="{00000000-0005-0000-0000-00004B0C0000}"/>
    <cellStyle name="40% - Accent1 9 3 2" xfId="3152" xr:uid="{00000000-0005-0000-0000-00004C0C0000}"/>
    <cellStyle name="40% - Accent1 9 3 3" xfId="3153" xr:uid="{00000000-0005-0000-0000-00004D0C0000}"/>
    <cellStyle name="40% - Accent1 9 3 4" xfId="3154" xr:uid="{00000000-0005-0000-0000-00004E0C0000}"/>
    <cellStyle name="40% - Accent1 9 4" xfId="3155" xr:uid="{00000000-0005-0000-0000-00004F0C0000}"/>
    <cellStyle name="40% - Accent1 9 4 2" xfId="3156" xr:uid="{00000000-0005-0000-0000-0000500C0000}"/>
    <cellStyle name="40% - Accent1 9 5" xfId="3157" xr:uid="{00000000-0005-0000-0000-0000510C0000}"/>
    <cellStyle name="40% - Accent1 9 6" xfId="3158" xr:uid="{00000000-0005-0000-0000-0000520C0000}"/>
    <cellStyle name="40% - Accent1 9 7" xfId="3159" xr:uid="{00000000-0005-0000-0000-0000530C0000}"/>
    <cellStyle name="40% - Accent1 9 8" xfId="3160" xr:uid="{00000000-0005-0000-0000-0000540C0000}"/>
    <cellStyle name="40% - Accent2 10" xfId="3161" xr:uid="{00000000-0005-0000-0000-0000550C0000}"/>
    <cellStyle name="40% - Accent2 10 2" xfId="3162" xr:uid="{00000000-0005-0000-0000-0000560C0000}"/>
    <cellStyle name="40% - Accent2 10 2 2" xfId="3163" xr:uid="{00000000-0005-0000-0000-0000570C0000}"/>
    <cellStyle name="40% - Accent2 10 2 2 2" xfId="3164" xr:uid="{00000000-0005-0000-0000-0000580C0000}"/>
    <cellStyle name="40% - Accent2 10 2 3" xfId="3165" xr:uid="{00000000-0005-0000-0000-0000590C0000}"/>
    <cellStyle name="40% - Accent2 10 2 4" xfId="3166" xr:uid="{00000000-0005-0000-0000-00005A0C0000}"/>
    <cellStyle name="40% - Accent2 10 2 5" xfId="3167" xr:uid="{00000000-0005-0000-0000-00005B0C0000}"/>
    <cellStyle name="40% - Accent2 10 3" xfId="3168" xr:uid="{00000000-0005-0000-0000-00005C0C0000}"/>
    <cellStyle name="40% - Accent2 10 3 2" xfId="3169" xr:uid="{00000000-0005-0000-0000-00005D0C0000}"/>
    <cellStyle name="40% - Accent2 10 3 3" xfId="3170" xr:uid="{00000000-0005-0000-0000-00005E0C0000}"/>
    <cellStyle name="40% - Accent2 10 3 4" xfId="3171" xr:uid="{00000000-0005-0000-0000-00005F0C0000}"/>
    <cellStyle name="40% - Accent2 10 4" xfId="3172" xr:uid="{00000000-0005-0000-0000-0000600C0000}"/>
    <cellStyle name="40% - Accent2 10 4 2" xfId="3173" xr:uid="{00000000-0005-0000-0000-0000610C0000}"/>
    <cellStyle name="40% - Accent2 10 5" xfId="3174" xr:uid="{00000000-0005-0000-0000-0000620C0000}"/>
    <cellStyle name="40% - Accent2 10 6" xfId="3175" xr:uid="{00000000-0005-0000-0000-0000630C0000}"/>
    <cellStyle name="40% - Accent2 10 7" xfId="3176" xr:uid="{00000000-0005-0000-0000-0000640C0000}"/>
    <cellStyle name="40% - Accent2 10 8" xfId="3177" xr:uid="{00000000-0005-0000-0000-0000650C0000}"/>
    <cellStyle name="40% - Accent2 11" xfId="3178" xr:uid="{00000000-0005-0000-0000-0000660C0000}"/>
    <cellStyle name="40% - Accent2 11 2" xfId="3179" xr:uid="{00000000-0005-0000-0000-0000670C0000}"/>
    <cellStyle name="40% - Accent2 11 2 2" xfId="3180" xr:uid="{00000000-0005-0000-0000-0000680C0000}"/>
    <cellStyle name="40% - Accent2 11 2 2 2" xfId="3181" xr:uid="{00000000-0005-0000-0000-0000690C0000}"/>
    <cellStyle name="40% - Accent2 11 2 3" xfId="3182" xr:uid="{00000000-0005-0000-0000-00006A0C0000}"/>
    <cellStyle name="40% - Accent2 11 2 4" xfId="3183" xr:uid="{00000000-0005-0000-0000-00006B0C0000}"/>
    <cellStyle name="40% - Accent2 11 2 5" xfId="3184" xr:uid="{00000000-0005-0000-0000-00006C0C0000}"/>
    <cellStyle name="40% - Accent2 11 3" xfId="3185" xr:uid="{00000000-0005-0000-0000-00006D0C0000}"/>
    <cellStyle name="40% - Accent2 11 3 2" xfId="3186" xr:uid="{00000000-0005-0000-0000-00006E0C0000}"/>
    <cellStyle name="40% - Accent2 11 3 3" xfId="3187" xr:uid="{00000000-0005-0000-0000-00006F0C0000}"/>
    <cellStyle name="40% - Accent2 11 3 4" xfId="3188" xr:uid="{00000000-0005-0000-0000-0000700C0000}"/>
    <cellStyle name="40% - Accent2 11 4" xfId="3189" xr:uid="{00000000-0005-0000-0000-0000710C0000}"/>
    <cellStyle name="40% - Accent2 11 4 2" xfId="3190" xr:uid="{00000000-0005-0000-0000-0000720C0000}"/>
    <cellStyle name="40% - Accent2 11 5" xfId="3191" xr:uid="{00000000-0005-0000-0000-0000730C0000}"/>
    <cellStyle name="40% - Accent2 11 6" xfId="3192" xr:uid="{00000000-0005-0000-0000-0000740C0000}"/>
    <cellStyle name="40% - Accent2 11 7" xfId="3193" xr:uid="{00000000-0005-0000-0000-0000750C0000}"/>
    <cellStyle name="40% - Accent2 11 8" xfId="3194" xr:uid="{00000000-0005-0000-0000-0000760C0000}"/>
    <cellStyle name="40% - Accent2 12" xfId="3195" xr:uid="{00000000-0005-0000-0000-0000770C0000}"/>
    <cellStyle name="40% - Accent2 12 2" xfId="3196" xr:uid="{00000000-0005-0000-0000-0000780C0000}"/>
    <cellStyle name="40% - Accent2 12 2 2" xfId="3197" xr:uid="{00000000-0005-0000-0000-0000790C0000}"/>
    <cellStyle name="40% - Accent2 12 2 2 2" xfId="3198" xr:uid="{00000000-0005-0000-0000-00007A0C0000}"/>
    <cellStyle name="40% - Accent2 12 2 3" xfId="3199" xr:uid="{00000000-0005-0000-0000-00007B0C0000}"/>
    <cellStyle name="40% - Accent2 12 2 4" xfId="3200" xr:uid="{00000000-0005-0000-0000-00007C0C0000}"/>
    <cellStyle name="40% - Accent2 12 2 5" xfId="3201" xr:uid="{00000000-0005-0000-0000-00007D0C0000}"/>
    <cellStyle name="40% - Accent2 12 3" xfId="3202" xr:uid="{00000000-0005-0000-0000-00007E0C0000}"/>
    <cellStyle name="40% - Accent2 12 3 2" xfId="3203" xr:uid="{00000000-0005-0000-0000-00007F0C0000}"/>
    <cellStyle name="40% - Accent2 12 3 3" xfId="3204" xr:uid="{00000000-0005-0000-0000-0000800C0000}"/>
    <cellStyle name="40% - Accent2 12 3 4" xfId="3205" xr:uid="{00000000-0005-0000-0000-0000810C0000}"/>
    <cellStyle name="40% - Accent2 12 4" xfId="3206" xr:uid="{00000000-0005-0000-0000-0000820C0000}"/>
    <cellStyle name="40% - Accent2 12 4 2" xfId="3207" xr:uid="{00000000-0005-0000-0000-0000830C0000}"/>
    <cellStyle name="40% - Accent2 12 5" xfId="3208" xr:uid="{00000000-0005-0000-0000-0000840C0000}"/>
    <cellStyle name="40% - Accent2 12 6" xfId="3209" xr:uid="{00000000-0005-0000-0000-0000850C0000}"/>
    <cellStyle name="40% - Accent2 12 7" xfId="3210" xr:uid="{00000000-0005-0000-0000-0000860C0000}"/>
    <cellStyle name="40% - Accent2 12 8" xfId="3211" xr:uid="{00000000-0005-0000-0000-0000870C0000}"/>
    <cellStyle name="40% - Accent2 13" xfId="3212" xr:uid="{00000000-0005-0000-0000-0000880C0000}"/>
    <cellStyle name="40% - Accent2 13 2" xfId="3213" xr:uid="{00000000-0005-0000-0000-0000890C0000}"/>
    <cellStyle name="40% - Accent2 13 2 2" xfId="3214" xr:uid="{00000000-0005-0000-0000-00008A0C0000}"/>
    <cellStyle name="40% - Accent2 13 2 3" xfId="3215" xr:uid="{00000000-0005-0000-0000-00008B0C0000}"/>
    <cellStyle name="40% - Accent2 13 2 4" xfId="3216" xr:uid="{00000000-0005-0000-0000-00008C0C0000}"/>
    <cellStyle name="40% - Accent2 13 3" xfId="3217" xr:uid="{00000000-0005-0000-0000-00008D0C0000}"/>
    <cellStyle name="40% - Accent2 13 3 2" xfId="3218" xr:uid="{00000000-0005-0000-0000-00008E0C0000}"/>
    <cellStyle name="40% - Accent2 13 4" xfId="3219" xr:uid="{00000000-0005-0000-0000-00008F0C0000}"/>
    <cellStyle name="40% - Accent2 13 5" xfId="3220" xr:uid="{00000000-0005-0000-0000-0000900C0000}"/>
    <cellStyle name="40% - Accent2 13 6" xfId="3221" xr:uid="{00000000-0005-0000-0000-0000910C0000}"/>
    <cellStyle name="40% - Accent2 14" xfId="3222" xr:uid="{00000000-0005-0000-0000-0000920C0000}"/>
    <cellStyle name="40% - Accent2 14 2" xfId="3223" xr:uid="{00000000-0005-0000-0000-0000930C0000}"/>
    <cellStyle name="40% - Accent2 14 2 2" xfId="3224" xr:uid="{00000000-0005-0000-0000-0000940C0000}"/>
    <cellStyle name="40% - Accent2 14 3" xfId="3225" xr:uid="{00000000-0005-0000-0000-0000950C0000}"/>
    <cellStyle name="40% - Accent2 14 4" xfId="3226" xr:uid="{00000000-0005-0000-0000-0000960C0000}"/>
    <cellStyle name="40% - Accent2 14 5" xfId="3227" xr:uid="{00000000-0005-0000-0000-0000970C0000}"/>
    <cellStyle name="40% - Accent2 15" xfId="3228" xr:uid="{00000000-0005-0000-0000-0000980C0000}"/>
    <cellStyle name="40% - Accent2 15 2" xfId="3229" xr:uid="{00000000-0005-0000-0000-0000990C0000}"/>
    <cellStyle name="40% - Accent2 15 2 2" xfId="3230" xr:uid="{00000000-0005-0000-0000-00009A0C0000}"/>
    <cellStyle name="40% - Accent2 15 3" xfId="3231" xr:uid="{00000000-0005-0000-0000-00009B0C0000}"/>
    <cellStyle name="40% - Accent2 15 4" xfId="3232" xr:uid="{00000000-0005-0000-0000-00009C0C0000}"/>
    <cellStyle name="40% - Accent2 15 5" xfId="3233" xr:uid="{00000000-0005-0000-0000-00009D0C0000}"/>
    <cellStyle name="40% - Accent2 16" xfId="3234" xr:uid="{00000000-0005-0000-0000-00009E0C0000}"/>
    <cellStyle name="40% - Accent2 16 2" xfId="3235" xr:uid="{00000000-0005-0000-0000-00009F0C0000}"/>
    <cellStyle name="40% - Accent2 17" xfId="3236" xr:uid="{00000000-0005-0000-0000-0000A00C0000}"/>
    <cellStyle name="40% - Accent2 18" xfId="3237" xr:uid="{00000000-0005-0000-0000-0000A10C0000}"/>
    <cellStyle name="40% - Accent2 19" xfId="3238" xr:uid="{00000000-0005-0000-0000-0000A20C0000}"/>
    <cellStyle name="40% - Accent2 2" xfId="3239" xr:uid="{00000000-0005-0000-0000-0000A30C0000}"/>
    <cellStyle name="40% - Accent2 2 10" xfId="3240" xr:uid="{00000000-0005-0000-0000-0000A40C0000}"/>
    <cellStyle name="40% - Accent2 2 11" xfId="3241" xr:uid="{00000000-0005-0000-0000-0000A50C0000}"/>
    <cellStyle name="40% - Accent2 2 2" xfId="3242" xr:uid="{00000000-0005-0000-0000-0000A60C0000}"/>
    <cellStyle name="40% - Accent2 2 2 10" xfId="3243" xr:uid="{00000000-0005-0000-0000-0000A70C0000}"/>
    <cellStyle name="40% - Accent2 2 2 2" xfId="3244" xr:uid="{00000000-0005-0000-0000-0000A80C0000}"/>
    <cellStyle name="40% - Accent2 2 2 2 2" xfId="3245" xr:uid="{00000000-0005-0000-0000-0000A90C0000}"/>
    <cellStyle name="40% - Accent2 2 2 2 2 2" xfId="3246" xr:uid="{00000000-0005-0000-0000-0000AA0C0000}"/>
    <cellStyle name="40% - Accent2 2 2 2 2 2 2" xfId="3247" xr:uid="{00000000-0005-0000-0000-0000AB0C0000}"/>
    <cellStyle name="40% - Accent2 2 2 2 2 2 3" xfId="3248" xr:uid="{00000000-0005-0000-0000-0000AC0C0000}"/>
    <cellStyle name="40% - Accent2 2 2 2 2 3" xfId="3249" xr:uid="{00000000-0005-0000-0000-0000AD0C0000}"/>
    <cellStyle name="40% - Accent2 2 2 2 2 4" xfId="3250" xr:uid="{00000000-0005-0000-0000-0000AE0C0000}"/>
    <cellStyle name="40% - Accent2 2 2 2 2 5" xfId="3251" xr:uid="{00000000-0005-0000-0000-0000AF0C0000}"/>
    <cellStyle name="40% - Accent2 2 2 2 2 6" xfId="3252" xr:uid="{00000000-0005-0000-0000-0000B00C0000}"/>
    <cellStyle name="40% - Accent2 2 2 2 3" xfId="3253" xr:uid="{00000000-0005-0000-0000-0000B10C0000}"/>
    <cellStyle name="40% - Accent2 2 2 2 3 2" xfId="3254" xr:uid="{00000000-0005-0000-0000-0000B20C0000}"/>
    <cellStyle name="40% - Accent2 2 2 2 3 2 2" xfId="3255" xr:uid="{00000000-0005-0000-0000-0000B30C0000}"/>
    <cellStyle name="40% - Accent2 2 2 2 3 3" xfId="3256" xr:uid="{00000000-0005-0000-0000-0000B40C0000}"/>
    <cellStyle name="40% - Accent2 2 2 2 3 4" xfId="3257" xr:uid="{00000000-0005-0000-0000-0000B50C0000}"/>
    <cellStyle name="40% - Accent2 2 2 2 3 5" xfId="3258" xr:uid="{00000000-0005-0000-0000-0000B60C0000}"/>
    <cellStyle name="40% - Accent2 2 2 2 4" xfId="3259" xr:uid="{00000000-0005-0000-0000-0000B70C0000}"/>
    <cellStyle name="40% - Accent2 2 2 2 4 2" xfId="3260" xr:uid="{00000000-0005-0000-0000-0000B80C0000}"/>
    <cellStyle name="40% - Accent2 2 2 2 4 3" xfId="3261" xr:uid="{00000000-0005-0000-0000-0000B90C0000}"/>
    <cellStyle name="40% - Accent2 2 2 2 4 4" xfId="3262" xr:uid="{00000000-0005-0000-0000-0000BA0C0000}"/>
    <cellStyle name="40% - Accent2 2 2 2 5" xfId="3263" xr:uid="{00000000-0005-0000-0000-0000BB0C0000}"/>
    <cellStyle name="40% - Accent2 2 2 2 5 2" xfId="3264" xr:uid="{00000000-0005-0000-0000-0000BC0C0000}"/>
    <cellStyle name="40% - Accent2 2 2 2 6" xfId="3265" xr:uid="{00000000-0005-0000-0000-0000BD0C0000}"/>
    <cellStyle name="40% - Accent2 2 2 2 7" xfId="3266" xr:uid="{00000000-0005-0000-0000-0000BE0C0000}"/>
    <cellStyle name="40% - Accent2 2 2 2 8" xfId="3267" xr:uid="{00000000-0005-0000-0000-0000BF0C0000}"/>
    <cellStyle name="40% - Accent2 2 2 2 9" xfId="3268" xr:uid="{00000000-0005-0000-0000-0000C00C0000}"/>
    <cellStyle name="40% - Accent2 2 2 3" xfId="3269" xr:uid="{00000000-0005-0000-0000-0000C10C0000}"/>
    <cellStyle name="40% - Accent2 2 2 3 2" xfId="3270" xr:uid="{00000000-0005-0000-0000-0000C20C0000}"/>
    <cellStyle name="40% - Accent2 2 2 3 2 2" xfId="3271" xr:uid="{00000000-0005-0000-0000-0000C30C0000}"/>
    <cellStyle name="40% - Accent2 2 2 3 2 3" xfId="3272" xr:uid="{00000000-0005-0000-0000-0000C40C0000}"/>
    <cellStyle name="40% - Accent2 2 2 3 3" xfId="3273" xr:uid="{00000000-0005-0000-0000-0000C50C0000}"/>
    <cellStyle name="40% - Accent2 2 2 3 4" xfId="3274" xr:uid="{00000000-0005-0000-0000-0000C60C0000}"/>
    <cellStyle name="40% - Accent2 2 2 3 5" xfId="3275" xr:uid="{00000000-0005-0000-0000-0000C70C0000}"/>
    <cellStyle name="40% - Accent2 2 2 3 6" xfId="3276" xr:uid="{00000000-0005-0000-0000-0000C80C0000}"/>
    <cellStyle name="40% - Accent2 2 2 4" xfId="3277" xr:uid="{00000000-0005-0000-0000-0000C90C0000}"/>
    <cellStyle name="40% - Accent2 2 2 4 2" xfId="3278" xr:uid="{00000000-0005-0000-0000-0000CA0C0000}"/>
    <cellStyle name="40% - Accent2 2 2 4 2 2" xfId="3279" xr:uid="{00000000-0005-0000-0000-0000CB0C0000}"/>
    <cellStyle name="40% - Accent2 2 2 4 3" xfId="3280" xr:uid="{00000000-0005-0000-0000-0000CC0C0000}"/>
    <cellStyle name="40% - Accent2 2 2 4 4" xfId="3281" xr:uid="{00000000-0005-0000-0000-0000CD0C0000}"/>
    <cellStyle name="40% - Accent2 2 2 4 5" xfId="3282" xr:uid="{00000000-0005-0000-0000-0000CE0C0000}"/>
    <cellStyle name="40% - Accent2 2 2 5" xfId="3283" xr:uid="{00000000-0005-0000-0000-0000CF0C0000}"/>
    <cellStyle name="40% - Accent2 2 2 5 2" xfId="3284" xr:uid="{00000000-0005-0000-0000-0000D00C0000}"/>
    <cellStyle name="40% - Accent2 2 2 5 3" xfId="3285" xr:uid="{00000000-0005-0000-0000-0000D10C0000}"/>
    <cellStyle name="40% - Accent2 2 2 5 4" xfId="3286" xr:uid="{00000000-0005-0000-0000-0000D20C0000}"/>
    <cellStyle name="40% - Accent2 2 2 6" xfId="3287" xr:uid="{00000000-0005-0000-0000-0000D30C0000}"/>
    <cellStyle name="40% - Accent2 2 2 6 2" xfId="3288" xr:uid="{00000000-0005-0000-0000-0000D40C0000}"/>
    <cellStyle name="40% - Accent2 2 2 7" xfId="3289" xr:uid="{00000000-0005-0000-0000-0000D50C0000}"/>
    <cellStyle name="40% - Accent2 2 2 8" xfId="3290" xr:uid="{00000000-0005-0000-0000-0000D60C0000}"/>
    <cellStyle name="40% - Accent2 2 2 9" xfId="3291" xr:uid="{00000000-0005-0000-0000-0000D70C0000}"/>
    <cellStyle name="40% - Accent2 2 3" xfId="3292" xr:uid="{00000000-0005-0000-0000-0000D80C0000}"/>
    <cellStyle name="40% - Accent2 2 3 2" xfId="3293" xr:uid="{00000000-0005-0000-0000-0000D90C0000}"/>
    <cellStyle name="40% - Accent2 2 3 2 2" xfId="3294" xr:uid="{00000000-0005-0000-0000-0000DA0C0000}"/>
    <cellStyle name="40% - Accent2 2 3 2 2 2" xfId="3295" xr:uid="{00000000-0005-0000-0000-0000DB0C0000}"/>
    <cellStyle name="40% - Accent2 2 3 2 2 3" xfId="3296" xr:uid="{00000000-0005-0000-0000-0000DC0C0000}"/>
    <cellStyle name="40% - Accent2 2 3 2 3" xfId="3297" xr:uid="{00000000-0005-0000-0000-0000DD0C0000}"/>
    <cellStyle name="40% - Accent2 2 3 2 4" xfId="3298" xr:uid="{00000000-0005-0000-0000-0000DE0C0000}"/>
    <cellStyle name="40% - Accent2 2 3 2 5" xfId="3299" xr:uid="{00000000-0005-0000-0000-0000DF0C0000}"/>
    <cellStyle name="40% - Accent2 2 3 2 6" xfId="3300" xr:uid="{00000000-0005-0000-0000-0000E00C0000}"/>
    <cellStyle name="40% - Accent2 2 3 3" xfId="3301" xr:uid="{00000000-0005-0000-0000-0000E10C0000}"/>
    <cellStyle name="40% - Accent2 2 3 3 2" xfId="3302" xr:uid="{00000000-0005-0000-0000-0000E20C0000}"/>
    <cellStyle name="40% - Accent2 2 3 3 2 2" xfId="3303" xr:uid="{00000000-0005-0000-0000-0000E30C0000}"/>
    <cellStyle name="40% - Accent2 2 3 3 3" xfId="3304" xr:uid="{00000000-0005-0000-0000-0000E40C0000}"/>
    <cellStyle name="40% - Accent2 2 3 3 4" xfId="3305" xr:uid="{00000000-0005-0000-0000-0000E50C0000}"/>
    <cellStyle name="40% - Accent2 2 3 3 5" xfId="3306" xr:uid="{00000000-0005-0000-0000-0000E60C0000}"/>
    <cellStyle name="40% - Accent2 2 3 4" xfId="3307" xr:uid="{00000000-0005-0000-0000-0000E70C0000}"/>
    <cellStyle name="40% - Accent2 2 3 4 2" xfId="3308" xr:uid="{00000000-0005-0000-0000-0000E80C0000}"/>
    <cellStyle name="40% - Accent2 2 3 4 3" xfId="3309" xr:uid="{00000000-0005-0000-0000-0000E90C0000}"/>
    <cellStyle name="40% - Accent2 2 3 4 4" xfId="3310" xr:uid="{00000000-0005-0000-0000-0000EA0C0000}"/>
    <cellStyle name="40% - Accent2 2 3 5" xfId="3311" xr:uid="{00000000-0005-0000-0000-0000EB0C0000}"/>
    <cellStyle name="40% - Accent2 2 3 5 2" xfId="3312" xr:uid="{00000000-0005-0000-0000-0000EC0C0000}"/>
    <cellStyle name="40% - Accent2 2 3 6" xfId="3313" xr:uid="{00000000-0005-0000-0000-0000ED0C0000}"/>
    <cellStyle name="40% - Accent2 2 3 7" xfId="3314" xr:uid="{00000000-0005-0000-0000-0000EE0C0000}"/>
    <cellStyle name="40% - Accent2 2 3 8" xfId="3315" xr:uid="{00000000-0005-0000-0000-0000EF0C0000}"/>
    <cellStyle name="40% - Accent2 2 3 9" xfId="3316" xr:uid="{00000000-0005-0000-0000-0000F00C0000}"/>
    <cellStyle name="40% - Accent2 2 4" xfId="3317" xr:uid="{00000000-0005-0000-0000-0000F10C0000}"/>
    <cellStyle name="40% - Accent2 2 4 2" xfId="3318" xr:uid="{00000000-0005-0000-0000-0000F20C0000}"/>
    <cellStyle name="40% - Accent2 2 4 2 2" xfId="3319" xr:uid="{00000000-0005-0000-0000-0000F30C0000}"/>
    <cellStyle name="40% - Accent2 2 4 2 3" xfId="3320" xr:uid="{00000000-0005-0000-0000-0000F40C0000}"/>
    <cellStyle name="40% - Accent2 2 4 3" xfId="3321" xr:uid="{00000000-0005-0000-0000-0000F50C0000}"/>
    <cellStyle name="40% - Accent2 2 4 4" xfId="3322" xr:uid="{00000000-0005-0000-0000-0000F60C0000}"/>
    <cellStyle name="40% - Accent2 2 4 5" xfId="3323" xr:uid="{00000000-0005-0000-0000-0000F70C0000}"/>
    <cellStyle name="40% - Accent2 2 4 6" xfId="3324" xr:uid="{00000000-0005-0000-0000-0000F80C0000}"/>
    <cellStyle name="40% - Accent2 2 5" xfId="3325" xr:uid="{00000000-0005-0000-0000-0000F90C0000}"/>
    <cellStyle name="40% - Accent2 2 5 2" xfId="3326" xr:uid="{00000000-0005-0000-0000-0000FA0C0000}"/>
    <cellStyle name="40% - Accent2 2 5 2 2" xfId="3327" xr:uid="{00000000-0005-0000-0000-0000FB0C0000}"/>
    <cellStyle name="40% - Accent2 2 5 3" xfId="3328" xr:uid="{00000000-0005-0000-0000-0000FC0C0000}"/>
    <cellStyle name="40% - Accent2 2 5 4" xfId="3329" xr:uid="{00000000-0005-0000-0000-0000FD0C0000}"/>
    <cellStyle name="40% - Accent2 2 5 5" xfId="3330" xr:uid="{00000000-0005-0000-0000-0000FE0C0000}"/>
    <cellStyle name="40% - Accent2 2 6" xfId="3331" xr:uid="{00000000-0005-0000-0000-0000FF0C0000}"/>
    <cellStyle name="40% - Accent2 2 6 2" xfId="3332" xr:uid="{00000000-0005-0000-0000-0000000D0000}"/>
    <cellStyle name="40% - Accent2 2 6 2 2" xfId="3333" xr:uid="{00000000-0005-0000-0000-0000010D0000}"/>
    <cellStyle name="40% - Accent2 2 6 3" xfId="3334" xr:uid="{00000000-0005-0000-0000-0000020D0000}"/>
    <cellStyle name="40% - Accent2 2 6 4" xfId="3335" xr:uid="{00000000-0005-0000-0000-0000030D0000}"/>
    <cellStyle name="40% - Accent2 2 6 5" xfId="3336" xr:uid="{00000000-0005-0000-0000-0000040D0000}"/>
    <cellStyle name="40% - Accent2 2 7" xfId="3337" xr:uid="{00000000-0005-0000-0000-0000050D0000}"/>
    <cellStyle name="40% - Accent2 2 7 2" xfId="3338" xr:uid="{00000000-0005-0000-0000-0000060D0000}"/>
    <cellStyle name="40% - Accent2 2 8" xfId="3339" xr:uid="{00000000-0005-0000-0000-0000070D0000}"/>
    <cellStyle name="40% - Accent2 2 9" xfId="3340" xr:uid="{00000000-0005-0000-0000-0000080D0000}"/>
    <cellStyle name="40% - Accent2 3" xfId="3341" xr:uid="{00000000-0005-0000-0000-0000090D0000}"/>
    <cellStyle name="40% - Accent2 3 10" xfId="3342" xr:uid="{00000000-0005-0000-0000-00000A0D0000}"/>
    <cellStyle name="40% - Accent2 3 2" xfId="3343" xr:uid="{00000000-0005-0000-0000-00000B0D0000}"/>
    <cellStyle name="40% - Accent2 3 2 2" xfId="3344" xr:uid="{00000000-0005-0000-0000-00000C0D0000}"/>
    <cellStyle name="40% - Accent2 3 2 2 2" xfId="3345" xr:uid="{00000000-0005-0000-0000-00000D0D0000}"/>
    <cellStyle name="40% - Accent2 3 2 2 2 2" xfId="3346" xr:uid="{00000000-0005-0000-0000-00000E0D0000}"/>
    <cellStyle name="40% - Accent2 3 2 2 2 3" xfId="3347" xr:uid="{00000000-0005-0000-0000-00000F0D0000}"/>
    <cellStyle name="40% - Accent2 3 2 2 3" xfId="3348" xr:uid="{00000000-0005-0000-0000-0000100D0000}"/>
    <cellStyle name="40% - Accent2 3 2 2 4" xfId="3349" xr:uid="{00000000-0005-0000-0000-0000110D0000}"/>
    <cellStyle name="40% - Accent2 3 2 2 5" xfId="3350" xr:uid="{00000000-0005-0000-0000-0000120D0000}"/>
    <cellStyle name="40% - Accent2 3 2 2 6" xfId="3351" xr:uid="{00000000-0005-0000-0000-0000130D0000}"/>
    <cellStyle name="40% - Accent2 3 2 3" xfId="3352" xr:uid="{00000000-0005-0000-0000-0000140D0000}"/>
    <cellStyle name="40% - Accent2 3 2 3 2" xfId="3353" xr:uid="{00000000-0005-0000-0000-0000150D0000}"/>
    <cellStyle name="40% - Accent2 3 2 3 2 2" xfId="3354" xr:uid="{00000000-0005-0000-0000-0000160D0000}"/>
    <cellStyle name="40% - Accent2 3 2 3 3" xfId="3355" xr:uid="{00000000-0005-0000-0000-0000170D0000}"/>
    <cellStyle name="40% - Accent2 3 2 3 4" xfId="3356" xr:uid="{00000000-0005-0000-0000-0000180D0000}"/>
    <cellStyle name="40% - Accent2 3 2 3 5" xfId="3357" xr:uid="{00000000-0005-0000-0000-0000190D0000}"/>
    <cellStyle name="40% - Accent2 3 2 4" xfId="3358" xr:uid="{00000000-0005-0000-0000-00001A0D0000}"/>
    <cellStyle name="40% - Accent2 3 2 4 2" xfId="3359" xr:uid="{00000000-0005-0000-0000-00001B0D0000}"/>
    <cellStyle name="40% - Accent2 3 2 4 3" xfId="3360" xr:uid="{00000000-0005-0000-0000-00001C0D0000}"/>
    <cellStyle name="40% - Accent2 3 2 4 4" xfId="3361" xr:uid="{00000000-0005-0000-0000-00001D0D0000}"/>
    <cellStyle name="40% - Accent2 3 2 5" xfId="3362" xr:uid="{00000000-0005-0000-0000-00001E0D0000}"/>
    <cellStyle name="40% - Accent2 3 2 5 2" xfId="3363" xr:uid="{00000000-0005-0000-0000-00001F0D0000}"/>
    <cellStyle name="40% - Accent2 3 2 6" xfId="3364" xr:uid="{00000000-0005-0000-0000-0000200D0000}"/>
    <cellStyle name="40% - Accent2 3 2 7" xfId="3365" xr:uid="{00000000-0005-0000-0000-0000210D0000}"/>
    <cellStyle name="40% - Accent2 3 2 8" xfId="3366" xr:uid="{00000000-0005-0000-0000-0000220D0000}"/>
    <cellStyle name="40% - Accent2 3 2 9" xfId="3367" xr:uid="{00000000-0005-0000-0000-0000230D0000}"/>
    <cellStyle name="40% - Accent2 3 3" xfId="3368" xr:uid="{00000000-0005-0000-0000-0000240D0000}"/>
    <cellStyle name="40% - Accent2 3 3 2" xfId="3369" xr:uid="{00000000-0005-0000-0000-0000250D0000}"/>
    <cellStyle name="40% - Accent2 3 3 2 2" xfId="3370" xr:uid="{00000000-0005-0000-0000-0000260D0000}"/>
    <cellStyle name="40% - Accent2 3 3 2 3" xfId="3371" xr:uid="{00000000-0005-0000-0000-0000270D0000}"/>
    <cellStyle name="40% - Accent2 3 3 3" xfId="3372" xr:uid="{00000000-0005-0000-0000-0000280D0000}"/>
    <cellStyle name="40% - Accent2 3 3 4" xfId="3373" xr:uid="{00000000-0005-0000-0000-0000290D0000}"/>
    <cellStyle name="40% - Accent2 3 3 5" xfId="3374" xr:uid="{00000000-0005-0000-0000-00002A0D0000}"/>
    <cellStyle name="40% - Accent2 3 3 6" xfId="3375" xr:uid="{00000000-0005-0000-0000-00002B0D0000}"/>
    <cellStyle name="40% - Accent2 3 4" xfId="3376" xr:uid="{00000000-0005-0000-0000-00002C0D0000}"/>
    <cellStyle name="40% - Accent2 3 4 2" xfId="3377" xr:uid="{00000000-0005-0000-0000-00002D0D0000}"/>
    <cellStyle name="40% - Accent2 3 4 2 2" xfId="3378" xr:uid="{00000000-0005-0000-0000-00002E0D0000}"/>
    <cellStyle name="40% - Accent2 3 4 3" xfId="3379" xr:uid="{00000000-0005-0000-0000-00002F0D0000}"/>
    <cellStyle name="40% - Accent2 3 4 4" xfId="3380" xr:uid="{00000000-0005-0000-0000-0000300D0000}"/>
    <cellStyle name="40% - Accent2 3 4 5" xfId="3381" xr:uid="{00000000-0005-0000-0000-0000310D0000}"/>
    <cellStyle name="40% - Accent2 3 5" xfId="3382" xr:uid="{00000000-0005-0000-0000-0000320D0000}"/>
    <cellStyle name="40% - Accent2 3 5 2" xfId="3383" xr:uid="{00000000-0005-0000-0000-0000330D0000}"/>
    <cellStyle name="40% - Accent2 3 5 2 2" xfId="3384" xr:uid="{00000000-0005-0000-0000-0000340D0000}"/>
    <cellStyle name="40% - Accent2 3 5 3" xfId="3385" xr:uid="{00000000-0005-0000-0000-0000350D0000}"/>
    <cellStyle name="40% - Accent2 3 5 4" xfId="3386" xr:uid="{00000000-0005-0000-0000-0000360D0000}"/>
    <cellStyle name="40% - Accent2 3 5 5" xfId="3387" xr:uid="{00000000-0005-0000-0000-0000370D0000}"/>
    <cellStyle name="40% - Accent2 3 6" xfId="3388" xr:uid="{00000000-0005-0000-0000-0000380D0000}"/>
    <cellStyle name="40% - Accent2 3 6 2" xfId="3389" xr:uid="{00000000-0005-0000-0000-0000390D0000}"/>
    <cellStyle name="40% - Accent2 3 7" xfId="3390" xr:uid="{00000000-0005-0000-0000-00003A0D0000}"/>
    <cellStyle name="40% - Accent2 3 8" xfId="3391" xr:uid="{00000000-0005-0000-0000-00003B0D0000}"/>
    <cellStyle name="40% - Accent2 3 9" xfId="3392" xr:uid="{00000000-0005-0000-0000-00003C0D0000}"/>
    <cellStyle name="40% - Accent2 4" xfId="3393" xr:uid="{00000000-0005-0000-0000-00003D0D0000}"/>
    <cellStyle name="40% - Accent2 4 10" xfId="3394" xr:uid="{00000000-0005-0000-0000-00003E0D0000}"/>
    <cellStyle name="40% - Accent2 4 2" xfId="3395" xr:uid="{00000000-0005-0000-0000-00003F0D0000}"/>
    <cellStyle name="40% - Accent2 4 2 2" xfId="3396" xr:uid="{00000000-0005-0000-0000-0000400D0000}"/>
    <cellStyle name="40% - Accent2 4 2 2 2" xfId="3397" xr:uid="{00000000-0005-0000-0000-0000410D0000}"/>
    <cellStyle name="40% - Accent2 4 2 2 2 2" xfId="3398" xr:uid="{00000000-0005-0000-0000-0000420D0000}"/>
    <cellStyle name="40% - Accent2 4 2 2 2 3" xfId="3399" xr:uid="{00000000-0005-0000-0000-0000430D0000}"/>
    <cellStyle name="40% - Accent2 4 2 2 3" xfId="3400" xr:uid="{00000000-0005-0000-0000-0000440D0000}"/>
    <cellStyle name="40% - Accent2 4 2 2 4" xfId="3401" xr:uid="{00000000-0005-0000-0000-0000450D0000}"/>
    <cellStyle name="40% - Accent2 4 2 2 5" xfId="3402" xr:uid="{00000000-0005-0000-0000-0000460D0000}"/>
    <cellStyle name="40% - Accent2 4 2 2 6" xfId="3403" xr:uid="{00000000-0005-0000-0000-0000470D0000}"/>
    <cellStyle name="40% - Accent2 4 2 3" xfId="3404" xr:uid="{00000000-0005-0000-0000-0000480D0000}"/>
    <cellStyle name="40% - Accent2 4 2 3 2" xfId="3405" xr:uid="{00000000-0005-0000-0000-0000490D0000}"/>
    <cellStyle name="40% - Accent2 4 2 3 2 2" xfId="3406" xr:uid="{00000000-0005-0000-0000-00004A0D0000}"/>
    <cellStyle name="40% - Accent2 4 2 3 3" xfId="3407" xr:uid="{00000000-0005-0000-0000-00004B0D0000}"/>
    <cellStyle name="40% - Accent2 4 2 3 4" xfId="3408" xr:uid="{00000000-0005-0000-0000-00004C0D0000}"/>
    <cellStyle name="40% - Accent2 4 2 3 5" xfId="3409" xr:uid="{00000000-0005-0000-0000-00004D0D0000}"/>
    <cellStyle name="40% - Accent2 4 2 4" xfId="3410" xr:uid="{00000000-0005-0000-0000-00004E0D0000}"/>
    <cellStyle name="40% - Accent2 4 2 4 2" xfId="3411" xr:uid="{00000000-0005-0000-0000-00004F0D0000}"/>
    <cellStyle name="40% - Accent2 4 2 4 3" xfId="3412" xr:uid="{00000000-0005-0000-0000-0000500D0000}"/>
    <cellStyle name="40% - Accent2 4 2 4 4" xfId="3413" xr:uid="{00000000-0005-0000-0000-0000510D0000}"/>
    <cellStyle name="40% - Accent2 4 2 5" xfId="3414" xr:uid="{00000000-0005-0000-0000-0000520D0000}"/>
    <cellStyle name="40% - Accent2 4 2 5 2" xfId="3415" xr:uid="{00000000-0005-0000-0000-0000530D0000}"/>
    <cellStyle name="40% - Accent2 4 2 6" xfId="3416" xr:uid="{00000000-0005-0000-0000-0000540D0000}"/>
    <cellStyle name="40% - Accent2 4 2 7" xfId="3417" xr:uid="{00000000-0005-0000-0000-0000550D0000}"/>
    <cellStyle name="40% - Accent2 4 2 8" xfId="3418" xr:uid="{00000000-0005-0000-0000-0000560D0000}"/>
    <cellStyle name="40% - Accent2 4 2 9" xfId="3419" xr:uid="{00000000-0005-0000-0000-0000570D0000}"/>
    <cellStyle name="40% - Accent2 4 3" xfId="3420" xr:uid="{00000000-0005-0000-0000-0000580D0000}"/>
    <cellStyle name="40% - Accent2 4 3 2" xfId="3421" xr:uid="{00000000-0005-0000-0000-0000590D0000}"/>
    <cellStyle name="40% - Accent2 4 3 2 2" xfId="3422" xr:uid="{00000000-0005-0000-0000-00005A0D0000}"/>
    <cellStyle name="40% - Accent2 4 3 2 3" xfId="3423" xr:uid="{00000000-0005-0000-0000-00005B0D0000}"/>
    <cellStyle name="40% - Accent2 4 3 3" xfId="3424" xr:uid="{00000000-0005-0000-0000-00005C0D0000}"/>
    <cellStyle name="40% - Accent2 4 3 4" xfId="3425" xr:uid="{00000000-0005-0000-0000-00005D0D0000}"/>
    <cellStyle name="40% - Accent2 4 3 5" xfId="3426" xr:uid="{00000000-0005-0000-0000-00005E0D0000}"/>
    <cellStyle name="40% - Accent2 4 3 6" xfId="3427" xr:uid="{00000000-0005-0000-0000-00005F0D0000}"/>
    <cellStyle name="40% - Accent2 4 4" xfId="3428" xr:uid="{00000000-0005-0000-0000-0000600D0000}"/>
    <cellStyle name="40% - Accent2 4 4 2" xfId="3429" xr:uid="{00000000-0005-0000-0000-0000610D0000}"/>
    <cellStyle name="40% - Accent2 4 4 2 2" xfId="3430" xr:uid="{00000000-0005-0000-0000-0000620D0000}"/>
    <cellStyle name="40% - Accent2 4 4 3" xfId="3431" xr:uid="{00000000-0005-0000-0000-0000630D0000}"/>
    <cellStyle name="40% - Accent2 4 4 4" xfId="3432" xr:uid="{00000000-0005-0000-0000-0000640D0000}"/>
    <cellStyle name="40% - Accent2 4 4 5" xfId="3433" xr:uid="{00000000-0005-0000-0000-0000650D0000}"/>
    <cellStyle name="40% - Accent2 4 5" xfId="3434" xr:uid="{00000000-0005-0000-0000-0000660D0000}"/>
    <cellStyle name="40% - Accent2 4 5 2" xfId="3435" xr:uid="{00000000-0005-0000-0000-0000670D0000}"/>
    <cellStyle name="40% - Accent2 4 5 2 2" xfId="3436" xr:uid="{00000000-0005-0000-0000-0000680D0000}"/>
    <cellStyle name="40% - Accent2 4 5 3" xfId="3437" xr:uid="{00000000-0005-0000-0000-0000690D0000}"/>
    <cellStyle name="40% - Accent2 4 5 4" xfId="3438" xr:uid="{00000000-0005-0000-0000-00006A0D0000}"/>
    <cellStyle name="40% - Accent2 4 5 5" xfId="3439" xr:uid="{00000000-0005-0000-0000-00006B0D0000}"/>
    <cellStyle name="40% - Accent2 4 6" xfId="3440" xr:uid="{00000000-0005-0000-0000-00006C0D0000}"/>
    <cellStyle name="40% - Accent2 4 6 2" xfId="3441" xr:uid="{00000000-0005-0000-0000-00006D0D0000}"/>
    <cellStyle name="40% - Accent2 4 7" xfId="3442" xr:uid="{00000000-0005-0000-0000-00006E0D0000}"/>
    <cellStyle name="40% - Accent2 4 8" xfId="3443" xr:uid="{00000000-0005-0000-0000-00006F0D0000}"/>
    <cellStyle name="40% - Accent2 4 9" xfId="3444" xr:uid="{00000000-0005-0000-0000-0000700D0000}"/>
    <cellStyle name="40% - Accent2 5" xfId="3445" xr:uid="{00000000-0005-0000-0000-0000710D0000}"/>
    <cellStyle name="40% - Accent2 5 10" xfId="3446" xr:uid="{00000000-0005-0000-0000-0000720D0000}"/>
    <cellStyle name="40% - Accent2 5 2" xfId="3447" xr:uid="{00000000-0005-0000-0000-0000730D0000}"/>
    <cellStyle name="40% - Accent2 5 2 2" xfId="3448" xr:uid="{00000000-0005-0000-0000-0000740D0000}"/>
    <cellStyle name="40% - Accent2 5 2 2 2" xfId="3449" xr:uid="{00000000-0005-0000-0000-0000750D0000}"/>
    <cellStyle name="40% - Accent2 5 2 2 2 2" xfId="3450" xr:uid="{00000000-0005-0000-0000-0000760D0000}"/>
    <cellStyle name="40% - Accent2 5 2 2 2 3" xfId="3451" xr:uid="{00000000-0005-0000-0000-0000770D0000}"/>
    <cellStyle name="40% - Accent2 5 2 2 3" xfId="3452" xr:uid="{00000000-0005-0000-0000-0000780D0000}"/>
    <cellStyle name="40% - Accent2 5 2 2 4" xfId="3453" xr:uid="{00000000-0005-0000-0000-0000790D0000}"/>
    <cellStyle name="40% - Accent2 5 2 2 5" xfId="3454" xr:uid="{00000000-0005-0000-0000-00007A0D0000}"/>
    <cellStyle name="40% - Accent2 5 2 2 6" xfId="3455" xr:uid="{00000000-0005-0000-0000-00007B0D0000}"/>
    <cellStyle name="40% - Accent2 5 2 3" xfId="3456" xr:uid="{00000000-0005-0000-0000-00007C0D0000}"/>
    <cellStyle name="40% - Accent2 5 2 3 2" xfId="3457" xr:uid="{00000000-0005-0000-0000-00007D0D0000}"/>
    <cellStyle name="40% - Accent2 5 2 3 2 2" xfId="3458" xr:uid="{00000000-0005-0000-0000-00007E0D0000}"/>
    <cellStyle name="40% - Accent2 5 2 3 3" xfId="3459" xr:uid="{00000000-0005-0000-0000-00007F0D0000}"/>
    <cellStyle name="40% - Accent2 5 2 3 4" xfId="3460" xr:uid="{00000000-0005-0000-0000-0000800D0000}"/>
    <cellStyle name="40% - Accent2 5 2 3 5" xfId="3461" xr:uid="{00000000-0005-0000-0000-0000810D0000}"/>
    <cellStyle name="40% - Accent2 5 2 4" xfId="3462" xr:uid="{00000000-0005-0000-0000-0000820D0000}"/>
    <cellStyle name="40% - Accent2 5 2 4 2" xfId="3463" xr:uid="{00000000-0005-0000-0000-0000830D0000}"/>
    <cellStyle name="40% - Accent2 5 2 4 3" xfId="3464" xr:uid="{00000000-0005-0000-0000-0000840D0000}"/>
    <cellStyle name="40% - Accent2 5 2 4 4" xfId="3465" xr:uid="{00000000-0005-0000-0000-0000850D0000}"/>
    <cellStyle name="40% - Accent2 5 2 5" xfId="3466" xr:uid="{00000000-0005-0000-0000-0000860D0000}"/>
    <cellStyle name="40% - Accent2 5 2 5 2" xfId="3467" xr:uid="{00000000-0005-0000-0000-0000870D0000}"/>
    <cellStyle name="40% - Accent2 5 2 6" xfId="3468" xr:uid="{00000000-0005-0000-0000-0000880D0000}"/>
    <cellStyle name="40% - Accent2 5 2 7" xfId="3469" xr:uid="{00000000-0005-0000-0000-0000890D0000}"/>
    <cellStyle name="40% - Accent2 5 2 8" xfId="3470" xr:uid="{00000000-0005-0000-0000-00008A0D0000}"/>
    <cellStyle name="40% - Accent2 5 2 9" xfId="3471" xr:uid="{00000000-0005-0000-0000-00008B0D0000}"/>
    <cellStyle name="40% - Accent2 5 3" xfId="3472" xr:uid="{00000000-0005-0000-0000-00008C0D0000}"/>
    <cellStyle name="40% - Accent2 5 3 2" xfId="3473" xr:uid="{00000000-0005-0000-0000-00008D0D0000}"/>
    <cellStyle name="40% - Accent2 5 3 2 2" xfId="3474" xr:uid="{00000000-0005-0000-0000-00008E0D0000}"/>
    <cellStyle name="40% - Accent2 5 3 2 3" xfId="3475" xr:uid="{00000000-0005-0000-0000-00008F0D0000}"/>
    <cellStyle name="40% - Accent2 5 3 3" xfId="3476" xr:uid="{00000000-0005-0000-0000-0000900D0000}"/>
    <cellStyle name="40% - Accent2 5 3 4" xfId="3477" xr:uid="{00000000-0005-0000-0000-0000910D0000}"/>
    <cellStyle name="40% - Accent2 5 3 5" xfId="3478" xr:uid="{00000000-0005-0000-0000-0000920D0000}"/>
    <cellStyle name="40% - Accent2 5 3 6" xfId="3479" xr:uid="{00000000-0005-0000-0000-0000930D0000}"/>
    <cellStyle name="40% - Accent2 5 4" xfId="3480" xr:uid="{00000000-0005-0000-0000-0000940D0000}"/>
    <cellStyle name="40% - Accent2 5 4 2" xfId="3481" xr:uid="{00000000-0005-0000-0000-0000950D0000}"/>
    <cellStyle name="40% - Accent2 5 4 2 2" xfId="3482" xr:uid="{00000000-0005-0000-0000-0000960D0000}"/>
    <cellStyle name="40% - Accent2 5 4 3" xfId="3483" xr:uid="{00000000-0005-0000-0000-0000970D0000}"/>
    <cellStyle name="40% - Accent2 5 4 4" xfId="3484" xr:uid="{00000000-0005-0000-0000-0000980D0000}"/>
    <cellStyle name="40% - Accent2 5 4 5" xfId="3485" xr:uid="{00000000-0005-0000-0000-0000990D0000}"/>
    <cellStyle name="40% - Accent2 5 5" xfId="3486" xr:uid="{00000000-0005-0000-0000-00009A0D0000}"/>
    <cellStyle name="40% - Accent2 5 5 2" xfId="3487" xr:uid="{00000000-0005-0000-0000-00009B0D0000}"/>
    <cellStyle name="40% - Accent2 5 5 3" xfId="3488" xr:uid="{00000000-0005-0000-0000-00009C0D0000}"/>
    <cellStyle name="40% - Accent2 5 5 4" xfId="3489" xr:uid="{00000000-0005-0000-0000-00009D0D0000}"/>
    <cellStyle name="40% - Accent2 5 6" xfId="3490" xr:uid="{00000000-0005-0000-0000-00009E0D0000}"/>
    <cellStyle name="40% - Accent2 5 6 2" xfId="3491" xr:uid="{00000000-0005-0000-0000-00009F0D0000}"/>
    <cellStyle name="40% - Accent2 5 7" xfId="3492" xr:uid="{00000000-0005-0000-0000-0000A00D0000}"/>
    <cellStyle name="40% - Accent2 5 8" xfId="3493" xr:uid="{00000000-0005-0000-0000-0000A10D0000}"/>
    <cellStyle name="40% - Accent2 5 9" xfId="3494" xr:uid="{00000000-0005-0000-0000-0000A20D0000}"/>
    <cellStyle name="40% - Accent2 6" xfId="3495" xr:uid="{00000000-0005-0000-0000-0000A30D0000}"/>
    <cellStyle name="40% - Accent2 6 10" xfId="3496" xr:uid="{00000000-0005-0000-0000-0000A40D0000}"/>
    <cellStyle name="40% - Accent2 6 2" xfId="3497" xr:uid="{00000000-0005-0000-0000-0000A50D0000}"/>
    <cellStyle name="40% - Accent2 6 2 2" xfId="3498" xr:uid="{00000000-0005-0000-0000-0000A60D0000}"/>
    <cellStyle name="40% - Accent2 6 2 2 2" xfId="3499" xr:uid="{00000000-0005-0000-0000-0000A70D0000}"/>
    <cellStyle name="40% - Accent2 6 2 2 2 2" xfId="3500" xr:uid="{00000000-0005-0000-0000-0000A80D0000}"/>
    <cellStyle name="40% - Accent2 6 2 2 2 3" xfId="3501" xr:uid="{00000000-0005-0000-0000-0000A90D0000}"/>
    <cellStyle name="40% - Accent2 6 2 2 3" xfId="3502" xr:uid="{00000000-0005-0000-0000-0000AA0D0000}"/>
    <cellStyle name="40% - Accent2 6 2 2 4" xfId="3503" xr:uid="{00000000-0005-0000-0000-0000AB0D0000}"/>
    <cellStyle name="40% - Accent2 6 2 2 5" xfId="3504" xr:uid="{00000000-0005-0000-0000-0000AC0D0000}"/>
    <cellStyle name="40% - Accent2 6 2 2 6" xfId="3505" xr:uid="{00000000-0005-0000-0000-0000AD0D0000}"/>
    <cellStyle name="40% - Accent2 6 2 3" xfId="3506" xr:uid="{00000000-0005-0000-0000-0000AE0D0000}"/>
    <cellStyle name="40% - Accent2 6 2 3 2" xfId="3507" xr:uid="{00000000-0005-0000-0000-0000AF0D0000}"/>
    <cellStyle name="40% - Accent2 6 2 3 2 2" xfId="3508" xr:uid="{00000000-0005-0000-0000-0000B00D0000}"/>
    <cellStyle name="40% - Accent2 6 2 3 3" xfId="3509" xr:uid="{00000000-0005-0000-0000-0000B10D0000}"/>
    <cellStyle name="40% - Accent2 6 2 3 4" xfId="3510" xr:uid="{00000000-0005-0000-0000-0000B20D0000}"/>
    <cellStyle name="40% - Accent2 6 2 3 5" xfId="3511" xr:uid="{00000000-0005-0000-0000-0000B30D0000}"/>
    <cellStyle name="40% - Accent2 6 2 4" xfId="3512" xr:uid="{00000000-0005-0000-0000-0000B40D0000}"/>
    <cellStyle name="40% - Accent2 6 2 4 2" xfId="3513" xr:uid="{00000000-0005-0000-0000-0000B50D0000}"/>
    <cellStyle name="40% - Accent2 6 2 4 3" xfId="3514" xr:uid="{00000000-0005-0000-0000-0000B60D0000}"/>
    <cellStyle name="40% - Accent2 6 2 4 4" xfId="3515" xr:uid="{00000000-0005-0000-0000-0000B70D0000}"/>
    <cellStyle name="40% - Accent2 6 2 5" xfId="3516" xr:uid="{00000000-0005-0000-0000-0000B80D0000}"/>
    <cellStyle name="40% - Accent2 6 2 5 2" xfId="3517" xr:uid="{00000000-0005-0000-0000-0000B90D0000}"/>
    <cellStyle name="40% - Accent2 6 2 6" xfId="3518" xr:uid="{00000000-0005-0000-0000-0000BA0D0000}"/>
    <cellStyle name="40% - Accent2 6 2 7" xfId="3519" xr:uid="{00000000-0005-0000-0000-0000BB0D0000}"/>
    <cellStyle name="40% - Accent2 6 2 8" xfId="3520" xr:uid="{00000000-0005-0000-0000-0000BC0D0000}"/>
    <cellStyle name="40% - Accent2 6 2 9" xfId="3521" xr:uid="{00000000-0005-0000-0000-0000BD0D0000}"/>
    <cellStyle name="40% - Accent2 6 3" xfId="3522" xr:uid="{00000000-0005-0000-0000-0000BE0D0000}"/>
    <cellStyle name="40% - Accent2 6 3 2" xfId="3523" xr:uid="{00000000-0005-0000-0000-0000BF0D0000}"/>
    <cellStyle name="40% - Accent2 6 3 2 2" xfId="3524" xr:uid="{00000000-0005-0000-0000-0000C00D0000}"/>
    <cellStyle name="40% - Accent2 6 3 2 3" xfId="3525" xr:uid="{00000000-0005-0000-0000-0000C10D0000}"/>
    <cellStyle name="40% - Accent2 6 3 3" xfId="3526" xr:uid="{00000000-0005-0000-0000-0000C20D0000}"/>
    <cellStyle name="40% - Accent2 6 3 4" xfId="3527" xr:uid="{00000000-0005-0000-0000-0000C30D0000}"/>
    <cellStyle name="40% - Accent2 6 3 5" xfId="3528" xr:uid="{00000000-0005-0000-0000-0000C40D0000}"/>
    <cellStyle name="40% - Accent2 6 3 6" xfId="3529" xr:uid="{00000000-0005-0000-0000-0000C50D0000}"/>
    <cellStyle name="40% - Accent2 6 4" xfId="3530" xr:uid="{00000000-0005-0000-0000-0000C60D0000}"/>
    <cellStyle name="40% - Accent2 6 4 2" xfId="3531" xr:uid="{00000000-0005-0000-0000-0000C70D0000}"/>
    <cellStyle name="40% - Accent2 6 4 2 2" xfId="3532" xr:uid="{00000000-0005-0000-0000-0000C80D0000}"/>
    <cellStyle name="40% - Accent2 6 4 3" xfId="3533" xr:uid="{00000000-0005-0000-0000-0000C90D0000}"/>
    <cellStyle name="40% - Accent2 6 4 4" xfId="3534" xr:uid="{00000000-0005-0000-0000-0000CA0D0000}"/>
    <cellStyle name="40% - Accent2 6 4 5" xfId="3535" xr:uid="{00000000-0005-0000-0000-0000CB0D0000}"/>
    <cellStyle name="40% - Accent2 6 5" xfId="3536" xr:uid="{00000000-0005-0000-0000-0000CC0D0000}"/>
    <cellStyle name="40% - Accent2 6 5 2" xfId="3537" xr:uid="{00000000-0005-0000-0000-0000CD0D0000}"/>
    <cellStyle name="40% - Accent2 6 5 3" xfId="3538" xr:uid="{00000000-0005-0000-0000-0000CE0D0000}"/>
    <cellStyle name="40% - Accent2 6 5 4" xfId="3539" xr:uid="{00000000-0005-0000-0000-0000CF0D0000}"/>
    <cellStyle name="40% - Accent2 6 6" xfId="3540" xr:uid="{00000000-0005-0000-0000-0000D00D0000}"/>
    <cellStyle name="40% - Accent2 6 6 2" xfId="3541" xr:uid="{00000000-0005-0000-0000-0000D10D0000}"/>
    <cellStyle name="40% - Accent2 6 7" xfId="3542" xr:uid="{00000000-0005-0000-0000-0000D20D0000}"/>
    <cellStyle name="40% - Accent2 6 8" xfId="3543" xr:uid="{00000000-0005-0000-0000-0000D30D0000}"/>
    <cellStyle name="40% - Accent2 6 9" xfId="3544" xr:uid="{00000000-0005-0000-0000-0000D40D0000}"/>
    <cellStyle name="40% - Accent2 7" xfId="3545" xr:uid="{00000000-0005-0000-0000-0000D50D0000}"/>
    <cellStyle name="40% - Accent2 7 2" xfId="3546" xr:uid="{00000000-0005-0000-0000-0000D60D0000}"/>
    <cellStyle name="40% - Accent2 7 2 2" xfId="3547" xr:uid="{00000000-0005-0000-0000-0000D70D0000}"/>
    <cellStyle name="40% - Accent2 7 2 2 2" xfId="3548" xr:uid="{00000000-0005-0000-0000-0000D80D0000}"/>
    <cellStyle name="40% - Accent2 7 2 2 3" xfId="3549" xr:uid="{00000000-0005-0000-0000-0000D90D0000}"/>
    <cellStyle name="40% - Accent2 7 2 3" xfId="3550" xr:uid="{00000000-0005-0000-0000-0000DA0D0000}"/>
    <cellStyle name="40% - Accent2 7 2 4" xfId="3551" xr:uid="{00000000-0005-0000-0000-0000DB0D0000}"/>
    <cellStyle name="40% - Accent2 7 2 5" xfId="3552" xr:uid="{00000000-0005-0000-0000-0000DC0D0000}"/>
    <cellStyle name="40% - Accent2 7 2 6" xfId="3553" xr:uid="{00000000-0005-0000-0000-0000DD0D0000}"/>
    <cellStyle name="40% - Accent2 7 3" xfId="3554" xr:uid="{00000000-0005-0000-0000-0000DE0D0000}"/>
    <cellStyle name="40% - Accent2 7 3 2" xfId="3555" xr:uid="{00000000-0005-0000-0000-0000DF0D0000}"/>
    <cellStyle name="40% - Accent2 7 3 2 2" xfId="3556" xr:uid="{00000000-0005-0000-0000-0000E00D0000}"/>
    <cellStyle name="40% - Accent2 7 3 3" xfId="3557" xr:uid="{00000000-0005-0000-0000-0000E10D0000}"/>
    <cellStyle name="40% - Accent2 7 3 4" xfId="3558" xr:uid="{00000000-0005-0000-0000-0000E20D0000}"/>
    <cellStyle name="40% - Accent2 7 3 5" xfId="3559" xr:uid="{00000000-0005-0000-0000-0000E30D0000}"/>
    <cellStyle name="40% - Accent2 7 4" xfId="3560" xr:uid="{00000000-0005-0000-0000-0000E40D0000}"/>
    <cellStyle name="40% - Accent2 7 4 2" xfId="3561" xr:uid="{00000000-0005-0000-0000-0000E50D0000}"/>
    <cellStyle name="40% - Accent2 7 4 3" xfId="3562" xr:uid="{00000000-0005-0000-0000-0000E60D0000}"/>
    <cellStyle name="40% - Accent2 7 4 4" xfId="3563" xr:uid="{00000000-0005-0000-0000-0000E70D0000}"/>
    <cellStyle name="40% - Accent2 7 5" xfId="3564" xr:uid="{00000000-0005-0000-0000-0000E80D0000}"/>
    <cellStyle name="40% - Accent2 7 5 2" xfId="3565" xr:uid="{00000000-0005-0000-0000-0000E90D0000}"/>
    <cellStyle name="40% - Accent2 7 6" xfId="3566" xr:uid="{00000000-0005-0000-0000-0000EA0D0000}"/>
    <cellStyle name="40% - Accent2 7 7" xfId="3567" xr:uid="{00000000-0005-0000-0000-0000EB0D0000}"/>
    <cellStyle name="40% - Accent2 7 8" xfId="3568" xr:uid="{00000000-0005-0000-0000-0000EC0D0000}"/>
    <cellStyle name="40% - Accent2 7 9" xfId="3569" xr:uid="{00000000-0005-0000-0000-0000ED0D0000}"/>
    <cellStyle name="40% - Accent2 8" xfId="3570" xr:uid="{00000000-0005-0000-0000-0000EE0D0000}"/>
    <cellStyle name="40% - Accent2 8 2" xfId="3571" xr:uid="{00000000-0005-0000-0000-0000EF0D0000}"/>
    <cellStyle name="40% - Accent2 8 2 2" xfId="3572" xr:uid="{00000000-0005-0000-0000-0000F00D0000}"/>
    <cellStyle name="40% - Accent2 8 2 2 2" xfId="3573" xr:uid="{00000000-0005-0000-0000-0000F10D0000}"/>
    <cellStyle name="40% - Accent2 8 2 2 3" xfId="3574" xr:uid="{00000000-0005-0000-0000-0000F20D0000}"/>
    <cellStyle name="40% - Accent2 8 2 3" xfId="3575" xr:uid="{00000000-0005-0000-0000-0000F30D0000}"/>
    <cellStyle name="40% - Accent2 8 2 4" xfId="3576" xr:uid="{00000000-0005-0000-0000-0000F40D0000}"/>
    <cellStyle name="40% - Accent2 8 2 5" xfId="3577" xr:uid="{00000000-0005-0000-0000-0000F50D0000}"/>
    <cellStyle name="40% - Accent2 8 2 6" xfId="3578" xr:uid="{00000000-0005-0000-0000-0000F60D0000}"/>
    <cellStyle name="40% - Accent2 8 3" xfId="3579" xr:uid="{00000000-0005-0000-0000-0000F70D0000}"/>
    <cellStyle name="40% - Accent2 8 3 2" xfId="3580" xr:uid="{00000000-0005-0000-0000-0000F80D0000}"/>
    <cellStyle name="40% - Accent2 8 3 2 2" xfId="3581" xr:uid="{00000000-0005-0000-0000-0000F90D0000}"/>
    <cellStyle name="40% - Accent2 8 3 3" xfId="3582" xr:uid="{00000000-0005-0000-0000-0000FA0D0000}"/>
    <cellStyle name="40% - Accent2 8 3 4" xfId="3583" xr:uid="{00000000-0005-0000-0000-0000FB0D0000}"/>
    <cellStyle name="40% - Accent2 8 3 5" xfId="3584" xr:uid="{00000000-0005-0000-0000-0000FC0D0000}"/>
    <cellStyle name="40% - Accent2 8 4" xfId="3585" xr:uid="{00000000-0005-0000-0000-0000FD0D0000}"/>
    <cellStyle name="40% - Accent2 8 4 2" xfId="3586" xr:uid="{00000000-0005-0000-0000-0000FE0D0000}"/>
    <cellStyle name="40% - Accent2 8 4 3" xfId="3587" xr:uid="{00000000-0005-0000-0000-0000FF0D0000}"/>
    <cellStyle name="40% - Accent2 8 4 4" xfId="3588" xr:uid="{00000000-0005-0000-0000-0000000E0000}"/>
    <cellStyle name="40% - Accent2 8 5" xfId="3589" xr:uid="{00000000-0005-0000-0000-0000010E0000}"/>
    <cellStyle name="40% - Accent2 8 5 2" xfId="3590" xr:uid="{00000000-0005-0000-0000-0000020E0000}"/>
    <cellStyle name="40% - Accent2 8 6" xfId="3591" xr:uid="{00000000-0005-0000-0000-0000030E0000}"/>
    <cellStyle name="40% - Accent2 8 7" xfId="3592" xr:uid="{00000000-0005-0000-0000-0000040E0000}"/>
    <cellStyle name="40% - Accent2 8 8" xfId="3593" xr:uid="{00000000-0005-0000-0000-0000050E0000}"/>
    <cellStyle name="40% - Accent2 8 9" xfId="3594" xr:uid="{00000000-0005-0000-0000-0000060E0000}"/>
    <cellStyle name="40% - Accent2 9" xfId="3595" xr:uid="{00000000-0005-0000-0000-0000070E0000}"/>
    <cellStyle name="40% - Accent2 9 2" xfId="3596" xr:uid="{00000000-0005-0000-0000-0000080E0000}"/>
    <cellStyle name="40% - Accent2 9 2 2" xfId="3597" xr:uid="{00000000-0005-0000-0000-0000090E0000}"/>
    <cellStyle name="40% - Accent2 9 2 2 2" xfId="3598" xr:uid="{00000000-0005-0000-0000-00000A0E0000}"/>
    <cellStyle name="40% - Accent2 9 2 3" xfId="3599" xr:uid="{00000000-0005-0000-0000-00000B0E0000}"/>
    <cellStyle name="40% - Accent2 9 2 4" xfId="3600" xr:uid="{00000000-0005-0000-0000-00000C0E0000}"/>
    <cellStyle name="40% - Accent2 9 2 5" xfId="3601" xr:uid="{00000000-0005-0000-0000-00000D0E0000}"/>
    <cellStyle name="40% - Accent2 9 3" xfId="3602" xr:uid="{00000000-0005-0000-0000-00000E0E0000}"/>
    <cellStyle name="40% - Accent2 9 3 2" xfId="3603" xr:uid="{00000000-0005-0000-0000-00000F0E0000}"/>
    <cellStyle name="40% - Accent2 9 3 3" xfId="3604" xr:uid="{00000000-0005-0000-0000-0000100E0000}"/>
    <cellStyle name="40% - Accent2 9 3 4" xfId="3605" xr:uid="{00000000-0005-0000-0000-0000110E0000}"/>
    <cellStyle name="40% - Accent2 9 4" xfId="3606" xr:uid="{00000000-0005-0000-0000-0000120E0000}"/>
    <cellStyle name="40% - Accent2 9 4 2" xfId="3607" xr:uid="{00000000-0005-0000-0000-0000130E0000}"/>
    <cellStyle name="40% - Accent2 9 5" xfId="3608" xr:uid="{00000000-0005-0000-0000-0000140E0000}"/>
    <cellStyle name="40% - Accent2 9 6" xfId="3609" xr:uid="{00000000-0005-0000-0000-0000150E0000}"/>
    <cellStyle name="40% - Accent2 9 7" xfId="3610" xr:uid="{00000000-0005-0000-0000-0000160E0000}"/>
    <cellStyle name="40% - Accent2 9 8" xfId="3611" xr:uid="{00000000-0005-0000-0000-0000170E0000}"/>
    <cellStyle name="40% - Accent3 10" xfId="3612" xr:uid="{00000000-0005-0000-0000-0000180E0000}"/>
    <cellStyle name="40% - Accent3 10 2" xfId="3613" xr:uid="{00000000-0005-0000-0000-0000190E0000}"/>
    <cellStyle name="40% - Accent3 10 2 2" xfId="3614" xr:uid="{00000000-0005-0000-0000-00001A0E0000}"/>
    <cellStyle name="40% - Accent3 10 2 2 2" xfId="3615" xr:uid="{00000000-0005-0000-0000-00001B0E0000}"/>
    <cellStyle name="40% - Accent3 10 2 3" xfId="3616" xr:uid="{00000000-0005-0000-0000-00001C0E0000}"/>
    <cellStyle name="40% - Accent3 10 2 4" xfId="3617" xr:uid="{00000000-0005-0000-0000-00001D0E0000}"/>
    <cellStyle name="40% - Accent3 10 2 5" xfId="3618" xr:uid="{00000000-0005-0000-0000-00001E0E0000}"/>
    <cellStyle name="40% - Accent3 10 3" xfId="3619" xr:uid="{00000000-0005-0000-0000-00001F0E0000}"/>
    <cellStyle name="40% - Accent3 10 3 2" xfId="3620" xr:uid="{00000000-0005-0000-0000-0000200E0000}"/>
    <cellStyle name="40% - Accent3 10 3 3" xfId="3621" xr:uid="{00000000-0005-0000-0000-0000210E0000}"/>
    <cellStyle name="40% - Accent3 10 3 4" xfId="3622" xr:uid="{00000000-0005-0000-0000-0000220E0000}"/>
    <cellStyle name="40% - Accent3 10 4" xfId="3623" xr:uid="{00000000-0005-0000-0000-0000230E0000}"/>
    <cellStyle name="40% - Accent3 10 4 2" xfId="3624" xr:uid="{00000000-0005-0000-0000-0000240E0000}"/>
    <cellStyle name="40% - Accent3 10 5" xfId="3625" xr:uid="{00000000-0005-0000-0000-0000250E0000}"/>
    <cellStyle name="40% - Accent3 10 6" xfId="3626" xr:uid="{00000000-0005-0000-0000-0000260E0000}"/>
    <cellStyle name="40% - Accent3 10 7" xfId="3627" xr:uid="{00000000-0005-0000-0000-0000270E0000}"/>
    <cellStyle name="40% - Accent3 10 8" xfId="3628" xr:uid="{00000000-0005-0000-0000-0000280E0000}"/>
    <cellStyle name="40% - Accent3 11" xfId="3629" xr:uid="{00000000-0005-0000-0000-0000290E0000}"/>
    <cellStyle name="40% - Accent3 11 2" xfId="3630" xr:uid="{00000000-0005-0000-0000-00002A0E0000}"/>
    <cellStyle name="40% - Accent3 11 2 2" xfId="3631" xr:uid="{00000000-0005-0000-0000-00002B0E0000}"/>
    <cellStyle name="40% - Accent3 11 2 2 2" xfId="3632" xr:uid="{00000000-0005-0000-0000-00002C0E0000}"/>
    <cellStyle name="40% - Accent3 11 2 3" xfId="3633" xr:uid="{00000000-0005-0000-0000-00002D0E0000}"/>
    <cellStyle name="40% - Accent3 11 2 4" xfId="3634" xr:uid="{00000000-0005-0000-0000-00002E0E0000}"/>
    <cellStyle name="40% - Accent3 11 2 5" xfId="3635" xr:uid="{00000000-0005-0000-0000-00002F0E0000}"/>
    <cellStyle name="40% - Accent3 11 3" xfId="3636" xr:uid="{00000000-0005-0000-0000-0000300E0000}"/>
    <cellStyle name="40% - Accent3 11 3 2" xfId="3637" xr:uid="{00000000-0005-0000-0000-0000310E0000}"/>
    <cellStyle name="40% - Accent3 11 3 3" xfId="3638" xr:uid="{00000000-0005-0000-0000-0000320E0000}"/>
    <cellStyle name="40% - Accent3 11 3 4" xfId="3639" xr:uid="{00000000-0005-0000-0000-0000330E0000}"/>
    <cellStyle name="40% - Accent3 11 4" xfId="3640" xr:uid="{00000000-0005-0000-0000-0000340E0000}"/>
    <cellStyle name="40% - Accent3 11 4 2" xfId="3641" xr:uid="{00000000-0005-0000-0000-0000350E0000}"/>
    <cellStyle name="40% - Accent3 11 5" xfId="3642" xr:uid="{00000000-0005-0000-0000-0000360E0000}"/>
    <cellStyle name="40% - Accent3 11 6" xfId="3643" xr:uid="{00000000-0005-0000-0000-0000370E0000}"/>
    <cellStyle name="40% - Accent3 11 7" xfId="3644" xr:uid="{00000000-0005-0000-0000-0000380E0000}"/>
    <cellStyle name="40% - Accent3 11 8" xfId="3645" xr:uid="{00000000-0005-0000-0000-0000390E0000}"/>
    <cellStyle name="40% - Accent3 12" xfId="3646" xr:uid="{00000000-0005-0000-0000-00003A0E0000}"/>
    <cellStyle name="40% - Accent3 12 2" xfId="3647" xr:uid="{00000000-0005-0000-0000-00003B0E0000}"/>
    <cellStyle name="40% - Accent3 12 2 2" xfId="3648" xr:uid="{00000000-0005-0000-0000-00003C0E0000}"/>
    <cellStyle name="40% - Accent3 12 2 2 2" xfId="3649" xr:uid="{00000000-0005-0000-0000-00003D0E0000}"/>
    <cellStyle name="40% - Accent3 12 2 3" xfId="3650" xr:uid="{00000000-0005-0000-0000-00003E0E0000}"/>
    <cellStyle name="40% - Accent3 12 2 4" xfId="3651" xr:uid="{00000000-0005-0000-0000-00003F0E0000}"/>
    <cellStyle name="40% - Accent3 12 2 5" xfId="3652" xr:uid="{00000000-0005-0000-0000-0000400E0000}"/>
    <cellStyle name="40% - Accent3 12 3" xfId="3653" xr:uid="{00000000-0005-0000-0000-0000410E0000}"/>
    <cellStyle name="40% - Accent3 12 3 2" xfId="3654" xr:uid="{00000000-0005-0000-0000-0000420E0000}"/>
    <cellStyle name="40% - Accent3 12 3 3" xfId="3655" xr:uid="{00000000-0005-0000-0000-0000430E0000}"/>
    <cellStyle name="40% - Accent3 12 3 4" xfId="3656" xr:uid="{00000000-0005-0000-0000-0000440E0000}"/>
    <cellStyle name="40% - Accent3 12 4" xfId="3657" xr:uid="{00000000-0005-0000-0000-0000450E0000}"/>
    <cellStyle name="40% - Accent3 12 4 2" xfId="3658" xr:uid="{00000000-0005-0000-0000-0000460E0000}"/>
    <cellStyle name="40% - Accent3 12 5" xfId="3659" xr:uid="{00000000-0005-0000-0000-0000470E0000}"/>
    <cellStyle name="40% - Accent3 12 6" xfId="3660" xr:uid="{00000000-0005-0000-0000-0000480E0000}"/>
    <cellStyle name="40% - Accent3 12 7" xfId="3661" xr:uid="{00000000-0005-0000-0000-0000490E0000}"/>
    <cellStyle name="40% - Accent3 12 8" xfId="3662" xr:uid="{00000000-0005-0000-0000-00004A0E0000}"/>
    <cellStyle name="40% - Accent3 13" xfId="3663" xr:uid="{00000000-0005-0000-0000-00004B0E0000}"/>
    <cellStyle name="40% - Accent3 13 2" xfId="3664" xr:uid="{00000000-0005-0000-0000-00004C0E0000}"/>
    <cellStyle name="40% - Accent3 13 2 2" xfId="3665" xr:uid="{00000000-0005-0000-0000-00004D0E0000}"/>
    <cellStyle name="40% - Accent3 13 2 3" xfId="3666" xr:uid="{00000000-0005-0000-0000-00004E0E0000}"/>
    <cellStyle name="40% - Accent3 13 2 4" xfId="3667" xr:uid="{00000000-0005-0000-0000-00004F0E0000}"/>
    <cellStyle name="40% - Accent3 13 3" xfId="3668" xr:uid="{00000000-0005-0000-0000-0000500E0000}"/>
    <cellStyle name="40% - Accent3 13 3 2" xfId="3669" xr:uid="{00000000-0005-0000-0000-0000510E0000}"/>
    <cellStyle name="40% - Accent3 13 4" xfId="3670" xr:uid="{00000000-0005-0000-0000-0000520E0000}"/>
    <cellStyle name="40% - Accent3 13 5" xfId="3671" xr:uid="{00000000-0005-0000-0000-0000530E0000}"/>
    <cellStyle name="40% - Accent3 13 6" xfId="3672" xr:uid="{00000000-0005-0000-0000-0000540E0000}"/>
    <cellStyle name="40% - Accent3 14" xfId="3673" xr:uid="{00000000-0005-0000-0000-0000550E0000}"/>
    <cellStyle name="40% - Accent3 14 2" xfId="3674" xr:uid="{00000000-0005-0000-0000-0000560E0000}"/>
    <cellStyle name="40% - Accent3 14 2 2" xfId="3675" xr:uid="{00000000-0005-0000-0000-0000570E0000}"/>
    <cellStyle name="40% - Accent3 14 3" xfId="3676" xr:uid="{00000000-0005-0000-0000-0000580E0000}"/>
    <cellStyle name="40% - Accent3 14 4" xfId="3677" xr:uid="{00000000-0005-0000-0000-0000590E0000}"/>
    <cellStyle name="40% - Accent3 14 5" xfId="3678" xr:uid="{00000000-0005-0000-0000-00005A0E0000}"/>
    <cellStyle name="40% - Accent3 15" xfId="3679" xr:uid="{00000000-0005-0000-0000-00005B0E0000}"/>
    <cellStyle name="40% - Accent3 15 2" xfId="3680" xr:uid="{00000000-0005-0000-0000-00005C0E0000}"/>
    <cellStyle name="40% - Accent3 15 2 2" xfId="3681" xr:uid="{00000000-0005-0000-0000-00005D0E0000}"/>
    <cellStyle name="40% - Accent3 15 3" xfId="3682" xr:uid="{00000000-0005-0000-0000-00005E0E0000}"/>
    <cellStyle name="40% - Accent3 15 4" xfId="3683" xr:uid="{00000000-0005-0000-0000-00005F0E0000}"/>
    <cellStyle name="40% - Accent3 15 5" xfId="3684" xr:uid="{00000000-0005-0000-0000-0000600E0000}"/>
    <cellStyle name="40% - Accent3 16" xfId="3685" xr:uid="{00000000-0005-0000-0000-0000610E0000}"/>
    <cellStyle name="40% - Accent3 16 2" xfId="3686" xr:uid="{00000000-0005-0000-0000-0000620E0000}"/>
    <cellStyle name="40% - Accent3 17" xfId="3687" xr:uid="{00000000-0005-0000-0000-0000630E0000}"/>
    <cellStyle name="40% - Accent3 18" xfId="3688" xr:uid="{00000000-0005-0000-0000-0000640E0000}"/>
    <cellStyle name="40% - Accent3 19" xfId="3689" xr:uid="{00000000-0005-0000-0000-0000650E0000}"/>
    <cellStyle name="40% - Accent3 2" xfId="3690" xr:uid="{00000000-0005-0000-0000-0000660E0000}"/>
    <cellStyle name="40% - Accent3 2 10" xfId="3691" xr:uid="{00000000-0005-0000-0000-0000670E0000}"/>
    <cellStyle name="40% - Accent3 2 11" xfId="3692" xr:uid="{00000000-0005-0000-0000-0000680E0000}"/>
    <cellStyle name="40% - Accent3 2 2" xfId="3693" xr:uid="{00000000-0005-0000-0000-0000690E0000}"/>
    <cellStyle name="40% - Accent3 2 2 10" xfId="3694" xr:uid="{00000000-0005-0000-0000-00006A0E0000}"/>
    <cellStyle name="40% - Accent3 2 2 2" xfId="3695" xr:uid="{00000000-0005-0000-0000-00006B0E0000}"/>
    <cellStyle name="40% - Accent3 2 2 2 2" xfId="3696" xr:uid="{00000000-0005-0000-0000-00006C0E0000}"/>
    <cellStyle name="40% - Accent3 2 2 2 2 2" xfId="3697" xr:uid="{00000000-0005-0000-0000-00006D0E0000}"/>
    <cellStyle name="40% - Accent3 2 2 2 2 2 2" xfId="3698" xr:uid="{00000000-0005-0000-0000-00006E0E0000}"/>
    <cellStyle name="40% - Accent3 2 2 2 2 2 3" xfId="3699" xr:uid="{00000000-0005-0000-0000-00006F0E0000}"/>
    <cellStyle name="40% - Accent3 2 2 2 2 3" xfId="3700" xr:uid="{00000000-0005-0000-0000-0000700E0000}"/>
    <cellStyle name="40% - Accent3 2 2 2 2 4" xfId="3701" xr:uid="{00000000-0005-0000-0000-0000710E0000}"/>
    <cellStyle name="40% - Accent3 2 2 2 2 5" xfId="3702" xr:uid="{00000000-0005-0000-0000-0000720E0000}"/>
    <cellStyle name="40% - Accent3 2 2 2 2 6" xfId="3703" xr:uid="{00000000-0005-0000-0000-0000730E0000}"/>
    <cellStyle name="40% - Accent3 2 2 2 3" xfId="3704" xr:uid="{00000000-0005-0000-0000-0000740E0000}"/>
    <cellStyle name="40% - Accent3 2 2 2 3 2" xfId="3705" xr:uid="{00000000-0005-0000-0000-0000750E0000}"/>
    <cellStyle name="40% - Accent3 2 2 2 3 2 2" xfId="3706" xr:uid="{00000000-0005-0000-0000-0000760E0000}"/>
    <cellStyle name="40% - Accent3 2 2 2 3 3" xfId="3707" xr:uid="{00000000-0005-0000-0000-0000770E0000}"/>
    <cellStyle name="40% - Accent3 2 2 2 3 4" xfId="3708" xr:uid="{00000000-0005-0000-0000-0000780E0000}"/>
    <cellStyle name="40% - Accent3 2 2 2 3 5" xfId="3709" xr:uid="{00000000-0005-0000-0000-0000790E0000}"/>
    <cellStyle name="40% - Accent3 2 2 2 4" xfId="3710" xr:uid="{00000000-0005-0000-0000-00007A0E0000}"/>
    <cellStyle name="40% - Accent3 2 2 2 4 2" xfId="3711" xr:uid="{00000000-0005-0000-0000-00007B0E0000}"/>
    <cellStyle name="40% - Accent3 2 2 2 4 3" xfId="3712" xr:uid="{00000000-0005-0000-0000-00007C0E0000}"/>
    <cellStyle name="40% - Accent3 2 2 2 4 4" xfId="3713" xr:uid="{00000000-0005-0000-0000-00007D0E0000}"/>
    <cellStyle name="40% - Accent3 2 2 2 5" xfId="3714" xr:uid="{00000000-0005-0000-0000-00007E0E0000}"/>
    <cellStyle name="40% - Accent3 2 2 2 5 2" xfId="3715" xr:uid="{00000000-0005-0000-0000-00007F0E0000}"/>
    <cellStyle name="40% - Accent3 2 2 2 6" xfId="3716" xr:uid="{00000000-0005-0000-0000-0000800E0000}"/>
    <cellStyle name="40% - Accent3 2 2 2 7" xfId="3717" xr:uid="{00000000-0005-0000-0000-0000810E0000}"/>
    <cellStyle name="40% - Accent3 2 2 2 8" xfId="3718" xr:uid="{00000000-0005-0000-0000-0000820E0000}"/>
    <cellStyle name="40% - Accent3 2 2 2 9" xfId="3719" xr:uid="{00000000-0005-0000-0000-0000830E0000}"/>
    <cellStyle name="40% - Accent3 2 2 3" xfId="3720" xr:uid="{00000000-0005-0000-0000-0000840E0000}"/>
    <cellStyle name="40% - Accent3 2 2 3 2" xfId="3721" xr:uid="{00000000-0005-0000-0000-0000850E0000}"/>
    <cellStyle name="40% - Accent3 2 2 3 2 2" xfId="3722" xr:uid="{00000000-0005-0000-0000-0000860E0000}"/>
    <cellStyle name="40% - Accent3 2 2 3 2 3" xfId="3723" xr:uid="{00000000-0005-0000-0000-0000870E0000}"/>
    <cellStyle name="40% - Accent3 2 2 3 3" xfId="3724" xr:uid="{00000000-0005-0000-0000-0000880E0000}"/>
    <cellStyle name="40% - Accent3 2 2 3 4" xfId="3725" xr:uid="{00000000-0005-0000-0000-0000890E0000}"/>
    <cellStyle name="40% - Accent3 2 2 3 5" xfId="3726" xr:uid="{00000000-0005-0000-0000-00008A0E0000}"/>
    <cellStyle name="40% - Accent3 2 2 3 6" xfId="3727" xr:uid="{00000000-0005-0000-0000-00008B0E0000}"/>
    <cellStyle name="40% - Accent3 2 2 4" xfId="3728" xr:uid="{00000000-0005-0000-0000-00008C0E0000}"/>
    <cellStyle name="40% - Accent3 2 2 4 2" xfId="3729" xr:uid="{00000000-0005-0000-0000-00008D0E0000}"/>
    <cellStyle name="40% - Accent3 2 2 4 2 2" xfId="3730" xr:uid="{00000000-0005-0000-0000-00008E0E0000}"/>
    <cellStyle name="40% - Accent3 2 2 4 3" xfId="3731" xr:uid="{00000000-0005-0000-0000-00008F0E0000}"/>
    <cellStyle name="40% - Accent3 2 2 4 4" xfId="3732" xr:uid="{00000000-0005-0000-0000-0000900E0000}"/>
    <cellStyle name="40% - Accent3 2 2 4 5" xfId="3733" xr:uid="{00000000-0005-0000-0000-0000910E0000}"/>
    <cellStyle name="40% - Accent3 2 2 5" xfId="3734" xr:uid="{00000000-0005-0000-0000-0000920E0000}"/>
    <cellStyle name="40% - Accent3 2 2 5 2" xfId="3735" xr:uid="{00000000-0005-0000-0000-0000930E0000}"/>
    <cellStyle name="40% - Accent3 2 2 5 3" xfId="3736" xr:uid="{00000000-0005-0000-0000-0000940E0000}"/>
    <cellStyle name="40% - Accent3 2 2 5 4" xfId="3737" xr:uid="{00000000-0005-0000-0000-0000950E0000}"/>
    <cellStyle name="40% - Accent3 2 2 6" xfId="3738" xr:uid="{00000000-0005-0000-0000-0000960E0000}"/>
    <cellStyle name="40% - Accent3 2 2 6 2" xfId="3739" xr:uid="{00000000-0005-0000-0000-0000970E0000}"/>
    <cellStyle name="40% - Accent3 2 2 7" xfId="3740" xr:uid="{00000000-0005-0000-0000-0000980E0000}"/>
    <cellStyle name="40% - Accent3 2 2 8" xfId="3741" xr:uid="{00000000-0005-0000-0000-0000990E0000}"/>
    <cellStyle name="40% - Accent3 2 2 9" xfId="3742" xr:uid="{00000000-0005-0000-0000-00009A0E0000}"/>
    <cellStyle name="40% - Accent3 2 3" xfId="3743" xr:uid="{00000000-0005-0000-0000-00009B0E0000}"/>
    <cellStyle name="40% - Accent3 2 3 2" xfId="3744" xr:uid="{00000000-0005-0000-0000-00009C0E0000}"/>
    <cellStyle name="40% - Accent3 2 3 2 2" xfId="3745" xr:uid="{00000000-0005-0000-0000-00009D0E0000}"/>
    <cellStyle name="40% - Accent3 2 3 2 2 2" xfId="3746" xr:uid="{00000000-0005-0000-0000-00009E0E0000}"/>
    <cellStyle name="40% - Accent3 2 3 2 2 3" xfId="3747" xr:uid="{00000000-0005-0000-0000-00009F0E0000}"/>
    <cellStyle name="40% - Accent3 2 3 2 3" xfId="3748" xr:uid="{00000000-0005-0000-0000-0000A00E0000}"/>
    <cellStyle name="40% - Accent3 2 3 2 4" xfId="3749" xr:uid="{00000000-0005-0000-0000-0000A10E0000}"/>
    <cellStyle name="40% - Accent3 2 3 2 5" xfId="3750" xr:uid="{00000000-0005-0000-0000-0000A20E0000}"/>
    <cellStyle name="40% - Accent3 2 3 2 6" xfId="3751" xr:uid="{00000000-0005-0000-0000-0000A30E0000}"/>
    <cellStyle name="40% - Accent3 2 3 3" xfId="3752" xr:uid="{00000000-0005-0000-0000-0000A40E0000}"/>
    <cellStyle name="40% - Accent3 2 3 3 2" xfId="3753" xr:uid="{00000000-0005-0000-0000-0000A50E0000}"/>
    <cellStyle name="40% - Accent3 2 3 3 2 2" xfId="3754" xr:uid="{00000000-0005-0000-0000-0000A60E0000}"/>
    <cellStyle name="40% - Accent3 2 3 3 3" xfId="3755" xr:uid="{00000000-0005-0000-0000-0000A70E0000}"/>
    <cellStyle name="40% - Accent3 2 3 3 4" xfId="3756" xr:uid="{00000000-0005-0000-0000-0000A80E0000}"/>
    <cellStyle name="40% - Accent3 2 3 3 5" xfId="3757" xr:uid="{00000000-0005-0000-0000-0000A90E0000}"/>
    <cellStyle name="40% - Accent3 2 3 4" xfId="3758" xr:uid="{00000000-0005-0000-0000-0000AA0E0000}"/>
    <cellStyle name="40% - Accent3 2 3 4 2" xfId="3759" xr:uid="{00000000-0005-0000-0000-0000AB0E0000}"/>
    <cellStyle name="40% - Accent3 2 3 4 3" xfId="3760" xr:uid="{00000000-0005-0000-0000-0000AC0E0000}"/>
    <cellStyle name="40% - Accent3 2 3 4 4" xfId="3761" xr:uid="{00000000-0005-0000-0000-0000AD0E0000}"/>
    <cellStyle name="40% - Accent3 2 3 5" xfId="3762" xr:uid="{00000000-0005-0000-0000-0000AE0E0000}"/>
    <cellStyle name="40% - Accent3 2 3 5 2" xfId="3763" xr:uid="{00000000-0005-0000-0000-0000AF0E0000}"/>
    <cellStyle name="40% - Accent3 2 3 6" xfId="3764" xr:uid="{00000000-0005-0000-0000-0000B00E0000}"/>
    <cellStyle name="40% - Accent3 2 3 7" xfId="3765" xr:uid="{00000000-0005-0000-0000-0000B10E0000}"/>
    <cellStyle name="40% - Accent3 2 3 8" xfId="3766" xr:uid="{00000000-0005-0000-0000-0000B20E0000}"/>
    <cellStyle name="40% - Accent3 2 3 9" xfId="3767" xr:uid="{00000000-0005-0000-0000-0000B30E0000}"/>
    <cellStyle name="40% - Accent3 2 4" xfId="3768" xr:uid="{00000000-0005-0000-0000-0000B40E0000}"/>
    <cellStyle name="40% - Accent3 2 4 2" xfId="3769" xr:uid="{00000000-0005-0000-0000-0000B50E0000}"/>
    <cellStyle name="40% - Accent3 2 4 2 2" xfId="3770" xr:uid="{00000000-0005-0000-0000-0000B60E0000}"/>
    <cellStyle name="40% - Accent3 2 4 2 3" xfId="3771" xr:uid="{00000000-0005-0000-0000-0000B70E0000}"/>
    <cellStyle name="40% - Accent3 2 4 3" xfId="3772" xr:uid="{00000000-0005-0000-0000-0000B80E0000}"/>
    <cellStyle name="40% - Accent3 2 4 4" xfId="3773" xr:uid="{00000000-0005-0000-0000-0000B90E0000}"/>
    <cellStyle name="40% - Accent3 2 4 5" xfId="3774" xr:uid="{00000000-0005-0000-0000-0000BA0E0000}"/>
    <cellStyle name="40% - Accent3 2 4 6" xfId="3775" xr:uid="{00000000-0005-0000-0000-0000BB0E0000}"/>
    <cellStyle name="40% - Accent3 2 5" xfId="3776" xr:uid="{00000000-0005-0000-0000-0000BC0E0000}"/>
    <cellStyle name="40% - Accent3 2 5 2" xfId="3777" xr:uid="{00000000-0005-0000-0000-0000BD0E0000}"/>
    <cellStyle name="40% - Accent3 2 5 2 2" xfId="3778" xr:uid="{00000000-0005-0000-0000-0000BE0E0000}"/>
    <cellStyle name="40% - Accent3 2 5 3" xfId="3779" xr:uid="{00000000-0005-0000-0000-0000BF0E0000}"/>
    <cellStyle name="40% - Accent3 2 5 4" xfId="3780" xr:uid="{00000000-0005-0000-0000-0000C00E0000}"/>
    <cellStyle name="40% - Accent3 2 5 5" xfId="3781" xr:uid="{00000000-0005-0000-0000-0000C10E0000}"/>
    <cellStyle name="40% - Accent3 2 6" xfId="3782" xr:uid="{00000000-0005-0000-0000-0000C20E0000}"/>
    <cellStyle name="40% - Accent3 2 6 2" xfId="3783" xr:uid="{00000000-0005-0000-0000-0000C30E0000}"/>
    <cellStyle name="40% - Accent3 2 6 2 2" xfId="3784" xr:uid="{00000000-0005-0000-0000-0000C40E0000}"/>
    <cellStyle name="40% - Accent3 2 6 3" xfId="3785" xr:uid="{00000000-0005-0000-0000-0000C50E0000}"/>
    <cellStyle name="40% - Accent3 2 6 4" xfId="3786" xr:uid="{00000000-0005-0000-0000-0000C60E0000}"/>
    <cellStyle name="40% - Accent3 2 6 5" xfId="3787" xr:uid="{00000000-0005-0000-0000-0000C70E0000}"/>
    <cellStyle name="40% - Accent3 2 7" xfId="3788" xr:uid="{00000000-0005-0000-0000-0000C80E0000}"/>
    <cellStyle name="40% - Accent3 2 7 2" xfId="3789" xr:uid="{00000000-0005-0000-0000-0000C90E0000}"/>
    <cellStyle name="40% - Accent3 2 8" xfId="3790" xr:uid="{00000000-0005-0000-0000-0000CA0E0000}"/>
    <cellStyle name="40% - Accent3 2 9" xfId="3791" xr:uid="{00000000-0005-0000-0000-0000CB0E0000}"/>
    <cellStyle name="40% - Accent3 3" xfId="3792" xr:uid="{00000000-0005-0000-0000-0000CC0E0000}"/>
    <cellStyle name="40% - Accent3 3 10" xfId="3793" xr:uid="{00000000-0005-0000-0000-0000CD0E0000}"/>
    <cellStyle name="40% - Accent3 3 2" xfId="3794" xr:uid="{00000000-0005-0000-0000-0000CE0E0000}"/>
    <cellStyle name="40% - Accent3 3 2 2" xfId="3795" xr:uid="{00000000-0005-0000-0000-0000CF0E0000}"/>
    <cellStyle name="40% - Accent3 3 2 2 2" xfId="3796" xr:uid="{00000000-0005-0000-0000-0000D00E0000}"/>
    <cellStyle name="40% - Accent3 3 2 2 2 2" xfId="3797" xr:uid="{00000000-0005-0000-0000-0000D10E0000}"/>
    <cellStyle name="40% - Accent3 3 2 2 2 3" xfId="3798" xr:uid="{00000000-0005-0000-0000-0000D20E0000}"/>
    <cellStyle name="40% - Accent3 3 2 2 3" xfId="3799" xr:uid="{00000000-0005-0000-0000-0000D30E0000}"/>
    <cellStyle name="40% - Accent3 3 2 2 4" xfId="3800" xr:uid="{00000000-0005-0000-0000-0000D40E0000}"/>
    <cellStyle name="40% - Accent3 3 2 2 5" xfId="3801" xr:uid="{00000000-0005-0000-0000-0000D50E0000}"/>
    <cellStyle name="40% - Accent3 3 2 2 6" xfId="3802" xr:uid="{00000000-0005-0000-0000-0000D60E0000}"/>
    <cellStyle name="40% - Accent3 3 2 3" xfId="3803" xr:uid="{00000000-0005-0000-0000-0000D70E0000}"/>
    <cellStyle name="40% - Accent3 3 2 3 2" xfId="3804" xr:uid="{00000000-0005-0000-0000-0000D80E0000}"/>
    <cellStyle name="40% - Accent3 3 2 3 2 2" xfId="3805" xr:uid="{00000000-0005-0000-0000-0000D90E0000}"/>
    <cellStyle name="40% - Accent3 3 2 3 3" xfId="3806" xr:uid="{00000000-0005-0000-0000-0000DA0E0000}"/>
    <cellStyle name="40% - Accent3 3 2 3 4" xfId="3807" xr:uid="{00000000-0005-0000-0000-0000DB0E0000}"/>
    <cellStyle name="40% - Accent3 3 2 3 5" xfId="3808" xr:uid="{00000000-0005-0000-0000-0000DC0E0000}"/>
    <cellStyle name="40% - Accent3 3 2 4" xfId="3809" xr:uid="{00000000-0005-0000-0000-0000DD0E0000}"/>
    <cellStyle name="40% - Accent3 3 2 4 2" xfId="3810" xr:uid="{00000000-0005-0000-0000-0000DE0E0000}"/>
    <cellStyle name="40% - Accent3 3 2 4 3" xfId="3811" xr:uid="{00000000-0005-0000-0000-0000DF0E0000}"/>
    <cellStyle name="40% - Accent3 3 2 4 4" xfId="3812" xr:uid="{00000000-0005-0000-0000-0000E00E0000}"/>
    <cellStyle name="40% - Accent3 3 2 5" xfId="3813" xr:uid="{00000000-0005-0000-0000-0000E10E0000}"/>
    <cellStyle name="40% - Accent3 3 2 5 2" xfId="3814" xr:uid="{00000000-0005-0000-0000-0000E20E0000}"/>
    <cellStyle name="40% - Accent3 3 2 6" xfId="3815" xr:uid="{00000000-0005-0000-0000-0000E30E0000}"/>
    <cellStyle name="40% - Accent3 3 2 7" xfId="3816" xr:uid="{00000000-0005-0000-0000-0000E40E0000}"/>
    <cellStyle name="40% - Accent3 3 2 8" xfId="3817" xr:uid="{00000000-0005-0000-0000-0000E50E0000}"/>
    <cellStyle name="40% - Accent3 3 2 9" xfId="3818" xr:uid="{00000000-0005-0000-0000-0000E60E0000}"/>
    <cellStyle name="40% - Accent3 3 3" xfId="3819" xr:uid="{00000000-0005-0000-0000-0000E70E0000}"/>
    <cellStyle name="40% - Accent3 3 3 2" xfId="3820" xr:uid="{00000000-0005-0000-0000-0000E80E0000}"/>
    <cellStyle name="40% - Accent3 3 3 2 2" xfId="3821" xr:uid="{00000000-0005-0000-0000-0000E90E0000}"/>
    <cellStyle name="40% - Accent3 3 3 2 3" xfId="3822" xr:uid="{00000000-0005-0000-0000-0000EA0E0000}"/>
    <cellStyle name="40% - Accent3 3 3 3" xfId="3823" xr:uid="{00000000-0005-0000-0000-0000EB0E0000}"/>
    <cellStyle name="40% - Accent3 3 3 4" xfId="3824" xr:uid="{00000000-0005-0000-0000-0000EC0E0000}"/>
    <cellStyle name="40% - Accent3 3 3 5" xfId="3825" xr:uid="{00000000-0005-0000-0000-0000ED0E0000}"/>
    <cellStyle name="40% - Accent3 3 3 6" xfId="3826" xr:uid="{00000000-0005-0000-0000-0000EE0E0000}"/>
    <cellStyle name="40% - Accent3 3 4" xfId="3827" xr:uid="{00000000-0005-0000-0000-0000EF0E0000}"/>
    <cellStyle name="40% - Accent3 3 4 2" xfId="3828" xr:uid="{00000000-0005-0000-0000-0000F00E0000}"/>
    <cellStyle name="40% - Accent3 3 4 2 2" xfId="3829" xr:uid="{00000000-0005-0000-0000-0000F10E0000}"/>
    <cellStyle name="40% - Accent3 3 4 3" xfId="3830" xr:uid="{00000000-0005-0000-0000-0000F20E0000}"/>
    <cellStyle name="40% - Accent3 3 4 4" xfId="3831" xr:uid="{00000000-0005-0000-0000-0000F30E0000}"/>
    <cellStyle name="40% - Accent3 3 4 5" xfId="3832" xr:uid="{00000000-0005-0000-0000-0000F40E0000}"/>
    <cellStyle name="40% - Accent3 3 5" xfId="3833" xr:uid="{00000000-0005-0000-0000-0000F50E0000}"/>
    <cellStyle name="40% - Accent3 3 5 2" xfId="3834" xr:uid="{00000000-0005-0000-0000-0000F60E0000}"/>
    <cellStyle name="40% - Accent3 3 5 2 2" xfId="3835" xr:uid="{00000000-0005-0000-0000-0000F70E0000}"/>
    <cellStyle name="40% - Accent3 3 5 3" xfId="3836" xr:uid="{00000000-0005-0000-0000-0000F80E0000}"/>
    <cellStyle name="40% - Accent3 3 5 4" xfId="3837" xr:uid="{00000000-0005-0000-0000-0000F90E0000}"/>
    <cellStyle name="40% - Accent3 3 5 5" xfId="3838" xr:uid="{00000000-0005-0000-0000-0000FA0E0000}"/>
    <cellStyle name="40% - Accent3 3 6" xfId="3839" xr:uid="{00000000-0005-0000-0000-0000FB0E0000}"/>
    <cellStyle name="40% - Accent3 3 6 2" xfId="3840" xr:uid="{00000000-0005-0000-0000-0000FC0E0000}"/>
    <cellStyle name="40% - Accent3 3 7" xfId="3841" xr:uid="{00000000-0005-0000-0000-0000FD0E0000}"/>
    <cellStyle name="40% - Accent3 3 8" xfId="3842" xr:uid="{00000000-0005-0000-0000-0000FE0E0000}"/>
    <cellStyle name="40% - Accent3 3 9" xfId="3843" xr:uid="{00000000-0005-0000-0000-0000FF0E0000}"/>
    <cellStyle name="40% - Accent3 4" xfId="3844" xr:uid="{00000000-0005-0000-0000-0000000F0000}"/>
    <cellStyle name="40% - Accent3 4 10" xfId="3845" xr:uid="{00000000-0005-0000-0000-0000010F0000}"/>
    <cellStyle name="40% - Accent3 4 2" xfId="3846" xr:uid="{00000000-0005-0000-0000-0000020F0000}"/>
    <cellStyle name="40% - Accent3 4 2 2" xfId="3847" xr:uid="{00000000-0005-0000-0000-0000030F0000}"/>
    <cellStyle name="40% - Accent3 4 2 2 2" xfId="3848" xr:uid="{00000000-0005-0000-0000-0000040F0000}"/>
    <cellStyle name="40% - Accent3 4 2 2 2 2" xfId="3849" xr:uid="{00000000-0005-0000-0000-0000050F0000}"/>
    <cellStyle name="40% - Accent3 4 2 2 2 3" xfId="3850" xr:uid="{00000000-0005-0000-0000-0000060F0000}"/>
    <cellStyle name="40% - Accent3 4 2 2 3" xfId="3851" xr:uid="{00000000-0005-0000-0000-0000070F0000}"/>
    <cellStyle name="40% - Accent3 4 2 2 4" xfId="3852" xr:uid="{00000000-0005-0000-0000-0000080F0000}"/>
    <cellStyle name="40% - Accent3 4 2 2 5" xfId="3853" xr:uid="{00000000-0005-0000-0000-0000090F0000}"/>
    <cellStyle name="40% - Accent3 4 2 2 6" xfId="3854" xr:uid="{00000000-0005-0000-0000-00000A0F0000}"/>
    <cellStyle name="40% - Accent3 4 2 3" xfId="3855" xr:uid="{00000000-0005-0000-0000-00000B0F0000}"/>
    <cellStyle name="40% - Accent3 4 2 3 2" xfId="3856" xr:uid="{00000000-0005-0000-0000-00000C0F0000}"/>
    <cellStyle name="40% - Accent3 4 2 3 2 2" xfId="3857" xr:uid="{00000000-0005-0000-0000-00000D0F0000}"/>
    <cellStyle name="40% - Accent3 4 2 3 3" xfId="3858" xr:uid="{00000000-0005-0000-0000-00000E0F0000}"/>
    <cellStyle name="40% - Accent3 4 2 3 4" xfId="3859" xr:uid="{00000000-0005-0000-0000-00000F0F0000}"/>
    <cellStyle name="40% - Accent3 4 2 3 5" xfId="3860" xr:uid="{00000000-0005-0000-0000-0000100F0000}"/>
    <cellStyle name="40% - Accent3 4 2 4" xfId="3861" xr:uid="{00000000-0005-0000-0000-0000110F0000}"/>
    <cellStyle name="40% - Accent3 4 2 4 2" xfId="3862" xr:uid="{00000000-0005-0000-0000-0000120F0000}"/>
    <cellStyle name="40% - Accent3 4 2 4 3" xfId="3863" xr:uid="{00000000-0005-0000-0000-0000130F0000}"/>
    <cellStyle name="40% - Accent3 4 2 4 4" xfId="3864" xr:uid="{00000000-0005-0000-0000-0000140F0000}"/>
    <cellStyle name="40% - Accent3 4 2 5" xfId="3865" xr:uid="{00000000-0005-0000-0000-0000150F0000}"/>
    <cellStyle name="40% - Accent3 4 2 5 2" xfId="3866" xr:uid="{00000000-0005-0000-0000-0000160F0000}"/>
    <cellStyle name="40% - Accent3 4 2 6" xfId="3867" xr:uid="{00000000-0005-0000-0000-0000170F0000}"/>
    <cellStyle name="40% - Accent3 4 2 7" xfId="3868" xr:uid="{00000000-0005-0000-0000-0000180F0000}"/>
    <cellStyle name="40% - Accent3 4 2 8" xfId="3869" xr:uid="{00000000-0005-0000-0000-0000190F0000}"/>
    <cellStyle name="40% - Accent3 4 2 9" xfId="3870" xr:uid="{00000000-0005-0000-0000-00001A0F0000}"/>
    <cellStyle name="40% - Accent3 4 3" xfId="3871" xr:uid="{00000000-0005-0000-0000-00001B0F0000}"/>
    <cellStyle name="40% - Accent3 4 3 2" xfId="3872" xr:uid="{00000000-0005-0000-0000-00001C0F0000}"/>
    <cellStyle name="40% - Accent3 4 3 2 2" xfId="3873" xr:uid="{00000000-0005-0000-0000-00001D0F0000}"/>
    <cellStyle name="40% - Accent3 4 3 2 3" xfId="3874" xr:uid="{00000000-0005-0000-0000-00001E0F0000}"/>
    <cellStyle name="40% - Accent3 4 3 3" xfId="3875" xr:uid="{00000000-0005-0000-0000-00001F0F0000}"/>
    <cellStyle name="40% - Accent3 4 3 4" xfId="3876" xr:uid="{00000000-0005-0000-0000-0000200F0000}"/>
    <cellStyle name="40% - Accent3 4 3 5" xfId="3877" xr:uid="{00000000-0005-0000-0000-0000210F0000}"/>
    <cellStyle name="40% - Accent3 4 3 6" xfId="3878" xr:uid="{00000000-0005-0000-0000-0000220F0000}"/>
    <cellStyle name="40% - Accent3 4 4" xfId="3879" xr:uid="{00000000-0005-0000-0000-0000230F0000}"/>
    <cellStyle name="40% - Accent3 4 4 2" xfId="3880" xr:uid="{00000000-0005-0000-0000-0000240F0000}"/>
    <cellStyle name="40% - Accent3 4 4 2 2" xfId="3881" xr:uid="{00000000-0005-0000-0000-0000250F0000}"/>
    <cellStyle name="40% - Accent3 4 4 3" xfId="3882" xr:uid="{00000000-0005-0000-0000-0000260F0000}"/>
    <cellStyle name="40% - Accent3 4 4 4" xfId="3883" xr:uid="{00000000-0005-0000-0000-0000270F0000}"/>
    <cellStyle name="40% - Accent3 4 4 5" xfId="3884" xr:uid="{00000000-0005-0000-0000-0000280F0000}"/>
    <cellStyle name="40% - Accent3 4 5" xfId="3885" xr:uid="{00000000-0005-0000-0000-0000290F0000}"/>
    <cellStyle name="40% - Accent3 4 5 2" xfId="3886" xr:uid="{00000000-0005-0000-0000-00002A0F0000}"/>
    <cellStyle name="40% - Accent3 4 5 2 2" xfId="3887" xr:uid="{00000000-0005-0000-0000-00002B0F0000}"/>
    <cellStyle name="40% - Accent3 4 5 3" xfId="3888" xr:uid="{00000000-0005-0000-0000-00002C0F0000}"/>
    <cellStyle name="40% - Accent3 4 5 4" xfId="3889" xr:uid="{00000000-0005-0000-0000-00002D0F0000}"/>
    <cellStyle name="40% - Accent3 4 5 5" xfId="3890" xr:uid="{00000000-0005-0000-0000-00002E0F0000}"/>
    <cellStyle name="40% - Accent3 4 6" xfId="3891" xr:uid="{00000000-0005-0000-0000-00002F0F0000}"/>
    <cellStyle name="40% - Accent3 4 6 2" xfId="3892" xr:uid="{00000000-0005-0000-0000-0000300F0000}"/>
    <cellStyle name="40% - Accent3 4 7" xfId="3893" xr:uid="{00000000-0005-0000-0000-0000310F0000}"/>
    <cellStyle name="40% - Accent3 4 8" xfId="3894" xr:uid="{00000000-0005-0000-0000-0000320F0000}"/>
    <cellStyle name="40% - Accent3 4 9" xfId="3895" xr:uid="{00000000-0005-0000-0000-0000330F0000}"/>
    <cellStyle name="40% - Accent3 5" xfId="3896" xr:uid="{00000000-0005-0000-0000-0000340F0000}"/>
    <cellStyle name="40% - Accent3 5 10" xfId="3897" xr:uid="{00000000-0005-0000-0000-0000350F0000}"/>
    <cellStyle name="40% - Accent3 5 2" xfId="3898" xr:uid="{00000000-0005-0000-0000-0000360F0000}"/>
    <cellStyle name="40% - Accent3 5 2 2" xfId="3899" xr:uid="{00000000-0005-0000-0000-0000370F0000}"/>
    <cellStyle name="40% - Accent3 5 2 2 2" xfId="3900" xr:uid="{00000000-0005-0000-0000-0000380F0000}"/>
    <cellStyle name="40% - Accent3 5 2 2 2 2" xfId="3901" xr:uid="{00000000-0005-0000-0000-0000390F0000}"/>
    <cellStyle name="40% - Accent3 5 2 2 2 3" xfId="3902" xr:uid="{00000000-0005-0000-0000-00003A0F0000}"/>
    <cellStyle name="40% - Accent3 5 2 2 3" xfId="3903" xr:uid="{00000000-0005-0000-0000-00003B0F0000}"/>
    <cellStyle name="40% - Accent3 5 2 2 4" xfId="3904" xr:uid="{00000000-0005-0000-0000-00003C0F0000}"/>
    <cellStyle name="40% - Accent3 5 2 2 5" xfId="3905" xr:uid="{00000000-0005-0000-0000-00003D0F0000}"/>
    <cellStyle name="40% - Accent3 5 2 2 6" xfId="3906" xr:uid="{00000000-0005-0000-0000-00003E0F0000}"/>
    <cellStyle name="40% - Accent3 5 2 3" xfId="3907" xr:uid="{00000000-0005-0000-0000-00003F0F0000}"/>
    <cellStyle name="40% - Accent3 5 2 3 2" xfId="3908" xr:uid="{00000000-0005-0000-0000-0000400F0000}"/>
    <cellStyle name="40% - Accent3 5 2 3 2 2" xfId="3909" xr:uid="{00000000-0005-0000-0000-0000410F0000}"/>
    <cellStyle name="40% - Accent3 5 2 3 3" xfId="3910" xr:uid="{00000000-0005-0000-0000-0000420F0000}"/>
    <cellStyle name="40% - Accent3 5 2 3 4" xfId="3911" xr:uid="{00000000-0005-0000-0000-0000430F0000}"/>
    <cellStyle name="40% - Accent3 5 2 3 5" xfId="3912" xr:uid="{00000000-0005-0000-0000-0000440F0000}"/>
    <cellStyle name="40% - Accent3 5 2 4" xfId="3913" xr:uid="{00000000-0005-0000-0000-0000450F0000}"/>
    <cellStyle name="40% - Accent3 5 2 4 2" xfId="3914" xr:uid="{00000000-0005-0000-0000-0000460F0000}"/>
    <cellStyle name="40% - Accent3 5 2 4 3" xfId="3915" xr:uid="{00000000-0005-0000-0000-0000470F0000}"/>
    <cellStyle name="40% - Accent3 5 2 4 4" xfId="3916" xr:uid="{00000000-0005-0000-0000-0000480F0000}"/>
    <cellStyle name="40% - Accent3 5 2 5" xfId="3917" xr:uid="{00000000-0005-0000-0000-0000490F0000}"/>
    <cellStyle name="40% - Accent3 5 2 5 2" xfId="3918" xr:uid="{00000000-0005-0000-0000-00004A0F0000}"/>
    <cellStyle name="40% - Accent3 5 2 6" xfId="3919" xr:uid="{00000000-0005-0000-0000-00004B0F0000}"/>
    <cellStyle name="40% - Accent3 5 2 7" xfId="3920" xr:uid="{00000000-0005-0000-0000-00004C0F0000}"/>
    <cellStyle name="40% - Accent3 5 2 8" xfId="3921" xr:uid="{00000000-0005-0000-0000-00004D0F0000}"/>
    <cellStyle name="40% - Accent3 5 2 9" xfId="3922" xr:uid="{00000000-0005-0000-0000-00004E0F0000}"/>
    <cellStyle name="40% - Accent3 5 3" xfId="3923" xr:uid="{00000000-0005-0000-0000-00004F0F0000}"/>
    <cellStyle name="40% - Accent3 5 3 2" xfId="3924" xr:uid="{00000000-0005-0000-0000-0000500F0000}"/>
    <cellStyle name="40% - Accent3 5 3 2 2" xfId="3925" xr:uid="{00000000-0005-0000-0000-0000510F0000}"/>
    <cellStyle name="40% - Accent3 5 3 2 3" xfId="3926" xr:uid="{00000000-0005-0000-0000-0000520F0000}"/>
    <cellStyle name="40% - Accent3 5 3 3" xfId="3927" xr:uid="{00000000-0005-0000-0000-0000530F0000}"/>
    <cellStyle name="40% - Accent3 5 3 4" xfId="3928" xr:uid="{00000000-0005-0000-0000-0000540F0000}"/>
    <cellStyle name="40% - Accent3 5 3 5" xfId="3929" xr:uid="{00000000-0005-0000-0000-0000550F0000}"/>
    <cellStyle name="40% - Accent3 5 3 6" xfId="3930" xr:uid="{00000000-0005-0000-0000-0000560F0000}"/>
    <cellStyle name="40% - Accent3 5 4" xfId="3931" xr:uid="{00000000-0005-0000-0000-0000570F0000}"/>
    <cellStyle name="40% - Accent3 5 4 2" xfId="3932" xr:uid="{00000000-0005-0000-0000-0000580F0000}"/>
    <cellStyle name="40% - Accent3 5 4 2 2" xfId="3933" xr:uid="{00000000-0005-0000-0000-0000590F0000}"/>
    <cellStyle name="40% - Accent3 5 4 3" xfId="3934" xr:uid="{00000000-0005-0000-0000-00005A0F0000}"/>
    <cellStyle name="40% - Accent3 5 4 4" xfId="3935" xr:uid="{00000000-0005-0000-0000-00005B0F0000}"/>
    <cellStyle name="40% - Accent3 5 4 5" xfId="3936" xr:uid="{00000000-0005-0000-0000-00005C0F0000}"/>
    <cellStyle name="40% - Accent3 5 5" xfId="3937" xr:uid="{00000000-0005-0000-0000-00005D0F0000}"/>
    <cellStyle name="40% - Accent3 5 5 2" xfId="3938" xr:uid="{00000000-0005-0000-0000-00005E0F0000}"/>
    <cellStyle name="40% - Accent3 5 5 3" xfId="3939" xr:uid="{00000000-0005-0000-0000-00005F0F0000}"/>
    <cellStyle name="40% - Accent3 5 5 4" xfId="3940" xr:uid="{00000000-0005-0000-0000-0000600F0000}"/>
    <cellStyle name="40% - Accent3 5 6" xfId="3941" xr:uid="{00000000-0005-0000-0000-0000610F0000}"/>
    <cellStyle name="40% - Accent3 5 6 2" xfId="3942" xr:uid="{00000000-0005-0000-0000-0000620F0000}"/>
    <cellStyle name="40% - Accent3 5 7" xfId="3943" xr:uid="{00000000-0005-0000-0000-0000630F0000}"/>
    <cellStyle name="40% - Accent3 5 8" xfId="3944" xr:uid="{00000000-0005-0000-0000-0000640F0000}"/>
    <cellStyle name="40% - Accent3 5 9" xfId="3945" xr:uid="{00000000-0005-0000-0000-0000650F0000}"/>
    <cellStyle name="40% - Accent3 6" xfId="3946" xr:uid="{00000000-0005-0000-0000-0000660F0000}"/>
    <cellStyle name="40% - Accent3 6 10" xfId="3947" xr:uid="{00000000-0005-0000-0000-0000670F0000}"/>
    <cellStyle name="40% - Accent3 6 2" xfId="3948" xr:uid="{00000000-0005-0000-0000-0000680F0000}"/>
    <cellStyle name="40% - Accent3 6 2 2" xfId="3949" xr:uid="{00000000-0005-0000-0000-0000690F0000}"/>
    <cellStyle name="40% - Accent3 6 2 2 2" xfId="3950" xr:uid="{00000000-0005-0000-0000-00006A0F0000}"/>
    <cellStyle name="40% - Accent3 6 2 2 2 2" xfId="3951" xr:uid="{00000000-0005-0000-0000-00006B0F0000}"/>
    <cellStyle name="40% - Accent3 6 2 2 2 3" xfId="3952" xr:uid="{00000000-0005-0000-0000-00006C0F0000}"/>
    <cellStyle name="40% - Accent3 6 2 2 3" xfId="3953" xr:uid="{00000000-0005-0000-0000-00006D0F0000}"/>
    <cellStyle name="40% - Accent3 6 2 2 4" xfId="3954" xr:uid="{00000000-0005-0000-0000-00006E0F0000}"/>
    <cellStyle name="40% - Accent3 6 2 2 5" xfId="3955" xr:uid="{00000000-0005-0000-0000-00006F0F0000}"/>
    <cellStyle name="40% - Accent3 6 2 2 6" xfId="3956" xr:uid="{00000000-0005-0000-0000-0000700F0000}"/>
    <cellStyle name="40% - Accent3 6 2 3" xfId="3957" xr:uid="{00000000-0005-0000-0000-0000710F0000}"/>
    <cellStyle name="40% - Accent3 6 2 3 2" xfId="3958" xr:uid="{00000000-0005-0000-0000-0000720F0000}"/>
    <cellStyle name="40% - Accent3 6 2 3 2 2" xfId="3959" xr:uid="{00000000-0005-0000-0000-0000730F0000}"/>
    <cellStyle name="40% - Accent3 6 2 3 3" xfId="3960" xr:uid="{00000000-0005-0000-0000-0000740F0000}"/>
    <cellStyle name="40% - Accent3 6 2 3 4" xfId="3961" xr:uid="{00000000-0005-0000-0000-0000750F0000}"/>
    <cellStyle name="40% - Accent3 6 2 3 5" xfId="3962" xr:uid="{00000000-0005-0000-0000-0000760F0000}"/>
    <cellStyle name="40% - Accent3 6 2 4" xfId="3963" xr:uid="{00000000-0005-0000-0000-0000770F0000}"/>
    <cellStyle name="40% - Accent3 6 2 4 2" xfId="3964" xr:uid="{00000000-0005-0000-0000-0000780F0000}"/>
    <cellStyle name="40% - Accent3 6 2 4 3" xfId="3965" xr:uid="{00000000-0005-0000-0000-0000790F0000}"/>
    <cellStyle name="40% - Accent3 6 2 4 4" xfId="3966" xr:uid="{00000000-0005-0000-0000-00007A0F0000}"/>
    <cellStyle name="40% - Accent3 6 2 5" xfId="3967" xr:uid="{00000000-0005-0000-0000-00007B0F0000}"/>
    <cellStyle name="40% - Accent3 6 2 5 2" xfId="3968" xr:uid="{00000000-0005-0000-0000-00007C0F0000}"/>
    <cellStyle name="40% - Accent3 6 2 6" xfId="3969" xr:uid="{00000000-0005-0000-0000-00007D0F0000}"/>
    <cellStyle name="40% - Accent3 6 2 7" xfId="3970" xr:uid="{00000000-0005-0000-0000-00007E0F0000}"/>
    <cellStyle name="40% - Accent3 6 2 8" xfId="3971" xr:uid="{00000000-0005-0000-0000-00007F0F0000}"/>
    <cellStyle name="40% - Accent3 6 2 9" xfId="3972" xr:uid="{00000000-0005-0000-0000-0000800F0000}"/>
    <cellStyle name="40% - Accent3 6 3" xfId="3973" xr:uid="{00000000-0005-0000-0000-0000810F0000}"/>
    <cellStyle name="40% - Accent3 6 3 2" xfId="3974" xr:uid="{00000000-0005-0000-0000-0000820F0000}"/>
    <cellStyle name="40% - Accent3 6 3 2 2" xfId="3975" xr:uid="{00000000-0005-0000-0000-0000830F0000}"/>
    <cellStyle name="40% - Accent3 6 3 2 3" xfId="3976" xr:uid="{00000000-0005-0000-0000-0000840F0000}"/>
    <cellStyle name="40% - Accent3 6 3 3" xfId="3977" xr:uid="{00000000-0005-0000-0000-0000850F0000}"/>
    <cellStyle name="40% - Accent3 6 3 4" xfId="3978" xr:uid="{00000000-0005-0000-0000-0000860F0000}"/>
    <cellStyle name="40% - Accent3 6 3 5" xfId="3979" xr:uid="{00000000-0005-0000-0000-0000870F0000}"/>
    <cellStyle name="40% - Accent3 6 3 6" xfId="3980" xr:uid="{00000000-0005-0000-0000-0000880F0000}"/>
    <cellStyle name="40% - Accent3 6 4" xfId="3981" xr:uid="{00000000-0005-0000-0000-0000890F0000}"/>
    <cellStyle name="40% - Accent3 6 4 2" xfId="3982" xr:uid="{00000000-0005-0000-0000-00008A0F0000}"/>
    <cellStyle name="40% - Accent3 6 4 2 2" xfId="3983" xr:uid="{00000000-0005-0000-0000-00008B0F0000}"/>
    <cellStyle name="40% - Accent3 6 4 3" xfId="3984" xr:uid="{00000000-0005-0000-0000-00008C0F0000}"/>
    <cellStyle name="40% - Accent3 6 4 4" xfId="3985" xr:uid="{00000000-0005-0000-0000-00008D0F0000}"/>
    <cellStyle name="40% - Accent3 6 4 5" xfId="3986" xr:uid="{00000000-0005-0000-0000-00008E0F0000}"/>
    <cellStyle name="40% - Accent3 6 5" xfId="3987" xr:uid="{00000000-0005-0000-0000-00008F0F0000}"/>
    <cellStyle name="40% - Accent3 6 5 2" xfId="3988" xr:uid="{00000000-0005-0000-0000-0000900F0000}"/>
    <cellStyle name="40% - Accent3 6 5 3" xfId="3989" xr:uid="{00000000-0005-0000-0000-0000910F0000}"/>
    <cellStyle name="40% - Accent3 6 5 4" xfId="3990" xr:uid="{00000000-0005-0000-0000-0000920F0000}"/>
    <cellStyle name="40% - Accent3 6 6" xfId="3991" xr:uid="{00000000-0005-0000-0000-0000930F0000}"/>
    <cellStyle name="40% - Accent3 6 6 2" xfId="3992" xr:uid="{00000000-0005-0000-0000-0000940F0000}"/>
    <cellStyle name="40% - Accent3 6 7" xfId="3993" xr:uid="{00000000-0005-0000-0000-0000950F0000}"/>
    <cellStyle name="40% - Accent3 6 8" xfId="3994" xr:uid="{00000000-0005-0000-0000-0000960F0000}"/>
    <cellStyle name="40% - Accent3 6 9" xfId="3995" xr:uid="{00000000-0005-0000-0000-0000970F0000}"/>
    <cellStyle name="40% - Accent3 7" xfId="3996" xr:uid="{00000000-0005-0000-0000-0000980F0000}"/>
    <cellStyle name="40% - Accent3 7 2" xfId="3997" xr:uid="{00000000-0005-0000-0000-0000990F0000}"/>
    <cellStyle name="40% - Accent3 7 2 2" xfId="3998" xr:uid="{00000000-0005-0000-0000-00009A0F0000}"/>
    <cellStyle name="40% - Accent3 7 2 2 2" xfId="3999" xr:uid="{00000000-0005-0000-0000-00009B0F0000}"/>
    <cellStyle name="40% - Accent3 7 2 2 3" xfId="4000" xr:uid="{00000000-0005-0000-0000-00009C0F0000}"/>
    <cellStyle name="40% - Accent3 7 2 3" xfId="4001" xr:uid="{00000000-0005-0000-0000-00009D0F0000}"/>
    <cellStyle name="40% - Accent3 7 2 4" xfId="4002" xr:uid="{00000000-0005-0000-0000-00009E0F0000}"/>
    <cellStyle name="40% - Accent3 7 2 5" xfId="4003" xr:uid="{00000000-0005-0000-0000-00009F0F0000}"/>
    <cellStyle name="40% - Accent3 7 2 6" xfId="4004" xr:uid="{00000000-0005-0000-0000-0000A00F0000}"/>
    <cellStyle name="40% - Accent3 7 3" xfId="4005" xr:uid="{00000000-0005-0000-0000-0000A10F0000}"/>
    <cellStyle name="40% - Accent3 7 3 2" xfId="4006" xr:uid="{00000000-0005-0000-0000-0000A20F0000}"/>
    <cellStyle name="40% - Accent3 7 3 2 2" xfId="4007" xr:uid="{00000000-0005-0000-0000-0000A30F0000}"/>
    <cellStyle name="40% - Accent3 7 3 3" xfId="4008" xr:uid="{00000000-0005-0000-0000-0000A40F0000}"/>
    <cellStyle name="40% - Accent3 7 3 4" xfId="4009" xr:uid="{00000000-0005-0000-0000-0000A50F0000}"/>
    <cellStyle name="40% - Accent3 7 3 5" xfId="4010" xr:uid="{00000000-0005-0000-0000-0000A60F0000}"/>
    <cellStyle name="40% - Accent3 7 4" xfId="4011" xr:uid="{00000000-0005-0000-0000-0000A70F0000}"/>
    <cellStyle name="40% - Accent3 7 4 2" xfId="4012" xr:uid="{00000000-0005-0000-0000-0000A80F0000}"/>
    <cellStyle name="40% - Accent3 7 4 3" xfId="4013" xr:uid="{00000000-0005-0000-0000-0000A90F0000}"/>
    <cellStyle name="40% - Accent3 7 4 4" xfId="4014" xr:uid="{00000000-0005-0000-0000-0000AA0F0000}"/>
    <cellStyle name="40% - Accent3 7 5" xfId="4015" xr:uid="{00000000-0005-0000-0000-0000AB0F0000}"/>
    <cellStyle name="40% - Accent3 7 5 2" xfId="4016" xr:uid="{00000000-0005-0000-0000-0000AC0F0000}"/>
    <cellStyle name="40% - Accent3 7 6" xfId="4017" xr:uid="{00000000-0005-0000-0000-0000AD0F0000}"/>
    <cellStyle name="40% - Accent3 7 7" xfId="4018" xr:uid="{00000000-0005-0000-0000-0000AE0F0000}"/>
    <cellStyle name="40% - Accent3 7 8" xfId="4019" xr:uid="{00000000-0005-0000-0000-0000AF0F0000}"/>
    <cellStyle name="40% - Accent3 7 9" xfId="4020" xr:uid="{00000000-0005-0000-0000-0000B00F0000}"/>
    <cellStyle name="40% - Accent3 8" xfId="4021" xr:uid="{00000000-0005-0000-0000-0000B10F0000}"/>
    <cellStyle name="40% - Accent3 8 2" xfId="4022" xr:uid="{00000000-0005-0000-0000-0000B20F0000}"/>
    <cellStyle name="40% - Accent3 8 2 2" xfId="4023" xr:uid="{00000000-0005-0000-0000-0000B30F0000}"/>
    <cellStyle name="40% - Accent3 8 2 2 2" xfId="4024" xr:uid="{00000000-0005-0000-0000-0000B40F0000}"/>
    <cellStyle name="40% - Accent3 8 2 2 3" xfId="4025" xr:uid="{00000000-0005-0000-0000-0000B50F0000}"/>
    <cellStyle name="40% - Accent3 8 2 3" xfId="4026" xr:uid="{00000000-0005-0000-0000-0000B60F0000}"/>
    <cellStyle name="40% - Accent3 8 2 4" xfId="4027" xr:uid="{00000000-0005-0000-0000-0000B70F0000}"/>
    <cellStyle name="40% - Accent3 8 2 5" xfId="4028" xr:uid="{00000000-0005-0000-0000-0000B80F0000}"/>
    <cellStyle name="40% - Accent3 8 2 6" xfId="4029" xr:uid="{00000000-0005-0000-0000-0000B90F0000}"/>
    <cellStyle name="40% - Accent3 8 3" xfId="4030" xr:uid="{00000000-0005-0000-0000-0000BA0F0000}"/>
    <cellStyle name="40% - Accent3 8 3 2" xfId="4031" xr:uid="{00000000-0005-0000-0000-0000BB0F0000}"/>
    <cellStyle name="40% - Accent3 8 3 2 2" xfId="4032" xr:uid="{00000000-0005-0000-0000-0000BC0F0000}"/>
    <cellStyle name="40% - Accent3 8 3 3" xfId="4033" xr:uid="{00000000-0005-0000-0000-0000BD0F0000}"/>
    <cellStyle name="40% - Accent3 8 3 4" xfId="4034" xr:uid="{00000000-0005-0000-0000-0000BE0F0000}"/>
    <cellStyle name="40% - Accent3 8 3 5" xfId="4035" xr:uid="{00000000-0005-0000-0000-0000BF0F0000}"/>
    <cellStyle name="40% - Accent3 8 4" xfId="4036" xr:uid="{00000000-0005-0000-0000-0000C00F0000}"/>
    <cellStyle name="40% - Accent3 8 4 2" xfId="4037" xr:uid="{00000000-0005-0000-0000-0000C10F0000}"/>
    <cellStyle name="40% - Accent3 8 4 3" xfId="4038" xr:uid="{00000000-0005-0000-0000-0000C20F0000}"/>
    <cellStyle name="40% - Accent3 8 4 4" xfId="4039" xr:uid="{00000000-0005-0000-0000-0000C30F0000}"/>
    <cellStyle name="40% - Accent3 8 5" xfId="4040" xr:uid="{00000000-0005-0000-0000-0000C40F0000}"/>
    <cellStyle name="40% - Accent3 8 5 2" xfId="4041" xr:uid="{00000000-0005-0000-0000-0000C50F0000}"/>
    <cellStyle name="40% - Accent3 8 6" xfId="4042" xr:uid="{00000000-0005-0000-0000-0000C60F0000}"/>
    <cellStyle name="40% - Accent3 8 7" xfId="4043" xr:uid="{00000000-0005-0000-0000-0000C70F0000}"/>
    <cellStyle name="40% - Accent3 8 8" xfId="4044" xr:uid="{00000000-0005-0000-0000-0000C80F0000}"/>
    <cellStyle name="40% - Accent3 8 9" xfId="4045" xr:uid="{00000000-0005-0000-0000-0000C90F0000}"/>
    <cellStyle name="40% - Accent3 9" xfId="4046" xr:uid="{00000000-0005-0000-0000-0000CA0F0000}"/>
    <cellStyle name="40% - Accent3 9 2" xfId="4047" xr:uid="{00000000-0005-0000-0000-0000CB0F0000}"/>
    <cellStyle name="40% - Accent3 9 2 2" xfId="4048" xr:uid="{00000000-0005-0000-0000-0000CC0F0000}"/>
    <cellStyle name="40% - Accent3 9 2 2 2" xfId="4049" xr:uid="{00000000-0005-0000-0000-0000CD0F0000}"/>
    <cellStyle name="40% - Accent3 9 2 3" xfId="4050" xr:uid="{00000000-0005-0000-0000-0000CE0F0000}"/>
    <cellStyle name="40% - Accent3 9 2 4" xfId="4051" xr:uid="{00000000-0005-0000-0000-0000CF0F0000}"/>
    <cellStyle name="40% - Accent3 9 2 5" xfId="4052" xr:uid="{00000000-0005-0000-0000-0000D00F0000}"/>
    <cellStyle name="40% - Accent3 9 3" xfId="4053" xr:uid="{00000000-0005-0000-0000-0000D10F0000}"/>
    <cellStyle name="40% - Accent3 9 3 2" xfId="4054" xr:uid="{00000000-0005-0000-0000-0000D20F0000}"/>
    <cellStyle name="40% - Accent3 9 3 3" xfId="4055" xr:uid="{00000000-0005-0000-0000-0000D30F0000}"/>
    <cellStyle name="40% - Accent3 9 3 4" xfId="4056" xr:uid="{00000000-0005-0000-0000-0000D40F0000}"/>
    <cellStyle name="40% - Accent3 9 4" xfId="4057" xr:uid="{00000000-0005-0000-0000-0000D50F0000}"/>
    <cellStyle name="40% - Accent3 9 4 2" xfId="4058" xr:uid="{00000000-0005-0000-0000-0000D60F0000}"/>
    <cellStyle name="40% - Accent3 9 5" xfId="4059" xr:uid="{00000000-0005-0000-0000-0000D70F0000}"/>
    <cellStyle name="40% - Accent3 9 6" xfId="4060" xr:uid="{00000000-0005-0000-0000-0000D80F0000}"/>
    <cellStyle name="40% - Accent3 9 7" xfId="4061" xr:uid="{00000000-0005-0000-0000-0000D90F0000}"/>
    <cellStyle name="40% - Accent3 9 8" xfId="4062" xr:uid="{00000000-0005-0000-0000-0000DA0F0000}"/>
    <cellStyle name="40% - Accent4 10" xfId="4063" xr:uid="{00000000-0005-0000-0000-0000DB0F0000}"/>
    <cellStyle name="40% - Accent4 10 2" xfId="4064" xr:uid="{00000000-0005-0000-0000-0000DC0F0000}"/>
    <cellStyle name="40% - Accent4 10 2 2" xfId="4065" xr:uid="{00000000-0005-0000-0000-0000DD0F0000}"/>
    <cellStyle name="40% - Accent4 10 2 2 2" xfId="4066" xr:uid="{00000000-0005-0000-0000-0000DE0F0000}"/>
    <cellStyle name="40% - Accent4 10 2 3" xfId="4067" xr:uid="{00000000-0005-0000-0000-0000DF0F0000}"/>
    <cellStyle name="40% - Accent4 10 2 4" xfId="4068" xr:uid="{00000000-0005-0000-0000-0000E00F0000}"/>
    <cellStyle name="40% - Accent4 10 2 5" xfId="4069" xr:uid="{00000000-0005-0000-0000-0000E10F0000}"/>
    <cellStyle name="40% - Accent4 10 3" xfId="4070" xr:uid="{00000000-0005-0000-0000-0000E20F0000}"/>
    <cellStyle name="40% - Accent4 10 3 2" xfId="4071" xr:uid="{00000000-0005-0000-0000-0000E30F0000}"/>
    <cellStyle name="40% - Accent4 10 3 3" xfId="4072" xr:uid="{00000000-0005-0000-0000-0000E40F0000}"/>
    <cellStyle name="40% - Accent4 10 3 4" xfId="4073" xr:uid="{00000000-0005-0000-0000-0000E50F0000}"/>
    <cellStyle name="40% - Accent4 10 4" xfId="4074" xr:uid="{00000000-0005-0000-0000-0000E60F0000}"/>
    <cellStyle name="40% - Accent4 10 4 2" xfId="4075" xr:uid="{00000000-0005-0000-0000-0000E70F0000}"/>
    <cellStyle name="40% - Accent4 10 5" xfId="4076" xr:uid="{00000000-0005-0000-0000-0000E80F0000}"/>
    <cellStyle name="40% - Accent4 10 6" xfId="4077" xr:uid="{00000000-0005-0000-0000-0000E90F0000}"/>
    <cellStyle name="40% - Accent4 10 7" xfId="4078" xr:uid="{00000000-0005-0000-0000-0000EA0F0000}"/>
    <cellStyle name="40% - Accent4 10 8" xfId="4079" xr:uid="{00000000-0005-0000-0000-0000EB0F0000}"/>
    <cellStyle name="40% - Accent4 11" xfId="4080" xr:uid="{00000000-0005-0000-0000-0000EC0F0000}"/>
    <cellStyle name="40% - Accent4 11 2" xfId="4081" xr:uid="{00000000-0005-0000-0000-0000ED0F0000}"/>
    <cellStyle name="40% - Accent4 11 2 2" xfId="4082" xr:uid="{00000000-0005-0000-0000-0000EE0F0000}"/>
    <cellStyle name="40% - Accent4 11 2 2 2" xfId="4083" xr:uid="{00000000-0005-0000-0000-0000EF0F0000}"/>
    <cellStyle name="40% - Accent4 11 2 3" xfId="4084" xr:uid="{00000000-0005-0000-0000-0000F00F0000}"/>
    <cellStyle name="40% - Accent4 11 2 4" xfId="4085" xr:uid="{00000000-0005-0000-0000-0000F10F0000}"/>
    <cellStyle name="40% - Accent4 11 2 5" xfId="4086" xr:uid="{00000000-0005-0000-0000-0000F20F0000}"/>
    <cellStyle name="40% - Accent4 11 3" xfId="4087" xr:uid="{00000000-0005-0000-0000-0000F30F0000}"/>
    <cellStyle name="40% - Accent4 11 3 2" xfId="4088" xr:uid="{00000000-0005-0000-0000-0000F40F0000}"/>
    <cellStyle name="40% - Accent4 11 3 3" xfId="4089" xr:uid="{00000000-0005-0000-0000-0000F50F0000}"/>
    <cellStyle name="40% - Accent4 11 3 4" xfId="4090" xr:uid="{00000000-0005-0000-0000-0000F60F0000}"/>
    <cellStyle name="40% - Accent4 11 4" xfId="4091" xr:uid="{00000000-0005-0000-0000-0000F70F0000}"/>
    <cellStyle name="40% - Accent4 11 4 2" xfId="4092" xr:uid="{00000000-0005-0000-0000-0000F80F0000}"/>
    <cellStyle name="40% - Accent4 11 5" xfId="4093" xr:uid="{00000000-0005-0000-0000-0000F90F0000}"/>
    <cellStyle name="40% - Accent4 11 6" xfId="4094" xr:uid="{00000000-0005-0000-0000-0000FA0F0000}"/>
    <cellStyle name="40% - Accent4 11 7" xfId="4095" xr:uid="{00000000-0005-0000-0000-0000FB0F0000}"/>
    <cellStyle name="40% - Accent4 11 8" xfId="4096" xr:uid="{00000000-0005-0000-0000-0000FC0F0000}"/>
    <cellStyle name="40% - Accent4 12" xfId="4097" xr:uid="{00000000-0005-0000-0000-0000FD0F0000}"/>
    <cellStyle name="40% - Accent4 12 2" xfId="4098" xr:uid="{00000000-0005-0000-0000-0000FE0F0000}"/>
    <cellStyle name="40% - Accent4 12 2 2" xfId="4099" xr:uid="{00000000-0005-0000-0000-0000FF0F0000}"/>
    <cellStyle name="40% - Accent4 12 2 2 2" xfId="4100" xr:uid="{00000000-0005-0000-0000-000000100000}"/>
    <cellStyle name="40% - Accent4 12 2 3" xfId="4101" xr:uid="{00000000-0005-0000-0000-000001100000}"/>
    <cellStyle name="40% - Accent4 12 2 4" xfId="4102" xr:uid="{00000000-0005-0000-0000-000002100000}"/>
    <cellStyle name="40% - Accent4 12 2 5" xfId="4103" xr:uid="{00000000-0005-0000-0000-000003100000}"/>
    <cellStyle name="40% - Accent4 12 3" xfId="4104" xr:uid="{00000000-0005-0000-0000-000004100000}"/>
    <cellStyle name="40% - Accent4 12 3 2" xfId="4105" xr:uid="{00000000-0005-0000-0000-000005100000}"/>
    <cellStyle name="40% - Accent4 12 3 3" xfId="4106" xr:uid="{00000000-0005-0000-0000-000006100000}"/>
    <cellStyle name="40% - Accent4 12 3 4" xfId="4107" xr:uid="{00000000-0005-0000-0000-000007100000}"/>
    <cellStyle name="40% - Accent4 12 4" xfId="4108" xr:uid="{00000000-0005-0000-0000-000008100000}"/>
    <cellStyle name="40% - Accent4 12 4 2" xfId="4109" xr:uid="{00000000-0005-0000-0000-000009100000}"/>
    <cellStyle name="40% - Accent4 12 5" xfId="4110" xr:uid="{00000000-0005-0000-0000-00000A100000}"/>
    <cellStyle name="40% - Accent4 12 6" xfId="4111" xr:uid="{00000000-0005-0000-0000-00000B100000}"/>
    <cellStyle name="40% - Accent4 12 7" xfId="4112" xr:uid="{00000000-0005-0000-0000-00000C100000}"/>
    <cellStyle name="40% - Accent4 12 8" xfId="4113" xr:uid="{00000000-0005-0000-0000-00000D100000}"/>
    <cellStyle name="40% - Accent4 13" xfId="4114" xr:uid="{00000000-0005-0000-0000-00000E100000}"/>
    <cellStyle name="40% - Accent4 13 2" xfId="4115" xr:uid="{00000000-0005-0000-0000-00000F100000}"/>
    <cellStyle name="40% - Accent4 13 2 2" xfId="4116" xr:uid="{00000000-0005-0000-0000-000010100000}"/>
    <cellStyle name="40% - Accent4 13 2 3" xfId="4117" xr:uid="{00000000-0005-0000-0000-000011100000}"/>
    <cellStyle name="40% - Accent4 13 2 4" xfId="4118" xr:uid="{00000000-0005-0000-0000-000012100000}"/>
    <cellStyle name="40% - Accent4 13 3" xfId="4119" xr:uid="{00000000-0005-0000-0000-000013100000}"/>
    <cellStyle name="40% - Accent4 13 3 2" xfId="4120" xr:uid="{00000000-0005-0000-0000-000014100000}"/>
    <cellStyle name="40% - Accent4 13 4" xfId="4121" xr:uid="{00000000-0005-0000-0000-000015100000}"/>
    <cellStyle name="40% - Accent4 13 5" xfId="4122" xr:uid="{00000000-0005-0000-0000-000016100000}"/>
    <cellStyle name="40% - Accent4 13 6" xfId="4123" xr:uid="{00000000-0005-0000-0000-000017100000}"/>
    <cellStyle name="40% - Accent4 14" xfId="4124" xr:uid="{00000000-0005-0000-0000-000018100000}"/>
    <cellStyle name="40% - Accent4 14 2" xfId="4125" xr:uid="{00000000-0005-0000-0000-000019100000}"/>
    <cellStyle name="40% - Accent4 14 2 2" xfId="4126" xr:uid="{00000000-0005-0000-0000-00001A100000}"/>
    <cellStyle name="40% - Accent4 14 3" xfId="4127" xr:uid="{00000000-0005-0000-0000-00001B100000}"/>
    <cellStyle name="40% - Accent4 14 4" xfId="4128" xr:uid="{00000000-0005-0000-0000-00001C100000}"/>
    <cellStyle name="40% - Accent4 14 5" xfId="4129" xr:uid="{00000000-0005-0000-0000-00001D100000}"/>
    <cellStyle name="40% - Accent4 15" xfId="4130" xr:uid="{00000000-0005-0000-0000-00001E100000}"/>
    <cellStyle name="40% - Accent4 15 2" xfId="4131" xr:uid="{00000000-0005-0000-0000-00001F100000}"/>
    <cellStyle name="40% - Accent4 15 2 2" xfId="4132" xr:uid="{00000000-0005-0000-0000-000020100000}"/>
    <cellStyle name="40% - Accent4 15 3" xfId="4133" xr:uid="{00000000-0005-0000-0000-000021100000}"/>
    <cellStyle name="40% - Accent4 15 4" xfId="4134" xr:uid="{00000000-0005-0000-0000-000022100000}"/>
    <cellStyle name="40% - Accent4 15 5" xfId="4135" xr:uid="{00000000-0005-0000-0000-000023100000}"/>
    <cellStyle name="40% - Accent4 16" xfId="4136" xr:uid="{00000000-0005-0000-0000-000024100000}"/>
    <cellStyle name="40% - Accent4 16 2" xfId="4137" xr:uid="{00000000-0005-0000-0000-000025100000}"/>
    <cellStyle name="40% - Accent4 17" xfId="4138" xr:uid="{00000000-0005-0000-0000-000026100000}"/>
    <cellStyle name="40% - Accent4 18" xfId="4139" xr:uid="{00000000-0005-0000-0000-000027100000}"/>
    <cellStyle name="40% - Accent4 19" xfId="4140" xr:uid="{00000000-0005-0000-0000-000028100000}"/>
    <cellStyle name="40% - Accent4 2" xfId="4141" xr:uid="{00000000-0005-0000-0000-000029100000}"/>
    <cellStyle name="40% - Accent4 2 10" xfId="4142" xr:uid="{00000000-0005-0000-0000-00002A100000}"/>
    <cellStyle name="40% - Accent4 2 11" xfId="4143" xr:uid="{00000000-0005-0000-0000-00002B100000}"/>
    <cellStyle name="40% - Accent4 2 2" xfId="4144" xr:uid="{00000000-0005-0000-0000-00002C100000}"/>
    <cellStyle name="40% - Accent4 2 2 10" xfId="4145" xr:uid="{00000000-0005-0000-0000-00002D100000}"/>
    <cellStyle name="40% - Accent4 2 2 2" xfId="4146" xr:uid="{00000000-0005-0000-0000-00002E100000}"/>
    <cellStyle name="40% - Accent4 2 2 2 2" xfId="4147" xr:uid="{00000000-0005-0000-0000-00002F100000}"/>
    <cellStyle name="40% - Accent4 2 2 2 2 2" xfId="4148" xr:uid="{00000000-0005-0000-0000-000030100000}"/>
    <cellStyle name="40% - Accent4 2 2 2 2 2 2" xfId="4149" xr:uid="{00000000-0005-0000-0000-000031100000}"/>
    <cellStyle name="40% - Accent4 2 2 2 2 2 3" xfId="4150" xr:uid="{00000000-0005-0000-0000-000032100000}"/>
    <cellStyle name="40% - Accent4 2 2 2 2 3" xfId="4151" xr:uid="{00000000-0005-0000-0000-000033100000}"/>
    <cellStyle name="40% - Accent4 2 2 2 2 4" xfId="4152" xr:uid="{00000000-0005-0000-0000-000034100000}"/>
    <cellStyle name="40% - Accent4 2 2 2 2 5" xfId="4153" xr:uid="{00000000-0005-0000-0000-000035100000}"/>
    <cellStyle name="40% - Accent4 2 2 2 2 6" xfId="4154" xr:uid="{00000000-0005-0000-0000-000036100000}"/>
    <cellStyle name="40% - Accent4 2 2 2 3" xfId="4155" xr:uid="{00000000-0005-0000-0000-000037100000}"/>
    <cellStyle name="40% - Accent4 2 2 2 3 2" xfId="4156" xr:uid="{00000000-0005-0000-0000-000038100000}"/>
    <cellStyle name="40% - Accent4 2 2 2 3 2 2" xfId="4157" xr:uid="{00000000-0005-0000-0000-000039100000}"/>
    <cellStyle name="40% - Accent4 2 2 2 3 3" xfId="4158" xr:uid="{00000000-0005-0000-0000-00003A100000}"/>
    <cellStyle name="40% - Accent4 2 2 2 3 4" xfId="4159" xr:uid="{00000000-0005-0000-0000-00003B100000}"/>
    <cellStyle name="40% - Accent4 2 2 2 3 5" xfId="4160" xr:uid="{00000000-0005-0000-0000-00003C100000}"/>
    <cellStyle name="40% - Accent4 2 2 2 4" xfId="4161" xr:uid="{00000000-0005-0000-0000-00003D100000}"/>
    <cellStyle name="40% - Accent4 2 2 2 4 2" xfId="4162" xr:uid="{00000000-0005-0000-0000-00003E100000}"/>
    <cellStyle name="40% - Accent4 2 2 2 4 3" xfId="4163" xr:uid="{00000000-0005-0000-0000-00003F100000}"/>
    <cellStyle name="40% - Accent4 2 2 2 4 4" xfId="4164" xr:uid="{00000000-0005-0000-0000-000040100000}"/>
    <cellStyle name="40% - Accent4 2 2 2 5" xfId="4165" xr:uid="{00000000-0005-0000-0000-000041100000}"/>
    <cellStyle name="40% - Accent4 2 2 2 5 2" xfId="4166" xr:uid="{00000000-0005-0000-0000-000042100000}"/>
    <cellStyle name="40% - Accent4 2 2 2 6" xfId="4167" xr:uid="{00000000-0005-0000-0000-000043100000}"/>
    <cellStyle name="40% - Accent4 2 2 2 7" xfId="4168" xr:uid="{00000000-0005-0000-0000-000044100000}"/>
    <cellStyle name="40% - Accent4 2 2 2 8" xfId="4169" xr:uid="{00000000-0005-0000-0000-000045100000}"/>
    <cellStyle name="40% - Accent4 2 2 2 9" xfId="4170" xr:uid="{00000000-0005-0000-0000-000046100000}"/>
    <cellStyle name="40% - Accent4 2 2 3" xfId="4171" xr:uid="{00000000-0005-0000-0000-000047100000}"/>
    <cellStyle name="40% - Accent4 2 2 3 2" xfId="4172" xr:uid="{00000000-0005-0000-0000-000048100000}"/>
    <cellStyle name="40% - Accent4 2 2 3 2 2" xfId="4173" xr:uid="{00000000-0005-0000-0000-000049100000}"/>
    <cellStyle name="40% - Accent4 2 2 3 2 3" xfId="4174" xr:uid="{00000000-0005-0000-0000-00004A100000}"/>
    <cellStyle name="40% - Accent4 2 2 3 3" xfId="4175" xr:uid="{00000000-0005-0000-0000-00004B100000}"/>
    <cellStyle name="40% - Accent4 2 2 3 4" xfId="4176" xr:uid="{00000000-0005-0000-0000-00004C100000}"/>
    <cellStyle name="40% - Accent4 2 2 3 5" xfId="4177" xr:uid="{00000000-0005-0000-0000-00004D100000}"/>
    <cellStyle name="40% - Accent4 2 2 3 6" xfId="4178" xr:uid="{00000000-0005-0000-0000-00004E100000}"/>
    <cellStyle name="40% - Accent4 2 2 4" xfId="4179" xr:uid="{00000000-0005-0000-0000-00004F100000}"/>
    <cellStyle name="40% - Accent4 2 2 4 2" xfId="4180" xr:uid="{00000000-0005-0000-0000-000050100000}"/>
    <cellStyle name="40% - Accent4 2 2 4 2 2" xfId="4181" xr:uid="{00000000-0005-0000-0000-000051100000}"/>
    <cellStyle name="40% - Accent4 2 2 4 3" xfId="4182" xr:uid="{00000000-0005-0000-0000-000052100000}"/>
    <cellStyle name="40% - Accent4 2 2 4 4" xfId="4183" xr:uid="{00000000-0005-0000-0000-000053100000}"/>
    <cellStyle name="40% - Accent4 2 2 4 5" xfId="4184" xr:uid="{00000000-0005-0000-0000-000054100000}"/>
    <cellStyle name="40% - Accent4 2 2 5" xfId="4185" xr:uid="{00000000-0005-0000-0000-000055100000}"/>
    <cellStyle name="40% - Accent4 2 2 5 2" xfId="4186" xr:uid="{00000000-0005-0000-0000-000056100000}"/>
    <cellStyle name="40% - Accent4 2 2 5 3" xfId="4187" xr:uid="{00000000-0005-0000-0000-000057100000}"/>
    <cellStyle name="40% - Accent4 2 2 5 4" xfId="4188" xr:uid="{00000000-0005-0000-0000-000058100000}"/>
    <cellStyle name="40% - Accent4 2 2 6" xfId="4189" xr:uid="{00000000-0005-0000-0000-000059100000}"/>
    <cellStyle name="40% - Accent4 2 2 6 2" xfId="4190" xr:uid="{00000000-0005-0000-0000-00005A100000}"/>
    <cellStyle name="40% - Accent4 2 2 7" xfId="4191" xr:uid="{00000000-0005-0000-0000-00005B100000}"/>
    <cellStyle name="40% - Accent4 2 2 8" xfId="4192" xr:uid="{00000000-0005-0000-0000-00005C100000}"/>
    <cellStyle name="40% - Accent4 2 2 9" xfId="4193" xr:uid="{00000000-0005-0000-0000-00005D100000}"/>
    <cellStyle name="40% - Accent4 2 3" xfId="4194" xr:uid="{00000000-0005-0000-0000-00005E100000}"/>
    <cellStyle name="40% - Accent4 2 3 2" xfId="4195" xr:uid="{00000000-0005-0000-0000-00005F100000}"/>
    <cellStyle name="40% - Accent4 2 3 2 2" xfId="4196" xr:uid="{00000000-0005-0000-0000-000060100000}"/>
    <cellStyle name="40% - Accent4 2 3 2 2 2" xfId="4197" xr:uid="{00000000-0005-0000-0000-000061100000}"/>
    <cellStyle name="40% - Accent4 2 3 2 2 3" xfId="4198" xr:uid="{00000000-0005-0000-0000-000062100000}"/>
    <cellStyle name="40% - Accent4 2 3 2 3" xfId="4199" xr:uid="{00000000-0005-0000-0000-000063100000}"/>
    <cellStyle name="40% - Accent4 2 3 2 4" xfId="4200" xr:uid="{00000000-0005-0000-0000-000064100000}"/>
    <cellStyle name="40% - Accent4 2 3 2 5" xfId="4201" xr:uid="{00000000-0005-0000-0000-000065100000}"/>
    <cellStyle name="40% - Accent4 2 3 2 6" xfId="4202" xr:uid="{00000000-0005-0000-0000-000066100000}"/>
    <cellStyle name="40% - Accent4 2 3 3" xfId="4203" xr:uid="{00000000-0005-0000-0000-000067100000}"/>
    <cellStyle name="40% - Accent4 2 3 3 2" xfId="4204" xr:uid="{00000000-0005-0000-0000-000068100000}"/>
    <cellStyle name="40% - Accent4 2 3 3 2 2" xfId="4205" xr:uid="{00000000-0005-0000-0000-000069100000}"/>
    <cellStyle name="40% - Accent4 2 3 3 3" xfId="4206" xr:uid="{00000000-0005-0000-0000-00006A100000}"/>
    <cellStyle name="40% - Accent4 2 3 3 4" xfId="4207" xr:uid="{00000000-0005-0000-0000-00006B100000}"/>
    <cellStyle name="40% - Accent4 2 3 3 5" xfId="4208" xr:uid="{00000000-0005-0000-0000-00006C100000}"/>
    <cellStyle name="40% - Accent4 2 3 4" xfId="4209" xr:uid="{00000000-0005-0000-0000-00006D100000}"/>
    <cellStyle name="40% - Accent4 2 3 4 2" xfId="4210" xr:uid="{00000000-0005-0000-0000-00006E100000}"/>
    <cellStyle name="40% - Accent4 2 3 4 3" xfId="4211" xr:uid="{00000000-0005-0000-0000-00006F100000}"/>
    <cellStyle name="40% - Accent4 2 3 4 4" xfId="4212" xr:uid="{00000000-0005-0000-0000-000070100000}"/>
    <cellStyle name="40% - Accent4 2 3 5" xfId="4213" xr:uid="{00000000-0005-0000-0000-000071100000}"/>
    <cellStyle name="40% - Accent4 2 3 5 2" xfId="4214" xr:uid="{00000000-0005-0000-0000-000072100000}"/>
    <cellStyle name="40% - Accent4 2 3 6" xfId="4215" xr:uid="{00000000-0005-0000-0000-000073100000}"/>
    <cellStyle name="40% - Accent4 2 3 7" xfId="4216" xr:uid="{00000000-0005-0000-0000-000074100000}"/>
    <cellStyle name="40% - Accent4 2 3 8" xfId="4217" xr:uid="{00000000-0005-0000-0000-000075100000}"/>
    <cellStyle name="40% - Accent4 2 3 9" xfId="4218" xr:uid="{00000000-0005-0000-0000-000076100000}"/>
    <cellStyle name="40% - Accent4 2 4" xfId="4219" xr:uid="{00000000-0005-0000-0000-000077100000}"/>
    <cellStyle name="40% - Accent4 2 4 2" xfId="4220" xr:uid="{00000000-0005-0000-0000-000078100000}"/>
    <cellStyle name="40% - Accent4 2 4 2 2" xfId="4221" xr:uid="{00000000-0005-0000-0000-000079100000}"/>
    <cellStyle name="40% - Accent4 2 4 2 3" xfId="4222" xr:uid="{00000000-0005-0000-0000-00007A100000}"/>
    <cellStyle name="40% - Accent4 2 4 3" xfId="4223" xr:uid="{00000000-0005-0000-0000-00007B100000}"/>
    <cellStyle name="40% - Accent4 2 4 4" xfId="4224" xr:uid="{00000000-0005-0000-0000-00007C100000}"/>
    <cellStyle name="40% - Accent4 2 4 5" xfId="4225" xr:uid="{00000000-0005-0000-0000-00007D100000}"/>
    <cellStyle name="40% - Accent4 2 4 6" xfId="4226" xr:uid="{00000000-0005-0000-0000-00007E100000}"/>
    <cellStyle name="40% - Accent4 2 5" xfId="4227" xr:uid="{00000000-0005-0000-0000-00007F100000}"/>
    <cellStyle name="40% - Accent4 2 5 2" xfId="4228" xr:uid="{00000000-0005-0000-0000-000080100000}"/>
    <cellStyle name="40% - Accent4 2 5 2 2" xfId="4229" xr:uid="{00000000-0005-0000-0000-000081100000}"/>
    <cellStyle name="40% - Accent4 2 5 3" xfId="4230" xr:uid="{00000000-0005-0000-0000-000082100000}"/>
    <cellStyle name="40% - Accent4 2 5 4" xfId="4231" xr:uid="{00000000-0005-0000-0000-000083100000}"/>
    <cellStyle name="40% - Accent4 2 5 5" xfId="4232" xr:uid="{00000000-0005-0000-0000-000084100000}"/>
    <cellStyle name="40% - Accent4 2 6" xfId="4233" xr:uid="{00000000-0005-0000-0000-000085100000}"/>
    <cellStyle name="40% - Accent4 2 6 2" xfId="4234" xr:uid="{00000000-0005-0000-0000-000086100000}"/>
    <cellStyle name="40% - Accent4 2 6 2 2" xfId="4235" xr:uid="{00000000-0005-0000-0000-000087100000}"/>
    <cellStyle name="40% - Accent4 2 6 3" xfId="4236" xr:uid="{00000000-0005-0000-0000-000088100000}"/>
    <cellStyle name="40% - Accent4 2 6 4" xfId="4237" xr:uid="{00000000-0005-0000-0000-000089100000}"/>
    <cellStyle name="40% - Accent4 2 6 5" xfId="4238" xr:uid="{00000000-0005-0000-0000-00008A100000}"/>
    <cellStyle name="40% - Accent4 2 7" xfId="4239" xr:uid="{00000000-0005-0000-0000-00008B100000}"/>
    <cellStyle name="40% - Accent4 2 7 2" xfId="4240" xr:uid="{00000000-0005-0000-0000-00008C100000}"/>
    <cellStyle name="40% - Accent4 2 8" xfId="4241" xr:uid="{00000000-0005-0000-0000-00008D100000}"/>
    <cellStyle name="40% - Accent4 2 9" xfId="4242" xr:uid="{00000000-0005-0000-0000-00008E100000}"/>
    <cellStyle name="40% - Accent4 3" xfId="4243" xr:uid="{00000000-0005-0000-0000-00008F100000}"/>
    <cellStyle name="40% - Accent4 3 10" xfId="4244" xr:uid="{00000000-0005-0000-0000-000090100000}"/>
    <cellStyle name="40% - Accent4 3 2" xfId="4245" xr:uid="{00000000-0005-0000-0000-000091100000}"/>
    <cellStyle name="40% - Accent4 3 2 2" xfId="4246" xr:uid="{00000000-0005-0000-0000-000092100000}"/>
    <cellStyle name="40% - Accent4 3 2 2 2" xfId="4247" xr:uid="{00000000-0005-0000-0000-000093100000}"/>
    <cellStyle name="40% - Accent4 3 2 2 2 2" xfId="4248" xr:uid="{00000000-0005-0000-0000-000094100000}"/>
    <cellStyle name="40% - Accent4 3 2 2 2 3" xfId="4249" xr:uid="{00000000-0005-0000-0000-000095100000}"/>
    <cellStyle name="40% - Accent4 3 2 2 3" xfId="4250" xr:uid="{00000000-0005-0000-0000-000096100000}"/>
    <cellStyle name="40% - Accent4 3 2 2 4" xfId="4251" xr:uid="{00000000-0005-0000-0000-000097100000}"/>
    <cellStyle name="40% - Accent4 3 2 2 5" xfId="4252" xr:uid="{00000000-0005-0000-0000-000098100000}"/>
    <cellStyle name="40% - Accent4 3 2 2 6" xfId="4253" xr:uid="{00000000-0005-0000-0000-000099100000}"/>
    <cellStyle name="40% - Accent4 3 2 3" xfId="4254" xr:uid="{00000000-0005-0000-0000-00009A100000}"/>
    <cellStyle name="40% - Accent4 3 2 3 2" xfId="4255" xr:uid="{00000000-0005-0000-0000-00009B100000}"/>
    <cellStyle name="40% - Accent4 3 2 3 2 2" xfId="4256" xr:uid="{00000000-0005-0000-0000-00009C100000}"/>
    <cellStyle name="40% - Accent4 3 2 3 3" xfId="4257" xr:uid="{00000000-0005-0000-0000-00009D100000}"/>
    <cellStyle name="40% - Accent4 3 2 3 4" xfId="4258" xr:uid="{00000000-0005-0000-0000-00009E100000}"/>
    <cellStyle name="40% - Accent4 3 2 3 5" xfId="4259" xr:uid="{00000000-0005-0000-0000-00009F100000}"/>
    <cellStyle name="40% - Accent4 3 2 4" xfId="4260" xr:uid="{00000000-0005-0000-0000-0000A0100000}"/>
    <cellStyle name="40% - Accent4 3 2 4 2" xfId="4261" xr:uid="{00000000-0005-0000-0000-0000A1100000}"/>
    <cellStyle name="40% - Accent4 3 2 4 3" xfId="4262" xr:uid="{00000000-0005-0000-0000-0000A2100000}"/>
    <cellStyle name="40% - Accent4 3 2 4 4" xfId="4263" xr:uid="{00000000-0005-0000-0000-0000A3100000}"/>
    <cellStyle name="40% - Accent4 3 2 5" xfId="4264" xr:uid="{00000000-0005-0000-0000-0000A4100000}"/>
    <cellStyle name="40% - Accent4 3 2 5 2" xfId="4265" xr:uid="{00000000-0005-0000-0000-0000A5100000}"/>
    <cellStyle name="40% - Accent4 3 2 6" xfId="4266" xr:uid="{00000000-0005-0000-0000-0000A6100000}"/>
    <cellStyle name="40% - Accent4 3 2 7" xfId="4267" xr:uid="{00000000-0005-0000-0000-0000A7100000}"/>
    <cellStyle name="40% - Accent4 3 2 8" xfId="4268" xr:uid="{00000000-0005-0000-0000-0000A8100000}"/>
    <cellStyle name="40% - Accent4 3 2 9" xfId="4269" xr:uid="{00000000-0005-0000-0000-0000A9100000}"/>
    <cellStyle name="40% - Accent4 3 3" xfId="4270" xr:uid="{00000000-0005-0000-0000-0000AA100000}"/>
    <cellStyle name="40% - Accent4 3 3 2" xfId="4271" xr:uid="{00000000-0005-0000-0000-0000AB100000}"/>
    <cellStyle name="40% - Accent4 3 3 2 2" xfId="4272" xr:uid="{00000000-0005-0000-0000-0000AC100000}"/>
    <cellStyle name="40% - Accent4 3 3 2 3" xfId="4273" xr:uid="{00000000-0005-0000-0000-0000AD100000}"/>
    <cellStyle name="40% - Accent4 3 3 3" xfId="4274" xr:uid="{00000000-0005-0000-0000-0000AE100000}"/>
    <cellStyle name="40% - Accent4 3 3 4" xfId="4275" xr:uid="{00000000-0005-0000-0000-0000AF100000}"/>
    <cellStyle name="40% - Accent4 3 3 5" xfId="4276" xr:uid="{00000000-0005-0000-0000-0000B0100000}"/>
    <cellStyle name="40% - Accent4 3 3 6" xfId="4277" xr:uid="{00000000-0005-0000-0000-0000B1100000}"/>
    <cellStyle name="40% - Accent4 3 4" xfId="4278" xr:uid="{00000000-0005-0000-0000-0000B2100000}"/>
    <cellStyle name="40% - Accent4 3 4 2" xfId="4279" xr:uid="{00000000-0005-0000-0000-0000B3100000}"/>
    <cellStyle name="40% - Accent4 3 4 2 2" xfId="4280" xr:uid="{00000000-0005-0000-0000-0000B4100000}"/>
    <cellStyle name="40% - Accent4 3 4 3" xfId="4281" xr:uid="{00000000-0005-0000-0000-0000B5100000}"/>
    <cellStyle name="40% - Accent4 3 4 4" xfId="4282" xr:uid="{00000000-0005-0000-0000-0000B6100000}"/>
    <cellStyle name="40% - Accent4 3 4 5" xfId="4283" xr:uid="{00000000-0005-0000-0000-0000B7100000}"/>
    <cellStyle name="40% - Accent4 3 5" xfId="4284" xr:uid="{00000000-0005-0000-0000-0000B8100000}"/>
    <cellStyle name="40% - Accent4 3 5 2" xfId="4285" xr:uid="{00000000-0005-0000-0000-0000B9100000}"/>
    <cellStyle name="40% - Accent4 3 5 2 2" xfId="4286" xr:uid="{00000000-0005-0000-0000-0000BA100000}"/>
    <cellStyle name="40% - Accent4 3 5 3" xfId="4287" xr:uid="{00000000-0005-0000-0000-0000BB100000}"/>
    <cellStyle name="40% - Accent4 3 5 4" xfId="4288" xr:uid="{00000000-0005-0000-0000-0000BC100000}"/>
    <cellStyle name="40% - Accent4 3 5 5" xfId="4289" xr:uid="{00000000-0005-0000-0000-0000BD100000}"/>
    <cellStyle name="40% - Accent4 3 6" xfId="4290" xr:uid="{00000000-0005-0000-0000-0000BE100000}"/>
    <cellStyle name="40% - Accent4 3 6 2" xfId="4291" xr:uid="{00000000-0005-0000-0000-0000BF100000}"/>
    <cellStyle name="40% - Accent4 3 7" xfId="4292" xr:uid="{00000000-0005-0000-0000-0000C0100000}"/>
    <cellStyle name="40% - Accent4 3 8" xfId="4293" xr:uid="{00000000-0005-0000-0000-0000C1100000}"/>
    <cellStyle name="40% - Accent4 3 9" xfId="4294" xr:uid="{00000000-0005-0000-0000-0000C2100000}"/>
    <cellStyle name="40% - Accent4 4" xfId="4295" xr:uid="{00000000-0005-0000-0000-0000C3100000}"/>
    <cellStyle name="40% - Accent4 4 10" xfId="4296" xr:uid="{00000000-0005-0000-0000-0000C4100000}"/>
    <cellStyle name="40% - Accent4 4 2" xfId="4297" xr:uid="{00000000-0005-0000-0000-0000C5100000}"/>
    <cellStyle name="40% - Accent4 4 2 2" xfId="4298" xr:uid="{00000000-0005-0000-0000-0000C6100000}"/>
    <cellStyle name="40% - Accent4 4 2 2 2" xfId="4299" xr:uid="{00000000-0005-0000-0000-0000C7100000}"/>
    <cellStyle name="40% - Accent4 4 2 2 2 2" xfId="4300" xr:uid="{00000000-0005-0000-0000-0000C8100000}"/>
    <cellStyle name="40% - Accent4 4 2 2 2 3" xfId="4301" xr:uid="{00000000-0005-0000-0000-0000C9100000}"/>
    <cellStyle name="40% - Accent4 4 2 2 3" xfId="4302" xr:uid="{00000000-0005-0000-0000-0000CA100000}"/>
    <cellStyle name="40% - Accent4 4 2 2 4" xfId="4303" xr:uid="{00000000-0005-0000-0000-0000CB100000}"/>
    <cellStyle name="40% - Accent4 4 2 2 5" xfId="4304" xr:uid="{00000000-0005-0000-0000-0000CC100000}"/>
    <cellStyle name="40% - Accent4 4 2 2 6" xfId="4305" xr:uid="{00000000-0005-0000-0000-0000CD100000}"/>
    <cellStyle name="40% - Accent4 4 2 3" xfId="4306" xr:uid="{00000000-0005-0000-0000-0000CE100000}"/>
    <cellStyle name="40% - Accent4 4 2 3 2" xfId="4307" xr:uid="{00000000-0005-0000-0000-0000CF100000}"/>
    <cellStyle name="40% - Accent4 4 2 3 2 2" xfId="4308" xr:uid="{00000000-0005-0000-0000-0000D0100000}"/>
    <cellStyle name="40% - Accent4 4 2 3 3" xfId="4309" xr:uid="{00000000-0005-0000-0000-0000D1100000}"/>
    <cellStyle name="40% - Accent4 4 2 3 4" xfId="4310" xr:uid="{00000000-0005-0000-0000-0000D2100000}"/>
    <cellStyle name="40% - Accent4 4 2 3 5" xfId="4311" xr:uid="{00000000-0005-0000-0000-0000D3100000}"/>
    <cellStyle name="40% - Accent4 4 2 4" xfId="4312" xr:uid="{00000000-0005-0000-0000-0000D4100000}"/>
    <cellStyle name="40% - Accent4 4 2 4 2" xfId="4313" xr:uid="{00000000-0005-0000-0000-0000D5100000}"/>
    <cellStyle name="40% - Accent4 4 2 4 3" xfId="4314" xr:uid="{00000000-0005-0000-0000-0000D6100000}"/>
    <cellStyle name="40% - Accent4 4 2 4 4" xfId="4315" xr:uid="{00000000-0005-0000-0000-0000D7100000}"/>
    <cellStyle name="40% - Accent4 4 2 5" xfId="4316" xr:uid="{00000000-0005-0000-0000-0000D8100000}"/>
    <cellStyle name="40% - Accent4 4 2 5 2" xfId="4317" xr:uid="{00000000-0005-0000-0000-0000D9100000}"/>
    <cellStyle name="40% - Accent4 4 2 6" xfId="4318" xr:uid="{00000000-0005-0000-0000-0000DA100000}"/>
    <cellStyle name="40% - Accent4 4 2 7" xfId="4319" xr:uid="{00000000-0005-0000-0000-0000DB100000}"/>
    <cellStyle name="40% - Accent4 4 2 8" xfId="4320" xr:uid="{00000000-0005-0000-0000-0000DC100000}"/>
    <cellStyle name="40% - Accent4 4 2 9" xfId="4321" xr:uid="{00000000-0005-0000-0000-0000DD100000}"/>
    <cellStyle name="40% - Accent4 4 3" xfId="4322" xr:uid="{00000000-0005-0000-0000-0000DE100000}"/>
    <cellStyle name="40% - Accent4 4 3 2" xfId="4323" xr:uid="{00000000-0005-0000-0000-0000DF100000}"/>
    <cellStyle name="40% - Accent4 4 3 2 2" xfId="4324" xr:uid="{00000000-0005-0000-0000-0000E0100000}"/>
    <cellStyle name="40% - Accent4 4 3 2 3" xfId="4325" xr:uid="{00000000-0005-0000-0000-0000E1100000}"/>
    <cellStyle name="40% - Accent4 4 3 3" xfId="4326" xr:uid="{00000000-0005-0000-0000-0000E2100000}"/>
    <cellStyle name="40% - Accent4 4 3 4" xfId="4327" xr:uid="{00000000-0005-0000-0000-0000E3100000}"/>
    <cellStyle name="40% - Accent4 4 3 5" xfId="4328" xr:uid="{00000000-0005-0000-0000-0000E4100000}"/>
    <cellStyle name="40% - Accent4 4 3 6" xfId="4329" xr:uid="{00000000-0005-0000-0000-0000E5100000}"/>
    <cellStyle name="40% - Accent4 4 4" xfId="4330" xr:uid="{00000000-0005-0000-0000-0000E6100000}"/>
    <cellStyle name="40% - Accent4 4 4 2" xfId="4331" xr:uid="{00000000-0005-0000-0000-0000E7100000}"/>
    <cellStyle name="40% - Accent4 4 4 2 2" xfId="4332" xr:uid="{00000000-0005-0000-0000-0000E8100000}"/>
    <cellStyle name="40% - Accent4 4 4 3" xfId="4333" xr:uid="{00000000-0005-0000-0000-0000E9100000}"/>
    <cellStyle name="40% - Accent4 4 4 4" xfId="4334" xr:uid="{00000000-0005-0000-0000-0000EA100000}"/>
    <cellStyle name="40% - Accent4 4 4 5" xfId="4335" xr:uid="{00000000-0005-0000-0000-0000EB100000}"/>
    <cellStyle name="40% - Accent4 4 5" xfId="4336" xr:uid="{00000000-0005-0000-0000-0000EC100000}"/>
    <cellStyle name="40% - Accent4 4 5 2" xfId="4337" xr:uid="{00000000-0005-0000-0000-0000ED100000}"/>
    <cellStyle name="40% - Accent4 4 5 2 2" xfId="4338" xr:uid="{00000000-0005-0000-0000-0000EE100000}"/>
    <cellStyle name="40% - Accent4 4 5 3" xfId="4339" xr:uid="{00000000-0005-0000-0000-0000EF100000}"/>
    <cellStyle name="40% - Accent4 4 5 4" xfId="4340" xr:uid="{00000000-0005-0000-0000-0000F0100000}"/>
    <cellStyle name="40% - Accent4 4 5 5" xfId="4341" xr:uid="{00000000-0005-0000-0000-0000F1100000}"/>
    <cellStyle name="40% - Accent4 4 6" xfId="4342" xr:uid="{00000000-0005-0000-0000-0000F2100000}"/>
    <cellStyle name="40% - Accent4 4 6 2" xfId="4343" xr:uid="{00000000-0005-0000-0000-0000F3100000}"/>
    <cellStyle name="40% - Accent4 4 7" xfId="4344" xr:uid="{00000000-0005-0000-0000-0000F4100000}"/>
    <cellStyle name="40% - Accent4 4 8" xfId="4345" xr:uid="{00000000-0005-0000-0000-0000F5100000}"/>
    <cellStyle name="40% - Accent4 4 9" xfId="4346" xr:uid="{00000000-0005-0000-0000-0000F6100000}"/>
    <cellStyle name="40% - Accent4 5" xfId="4347" xr:uid="{00000000-0005-0000-0000-0000F7100000}"/>
    <cellStyle name="40% - Accent4 5 10" xfId="4348" xr:uid="{00000000-0005-0000-0000-0000F8100000}"/>
    <cellStyle name="40% - Accent4 5 2" xfId="4349" xr:uid="{00000000-0005-0000-0000-0000F9100000}"/>
    <cellStyle name="40% - Accent4 5 2 2" xfId="4350" xr:uid="{00000000-0005-0000-0000-0000FA100000}"/>
    <cellStyle name="40% - Accent4 5 2 2 2" xfId="4351" xr:uid="{00000000-0005-0000-0000-0000FB100000}"/>
    <cellStyle name="40% - Accent4 5 2 2 2 2" xfId="4352" xr:uid="{00000000-0005-0000-0000-0000FC100000}"/>
    <cellStyle name="40% - Accent4 5 2 2 2 3" xfId="4353" xr:uid="{00000000-0005-0000-0000-0000FD100000}"/>
    <cellStyle name="40% - Accent4 5 2 2 3" xfId="4354" xr:uid="{00000000-0005-0000-0000-0000FE100000}"/>
    <cellStyle name="40% - Accent4 5 2 2 4" xfId="4355" xr:uid="{00000000-0005-0000-0000-0000FF100000}"/>
    <cellStyle name="40% - Accent4 5 2 2 5" xfId="4356" xr:uid="{00000000-0005-0000-0000-000000110000}"/>
    <cellStyle name="40% - Accent4 5 2 2 6" xfId="4357" xr:uid="{00000000-0005-0000-0000-000001110000}"/>
    <cellStyle name="40% - Accent4 5 2 3" xfId="4358" xr:uid="{00000000-0005-0000-0000-000002110000}"/>
    <cellStyle name="40% - Accent4 5 2 3 2" xfId="4359" xr:uid="{00000000-0005-0000-0000-000003110000}"/>
    <cellStyle name="40% - Accent4 5 2 3 2 2" xfId="4360" xr:uid="{00000000-0005-0000-0000-000004110000}"/>
    <cellStyle name="40% - Accent4 5 2 3 3" xfId="4361" xr:uid="{00000000-0005-0000-0000-000005110000}"/>
    <cellStyle name="40% - Accent4 5 2 3 4" xfId="4362" xr:uid="{00000000-0005-0000-0000-000006110000}"/>
    <cellStyle name="40% - Accent4 5 2 3 5" xfId="4363" xr:uid="{00000000-0005-0000-0000-000007110000}"/>
    <cellStyle name="40% - Accent4 5 2 4" xfId="4364" xr:uid="{00000000-0005-0000-0000-000008110000}"/>
    <cellStyle name="40% - Accent4 5 2 4 2" xfId="4365" xr:uid="{00000000-0005-0000-0000-000009110000}"/>
    <cellStyle name="40% - Accent4 5 2 4 3" xfId="4366" xr:uid="{00000000-0005-0000-0000-00000A110000}"/>
    <cellStyle name="40% - Accent4 5 2 4 4" xfId="4367" xr:uid="{00000000-0005-0000-0000-00000B110000}"/>
    <cellStyle name="40% - Accent4 5 2 5" xfId="4368" xr:uid="{00000000-0005-0000-0000-00000C110000}"/>
    <cellStyle name="40% - Accent4 5 2 5 2" xfId="4369" xr:uid="{00000000-0005-0000-0000-00000D110000}"/>
    <cellStyle name="40% - Accent4 5 2 6" xfId="4370" xr:uid="{00000000-0005-0000-0000-00000E110000}"/>
    <cellStyle name="40% - Accent4 5 2 7" xfId="4371" xr:uid="{00000000-0005-0000-0000-00000F110000}"/>
    <cellStyle name="40% - Accent4 5 2 8" xfId="4372" xr:uid="{00000000-0005-0000-0000-000010110000}"/>
    <cellStyle name="40% - Accent4 5 2 9" xfId="4373" xr:uid="{00000000-0005-0000-0000-000011110000}"/>
    <cellStyle name="40% - Accent4 5 3" xfId="4374" xr:uid="{00000000-0005-0000-0000-000012110000}"/>
    <cellStyle name="40% - Accent4 5 3 2" xfId="4375" xr:uid="{00000000-0005-0000-0000-000013110000}"/>
    <cellStyle name="40% - Accent4 5 3 2 2" xfId="4376" xr:uid="{00000000-0005-0000-0000-000014110000}"/>
    <cellStyle name="40% - Accent4 5 3 2 3" xfId="4377" xr:uid="{00000000-0005-0000-0000-000015110000}"/>
    <cellStyle name="40% - Accent4 5 3 3" xfId="4378" xr:uid="{00000000-0005-0000-0000-000016110000}"/>
    <cellStyle name="40% - Accent4 5 3 4" xfId="4379" xr:uid="{00000000-0005-0000-0000-000017110000}"/>
    <cellStyle name="40% - Accent4 5 3 5" xfId="4380" xr:uid="{00000000-0005-0000-0000-000018110000}"/>
    <cellStyle name="40% - Accent4 5 3 6" xfId="4381" xr:uid="{00000000-0005-0000-0000-000019110000}"/>
    <cellStyle name="40% - Accent4 5 4" xfId="4382" xr:uid="{00000000-0005-0000-0000-00001A110000}"/>
    <cellStyle name="40% - Accent4 5 4 2" xfId="4383" xr:uid="{00000000-0005-0000-0000-00001B110000}"/>
    <cellStyle name="40% - Accent4 5 4 2 2" xfId="4384" xr:uid="{00000000-0005-0000-0000-00001C110000}"/>
    <cellStyle name="40% - Accent4 5 4 3" xfId="4385" xr:uid="{00000000-0005-0000-0000-00001D110000}"/>
    <cellStyle name="40% - Accent4 5 4 4" xfId="4386" xr:uid="{00000000-0005-0000-0000-00001E110000}"/>
    <cellStyle name="40% - Accent4 5 4 5" xfId="4387" xr:uid="{00000000-0005-0000-0000-00001F110000}"/>
    <cellStyle name="40% - Accent4 5 5" xfId="4388" xr:uid="{00000000-0005-0000-0000-000020110000}"/>
    <cellStyle name="40% - Accent4 5 5 2" xfId="4389" xr:uid="{00000000-0005-0000-0000-000021110000}"/>
    <cellStyle name="40% - Accent4 5 5 3" xfId="4390" xr:uid="{00000000-0005-0000-0000-000022110000}"/>
    <cellStyle name="40% - Accent4 5 5 4" xfId="4391" xr:uid="{00000000-0005-0000-0000-000023110000}"/>
    <cellStyle name="40% - Accent4 5 6" xfId="4392" xr:uid="{00000000-0005-0000-0000-000024110000}"/>
    <cellStyle name="40% - Accent4 5 6 2" xfId="4393" xr:uid="{00000000-0005-0000-0000-000025110000}"/>
    <cellStyle name="40% - Accent4 5 7" xfId="4394" xr:uid="{00000000-0005-0000-0000-000026110000}"/>
    <cellStyle name="40% - Accent4 5 8" xfId="4395" xr:uid="{00000000-0005-0000-0000-000027110000}"/>
    <cellStyle name="40% - Accent4 5 9" xfId="4396" xr:uid="{00000000-0005-0000-0000-000028110000}"/>
    <cellStyle name="40% - Accent4 6" xfId="4397" xr:uid="{00000000-0005-0000-0000-000029110000}"/>
    <cellStyle name="40% - Accent4 6 10" xfId="4398" xr:uid="{00000000-0005-0000-0000-00002A110000}"/>
    <cellStyle name="40% - Accent4 6 2" xfId="4399" xr:uid="{00000000-0005-0000-0000-00002B110000}"/>
    <cellStyle name="40% - Accent4 6 2 2" xfId="4400" xr:uid="{00000000-0005-0000-0000-00002C110000}"/>
    <cellStyle name="40% - Accent4 6 2 2 2" xfId="4401" xr:uid="{00000000-0005-0000-0000-00002D110000}"/>
    <cellStyle name="40% - Accent4 6 2 2 2 2" xfId="4402" xr:uid="{00000000-0005-0000-0000-00002E110000}"/>
    <cellStyle name="40% - Accent4 6 2 2 2 3" xfId="4403" xr:uid="{00000000-0005-0000-0000-00002F110000}"/>
    <cellStyle name="40% - Accent4 6 2 2 3" xfId="4404" xr:uid="{00000000-0005-0000-0000-000030110000}"/>
    <cellStyle name="40% - Accent4 6 2 2 4" xfId="4405" xr:uid="{00000000-0005-0000-0000-000031110000}"/>
    <cellStyle name="40% - Accent4 6 2 2 5" xfId="4406" xr:uid="{00000000-0005-0000-0000-000032110000}"/>
    <cellStyle name="40% - Accent4 6 2 2 6" xfId="4407" xr:uid="{00000000-0005-0000-0000-000033110000}"/>
    <cellStyle name="40% - Accent4 6 2 3" xfId="4408" xr:uid="{00000000-0005-0000-0000-000034110000}"/>
    <cellStyle name="40% - Accent4 6 2 3 2" xfId="4409" xr:uid="{00000000-0005-0000-0000-000035110000}"/>
    <cellStyle name="40% - Accent4 6 2 3 2 2" xfId="4410" xr:uid="{00000000-0005-0000-0000-000036110000}"/>
    <cellStyle name="40% - Accent4 6 2 3 3" xfId="4411" xr:uid="{00000000-0005-0000-0000-000037110000}"/>
    <cellStyle name="40% - Accent4 6 2 3 4" xfId="4412" xr:uid="{00000000-0005-0000-0000-000038110000}"/>
    <cellStyle name="40% - Accent4 6 2 3 5" xfId="4413" xr:uid="{00000000-0005-0000-0000-000039110000}"/>
    <cellStyle name="40% - Accent4 6 2 4" xfId="4414" xr:uid="{00000000-0005-0000-0000-00003A110000}"/>
    <cellStyle name="40% - Accent4 6 2 4 2" xfId="4415" xr:uid="{00000000-0005-0000-0000-00003B110000}"/>
    <cellStyle name="40% - Accent4 6 2 4 3" xfId="4416" xr:uid="{00000000-0005-0000-0000-00003C110000}"/>
    <cellStyle name="40% - Accent4 6 2 4 4" xfId="4417" xr:uid="{00000000-0005-0000-0000-00003D110000}"/>
    <cellStyle name="40% - Accent4 6 2 5" xfId="4418" xr:uid="{00000000-0005-0000-0000-00003E110000}"/>
    <cellStyle name="40% - Accent4 6 2 5 2" xfId="4419" xr:uid="{00000000-0005-0000-0000-00003F110000}"/>
    <cellStyle name="40% - Accent4 6 2 6" xfId="4420" xr:uid="{00000000-0005-0000-0000-000040110000}"/>
    <cellStyle name="40% - Accent4 6 2 7" xfId="4421" xr:uid="{00000000-0005-0000-0000-000041110000}"/>
    <cellStyle name="40% - Accent4 6 2 8" xfId="4422" xr:uid="{00000000-0005-0000-0000-000042110000}"/>
    <cellStyle name="40% - Accent4 6 2 9" xfId="4423" xr:uid="{00000000-0005-0000-0000-000043110000}"/>
    <cellStyle name="40% - Accent4 6 3" xfId="4424" xr:uid="{00000000-0005-0000-0000-000044110000}"/>
    <cellStyle name="40% - Accent4 6 3 2" xfId="4425" xr:uid="{00000000-0005-0000-0000-000045110000}"/>
    <cellStyle name="40% - Accent4 6 3 2 2" xfId="4426" xr:uid="{00000000-0005-0000-0000-000046110000}"/>
    <cellStyle name="40% - Accent4 6 3 2 3" xfId="4427" xr:uid="{00000000-0005-0000-0000-000047110000}"/>
    <cellStyle name="40% - Accent4 6 3 3" xfId="4428" xr:uid="{00000000-0005-0000-0000-000048110000}"/>
    <cellStyle name="40% - Accent4 6 3 4" xfId="4429" xr:uid="{00000000-0005-0000-0000-000049110000}"/>
    <cellStyle name="40% - Accent4 6 3 5" xfId="4430" xr:uid="{00000000-0005-0000-0000-00004A110000}"/>
    <cellStyle name="40% - Accent4 6 3 6" xfId="4431" xr:uid="{00000000-0005-0000-0000-00004B110000}"/>
    <cellStyle name="40% - Accent4 6 4" xfId="4432" xr:uid="{00000000-0005-0000-0000-00004C110000}"/>
    <cellStyle name="40% - Accent4 6 4 2" xfId="4433" xr:uid="{00000000-0005-0000-0000-00004D110000}"/>
    <cellStyle name="40% - Accent4 6 4 2 2" xfId="4434" xr:uid="{00000000-0005-0000-0000-00004E110000}"/>
    <cellStyle name="40% - Accent4 6 4 3" xfId="4435" xr:uid="{00000000-0005-0000-0000-00004F110000}"/>
    <cellStyle name="40% - Accent4 6 4 4" xfId="4436" xr:uid="{00000000-0005-0000-0000-000050110000}"/>
    <cellStyle name="40% - Accent4 6 4 5" xfId="4437" xr:uid="{00000000-0005-0000-0000-000051110000}"/>
    <cellStyle name="40% - Accent4 6 5" xfId="4438" xr:uid="{00000000-0005-0000-0000-000052110000}"/>
    <cellStyle name="40% - Accent4 6 5 2" xfId="4439" xr:uid="{00000000-0005-0000-0000-000053110000}"/>
    <cellStyle name="40% - Accent4 6 5 3" xfId="4440" xr:uid="{00000000-0005-0000-0000-000054110000}"/>
    <cellStyle name="40% - Accent4 6 5 4" xfId="4441" xr:uid="{00000000-0005-0000-0000-000055110000}"/>
    <cellStyle name="40% - Accent4 6 6" xfId="4442" xr:uid="{00000000-0005-0000-0000-000056110000}"/>
    <cellStyle name="40% - Accent4 6 6 2" xfId="4443" xr:uid="{00000000-0005-0000-0000-000057110000}"/>
    <cellStyle name="40% - Accent4 6 7" xfId="4444" xr:uid="{00000000-0005-0000-0000-000058110000}"/>
    <cellStyle name="40% - Accent4 6 8" xfId="4445" xr:uid="{00000000-0005-0000-0000-000059110000}"/>
    <cellStyle name="40% - Accent4 6 9" xfId="4446" xr:uid="{00000000-0005-0000-0000-00005A110000}"/>
    <cellStyle name="40% - Accent4 7" xfId="4447" xr:uid="{00000000-0005-0000-0000-00005B110000}"/>
    <cellStyle name="40% - Accent4 7 2" xfId="4448" xr:uid="{00000000-0005-0000-0000-00005C110000}"/>
    <cellStyle name="40% - Accent4 7 2 2" xfId="4449" xr:uid="{00000000-0005-0000-0000-00005D110000}"/>
    <cellStyle name="40% - Accent4 7 2 2 2" xfId="4450" xr:uid="{00000000-0005-0000-0000-00005E110000}"/>
    <cellStyle name="40% - Accent4 7 2 2 3" xfId="4451" xr:uid="{00000000-0005-0000-0000-00005F110000}"/>
    <cellStyle name="40% - Accent4 7 2 3" xfId="4452" xr:uid="{00000000-0005-0000-0000-000060110000}"/>
    <cellStyle name="40% - Accent4 7 2 4" xfId="4453" xr:uid="{00000000-0005-0000-0000-000061110000}"/>
    <cellStyle name="40% - Accent4 7 2 5" xfId="4454" xr:uid="{00000000-0005-0000-0000-000062110000}"/>
    <cellStyle name="40% - Accent4 7 2 6" xfId="4455" xr:uid="{00000000-0005-0000-0000-000063110000}"/>
    <cellStyle name="40% - Accent4 7 3" xfId="4456" xr:uid="{00000000-0005-0000-0000-000064110000}"/>
    <cellStyle name="40% - Accent4 7 3 2" xfId="4457" xr:uid="{00000000-0005-0000-0000-000065110000}"/>
    <cellStyle name="40% - Accent4 7 3 2 2" xfId="4458" xr:uid="{00000000-0005-0000-0000-000066110000}"/>
    <cellStyle name="40% - Accent4 7 3 3" xfId="4459" xr:uid="{00000000-0005-0000-0000-000067110000}"/>
    <cellStyle name="40% - Accent4 7 3 4" xfId="4460" xr:uid="{00000000-0005-0000-0000-000068110000}"/>
    <cellStyle name="40% - Accent4 7 3 5" xfId="4461" xr:uid="{00000000-0005-0000-0000-000069110000}"/>
    <cellStyle name="40% - Accent4 7 4" xfId="4462" xr:uid="{00000000-0005-0000-0000-00006A110000}"/>
    <cellStyle name="40% - Accent4 7 4 2" xfId="4463" xr:uid="{00000000-0005-0000-0000-00006B110000}"/>
    <cellStyle name="40% - Accent4 7 4 3" xfId="4464" xr:uid="{00000000-0005-0000-0000-00006C110000}"/>
    <cellStyle name="40% - Accent4 7 4 4" xfId="4465" xr:uid="{00000000-0005-0000-0000-00006D110000}"/>
    <cellStyle name="40% - Accent4 7 5" xfId="4466" xr:uid="{00000000-0005-0000-0000-00006E110000}"/>
    <cellStyle name="40% - Accent4 7 5 2" xfId="4467" xr:uid="{00000000-0005-0000-0000-00006F110000}"/>
    <cellStyle name="40% - Accent4 7 6" xfId="4468" xr:uid="{00000000-0005-0000-0000-000070110000}"/>
    <cellStyle name="40% - Accent4 7 7" xfId="4469" xr:uid="{00000000-0005-0000-0000-000071110000}"/>
    <cellStyle name="40% - Accent4 7 8" xfId="4470" xr:uid="{00000000-0005-0000-0000-000072110000}"/>
    <cellStyle name="40% - Accent4 7 9" xfId="4471" xr:uid="{00000000-0005-0000-0000-000073110000}"/>
    <cellStyle name="40% - Accent4 8" xfId="4472" xr:uid="{00000000-0005-0000-0000-000074110000}"/>
    <cellStyle name="40% - Accent4 8 2" xfId="4473" xr:uid="{00000000-0005-0000-0000-000075110000}"/>
    <cellStyle name="40% - Accent4 8 2 2" xfId="4474" xr:uid="{00000000-0005-0000-0000-000076110000}"/>
    <cellStyle name="40% - Accent4 8 2 2 2" xfId="4475" xr:uid="{00000000-0005-0000-0000-000077110000}"/>
    <cellStyle name="40% - Accent4 8 2 2 3" xfId="4476" xr:uid="{00000000-0005-0000-0000-000078110000}"/>
    <cellStyle name="40% - Accent4 8 2 3" xfId="4477" xr:uid="{00000000-0005-0000-0000-000079110000}"/>
    <cellStyle name="40% - Accent4 8 2 4" xfId="4478" xr:uid="{00000000-0005-0000-0000-00007A110000}"/>
    <cellStyle name="40% - Accent4 8 2 5" xfId="4479" xr:uid="{00000000-0005-0000-0000-00007B110000}"/>
    <cellStyle name="40% - Accent4 8 2 6" xfId="4480" xr:uid="{00000000-0005-0000-0000-00007C110000}"/>
    <cellStyle name="40% - Accent4 8 3" xfId="4481" xr:uid="{00000000-0005-0000-0000-00007D110000}"/>
    <cellStyle name="40% - Accent4 8 3 2" xfId="4482" xr:uid="{00000000-0005-0000-0000-00007E110000}"/>
    <cellStyle name="40% - Accent4 8 3 2 2" xfId="4483" xr:uid="{00000000-0005-0000-0000-00007F110000}"/>
    <cellStyle name="40% - Accent4 8 3 3" xfId="4484" xr:uid="{00000000-0005-0000-0000-000080110000}"/>
    <cellStyle name="40% - Accent4 8 3 4" xfId="4485" xr:uid="{00000000-0005-0000-0000-000081110000}"/>
    <cellStyle name="40% - Accent4 8 3 5" xfId="4486" xr:uid="{00000000-0005-0000-0000-000082110000}"/>
    <cellStyle name="40% - Accent4 8 4" xfId="4487" xr:uid="{00000000-0005-0000-0000-000083110000}"/>
    <cellStyle name="40% - Accent4 8 4 2" xfId="4488" xr:uid="{00000000-0005-0000-0000-000084110000}"/>
    <cellStyle name="40% - Accent4 8 4 3" xfId="4489" xr:uid="{00000000-0005-0000-0000-000085110000}"/>
    <cellStyle name="40% - Accent4 8 4 4" xfId="4490" xr:uid="{00000000-0005-0000-0000-000086110000}"/>
    <cellStyle name="40% - Accent4 8 5" xfId="4491" xr:uid="{00000000-0005-0000-0000-000087110000}"/>
    <cellStyle name="40% - Accent4 8 5 2" xfId="4492" xr:uid="{00000000-0005-0000-0000-000088110000}"/>
    <cellStyle name="40% - Accent4 8 6" xfId="4493" xr:uid="{00000000-0005-0000-0000-000089110000}"/>
    <cellStyle name="40% - Accent4 8 7" xfId="4494" xr:uid="{00000000-0005-0000-0000-00008A110000}"/>
    <cellStyle name="40% - Accent4 8 8" xfId="4495" xr:uid="{00000000-0005-0000-0000-00008B110000}"/>
    <cellStyle name="40% - Accent4 8 9" xfId="4496" xr:uid="{00000000-0005-0000-0000-00008C110000}"/>
    <cellStyle name="40% - Accent4 9" xfId="4497" xr:uid="{00000000-0005-0000-0000-00008D110000}"/>
    <cellStyle name="40% - Accent4 9 2" xfId="4498" xr:uid="{00000000-0005-0000-0000-00008E110000}"/>
    <cellStyle name="40% - Accent4 9 2 2" xfId="4499" xr:uid="{00000000-0005-0000-0000-00008F110000}"/>
    <cellStyle name="40% - Accent4 9 2 2 2" xfId="4500" xr:uid="{00000000-0005-0000-0000-000090110000}"/>
    <cellStyle name="40% - Accent4 9 2 3" xfId="4501" xr:uid="{00000000-0005-0000-0000-000091110000}"/>
    <cellStyle name="40% - Accent4 9 2 4" xfId="4502" xr:uid="{00000000-0005-0000-0000-000092110000}"/>
    <cellStyle name="40% - Accent4 9 2 5" xfId="4503" xr:uid="{00000000-0005-0000-0000-000093110000}"/>
    <cellStyle name="40% - Accent4 9 3" xfId="4504" xr:uid="{00000000-0005-0000-0000-000094110000}"/>
    <cellStyle name="40% - Accent4 9 3 2" xfId="4505" xr:uid="{00000000-0005-0000-0000-000095110000}"/>
    <cellStyle name="40% - Accent4 9 3 3" xfId="4506" xr:uid="{00000000-0005-0000-0000-000096110000}"/>
    <cellStyle name="40% - Accent4 9 3 4" xfId="4507" xr:uid="{00000000-0005-0000-0000-000097110000}"/>
    <cellStyle name="40% - Accent4 9 4" xfId="4508" xr:uid="{00000000-0005-0000-0000-000098110000}"/>
    <cellStyle name="40% - Accent4 9 4 2" xfId="4509" xr:uid="{00000000-0005-0000-0000-000099110000}"/>
    <cellStyle name="40% - Accent4 9 5" xfId="4510" xr:uid="{00000000-0005-0000-0000-00009A110000}"/>
    <cellStyle name="40% - Accent4 9 6" xfId="4511" xr:uid="{00000000-0005-0000-0000-00009B110000}"/>
    <cellStyle name="40% - Accent4 9 7" xfId="4512" xr:uid="{00000000-0005-0000-0000-00009C110000}"/>
    <cellStyle name="40% - Accent4 9 8" xfId="4513" xr:uid="{00000000-0005-0000-0000-00009D110000}"/>
    <cellStyle name="40% - Accent5 10" xfId="4514" xr:uid="{00000000-0005-0000-0000-00009E110000}"/>
    <cellStyle name="40% - Accent5 10 2" xfId="4515" xr:uid="{00000000-0005-0000-0000-00009F110000}"/>
    <cellStyle name="40% - Accent5 10 2 2" xfId="4516" xr:uid="{00000000-0005-0000-0000-0000A0110000}"/>
    <cellStyle name="40% - Accent5 10 2 2 2" xfId="4517" xr:uid="{00000000-0005-0000-0000-0000A1110000}"/>
    <cellStyle name="40% - Accent5 10 2 3" xfId="4518" xr:uid="{00000000-0005-0000-0000-0000A2110000}"/>
    <cellStyle name="40% - Accent5 10 2 4" xfId="4519" xr:uid="{00000000-0005-0000-0000-0000A3110000}"/>
    <cellStyle name="40% - Accent5 10 2 5" xfId="4520" xr:uid="{00000000-0005-0000-0000-0000A4110000}"/>
    <cellStyle name="40% - Accent5 10 3" xfId="4521" xr:uid="{00000000-0005-0000-0000-0000A5110000}"/>
    <cellStyle name="40% - Accent5 10 3 2" xfId="4522" xr:uid="{00000000-0005-0000-0000-0000A6110000}"/>
    <cellStyle name="40% - Accent5 10 3 3" xfId="4523" xr:uid="{00000000-0005-0000-0000-0000A7110000}"/>
    <cellStyle name="40% - Accent5 10 3 4" xfId="4524" xr:uid="{00000000-0005-0000-0000-0000A8110000}"/>
    <cellStyle name="40% - Accent5 10 4" xfId="4525" xr:uid="{00000000-0005-0000-0000-0000A9110000}"/>
    <cellStyle name="40% - Accent5 10 4 2" xfId="4526" xr:uid="{00000000-0005-0000-0000-0000AA110000}"/>
    <cellStyle name="40% - Accent5 10 5" xfId="4527" xr:uid="{00000000-0005-0000-0000-0000AB110000}"/>
    <cellStyle name="40% - Accent5 10 6" xfId="4528" xr:uid="{00000000-0005-0000-0000-0000AC110000}"/>
    <cellStyle name="40% - Accent5 10 7" xfId="4529" xr:uid="{00000000-0005-0000-0000-0000AD110000}"/>
    <cellStyle name="40% - Accent5 10 8" xfId="4530" xr:uid="{00000000-0005-0000-0000-0000AE110000}"/>
    <cellStyle name="40% - Accent5 11" xfId="4531" xr:uid="{00000000-0005-0000-0000-0000AF110000}"/>
    <cellStyle name="40% - Accent5 11 2" xfId="4532" xr:uid="{00000000-0005-0000-0000-0000B0110000}"/>
    <cellStyle name="40% - Accent5 11 2 2" xfId="4533" xr:uid="{00000000-0005-0000-0000-0000B1110000}"/>
    <cellStyle name="40% - Accent5 11 2 2 2" xfId="4534" xr:uid="{00000000-0005-0000-0000-0000B2110000}"/>
    <cellStyle name="40% - Accent5 11 2 3" xfId="4535" xr:uid="{00000000-0005-0000-0000-0000B3110000}"/>
    <cellStyle name="40% - Accent5 11 2 4" xfId="4536" xr:uid="{00000000-0005-0000-0000-0000B4110000}"/>
    <cellStyle name="40% - Accent5 11 2 5" xfId="4537" xr:uid="{00000000-0005-0000-0000-0000B5110000}"/>
    <cellStyle name="40% - Accent5 11 3" xfId="4538" xr:uid="{00000000-0005-0000-0000-0000B6110000}"/>
    <cellStyle name="40% - Accent5 11 3 2" xfId="4539" xr:uid="{00000000-0005-0000-0000-0000B7110000}"/>
    <cellStyle name="40% - Accent5 11 3 3" xfId="4540" xr:uid="{00000000-0005-0000-0000-0000B8110000}"/>
    <cellStyle name="40% - Accent5 11 3 4" xfId="4541" xr:uid="{00000000-0005-0000-0000-0000B9110000}"/>
    <cellStyle name="40% - Accent5 11 4" xfId="4542" xr:uid="{00000000-0005-0000-0000-0000BA110000}"/>
    <cellStyle name="40% - Accent5 11 4 2" xfId="4543" xr:uid="{00000000-0005-0000-0000-0000BB110000}"/>
    <cellStyle name="40% - Accent5 11 5" xfId="4544" xr:uid="{00000000-0005-0000-0000-0000BC110000}"/>
    <cellStyle name="40% - Accent5 11 6" xfId="4545" xr:uid="{00000000-0005-0000-0000-0000BD110000}"/>
    <cellStyle name="40% - Accent5 11 7" xfId="4546" xr:uid="{00000000-0005-0000-0000-0000BE110000}"/>
    <cellStyle name="40% - Accent5 11 8" xfId="4547" xr:uid="{00000000-0005-0000-0000-0000BF110000}"/>
    <cellStyle name="40% - Accent5 12" xfId="4548" xr:uid="{00000000-0005-0000-0000-0000C0110000}"/>
    <cellStyle name="40% - Accent5 12 2" xfId="4549" xr:uid="{00000000-0005-0000-0000-0000C1110000}"/>
    <cellStyle name="40% - Accent5 12 2 2" xfId="4550" xr:uid="{00000000-0005-0000-0000-0000C2110000}"/>
    <cellStyle name="40% - Accent5 12 2 2 2" xfId="4551" xr:uid="{00000000-0005-0000-0000-0000C3110000}"/>
    <cellStyle name="40% - Accent5 12 2 3" xfId="4552" xr:uid="{00000000-0005-0000-0000-0000C4110000}"/>
    <cellStyle name="40% - Accent5 12 2 4" xfId="4553" xr:uid="{00000000-0005-0000-0000-0000C5110000}"/>
    <cellStyle name="40% - Accent5 12 2 5" xfId="4554" xr:uid="{00000000-0005-0000-0000-0000C6110000}"/>
    <cellStyle name="40% - Accent5 12 3" xfId="4555" xr:uid="{00000000-0005-0000-0000-0000C7110000}"/>
    <cellStyle name="40% - Accent5 12 3 2" xfId="4556" xr:uid="{00000000-0005-0000-0000-0000C8110000}"/>
    <cellStyle name="40% - Accent5 12 3 3" xfId="4557" xr:uid="{00000000-0005-0000-0000-0000C9110000}"/>
    <cellStyle name="40% - Accent5 12 3 4" xfId="4558" xr:uid="{00000000-0005-0000-0000-0000CA110000}"/>
    <cellStyle name="40% - Accent5 12 4" xfId="4559" xr:uid="{00000000-0005-0000-0000-0000CB110000}"/>
    <cellStyle name="40% - Accent5 12 4 2" xfId="4560" xr:uid="{00000000-0005-0000-0000-0000CC110000}"/>
    <cellStyle name="40% - Accent5 12 5" xfId="4561" xr:uid="{00000000-0005-0000-0000-0000CD110000}"/>
    <cellStyle name="40% - Accent5 12 6" xfId="4562" xr:uid="{00000000-0005-0000-0000-0000CE110000}"/>
    <cellStyle name="40% - Accent5 12 7" xfId="4563" xr:uid="{00000000-0005-0000-0000-0000CF110000}"/>
    <cellStyle name="40% - Accent5 12 8" xfId="4564" xr:uid="{00000000-0005-0000-0000-0000D0110000}"/>
    <cellStyle name="40% - Accent5 13" xfId="4565" xr:uid="{00000000-0005-0000-0000-0000D1110000}"/>
    <cellStyle name="40% - Accent5 13 2" xfId="4566" xr:uid="{00000000-0005-0000-0000-0000D2110000}"/>
    <cellStyle name="40% - Accent5 13 2 2" xfId="4567" xr:uid="{00000000-0005-0000-0000-0000D3110000}"/>
    <cellStyle name="40% - Accent5 13 2 3" xfId="4568" xr:uid="{00000000-0005-0000-0000-0000D4110000}"/>
    <cellStyle name="40% - Accent5 13 2 4" xfId="4569" xr:uid="{00000000-0005-0000-0000-0000D5110000}"/>
    <cellStyle name="40% - Accent5 13 3" xfId="4570" xr:uid="{00000000-0005-0000-0000-0000D6110000}"/>
    <cellStyle name="40% - Accent5 13 3 2" xfId="4571" xr:uid="{00000000-0005-0000-0000-0000D7110000}"/>
    <cellStyle name="40% - Accent5 13 4" xfId="4572" xr:uid="{00000000-0005-0000-0000-0000D8110000}"/>
    <cellStyle name="40% - Accent5 13 5" xfId="4573" xr:uid="{00000000-0005-0000-0000-0000D9110000}"/>
    <cellStyle name="40% - Accent5 13 6" xfId="4574" xr:uid="{00000000-0005-0000-0000-0000DA110000}"/>
    <cellStyle name="40% - Accent5 14" xfId="4575" xr:uid="{00000000-0005-0000-0000-0000DB110000}"/>
    <cellStyle name="40% - Accent5 14 2" xfId="4576" xr:uid="{00000000-0005-0000-0000-0000DC110000}"/>
    <cellStyle name="40% - Accent5 14 2 2" xfId="4577" xr:uid="{00000000-0005-0000-0000-0000DD110000}"/>
    <cellStyle name="40% - Accent5 14 3" xfId="4578" xr:uid="{00000000-0005-0000-0000-0000DE110000}"/>
    <cellStyle name="40% - Accent5 14 4" xfId="4579" xr:uid="{00000000-0005-0000-0000-0000DF110000}"/>
    <cellStyle name="40% - Accent5 14 5" xfId="4580" xr:uid="{00000000-0005-0000-0000-0000E0110000}"/>
    <cellStyle name="40% - Accent5 15" xfId="4581" xr:uid="{00000000-0005-0000-0000-0000E1110000}"/>
    <cellStyle name="40% - Accent5 15 2" xfId="4582" xr:uid="{00000000-0005-0000-0000-0000E2110000}"/>
    <cellStyle name="40% - Accent5 15 2 2" xfId="4583" xr:uid="{00000000-0005-0000-0000-0000E3110000}"/>
    <cellStyle name="40% - Accent5 15 3" xfId="4584" xr:uid="{00000000-0005-0000-0000-0000E4110000}"/>
    <cellStyle name="40% - Accent5 15 4" xfId="4585" xr:uid="{00000000-0005-0000-0000-0000E5110000}"/>
    <cellStyle name="40% - Accent5 15 5" xfId="4586" xr:uid="{00000000-0005-0000-0000-0000E6110000}"/>
    <cellStyle name="40% - Accent5 16" xfId="4587" xr:uid="{00000000-0005-0000-0000-0000E7110000}"/>
    <cellStyle name="40% - Accent5 16 2" xfId="4588" xr:uid="{00000000-0005-0000-0000-0000E8110000}"/>
    <cellStyle name="40% - Accent5 17" xfId="4589" xr:uid="{00000000-0005-0000-0000-0000E9110000}"/>
    <cellStyle name="40% - Accent5 18" xfId="4590" xr:uid="{00000000-0005-0000-0000-0000EA110000}"/>
    <cellStyle name="40% - Accent5 19" xfId="4591" xr:uid="{00000000-0005-0000-0000-0000EB110000}"/>
    <cellStyle name="40% - Accent5 2" xfId="4592" xr:uid="{00000000-0005-0000-0000-0000EC110000}"/>
    <cellStyle name="40% - Accent5 2 10" xfId="4593" xr:uid="{00000000-0005-0000-0000-0000ED110000}"/>
    <cellStyle name="40% - Accent5 2 11" xfId="4594" xr:uid="{00000000-0005-0000-0000-0000EE110000}"/>
    <cellStyle name="40% - Accent5 2 2" xfId="4595" xr:uid="{00000000-0005-0000-0000-0000EF110000}"/>
    <cellStyle name="40% - Accent5 2 2 10" xfId="4596" xr:uid="{00000000-0005-0000-0000-0000F0110000}"/>
    <cellStyle name="40% - Accent5 2 2 2" xfId="4597" xr:uid="{00000000-0005-0000-0000-0000F1110000}"/>
    <cellStyle name="40% - Accent5 2 2 2 2" xfId="4598" xr:uid="{00000000-0005-0000-0000-0000F2110000}"/>
    <cellStyle name="40% - Accent5 2 2 2 2 2" xfId="4599" xr:uid="{00000000-0005-0000-0000-0000F3110000}"/>
    <cellStyle name="40% - Accent5 2 2 2 2 2 2" xfId="4600" xr:uid="{00000000-0005-0000-0000-0000F4110000}"/>
    <cellStyle name="40% - Accent5 2 2 2 2 2 3" xfId="4601" xr:uid="{00000000-0005-0000-0000-0000F5110000}"/>
    <cellStyle name="40% - Accent5 2 2 2 2 3" xfId="4602" xr:uid="{00000000-0005-0000-0000-0000F6110000}"/>
    <cellStyle name="40% - Accent5 2 2 2 2 4" xfId="4603" xr:uid="{00000000-0005-0000-0000-0000F7110000}"/>
    <cellStyle name="40% - Accent5 2 2 2 2 5" xfId="4604" xr:uid="{00000000-0005-0000-0000-0000F8110000}"/>
    <cellStyle name="40% - Accent5 2 2 2 2 6" xfId="4605" xr:uid="{00000000-0005-0000-0000-0000F9110000}"/>
    <cellStyle name="40% - Accent5 2 2 2 3" xfId="4606" xr:uid="{00000000-0005-0000-0000-0000FA110000}"/>
    <cellStyle name="40% - Accent5 2 2 2 3 2" xfId="4607" xr:uid="{00000000-0005-0000-0000-0000FB110000}"/>
    <cellStyle name="40% - Accent5 2 2 2 3 2 2" xfId="4608" xr:uid="{00000000-0005-0000-0000-0000FC110000}"/>
    <cellStyle name="40% - Accent5 2 2 2 3 3" xfId="4609" xr:uid="{00000000-0005-0000-0000-0000FD110000}"/>
    <cellStyle name="40% - Accent5 2 2 2 3 4" xfId="4610" xr:uid="{00000000-0005-0000-0000-0000FE110000}"/>
    <cellStyle name="40% - Accent5 2 2 2 3 5" xfId="4611" xr:uid="{00000000-0005-0000-0000-0000FF110000}"/>
    <cellStyle name="40% - Accent5 2 2 2 4" xfId="4612" xr:uid="{00000000-0005-0000-0000-000000120000}"/>
    <cellStyle name="40% - Accent5 2 2 2 4 2" xfId="4613" xr:uid="{00000000-0005-0000-0000-000001120000}"/>
    <cellStyle name="40% - Accent5 2 2 2 4 3" xfId="4614" xr:uid="{00000000-0005-0000-0000-000002120000}"/>
    <cellStyle name="40% - Accent5 2 2 2 4 4" xfId="4615" xr:uid="{00000000-0005-0000-0000-000003120000}"/>
    <cellStyle name="40% - Accent5 2 2 2 5" xfId="4616" xr:uid="{00000000-0005-0000-0000-000004120000}"/>
    <cellStyle name="40% - Accent5 2 2 2 5 2" xfId="4617" xr:uid="{00000000-0005-0000-0000-000005120000}"/>
    <cellStyle name="40% - Accent5 2 2 2 6" xfId="4618" xr:uid="{00000000-0005-0000-0000-000006120000}"/>
    <cellStyle name="40% - Accent5 2 2 2 7" xfId="4619" xr:uid="{00000000-0005-0000-0000-000007120000}"/>
    <cellStyle name="40% - Accent5 2 2 2 8" xfId="4620" xr:uid="{00000000-0005-0000-0000-000008120000}"/>
    <cellStyle name="40% - Accent5 2 2 2 9" xfId="4621" xr:uid="{00000000-0005-0000-0000-000009120000}"/>
    <cellStyle name="40% - Accent5 2 2 3" xfId="4622" xr:uid="{00000000-0005-0000-0000-00000A120000}"/>
    <cellStyle name="40% - Accent5 2 2 3 2" xfId="4623" xr:uid="{00000000-0005-0000-0000-00000B120000}"/>
    <cellStyle name="40% - Accent5 2 2 3 2 2" xfId="4624" xr:uid="{00000000-0005-0000-0000-00000C120000}"/>
    <cellStyle name="40% - Accent5 2 2 3 2 3" xfId="4625" xr:uid="{00000000-0005-0000-0000-00000D120000}"/>
    <cellStyle name="40% - Accent5 2 2 3 3" xfId="4626" xr:uid="{00000000-0005-0000-0000-00000E120000}"/>
    <cellStyle name="40% - Accent5 2 2 3 4" xfId="4627" xr:uid="{00000000-0005-0000-0000-00000F120000}"/>
    <cellStyle name="40% - Accent5 2 2 3 5" xfId="4628" xr:uid="{00000000-0005-0000-0000-000010120000}"/>
    <cellStyle name="40% - Accent5 2 2 3 6" xfId="4629" xr:uid="{00000000-0005-0000-0000-000011120000}"/>
    <cellStyle name="40% - Accent5 2 2 4" xfId="4630" xr:uid="{00000000-0005-0000-0000-000012120000}"/>
    <cellStyle name="40% - Accent5 2 2 4 2" xfId="4631" xr:uid="{00000000-0005-0000-0000-000013120000}"/>
    <cellStyle name="40% - Accent5 2 2 4 2 2" xfId="4632" xr:uid="{00000000-0005-0000-0000-000014120000}"/>
    <cellStyle name="40% - Accent5 2 2 4 3" xfId="4633" xr:uid="{00000000-0005-0000-0000-000015120000}"/>
    <cellStyle name="40% - Accent5 2 2 4 4" xfId="4634" xr:uid="{00000000-0005-0000-0000-000016120000}"/>
    <cellStyle name="40% - Accent5 2 2 4 5" xfId="4635" xr:uid="{00000000-0005-0000-0000-000017120000}"/>
    <cellStyle name="40% - Accent5 2 2 5" xfId="4636" xr:uid="{00000000-0005-0000-0000-000018120000}"/>
    <cellStyle name="40% - Accent5 2 2 5 2" xfId="4637" xr:uid="{00000000-0005-0000-0000-000019120000}"/>
    <cellStyle name="40% - Accent5 2 2 5 3" xfId="4638" xr:uid="{00000000-0005-0000-0000-00001A120000}"/>
    <cellStyle name="40% - Accent5 2 2 5 4" xfId="4639" xr:uid="{00000000-0005-0000-0000-00001B120000}"/>
    <cellStyle name="40% - Accent5 2 2 6" xfId="4640" xr:uid="{00000000-0005-0000-0000-00001C120000}"/>
    <cellStyle name="40% - Accent5 2 2 6 2" xfId="4641" xr:uid="{00000000-0005-0000-0000-00001D120000}"/>
    <cellStyle name="40% - Accent5 2 2 7" xfId="4642" xr:uid="{00000000-0005-0000-0000-00001E120000}"/>
    <cellStyle name="40% - Accent5 2 2 8" xfId="4643" xr:uid="{00000000-0005-0000-0000-00001F120000}"/>
    <cellStyle name="40% - Accent5 2 2 9" xfId="4644" xr:uid="{00000000-0005-0000-0000-000020120000}"/>
    <cellStyle name="40% - Accent5 2 3" xfId="4645" xr:uid="{00000000-0005-0000-0000-000021120000}"/>
    <cellStyle name="40% - Accent5 2 3 2" xfId="4646" xr:uid="{00000000-0005-0000-0000-000022120000}"/>
    <cellStyle name="40% - Accent5 2 3 2 2" xfId="4647" xr:uid="{00000000-0005-0000-0000-000023120000}"/>
    <cellStyle name="40% - Accent5 2 3 2 2 2" xfId="4648" xr:uid="{00000000-0005-0000-0000-000024120000}"/>
    <cellStyle name="40% - Accent5 2 3 2 2 3" xfId="4649" xr:uid="{00000000-0005-0000-0000-000025120000}"/>
    <cellStyle name="40% - Accent5 2 3 2 3" xfId="4650" xr:uid="{00000000-0005-0000-0000-000026120000}"/>
    <cellStyle name="40% - Accent5 2 3 2 4" xfId="4651" xr:uid="{00000000-0005-0000-0000-000027120000}"/>
    <cellStyle name="40% - Accent5 2 3 2 5" xfId="4652" xr:uid="{00000000-0005-0000-0000-000028120000}"/>
    <cellStyle name="40% - Accent5 2 3 2 6" xfId="4653" xr:uid="{00000000-0005-0000-0000-000029120000}"/>
    <cellStyle name="40% - Accent5 2 3 3" xfId="4654" xr:uid="{00000000-0005-0000-0000-00002A120000}"/>
    <cellStyle name="40% - Accent5 2 3 3 2" xfId="4655" xr:uid="{00000000-0005-0000-0000-00002B120000}"/>
    <cellStyle name="40% - Accent5 2 3 3 2 2" xfId="4656" xr:uid="{00000000-0005-0000-0000-00002C120000}"/>
    <cellStyle name="40% - Accent5 2 3 3 3" xfId="4657" xr:uid="{00000000-0005-0000-0000-00002D120000}"/>
    <cellStyle name="40% - Accent5 2 3 3 4" xfId="4658" xr:uid="{00000000-0005-0000-0000-00002E120000}"/>
    <cellStyle name="40% - Accent5 2 3 3 5" xfId="4659" xr:uid="{00000000-0005-0000-0000-00002F120000}"/>
    <cellStyle name="40% - Accent5 2 3 4" xfId="4660" xr:uid="{00000000-0005-0000-0000-000030120000}"/>
    <cellStyle name="40% - Accent5 2 3 4 2" xfId="4661" xr:uid="{00000000-0005-0000-0000-000031120000}"/>
    <cellStyle name="40% - Accent5 2 3 4 3" xfId="4662" xr:uid="{00000000-0005-0000-0000-000032120000}"/>
    <cellStyle name="40% - Accent5 2 3 4 4" xfId="4663" xr:uid="{00000000-0005-0000-0000-000033120000}"/>
    <cellStyle name="40% - Accent5 2 3 5" xfId="4664" xr:uid="{00000000-0005-0000-0000-000034120000}"/>
    <cellStyle name="40% - Accent5 2 3 5 2" xfId="4665" xr:uid="{00000000-0005-0000-0000-000035120000}"/>
    <cellStyle name="40% - Accent5 2 3 6" xfId="4666" xr:uid="{00000000-0005-0000-0000-000036120000}"/>
    <cellStyle name="40% - Accent5 2 3 7" xfId="4667" xr:uid="{00000000-0005-0000-0000-000037120000}"/>
    <cellStyle name="40% - Accent5 2 3 8" xfId="4668" xr:uid="{00000000-0005-0000-0000-000038120000}"/>
    <cellStyle name="40% - Accent5 2 3 9" xfId="4669" xr:uid="{00000000-0005-0000-0000-000039120000}"/>
    <cellStyle name="40% - Accent5 2 4" xfId="4670" xr:uid="{00000000-0005-0000-0000-00003A120000}"/>
    <cellStyle name="40% - Accent5 2 4 2" xfId="4671" xr:uid="{00000000-0005-0000-0000-00003B120000}"/>
    <cellStyle name="40% - Accent5 2 4 2 2" xfId="4672" xr:uid="{00000000-0005-0000-0000-00003C120000}"/>
    <cellStyle name="40% - Accent5 2 4 2 3" xfId="4673" xr:uid="{00000000-0005-0000-0000-00003D120000}"/>
    <cellStyle name="40% - Accent5 2 4 3" xfId="4674" xr:uid="{00000000-0005-0000-0000-00003E120000}"/>
    <cellStyle name="40% - Accent5 2 4 4" xfId="4675" xr:uid="{00000000-0005-0000-0000-00003F120000}"/>
    <cellStyle name="40% - Accent5 2 4 5" xfId="4676" xr:uid="{00000000-0005-0000-0000-000040120000}"/>
    <cellStyle name="40% - Accent5 2 4 6" xfId="4677" xr:uid="{00000000-0005-0000-0000-000041120000}"/>
    <cellStyle name="40% - Accent5 2 5" xfId="4678" xr:uid="{00000000-0005-0000-0000-000042120000}"/>
    <cellStyle name="40% - Accent5 2 5 2" xfId="4679" xr:uid="{00000000-0005-0000-0000-000043120000}"/>
    <cellStyle name="40% - Accent5 2 5 2 2" xfId="4680" xr:uid="{00000000-0005-0000-0000-000044120000}"/>
    <cellStyle name="40% - Accent5 2 5 3" xfId="4681" xr:uid="{00000000-0005-0000-0000-000045120000}"/>
    <cellStyle name="40% - Accent5 2 5 4" xfId="4682" xr:uid="{00000000-0005-0000-0000-000046120000}"/>
    <cellStyle name="40% - Accent5 2 5 5" xfId="4683" xr:uid="{00000000-0005-0000-0000-000047120000}"/>
    <cellStyle name="40% - Accent5 2 6" xfId="4684" xr:uid="{00000000-0005-0000-0000-000048120000}"/>
    <cellStyle name="40% - Accent5 2 6 2" xfId="4685" xr:uid="{00000000-0005-0000-0000-000049120000}"/>
    <cellStyle name="40% - Accent5 2 6 2 2" xfId="4686" xr:uid="{00000000-0005-0000-0000-00004A120000}"/>
    <cellStyle name="40% - Accent5 2 6 3" xfId="4687" xr:uid="{00000000-0005-0000-0000-00004B120000}"/>
    <cellStyle name="40% - Accent5 2 6 4" xfId="4688" xr:uid="{00000000-0005-0000-0000-00004C120000}"/>
    <cellStyle name="40% - Accent5 2 6 5" xfId="4689" xr:uid="{00000000-0005-0000-0000-00004D120000}"/>
    <cellStyle name="40% - Accent5 2 7" xfId="4690" xr:uid="{00000000-0005-0000-0000-00004E120000}"/>
    <cellStyle name="40% - Accent5 2 7 2" xfId="4691" xr:uid="{00000000-0005-0000-0000-00004F120000}"/>
    <cellStyle name="40% - Accent5 2 8" xfId="4692" xr:uid="{00000000-0005-0000-0000-000050120000}"/>
    <cellStyle name="40% - Accent5 2 9" xfId="4693" xr:uid="{00000000-0005-0000-0000-000051120000}"/>
    <cellStyle name="40% - Accent5 3" xfId="4694" xr:uid="{00000000-0005-0000-0000-000052120000}"/>
    <cellStyle name="40% - Accent5 3 10" xfId="4695" xr:uid="{00000000-0005-0000-0000-000053120000}"/>
    <cellStyle name="40% - Accent5 3 2" xfId="4696" xr:uid="{00000000-0005-0000-0000-000054120000}"/>
    <cellStyle name="40% - Accent5 3 2 2" xfId="4697" xr:uid="{00000000-0005-0000-0000-000055120000}"/>
    <cellStyle name="40% - Accent5 3 2 2 2" xfId="4698" xr:uid="{00000000-0005-0000-0000-000056120000}"/>
    <cellStyle name="40% - Accent5 3 2 2 2 2" xfId="4699" xr:uid="{00000000-0005-0000-0000-000057120000}"/>
    <cellStyle name="40% - Accent5 3 2 2 2 3" xfId="4700" xr:uid="{00000000-0005-0000-0000-000058120000}"/>
    <cellStyle name="40% - Accent5 3 2 2 3" xfId="4701" xr:uid="{00000000-0005-0000-0000-000059120000}"/>
    <cellStyle name="40% - Accent5 3 2 2 4" xfId="4702" xr:uid="{00000000-0005-0000-0000-00005A120000}"/>
    <cellStyle name="40% - Accent5 3 2 2 5" xfId="4703" xr:uid="{00000000-0005-0000-0000-00005B120000}"/>
    <cellStyle name="40% - Accent5 3 2 2 6" xfId="4704" xr:uid="{00000000-0005-0000-0000-00005C120000}"/>
    <cellStyle name="40% - Accent5 3 2 3" xfId="4705" xr:uid="{00000000-0005-0000-0000-00005D120000}"/>
    <cellStyle name="40% - Accent5 3 2 3 2" xfId="4706" xr:uid="{00000000-0005-0000-0000-00005E120000}"/>
    <cellStyle name="40% - Accent5 3 2 3 2 2" xfId="4707" xr:uid="{00000000-0005-0000-0000-00005F120000}"/>
    <cellStyle name="40% - Accent5 3 2 3 3" xfId="4708" xr:uid="{00000000-0005-0000-0000-000060120000}"/>
    <cellStyle name="40% - Accent5 3 2 3 4" xfId="4709" xr:uid="{00000000-0005-0000-0000-000061120000}"/>
    <cellStyle name="40% - Accent5 3 2 3 5" xfId="4710" xr:uid="{00000000-0005-0000-0000-000062120000}"/>
    <cellStyle name="40% - Accent5 3 2 4" xfId="4711" xr:uid="{00000000-0005-0000-0000-000063120000}"/>
    <cellStyle name="40% - Accent5 3 2 4 2" xfId="4712" xr:uid="{00000000-0005-0000-0000-000064120000}"/>
    <cellStyle name="40% - Accent5 3 2 4 3" xfId="4713" xr:uid="{00000000-0005-0000-0000-000065120000}"/>
    <cellStyle name="40% - Accent5 3 2 4 4" xfId="4714" xr:uid="{00000000-0005-0000-0000-000066120000}"/>
    <cellStyle name="40% - Accent5 3 2 5" xfId="4715" xr:uid="{00000000-0005-0000-0000-000067120000}"/>
    <cellStyle name="40% - Accent5 3 2 5 2" xfId="4716" xr:uid="{00000000-0005-0000-0000-000068120000}"/>
    <cellStyle name="40% - Accent5 3 2 6" xfId="4717" xr:uid="{00000000-0005-0000-0000-000069120000}"/>
    <cellStyle name="40% - Accent5 3 2 7" xfId="4718" xr:uid="{00000000-0005-0000-0000-00006A120000}"/>
    <cellStyle name="40% - Accent5 3 2 8" xfId="4719" xr:uid="{00000000-0005-0000-0000-00006B120000}"/>
    <cellStyle name="40% - Accent5 3 2 9" xfId="4720" xr:uid="{00000000-0005-0000-0000-00006C120000}"/>
    <cellStyle name="40% - Accent5 3 3" xfId="4721" xr:uid="{00000000-0005-0000-0000-00006D120000}"/>
    <cellStyle name="40% - Accent5 3 3 2" xfId="4722" xr:uid="{00000000-0005-0000-0000-00006E120000}"/>
    <cellStyle name="40% - Accent5 3 3 2 2" xfId="4723" xr:uid="{00000000-0005-0000-0000-00006F120000}"/>
    <cellStyle name="40% - Accent5 3 3 2 3" xfId="4724" xr:uid="{00000000-0005-0000-0000-000070120000}"/>
    <cellStyle name="40% - Accent5 3 3 3" xfId="4725" xr:uid="{00000000-0005-0000-0000-000071120000}"/>
    <cellStyle name="40% - Accent5 3 3 4" xfId="4726" xr:uid="{00000000-0005-0000-0000-000072120000}"/>
    <cellStyle name="40% - Accent5 3 3 5" xfId="4727" xr:uid="{00000000-0005-0000-0000-000073120000}"/>
    <cellStyle name="40% - Accent5 3 3 6" xfId="4728" xr:uid="{00000000-0005-0000-0000-000074120000}"/>
    <cellStyle name="40% - Accent5 3 4" xfId="4729" xr:uid="{00000000-0005-0000-0000-000075120000}"/>
    <cellStyle name="40% - Accent5 3 4 2" xfId="4730" xr:uid="{00000000-0005-0000-0000-000076120000}"/>
    <cellStyle name="40% - Accent5 3 4 2 2" xfId="4731" xr:uid="{00000000-0005-0000-0000-000077120000}"/>
    <cellStyle name="40% - Accent5 3 4 3" xfId="4732" xr:uid="{00000000-0005-0000-0000-000078120000}"/>
    <cellStyle name="40% - Accent5 3 4 4" xfId="4733" xr:uid="{00000000-0005-0000-0000-000079120000}"/>
    <cellStyle name="40% - Accent5 3 4 5" xfId="4734" xr:uid="{00000000-0005-0000-0000-00007A120000}"/>
    <cellStyle name="40% - Accent5 3 5" xfId="4735" xr:uid="{00000000-0005-0000-0000-00007B120000}"/>
    <cellStyle name="40% - Accent5 3 5 2" xfId="4736" xr:uid="{00000000-0005-0000-0000-00007C120000}"/>
    <cellStyle name="40% - Accent5 3 5 2 2" xfId="4737" xr:uid="{00000000-0005-0000-0000-00007D120000}"/>
    <cellStyle name="40% - Accent5 3 5 3" xfId="4738" xr:uid="{00000000-0005-0000-0000-00007E120000}"/>
    <cellStyle name="40% - Accent5 3 5 4" xfId="4739" xr:uid="{00000000-0005-0000-0000-00007F120000}"/>
    <cellStyle name="40% - Accent5 3 5 5" xfId="4740" xr:uid="{00000000-0005-0000-0000-000080120000}"/>
    <cellStyle name="40% - Accent5 3 6" xfId="4741" xr:uid="{00000000-0005-0000-0000-000081120000}"/>
    <cellStyle name="40% - Accent5 3 6 2" xfId="4742" xr:uid="{00000000-0005-0000-0000-000082120000}"/>
    <cellStyle name="40% - Accent5 3 7" xfId="4743" xr:uid="{00000000-0005-0000-0000-000083120000}"/>
    <cellStyle name="40% - Accent5 3 8" xfId="4744" xr:uid="{00000000-0005-0000-0000-000084120000}"/>
    <cellStyle name="40% - Accent5 3 9" xfId="4745" xr:uid="{00000000-0005-0000-0000-000085120000}"/>
    <cellStyle name="40% - Accent5 4" xfId="4746" xr:uid="{00000000-0005-0000-0000-000086120000}"/>
    <cellStyle name="40% - Accent5 4 10" xfId="4747" xr:uid="{00000000-0005-0000-0000-000087120000}"/>
    <cellStyle name="40% - Accent5 4 2" xfId="4748" xr:uid="{00000000-0005-0000-0000-000088120000}"/>
    <cellStyle name="40% - Accent5 4 2 2" xfId="4749" xr:uid="{00000000-0005-0000-0000-000089120000}"/>
    <cellStyle name="40% - Accent5 4 2 2 2" xfId="4750" xr:uid="{00000000-0005-0000-0000-00008A120000}"/>
    <cellStyle name="40% - Accent5 4 2 2 2 2" xfId="4751" xr:uid="{00000000-0005-0000-0000-00008B120000}"/>
    <cellStyle name="40% - Accent5 4 2 2 2 3" xfId="4752" xr:uid="{00000000-0005-0000-0000-00008C120000}"/>
    <cellStyle name="40% - Accent5 4 2 2 3" xfId="4753" xr:uid="{00000000-0005-0000-0000-00008D120000}"/>
    <cellStyle name="40% - Accent5 4 2 2 4" xfId="4754" xr:uid="{00000000-0005-0000-0000-00008E120000}"/>
    <cellStyle name="40% - Accent5 4 2 2 5" xfId="4755" xr:uid="{00000000-0005-0000-0000-00008F120000}"/>
    <cellStyle name="40% - Accent5 4 2 2 6" xfId="4756" xr:uid="{00000000-0005-0000-0000-000090120000}"/>
    <cellStyle name="40% - Accent5 4 2 3" xfId="4757" xr:uid="{00000000-0005-0000-0000-000091120000}"/>
    <cellStyle name="40% - Accent5 4 2 3 2" xfId="4758" xr:uid="{00000000-0005-0000-0000-000092120000}"/>
    <cellStyle name="40% - Accent5 4 2 3 2 2" xfId="4759" xr:uid="{00000000-0005-0000-0000-000093120000}"/>
    <cellStyle name="40% - Accent5 4 2 3 3" xfId="4760" xr:uid="{00000000-0005-0000-0000-000094120000}"/>
    <cellStyle name="40% - Accent5 4 2 3 4" xfId="4761" xr:uid="{00000000-0005-0000-0000-000095120000}"/>
    <cellStyle name="40% - Accent5 4 2 3 5" xfId="4762" xr:uid="{00000000-0005-0000-0000-000096120000}"/>
    <cellStyle name="40% - Accent5 4 2 4" xfId="4763" xr:uid="{00000000-0005-0000-0000-000097120000}"/>
    <cellStyle name="40% - Accent5 4 2 4 2" xfId="4764" xr:uid="{00000000-0005-0000-0000-000098120000}"/>
    <cellStyle name="40% - Accent5 4 2 4 3" xfId="4765" xr:uid="{00000000-0005-0000-0000-000099120000}"/>
    <cellStyle name="40% - Accent5 4 2 4 4" xfId="4766" xr:uid="{00000000-0005-0000-0000-00009A120000}"/>
    <cellStyle name="40% - Accent5 4 2 5" xfId="4767" xr:uid="{00000000-0005-0000-0000-00009B120000}"/>
    <cellStyle name="40% - Accent5 4 2 5 2" xfId="4768" xr:uid="{00000000-0005-0000-0000-00009C120000}"/>
    <cellStyle name="40% - Accent5 4 2 6" xfId="4769" xr:uid="{00000000-0005-0000-0000-00009D120000}"/>
    <cellStyle name="40% - Accent5 4 2 7" xfId="4770" xr:uid="{00000000-0005-0000-0000-00009E120000}"/>
    <cellStyle name="40% - Accent5 4 2 8" xfId="4771" xr:uid="{00000000-0005-0000-0000-00009F120000}"/>
    <cellStyle name="40% - Accent5 4 2 9" xfId="4772" xr:uid="{00000000-0005-0000-0000-0000A0120000}"/>
    <cellStyle name="40% - Accent5 4 3" xfId="4773" xr:uid="{00000000-0005-0000-0000-0000A1120000}"/>
    <cellStyle name="40% - Accent5 4 3 2" xfId="4774" xr:uid="{00000000-0005-0000-0000-0000A2120000}"/>
    <cellStyle name="40% - Accent5 4 3 2 2" xfId="4775" xr:uid="{00000000-0005-0000-0000-0000A3120000}"/>
    <cellStyle name="40% - Accent5 4 3 2 3" xfId="4776" xr:uid="{00000000-0005-0000-0000-0000A4120000}"/>
    <cellStyle name="40% - Accent5 4 3 3" xfId="4777" xr:uid="{00000000-0005-0000-0000-0000A5120000}"/>
    <cellStyle name="40% - Accent5 4 3 4" xfId="4778" xr:uid="{00000000-0005-0000-0000-0000A6120000}"/>
    <cellStyle name="40% - Accent5 4 3 5" xfId="4779" xr:uid="{00000000-0005-0000-0000-0000A7120000}"/>
    <cellStyle name="40% - Accent5 4 3 6" xfId="4780" xr:uid="{00000000-0005-0000-0000-0000A8120000}"/>
    <cellStyle name="40% - Accent5 4 4" xfId="4781" xr:uid="{00000000-0005-0000-0000-0000A9120000}"/>
    <cellStyle name="40% - Accent5 4 4 2" xfId="4782" xr:uid="{00000000-0005-0000-0000-0000AA120000}"/>
    <cellStyle name="40% - Accent5 4 4 2 2" xfId="4783" xr:uid="{00000000-0005-0000-0000-0000AB120000}"/>
    <cellStyle name="40% - Accent5 4 4 3" xfId="4784" xr:uid="{00000000-0005-0000-0000-0000AC120000}"/>
    <cellStyle name="40% - Accent5 4 4 4" xfId="4785" xr:uid="{00000000-0005-0000-0000-0000AD120000}"/>
    <cellStyle name="40% - Accent5 4 4 5" xfId="4786" xr:uid="{00000000-0005-0000-0000-0000AE120000}"/>
    <cellStyle name="40% - Accent5 4 5" xfId="4787" xr:uid="{00000000-0005-0000-0000-0000AF120000}"/>
    <cellStyle name="40% - Accent5 4 5 2" xfId="4788" xr:uid="{00000000-0005-0000-0000-0000B0120000}"/>
    <cellStyle name="40% - Accent5 4 5 2 2" xfId="4789" xr:uid="{00000000-0005-0000-0000-0000B1120000}"/>
    <cellStyle name="40% - Accent5 4 5 3" xfId="4790" xr:uid="{00000000-0005-0000-0000-0000B2120000}"/>
    <cellStyle name="40% - Accent5 4 5 4" xfId="4791" xr:uid="{00000000-0005-0000-0000-0000B3120000}"/>
    <cellStyle name="40% - Accent5 4 5 5" xfId="4792" xr:uid="{00000000-0005-0000-0000-0000B4120000}"/>
    <cellStyle name="40% - Accent5 4 6" xfId="4793" xr:uid="{00000000-0005-0000-0000-0000B5120000}"/>
    <cellStyle name="40% - Accent5 4 6 2" xfId="4794" xr:uid="{00000000-0005-0000-0000-0000B6120000}"/>
    <cellStyle name="40% - Accent5 4 7" xfId="4795" xr:uid="{00000000-0005-0000-0000-0000B7120000}"/>
    <cellStyle name="40% - Accent5 4 8" xfId="4796" xr:uid="{00000000-0005-0000-0000-0000B8120000}"/>
    <cellStyle name="40% - Accent5 4 9" xfId="4797" xr:uid="{00000000-0005-0000-0000-0000B9120000}"/>
    <cellStyle name="40% - Accent5 5" xfId="4798" xr:uid="{00000000-0005-0000-0000-0000BA120000}"/>
    <cellStyle name="40% - Accent5 5 10" xfId="4799" xr:uid="{00000000-0005-0000-0000-0000BB120000}"/>
    <cellStyle name="40% - Accent5 5 2" xfId="4800" xr:uid="{00000000-0005-0000-0000-0000BC120000}"/>
    <cellStyle name="40% - Accent5 5 2 2" xfId="4801" xr:uid="{00000000-0005-0000-0000-0000BD120000}"/>
    <cellStyle name="40% - Accent5 5 2 2 2" xfId="4802" xr:uid="{00000000-0005-0000-0000-0000BE120000}"/>
    <cellStyle name="40% - Accent5 5 2 2 2 2" xfId="4803" xr:uid="{00000000-0005-0000-0000-0000BF120000}"/>
    <cellStyle name="40% - Accent5 5 2 2 2 3" xfId="4804" xr:uid="{00000000-0005-0000-0000-0000C0120000}"/>
    <cellStyle name="40% - Accent5 5 2 2 3" xfId="4805" xr:uid="{00000000-0005-0000-0000-0000C1120000}"/>
    <cellStyle name="40% - Accent5 5 2 2 4" xfId="4806" xr:uid="{00000000-0005-0000-0000-0000C2120000}"/>
    <cellStyle name="40% - Accent5 5 2 2 5" xfId="4807" xr:uid="{00000000-0005-0000-0000-0000C3120000}"/>
    <cellStyle name="40% - Accent5 5 2 2 6" xfId="4808" xr:uid="{00000000-0005-0000-0000-0000C4120000}"/>
    <cellStyle name="40% - Accent5 5 2 3" xfId="4809" xr:uid="{00000000-0005-0000-0000-0000C5120000}"/>
    <cellStyle name="40% - Accent5 5 2 3 2" xfId="4810" xr:uid="{00000000-0005-0000-0000-0000C6120000}"/>
    <cellStyle name="40% - Accent5 5 2 3 2 2" xfId="4811" xr:uid="{00000000-0005-0000-0000-0000C7120000}"/>
    <cellStyle name="40% - Accent5 5 2 3 3" xfId="4812" xr:uid="{00000000-0005-0000-0000-0000C8120000}"/>
    <cellStyle name="40% - Accent5 5 2 3 4" xfId="4813" xr:uid="{00000000-0005-0000-0000-0000C9120000}"/>
    <cellStyle name="40% - Accent5 5 2 3 5" xfId="4814" xr:uid="{00000000-0005-0000-0000-0000CA120000}"/>
    <cellStyle name="40% - Accent5 5 2 4" xfId="4815" xr:uid="{00000000-0005-0000-0000-0000CB120000}"/>
    <cellStyle name="40% - Accent5 5 2 4 2" xfId="4816" xr:uid="{00000000-0005-0000-0000-0000CC120000}"/>
    <cellStyle name="40% - Accent5 5 2 4 3" xfId="4817" xr:uid="{00000000-0005-0000-0000-0000CD120000}"/>
    <cellStyle name="40% - Accent5 5 2 4 4" xfId="4818" xr:uid="{00000000-0005-0000-0000-0000CE120000}"/>
    <cellStyle name="40% - Accent5 5 2 5" xfId="4819" xr:uid="{00000000-0005-0000-0000-0000CF120000}"/>
    <cellStyle name="40% - Accent5 5 2 5 2" xfId="4820" xr:uid="{00000000-0005-0000-0000-0000D0120000}"/>
    <cellStyle name="40% - Accent5 5 2 6" xfId="4821" xr:uid="{00000000-0005-0000-0000-0000D1120000}"/>
    <cellStyle name="40% - Accent5 5 2 7" xfId="4822" xr:uid="{00000000-0005-0000-0000-0000D2120000}"/>
    <cellStyle name="40% - Accent5 5 2 8" xfId="4823" xr:uid="{00000000-0005-0000-0000-0000D3120000}"/>
    <cellStyle name="40% - Accent5 5 2 9" xfId="4824" xr:uid="{00000000-0005-0000-0000-0000D4120000}"/>
    <cellStyle name="40% - Accent5 5 3" xfId="4825" xr:uid="{00000000-0005-0000-0000-0000D5120000}"/>
    <cellStyle name="40% - Accent5 5 3 2" xfId="4826" xr:uid="{00000000-0005-0000-0000-0000D6120000}"/>
    <cellStyle name="40% - Accent5 5 3 2 2" xfId="4827" xr:uid="{00000000-0005-0000-0000-0000D7120000}"/>
    <cellStyle name="40% - Accent5 5 3 2 3" xfId="4828" xr:uid="{00000000-0005-0000-0000-0000D8120000}"/>
    <cellStyle name="40% - Accent5 5 3 3" xfId="4829" xr:uid="{00000000-0005-0000-0000-0000D9120000}"/>
    <cellStyle name="40% - Accent5 5 3 4" xfId="4830" xr:uid="{00000000-0005-0000-0000-0000DA120000}"/>
    <cellStyle name="40% - Accent5 5 3 5" xfId="4831" xr:uid="{00000000-0005-0000-0000-0000DB120000}"/>
    <cellStyle name="40% - Accent5 5 3 6" xfId="4832" xr:uid="{00000000-0005-0000-0000-0000DC120000}"/>
    <cellStyle name="40% - Accent5 5 4" xfId="4833" xr:uid="{00000000-0005-0000-0000-0000DD120000}"/>
    <cellStyle name="40% - Accent5 5 4 2" xfId="4834" xr:uid="{00000000-0005-0000-0000-0000DE120000}"/>
    <cellStyle name="40% - Accent5 5 4 2 2" xfId="4835" xr:uid="{00000000-0005-0000-0000-0000DF120000}"/>
    <cellStyle name="40% - Accent5 5 4 3" xfId="4836" xr:uid="{00000000-0005-0000-0000-0000E0120000}"/>
    <cellStyle name="40% - Accent5 5 4 4" xfId="4837" xr:uid="{00000000-0005-0000-0000-0000E1120000}"/>
    <cellStyle name="40% - Accent5 5 4 5" xfId="4838" xr:uid="{00000000-0005-0000-0000-0000E2120000}"/>
    <cellStyle name="40% - Accent5 5 5" xfId="4839" xr:uid="{00000000-0005-0000-0000-0000E3120000}"/>
    <cellStyle name="40% - Accent5 5 5 2" xfId="4840" xr:uid="{00000000-0005-0000-0000-0000E4120000}"/>
    <cellStyle name="40% - Accent5 5 5 3" xfId="4841" xr:uid="{00000000-0005-0000-0000-0000E5120000}"/>
    <cellStyle name="40% - Accent5 5 5 4" xfId="4842" xr:uid="{00000000-0005-0000-0000-0000E6120000}"/>
    <cellStyle name="40% - Accent5 5 6" xfId="4843" xr:uid="{00000000-0005-0000-0000-0000E7120000}"/>
    <cellStyle name="40% - Accent5 5 6 2" xfId="4844" xr:uid="{00000000-0005-0000-0000-0000E8120000}"/>
    <cellStyle name="40% - Accent5 5 7" xfId="4845" xr:uid="{00000000-0005-0000-0000-0000E9120000}"/>
    <cellStyle name="40% - Accent5 5 8" xfId="4846" xr:uid="{00000000-0005-0000-0000-0000EA120000}"/>
    <cellStyle name="40% - Accent5 5 9" xfId="4847" xr:uid="{00000000-0005-0000-0000-0000EB120000}"/>
    <cellStyle name="40% - Accent5 6" xfId="4848" xr:uid="{00000000-0005-0000-0000-0000EC120000}"/>
    <cellStyle name="40% - Accent5 6 10" xfId="4849" xr:uid="{00000000-0005-0000-0000-0000ED120000}"/>
    <cellStyle name="40% - Accent5 6 2" xfId="4850" xr:uid="{00000000-0005-0000-0000-0000EE120000}"/>
    <cellStyle name="40% - Accent5 6 2 2" xfId="4851" xr:uid="{00000000-0005-0000-0000-0000EF120000}"/>
    <cellStyle name="40% - Accent5 6 2 2 2" xfId="4852" xr:uid="{00000000-0005-0000-0000-0000F0120000}"/>
    <cellStyle name="40% - Accent5 6 2 2 2 2" xfId="4853" xr:uid="{00000000-0005-0000-0000-0000F1120000}"/>
    <cellStyle name="40% - Accent5 6 2 2 2 3" xfId="4854" xr:uid="{00000000-0005-0000-0000-0000F2120000}"/>
    <cellStyle name="40% - Accent5 6 2 2 3" xfId="4855" xr:uid="{00000000-0005-0000-0000-0000F3120000}"/>
    <cellStyle name="40% - Accent5 6 2 2 4" xfId="4856" xr:uid="{00000000-0005-0000-0000-0000F4120000}"/>
    <cellStyle name="40% - Accent5 6 2 2 5" xfId="4857" xr:uid="{00000000-0005-0000-0000-0000F5120000}"/>
    <cellStyle name="40% - Accent5 6 2 2 6" xfId="4858" xr:uid="{00000000-0005-0000-0000-0000F6120000}"/>
    <cellStyle name="40% - Accent5 6 2 3" xfId="4859" xr:uid="{00000000-0005-0000-0000-0000F7120000}"/>
    <cellStyle name="40% - Accent5 6 2 3 2" xfId="4860" xr:uid="{00000000-0005-0000-0000-0000F8120000}"/>
    <cellStyle name="40% - Accent5 6 2 3 2 2" xfId="4861" xr:uid="{00000000-0005-0000-0000-0000F9120000}"/>
    <cellStyle name="40% - Accent5 6 2 3 3" xfId="4862" xr:uid="{00000000-0005-0000-0000-0000FA120000}"/>
    <cellStyle name="40% - Accent5 6 2 3 4" xfId="4863" xr:uid="{00000000-0005-0000-0000-0000FB120000}"/>
    <cellStyle name="40% - Accent5 6 2 3 5" xfId="4864" xr:uid="{00000000-0005-0000-0000-0000FC120000}"/>
    <cellStyle name="40% - Accent5 6 2 4" xfId="4865" xr:uid="{00000000-0005-0000-0000-0000FD120000}"/>
    <cellStyle name="40% - Accent5 6 2 4 2" xfId="4866" xr:uid="{00000000-0005-0000-0000-0000FE120000}"/>
    <cellStyle name="40% - Accent5 6 2 4 3" xfId="4867" xr:uid="{00000000-0005-0000-0000-0000FF120000}"/>
    <cellStyle name="40% - Accent5 6 2 4 4" xfId="4868" xr:uid="{00000000-0005-0000-0000-000000130000}"/>
    <cellStyle name="40% - Accent5 6 2 5" xfId="4869" xr:uid="{00000000-0005-0000-0000-000001130000}"/>
    <cellStyle name="40% - Accent5 6 2 5 2" xfId="4870" xr:uid="{00000000-0005-0000-0000-000002130000}"/>
    <cellStyle name="40% - Accent5 6 2 6" xfId="4871" xr:uid="{00000000-0005-0000-0000-000003130000}"/>
    <cellStyle name="40% - Accent5 6 2 7" xfId="4872" xr:uid="{00000000-0005-0000-0000-000004130000}"/>
    <cellStyle name="40% - Accent5 6 2 8" xfId="4873" xr:uid="{00000000-0005-0000-0000-000005130000}"/>
    <cellStyle name="40% - Accent5 6 2 9" xfId="4874" xr:uid="{00000000-0005-0000-0000-000006130000}"/>
    <cellStyle name="40% - Accent5 6 3" xfId="4875" xr:uid="{00000000-0005-0000-0000-000007130000}"/>
    <cellStyle name="40% - Accent5 6 3 2" xfId="4876" xr:uid="{00000000-0005-0000-0000-000008130000}"/>
    <cellStyle name="40% - Accent5 6 3 2 2" xfId="4877" xr:uid="{00000000-0005-0000-0000-000009130000}"/>
    <cellStyle name="40% - Accent5 6 3 2 3" xfId="4878" xr:uid="{00000000-0005-0000-0000-00000A130000}"/>
    <cellStyle name="40% - Accent5 6 3 3" xfId="4879" xr:uid="{00000000-0005-0000-0000-00000B130000}"/>
    <cellStyle name="40% - Accent5 6 3 4" xfId="4880" xr:uid="{00000000-0005-0000-0000-00000C130000}"/>
    <cellStyle name="40% - Accent5 6 3 5" xfId="4881" xr:uid="{00000000-0005-0000-0000-00000D130000}"/>
    <cellStyle name="40% - Accent5 6 3 6" xfId="4882" xr:uid="{00000000-0005-0000-0000-00000E130000}"/>
    <cellStyle name="40% - Accent5 6 4" xfId="4883" xr:uid="{00000000-0005-0000-0000-00000F130000}"/>
    <cellStyle name="40% - Accent5 6 4 2" xfId="4884" xr:uid="{00000000-0005-0000-0000-000010130000}"/>
    <cellStyle name="40% - Accent5 6 4 2 2" xfId="4885" xr:uid="{00000000-0005-0000-0000-000011130000}"/>
    <cellStyle name="40% - Accent5 6 4 3" xfId="4886" xr:uid="{00000000-0005-0000-0000-000012130000}"/>
    <cellStyle name="40% - Accent5 6 4 4" xfId="4887" xr:uid="{00000000-0005-0000-0000-000013130000}"/>
    <cellStyle name="40% - Accent5 6 4 5" xfId="4888" xr:uid="{00000000-0005-0000-0000-000014130000}"/>
    <cellStyle name="40% - Accent5 6 5" xfId="4889" xr:uid="{00000000-0005-0000-0000-000015130000}"/>
    <cellStyle name="40% - Accent5 6 5 2" xfId="4890" xr:uid="{00000000-0005-0000-0000-000016130000}"/>
    <cellStyle name="40% - Accent5 6 5 3" xfId="4891" xr:uid="{00000000-0005-0000-0000-000017130000}"/>
    <cellStyle name="40% - Accent5 6 5 4" xfId="4892" xr:uid="{00000000-0005-0000-0000-000018130000}"/>
    <cellStyle name="40% - Accent5 6 6" xfId="4893" xr:uid="{00000000-0005-0000-0000-000019130000}"/>
    <cellStyle name="40% - Accent5 6 6 2" xfId="4894" xr:uid="{00000000-0005-0000-0000-00001A130000}"/>
    <cellStyle name="40% - Accent5 6 7" xfId="4895" xr:uid="{00000000-0005-0000-0000-00001B130000}"/>
    <cellStyle name="40% - Accent5 6 8" xfId="4896" xr:uid="{00000000-0005-0000-0000-00001C130000}"/>
    <cellStyle name="40% - Accent5 6 9" xfId="4897" xr:uid="{00000000-0005-0000-0000-00001D130000}"/>
    <cellStyle name="40% - Accent5 7" xfId="4898" xr:uid="{00000000-0005-0000-0000-00001E130000}"/>
    <cellStyle name="40% - Accent5 7 2" xfId="4899" xr:uid="{00000000-0005-0000-0000-00001F130000}"/>
    <cellStyle name="40% - Accent5 7 2 2" xfId="4900" xr:uid="{00000000-0005-0000-0000-000020130000}"/>
    <cellStyle name="40% - Accent5 7 2 2 2" xfId="4901" xr:uid="{00000000-0005-0000-0000-000021130000}"/>
    <cellStyle name="40% - Accent5 7 2 2 3" xfId="4902" xr:uid="{00000000-0005-0000-0000-000022130000}"/>
    <cellStyle name="40% - Accent5 7 2 3" xfId="4903" xr:uid="{00000000-0005-0000-0000-000023130000}"/>
    <cellStyle name="40% - Accent5 7 2 4" xfId="4904" xr:uid="{00000000-0005-0000-0000-000024130000}"/>
    <cellStyle name="40% - Accent5 7 2 5" xfId="4905" xr:uid="{00000000-0005-0000-0000-000025130000}"/>
    <cellStyle name="40% - Accent5 7 2 6" xfId="4906" xr:uid="{00000000-0005-0000-0000-000026130000}"/>
    <cellStyle name="40% - Accent5 7 3" xfId="4907" xr:uid="{00000000-0005-0000-0000-000027130000}"/>
    <cellStyle name="40% - Accent5 7 3 2" xfId="4908" xr:uid="{00000000-0005-0000-0000-000028130000}"/>
    <cellStyle name="40% - Accent5 7 3 2 2" xfId="4909" xr:uid="{00000000-0005-0000-0000-000029130000}"/>
    <cellStyle name="40% - Accent5 7 3 3" xfId="4910" xr:uid="{00000000-0005-0000-0000-00002A130000}"/>
    <cellStyle name="40% - Accent5 7 3 4" xfId="4911" xr:uid="{00000000-0005-0000-0000-00002B130000}"/>
    <cellStyle name="40% - Accent5 7 3 5" xfId="4912" xr:uid="{00000000-0005-0000-0000-00002C130000}"/>
    <cellStyle name="40% - Accent5 7 4" xfId="4913" xr:uid="{00000000-0005-0000-0000-00002D130000}"/>
    <cellStyle name="40% - Accent5 7 4 2" xfId="4914" xr:uid="{00000000-0005-0000-0000-00002E130000}"/>
    <cellStyle name="40% - Accent5 7 4 3" xfId="4915" xr:uid="{00000000-0005-0000-0000-00002F130000}"/>
    <cellStyle name="40% - Accent5 7 4 4" xfId="4916" xr:uid="{00000000-0005-0000-0000-000030130000}"/>
    <cellStyle name="40% - Accent5 7 5" xfId="4917" xr:uid="{00000000-0005-0000-0000-000031130000}"/>
    <cellStyle name="40% - Accent5 7 5 2" xfId="4918" xr:uid="{00000000-0005-0000-0000-000032130000}"/>
    <cellStyle name="40% - Accent5 7 6" xfId="4919" xr:uid="{00000000-0005-0000-0000-000033130000}"/>
    <cellStyle name="40% - Accent5 7 7" xfId="4920" xr:uid="{00000000-0005-0000-0000-000034130000}"/>
    <cellStyle name="40% - Accent5 7 8" xfId="4921" xr:uid="{00000000-0005-0000-0000-000035130000}"/>
    <cellStyle name="40% - Accent5 7 9" xfId="4922" xr:uid="{00000000-0005-0000-0000-000036130000}"/>
    <cellStyle name="40% - Accent5 8" xfId="4923" xr:uid="{00000000-0005-0000-0000-000037130000}"/>
    <cellStyle name="40% - Accent5 8 2" xfId="4924" xr:uid="{00000000-0005-0000-0000-000038130000}"/>
    <cellStyle name="40% - Accent5 8 2 2" xfId="4925" xr:uid="{00000000-0005-0000-0000-000039130000}"/>
    <cellStyle name="40% - Accent5 8 2 2 2" xfId="4926" xr:uid="{00000000-0005-0000-0000-00003A130000}"/>
    <cellStyle name="40% - Accent5 8 2 2 3" xfId="4927" xr:uid="{00000000-0005-0000-0000-00003B130000}"/>
    <cellStyle name="40% - Accent5 8 2 3" xfId="4928" xr:uid="{00000000-0005-0000-0000-00003C130000}"/>
    <cellStyle name="40% - Accent5 8 2 4" xfId="4929" xr:uid="{00000000-0005-0000-0000-00003D130000}"/>
    <cellStyle name="40% - Accent5 8 2 5" xfId="4930" xr:uid="{00000000-0005-0000-0000-00003E130000}"/>
    <cellStyle name="40% - Accent5 8 2 6" xfId="4931" xr:uid="{00000000-0005-0000-0000-00003F130000}"/>
    <cellStyle name="40% - Accent5 8 3" xfId="4932" xr:uid="{00000000-0005-0000-0000-000040130000}"/>
    <cellStyle name="40% - Accent5 8 3 2" xfId="4933" xr:uid="{00000000-0005-0000-0000-000041130000}"/>
    <cellStyle name="40% - Accent5 8 3 2 2" xfId="4934" xr:uid="{00000000-0005-0000-0000-000042130000}"/>
    <cellStyle name="40% - Accent5 8 3 3" xfId="4935" xr:uid="{00000000-0005-0000-0000-000043130000}"/>
    <cellStyle name="40% - Accent5 8 3 4" xfId="4936" xr:uid="{00000000-0005-0000-0000-000044130000}"/>
    <cellStyle name="40% - Accent5 8 3 5" xfId="4937" xr:uid="{00000000-0005-0000-0000-000045130000}"/>
    <cellStyle name="40% - Accent5 8 4" xfId="4938" xr:uid="{00000000-0005-0000-0000-000046130000}"/>
    <cellStyle name="40% - Accent5 8 4 2" xfId="4939" xr:uid="{00000000-0005-0000-0000-000047130000}"/>
    <cellStyle name="40% - Accent5 8 4 3" xfId="4940" xr:uid="{00000000-0005-0000-0000-000048130000}"/>
    <cellStyle name="40% - Accent5 8 4 4" xfId="4941" xr:uid="{00000000-0005-0000-0000-000049130000}"/>
    <cellStyle name="40% - Accent5 8 5" xfId="4942" xr:uid="{00000000-0005-0000-0000-00004A130000}"/>
    <cellStyle name="40% - Accent5 8 5 2" xfId="4943" xr:uid="{00000000-0005-0000-0000-00004B130000}"/>
    <cellStyle name="40% - Accent5 8 6" xfId="4944" xr:uid="{00000000-0005-0000-0000-00004C130000}"/>
    <cellStyle name="40% - Accent5 8 7" xfId="4945" xr:uid="{00000000-0005-0000-0000-00004D130000}"/>
    <cellStyle name="40% - Accent5 8 8" xfId="4946" xr:uid="{00000000-0005-0000-0000-00004E130000}"/>
    <cellStyle name="40% - Accent5 8 9" xfId="4947" xr:uid="{00000000-0005-0000-0000-00004F130000}"/>
    <cellStyle name="40% - Accent5 9" xfId="4948" xr:uid="{00000000-0005-0000-0000-000050130000}"/>
    <cellStyle name="40% - Accent5 9 2" xfId="4949" xr:uid="{00000000-0005-0000-0000-000051130000}"/>
    <cellStyle name="40% - Accent5 9 2 2" xfId="4950" xr:uid="{00000000-0005-0000-0000-000052130000}"/>
    <cellStyle name="40% - Accent5 9 2 2 2" xfId="4951" xr:uid="{00000000-0005-0000-0000-000053130000}"/>
    <cellStyle name="40% - Accent5 9 2 3" xfId="4952" xr:uid="{00000000-0005-0000-0000-000054130000}"/>
    <cellStyle name="40% - Accent5 9 2 4" xfId="4953" xr:uid="{00000000-0005-0000-0000-000055130000}"/>
    <cellStyle name="40% - Accent5 9 2 5" xfId="4954" xr:uid="{00000000-0005-0000-0000-000056130000}"/>
    <cellStyle name="40% - Accent5 9 3" xfId="4955" xr:uid="{00000000-0005-0000-0000-000057130000}"/>
    <cellStyle name="40% - Accent5 9 3 2" xfId="4956" xr:uid="{00000000-0005-0000-0000-000058130000}"/>
    <cellStyle name="40% - Accent5 9 3 3" xfId="4957" xr:uid="{00000000-0005-0000-0000-000059130000}"/>
    <cellStyle name="40% - Accent5 9 3 4" xfId="4958" xr:uid="{00000000-0005-0000-0000-00005A130000}"/>
    <cellStyle name="40% - Accent5 9 4" xfId="4959" xr:uid="{00000000-0005-0000-0000-00005B130000}"/>
    <cellStyle name="40% - Accent5 9 4 2" xfId="4960" xr:uid="{00000000-0005-0000-0000-00005C130000}"/>
    <cellStyle name="40% - Accent5 9 5" xfId="4961" xr:uid="{00000000-0005-0000-0000-00005D130000}"/>
    <cellStyle name="40% - Accent5 9 6" xfId="4962" xr:uid="{00000000-0005-0000-0000-00005E130000}"/>
    <cellStyle name="40% - Accent5 9 7" xfId="4963" xr:uid="{00000000-0005-0000-0000-00005F130000}"/>
    <cellStyle name="40% - Accent5 9 8" xfId="4964" xr:uid="{00000000-0005-0000-0000-000060130000}"/>
    <cellStyle name="40% - Accent6 10" xfId="4965" xr:uid="{00000000-0005-0000-0000-000061130000}"/>
    <cellStyle name="40% - Accent6 10 2" xfId="4966" xr:uid="{00000000-0005-0000-0000-000062130000}"/>
    <cellStyle name="40% - Accent6 10 2 2" xfId="4967" xr:uid="{00000000-0005-0000-0000-000063130000}"/>
    <cellStyle name="40% - Accent6 10 2 2 2" xfId="4968" xr:uid="{00000000-0005-0000-0000-000064130000}"/>
    <cellStyle name="40% - Accent6 10 2 3" xfId="4969" xr:uid="{00000000-0005-0000-0000-000065130000}"/>
    <cellStyle name="40% - Accent6 10 2 4" xfId="4970" xr:uid="{00000000-0005-0000-0000-000066130000}"/>
    <cellStyle name="40% - Accent6 10 2 5" xfId="4971" xr:uid="{00000000-0005-0000-0000-000067130000}"/>
    <cellStyle name="40% - Accent6 10 3" xfId="4972" xr:uid="{00000000-0005-0000-0000-000068130000}"/>
    <cellStyle name="40% - Accent6 10 3 2" xfId="4973" xr:uid="{00000000-0005-0000-0000-000069130000}"/>
    <cellStyle name="40% - Accent6 10 3 3" xfId="4974" xr:uid="{00000000-0005-0000-0000-00006A130000}"/>
    <cellStyle name="40% - Accent6 10 3 4" xfId="4975" xr:uid="{00000000-0005-0000-0000-00006B130000}"/>
    <cellStyle name="40% - Accent6 10 4" xfId="4976" xr:uid="{00000000-0005-0000-0000-00006C130000}"/>
    <cellStyle name="40% - Accent6 10 4 2" xfId="4977" xr:uid="{00000000-0005-0000-0000-00006D130000}"/>
    <cellStyle name="40% - Accent6 10 5" xfId="4978" xr:uid="{00000000-0005-0000-0000-00006E130000}"/>
    <cellStyle name="40% - Accent6 10 6" xfId="4979" xr:uid="{00000000-0005-0000-0000-00006F130000}"/>
    <cellStyle name="40% - Accent6 10 7" xfId="4980" xr:uid="{00000000-0005-0000-0000-000070130000}"/>
    <cellStyle name="40% - Accent6 10 8" xfId="4981" xr:uid="{00000000-0005-0000-0000-000071130000}"/>
    <cellStyle name="40% - Accent6 11" xfId="4982" xr:uid="{00000000-0005-0000-0000-000072130000}"/>
    <cellStyle name="40% - Accent6 11 2" xfId="4983" xr:uid="{00000000-0005-0000-0000-000073130000}"/>
    <cellStyle name="40% - Accent6 11 2 2" xfId="4984" xr:uid="{00000000-0005-0000-0000-000074130000}"/>
    <cellStyle name="40% - Accent6 11 2 2 2" xfId="4985" xr:uid="{00000000-0005-0000-0000-000075130000}"/>
    <cellStyle name="40% - Accent6 11 2 3" xfId="4986" xr:uid="{00000000-0005-0000-0000-000076130000}"/>
    <cellStyle name="40% - Accent6 11 2 4" xfId="4987" xr:uid="{00000000-0005-0000-0000-000077130000}"/>
    <cellStyle name="40% - Accent6 11 2 5" xfId="4988" xr:uid="{00000000-0005-0000-0000-000078130000}"/>
    <cellStyle name="40% - Accent6 11 3" xfId="4989" xr:uid="{00000000-0005-0000-0000-000079130000}"/>
    <cellStyle name="40% - Accent6 11 3 2" xfId="4990" xr:uid="{00000000-0005-0000-0000-00007A130000}"/>
    <cellStyle name="40% - Accent6 11 3 3" xfId="4991" xr:uid="{00000000-0005-0000-0000-00007B130000}"/>
    <cellStyle name="40% - Accent6 11 3 4" xfId="4992" xr:uid="{00000000-0005-0000-0000-00007C130000}"/>
    <cellStyle name="40% - Accent6 11 4" xfId="4993" xr:uid="{00000000-0005-0000-0000-00007D130000}"/>
    <cellStyle name="40% - Accent6 11 4 2" xfId="4994" xr:uid="{00000000-0005-0000-0000-00007E130000}"/>
    <cellStyle name="40% - Accent6 11 5" xfId="4995" xr:uid="{00000000-0005-0000-0000-00007F130000}"/>
    <cellStyle name="40% - Accent6 11 6" xfId="4996" xr:uid="{00000000-0005-0000-0000-000080130000}"/>
    <cellStyle name="40% - Accent6 11 7" xfId="4997" xr:uid="{00000000-0005-0000-0000-000081130000}"/>
    <cellStyle name="40% - Accent6 11 8" xfId="4998" xr:uid="{00000000-0005-0000-0000-000082130000}"/>
    <cellStyle name="40% - Accent6 12" xfId="4999" xr:uid="{00000000-0005-0000-0000-000083130000}"/>
    <cellStyle name="40% - Accent6 12 2" xfId="5000" xr:uid="{00000000-0005-0000-0000-000084130000}"/>
    <cellStyle name="40% - Accent6 12 2 2" xfId="5001" xr:uid="{00000000-0005-0000-0000-000085130000}"/>
    <cellStyle name="40% - Accent6 12 2 2 2" xfId="5002" xr:uid="{00000000-0005-0000-0000-000086130000}"/>
    <cellStyle name="40% - Accent6 12 2 3" xfId="5003" xr:uid="{00000000-0005-0000-0000-000087130000}"/>
    <cellStyle name="40% - Accent6 12 2 4" xfId="5004" xr:uid="{00000000-0005-0000-0000-000088130000}"/>
    <cellStyle name="40% - Accent6 12 2 5" xfId="5005" xr:uid="{00000000-0005-0000-0000-000089130000}"/>
    <cellStyle name="40% - Accent6 12 3" xfId="5006" xr:uid="{00000000-0005-0000-0000-00008A130000}"/>
    <cellStyle name="40% - Accent6 12 3 2" xfId="5007" xr:uid="{00000000-0005-0000-0000-00008B130000}"/>
    <cellStyle name="40% - Accent6 12 3 3" xfId="5008" xr:uid="{00000000-0005-0000-0000-00008C130000}"/>
    <cellStyle name="40% - Accent6 12 3 4" xfId="5009" xr:uid="{00000000-0005-0000-0000-00008D130000}"/>
    <cellStyle name="40% - Accent6 12 4" xfId="5010" xr:uid="{00000000-0005-0000-0000-00008E130000}"/>
    <cellStyle name="40% - Accent6 12 4 2" xfId="5011" xr:uid="{00000000-0005-0000-0000-00008F130000}"/>
    <cellStyle name="40% - Accent6 12 5" xfId="5012" xr:uid="{00000000-0005-0000-0000-000090130000}"/>
    <cellStyle name="40% - Accent6 12 6" xfId="5013" xr:uid="{00000000-0005-0000-0000-000091130000}"/>
    <cellStyle name="40% - Accent6 12 7" xfId="5014" xr:uid="{00000000-0005-0000-0000-000092130000}"/>
    <cellStyle name="40% - Accent6 12 8" xfId="5015" xr:uid="{00000000-0005-0000-0000-000093130000}"/>
    <cellStyle name="40% - Accent6 13" xfId="5016" xr:uid="{00000000-0005-0000-0000-000094130000}"/>
    <cellStyle name="40% - Accent6 13 2" xfId="5017" xr:uid="{00000000-0005-0000-0000-000095130000}"/>
    <cellStyle name="40% - Accent6 13 2 2" xfId="5018" xr:uid="{00000000-0005-0000-0000-000096130000}"/>
    <cellStyle name="40% - Accent6 13 2 3" xfId="5019" xr:uid="{00000000-0005-0000-0000-000097130000}"/>
    <cellStyle name="40% - Accent6 13 2 4" xfId="5020" xr:uid="{00000000-0005-0000-0000-000098130000}"/>
    <cellStyle name="40% - Accent6 13 3" xfId="5021" xr:uid="{00000000-0005-0000-0000-000099130000}"/>
    <cellStyle name="40% - Accent6 13 3 2" xfId="5022" xr:uid="{00000000-0005-0000-0000-00009A130000}"/>
    <cellStyle name="40% - Accent6 13 4" xfId="5023" xr:uid="{00000000-0005-0000-0000-00009B130000}"/>
    <cellStyle name="40% - Accent6 13 5" xfId="5024" xr:uid="{00000000-0005-0000-0000-00009C130000}"/>
    <cellStyle name="40% - Accent6 13 6" xfId="5025" xr:uid="{00000000-0005-0000-0000-00009D130000}"/>
    <cellStyle name="40% - Accent6 14" xfId="5026" xr:uid="{00000000-0005-0000-0000-00009E130000}"/>
    <cellStyle name="40% - Accent6 14 2" xfId="5027" xr:uid="{00000000-0005-0000-0000-00009F130000}"/>
    <cellStyle name="40% - Accent6 14 2 2" xfId="5028" xr:uid="{00000000-0005-0000-0000-0000A0130000}"/>
    <cellStyle name="40% - Accent6 14 3" xfId="5029" xr:uid="{00000000-0005-0000-0000-0000A1130000}"/>
    <cellStyle name="40% - Accent6 14 4" xfId="5030" xr:uid="{00000000-0005-0000-0000-0000A2130000}"/>
    <cellStyle name="40% - Accent6 14 5" xfId="5031" xr:uid="{00000000-0005-0000-0000-0000A3130000}"/>
    <cellStyle name="40% - Accent6 15" xfId="5032" xr:uid="{00000000-0005-0000-0000-0000A4130000}"/>
    <cellStyle name="40% - Accent6 15 2" xfId="5033" xr:uid="{00000000-0005-0000-0000-0000A5130000}"/>
    <cellStyle name="40% - Accent6 15 2 2" xfId="5034" xr:uid="{00000000-0005-0000-0000-0000A6130000}"/>
    <cellStyle name="40% - Accent6 15 3" xfId="5035" xr:uid="{00000000-0005-0000-0000-0000A7130000}"/>
    <cellStyle name="40% - Accent6 15 4" xfId="5036" xr:uid="{00000000-0005-0000-0000-0000A8130000}"/>
    <cellStyle name="40% - Accent6 15 5" xfId="5037" xr:uid="{00000000-0005-0000-0000-0000A9130000}"/>
    <cellStyle name="40% - Accent6 16" xfId="5038" xr:uid="{00000000-0005-0000-0000-0000AA130000}"/>
    <cellStyle name="40% - Accent6 16 2" xfId="5039" xr:uid="{00000000-0005-0000-0000-0000AB130000}"/>
    <cellStyle name="40% - Accent6 17" xfId="5040" xr:uid="{00000000-0005-0000-0000-0000AC130000}"/>
    <cellStyle name="40% - Accent6 18" xfId="5041" xr:uid="{00000000-0005-0000-0000-0000AD130000}"/>
    <cellStyle name="40% - Accent6 19" xfId="5042" xr:uid="{00000000-0005-0000-0000-0000AE130000}"/>
    <cellStyle name="40% - Accent6 2" xfId="5043" xr:uid="{00000000-0005-0000-0000-0000AF130000}"/>
    <cellStyle name="40% - Accent6 2 10" xfId="5044" xr:uid="{00000000-0005-0000-0000-0000B0130000}"/>
    <cellStyle name="40% - Accent6 2 11" xfId="5045" xr:uid="{00000000-0005-0000-0000-0000B1130000}"/>
    <cellStyle name="40% - Accent6 2 2" xfId="5046" xr:uid="{00000000-0005-0000-0000-0000B2130000}"/>
    <cellStyle name="40% - Accent6 2 2 10" xfId="5047" xr:uid="{00000000-0005-0000-0000-0000B3130000}"/>
    <cellStyle name="40% - Accent6 2 2 2" xfId="5048" xr:uid="{00000000-0005-0000-0000-0000B4130000}"/>
    <cellStyle name="40% - Accent6 2 2 2 2" xfId="5049" xr:uid="{00000000-0005-0000-0000-0000B5130000}"/>
    <cellStyle name="40% - Accent6 2 2 2 2 2" xfId="5050" xr:uid="{00000000-0005-0000-0000-0000B6130000}"/>
    <cellStyle name="40% - Accent6 2 2 2 2 2 2" xfId="5051" xr:uid="{00000000-0005-0000-0000-0000B7130000}"/>
    <cellStyle name="40% - Accent6 2 2 2 2 2 3" xfId="5052" xr:uid="{00000000-0005-0000-0000-0000B8130000}"/>
    <cellStyle name="40% - Accent6 2 2 2 2 3" xfId="5053" xr:uid="{00000000-0005-0000-0000-0000B9130000}"/>
    <cellStyle name="40% - Accent6 2 2 2 2 4" xfId="5054" xr:uid="{00000000-0005-0000-0000-0000BA130000}"/>
    <cellStyle name="40% - Accent6 2 2 2 2 5" xfId="5055" xr:uid="{00000000-0005-0000-0000-0000BB130000}"/>
    <cellStyle name="40% - Accent6 2 2 2 2 6" xfId="5056" xr:uid="{00000000-0005-0000-0000-0000BC130000}"/>
    <cellStyle name="40% - Accent6 2 2 2 3" xfId="5057" xr:uid="{00000000-0005-0000-0000-0000BD130000}"/>
    <cellStyle name="40% - Accent6 2 2 2 3 2" xfId="5058" xr:uid="{00000000-0005-0000-0000-0000BE130000}"/>
    <cellStyle name="40% - Accent6 2 2 2 3 2 2" xfId="5059" xr:uid="{00000000-0005-0000-0000-0000BF130000}"/>
    <cellStyle name="40% - Accent6 2 2 2 3 3" xfId="5060" xr:uid="{00000000-0005-0000-0000-0000C0130000}"/>
    <cellStyle name="40% - Accent6 2 2 2 3 4" xfId="5061" xr:uid="{00000000-0005-0000-0000-0000C1130000}"/>
    <cellStyle name="40% - Accent6 2 2 2 3 5" xfId="5062" xr:uid="{00000000-0005-0000-0000-0000C2130000}"/>
    <cellStyle name="40% - Accent6 2 2 2 4" xfId="5063" xr:uid="{00000000-0005-0000-0000-0000C3130000}"/>
    <cellStyle name="40% - Accent6 2 2 2 4 2" xfId="5064" xr:uid="{00000000-0005-0000-0000-0000C4130000}"/>
    <cellStyle name="40% - Accent6 2 2 2 4 3" xfId="5065" xr:uid="{00000000-0005-0000-0000-0000C5130000}"/>
    <cellStyle name="40% - Accent6 2 2 2 4 4" xfId="5066" xr:uid="{00000000-0005-0000-0000-0000C6130000}"/>
    <cellStyle name="40% - Accent6 2 2 2 5" xfId="5067" xr:uid="{00000000-0005-0000-0000-0000C7130000}"/>
    <cellStyle name="40% - Accent6 2 2 2 5 2" xfId="5068" xr:uid="{00000000-0005-0000-0000-0000C8130000}"/>
    <cellStyle name="40% - Accent6 2 2 2 6" xfId="5069" xr:uid="{00000000-0005-0000-0000-0000C9130000}"/>
    <cellStyle name="40% - Accent6 2 2 2 7" xfId="5070" xr:uid="{00000000-0005-0000-0000-0000CA130000}"/>
    <cellStyle name="40% - Accent6 2 2 2 8" xfId="5071" xr:uid="{00000000-0005-0000-0000-0000CB130000}"/>
    <cellStyle name="40% - Accent6 2 2 2 9" xfId="5072" xr:uid="{00000000-0005-0000-0000-0000CC130000}"/>
    <cellStyle name="40% - Accent6 2 2 3" xfId="5073" xr:uid="{00000000-0005-0000-0000-0000CD130000}"/>
    <cellStyle name="40% - Accent6 2 2 3 2" xfId="5074" xr:uid="{00000000-0005-0000-0000-0000CE130000}"/>
    <cellStyle name="40% - Accent6 2 2 3 2 2" xfId="5075" xr:uid="{00000000-0005-0000-0000-0000CF130000}"/>
    <cellStyle name="40% - Accent6 2 2 3 2 3" xfId="5076" xr:uid="{00000000-0005-0000-0000-0000D0130000}"/>
    <cellStyle name="40% - Accent6 2 2 3 3" xfId="5077" xr:uid="{00000000-0005-0000-0000-0000D1130000}"/>
    <cellStyle name="40% - Accent6 2 2 3 4" xfId="5078" xr:uid="{00000000-0005-0000-0000-0000D2130000}"/>
    <cellStyle name="40% - Accent6 2 2 3 5" xfId="5079" xr:uid="{00000000-0005-0000-0000-0000D3130000}"/>
    <cellStyle name="40% - Accent6 2 2 3 6" xfId="5080" xr:uid="{00000000-0005-0000-0000-0000D4130000}"/>
    <cellStyle name="40% - Accent6 2 2 4" xfId="5081" xr:uid="{00000000-0005-0000-0000-0000D5130000}"/>
    <cellStyle name="40% - Accent6 2 2 4 2" xfId="5082" xr:uid="{00000000-0005-0000-0000-0000D6130000}"/>
    <cellStyle name="40% - Accent6 2 2 4 2 2" xfId="5083" xr:uid="{00000000-0005-0000-0000-0000D7130000}"/>
    <cellStyle name="40% - Accent6 2 2 4 3" xfId="5084" xr:uid="{00000000-0005-0000-0000-0000D8130000}"/>
    <cellStyle name="40% - Accent6 2 2 4 4" xfId="5085" xr:uid="{00000000-0005-0000-0000-0000D9130000}"/>
    <cellStyle name="40% - Accent6 2 2 4 5" xfId="5086" xr:uid="{00000000-0005-0000-0000-0000DA130000}"/>
    <cellStyle name="40% - Accent6 2 2 5" xfId="5087" xr:uid="{00000000-0005-0000-0000-0000DB130000}"/>
    <cellStyle name="40% - Accent6 2 2 5 2" xfId="5088" xr:uid="{00000000-0005-0000-0000-0000DC130000}"/>
    <cellStyle name="40% - Accent6 2 2 5 3" xfId="5089" xr:uid="{00000000-0005-0000-0000-0000DD130000}"/>
    <cellStyle name="40% - Accent6 2 2 5 4" xfId="5090" xr:uid="{00000000-0005-0000-0000-0000DE130000}"/>
    <cellStyle name="40% - Accent6 2 2 6" xfId="5091" xr:uid="{00000000-0005-0000-0000-0000DF130000}"/>
    <cellStyle name="40% - Accent6 2 2 6 2" xfId="5092" xr:uid="{00000000-0005-0000-0000-0000E0130000}"/>
    <cellStyle name="40% - Accent6 2 2 7" xfId="5093" xr:uid="{00000000-0005-0000-0000-0000E1130000}"/>
    <cellStyle name="40% - Accent6 2 2 8" xfId="5094" xr:uid="{00000000-0005-0000-0000-0000E2130000}"/>
    <cellStyle name="40% - Accent6 2 2 9" xfId="5095" xr:uid="{00000000-0005-0000-0000-0000E3130000}"/>
    <cellStyle name="40% - Accent6 2 3" xfId="5096" xr:uid="{00000000-0005-0000-0000-0000E4130000}"/>
    <cellStyle name="40% - Accent6 2 3 2" xfId="5097" xr:uid="{00000000-0005-0000-0000-0000E5130000}"/>
    <cellStyle name="40% - Accent6 2 3 2 2" xfId="5098" xr:uid="{00000000-0005-0000-0000-0000E6130000}"/>
    <cellStyle name="40% - Accent6 2 3 2 2 2" xfId="5099" xr:uid="{00000000-0005-0000-0000-0000E7130000}"/>
    <cellStyle name="40% - Accent6 2 3 2 2 3" xfId="5100" xr:uid="{00000000-0005-0000-0000-0000E8130000}"/>
    <cellStyle name="40% - Accent6 2 3 2 3" xfId="5101" xr:uid="{00000000-0005-0000-0000-0000E9130000}"/>
    <cellStyle name="40% - Accent6 2 3 2 4" xfId="5102" xr:uid="{00000000-0005-0000-0000-0000EA130000}"/>
    <cellStyle name="40% - Accent6 2 3 2 5" xfId="5103" xr:uid="{00000000-0005-0000-0000-0000EB130000}"/>
    <cellStyle name="40% - Accent6 2 3 2 6" xfId="5104" xr:uid="{00000000-0005-0000-0000-0000EC130000}"/>
    <cellStyle name="40% - Accent6 2 3 3" xfId="5105" xr:uid="{00000000-0005-0000-0000-0000ED130000}"/>
    <cellStyle name="40% - Accent6 2 3 3 2" xfId="5106" xr:uid="{00000000-0005-0000-0000-0000EE130000}"/>
    <cellStyle name="40% - Accent6 2 3 3 2 2" xfId="5107" xr:uid="{00000000-0005-0000-0000-0000EF130000}"/>
    <cellStyle name="40% - Accent6 2 3 3 3" xfId="5108" xr:uid="{00000000-0005-0000-0000-0000F0130000}"/>
    <cellStyle name="40% - Accent6 2 3 3 4" xfId="5109" xr:uid="{00000000-0005-0000-0000-0000F1130000}"/>
    <cellStyle name="40% - Accent6 2 3 3 5" xfId="5110" xr:uid="{00000000-0005-0000-0000-0000F2130000}"/>
    <cellStyle name="40% - Accent6 2 3 4" xfId="5111" xr:uid="{00000000-0005-0000-0000-0000F3130000}"/>
    <cellStyle name="40% - Accent6 2 3 4 2" xfId="5112" xr:uid="{00000000-0005-0000-0000-0000F4130000}"/>
    <cellStyle name="40% - Accent6 2 3 4 3" xfId="5113" xr:uid="{00000000-0005-0000-0000-0000F5130000}"/>
    <cellStyle name="40% - Accent6 2 3 4 4" xfId="5114" xr:uid="{00000000-0005-0000-0000-0000F6130000}"/>
    <cellStyle name="40% - Accent6 2 3 5" xfId="5115" xr:uid="{00000000-0005-0000-0000-0000F7130000}"/>
    <cellStyle name="40% - Accent6 2 3 5 2" xfId="5116" xr:uid="{00000000-0005-0000-0000-0000F8130000}"/>
    <cellStyle name="40% - Accent6 2 3 6" xfId="5117" xr:uid="{00000000-0005-0000-0000-0000F9130000}"/>
    <cellStyle name="40% - Accent6 2 3 7" xfId="5118" xr:uid="{00000000-0005-0000-0000-0000FA130000}"/>
    <cellStyle name="40% - Accent6 2 3 8" xfId="5119" xr:uid="{00000000-0005-0000-0000-0000FB130000}"/>
    <cellStyle name="40% - Accent6 2 3 9" xfId="5120" xr:uid="{00000000-0005-0000-0000-0000FC130000}"/>
    <cellStyle name="40% - Accent6 2 4" xfId="5121" xr:uid="{00000000-0005-0000-0000-0000FD130000}"/>
    <cellStyle name="40% - Accent6 2 4 2" xfId="5122" xr:uid="{00000000-0005-0000-0000-0000FE130000}"/>
    <cellStyle name="40% - Accent6 2 4 2 2" xfId="5123" xr:uid="{00000000-0005-0000-0000-0000FF130000}"/>
    <cellStyle name="40% - Accent6 2 4 2 3" xfId="5124" xr:uid="{00000000-0005-0000-0000-000000140000}"/>
    <cellStyle name="40% - Accent6 2 4 3" xfId="5125" xr:uid="{00000000-0005-0000-0000-000001140000}"/>
    <cellStyle name="40% - Accent6 2 4 4" xfId="5126" xr:uid="{00000000-0005-0000-0000-000002140000}"/>
    <cellStyle name="40% - Accent6 2 4 5" xfId="5127" xr:uid="{00000000-0005-0000-0000-000003140000}"/>
    <cellStyle name="40% - Accent6 2 4 6" xfId="5128" xr:uid="{00000000-0005-0000-0000-000004140000}"/>
    <cellStyle name="40% - Accent6 2 5" xfId="5129" xr:uid="{00000000-0005-0000-0000-000005140000}"/>
    <cellStyle name="40% - Accent6 2 5 2" xfId="5130" xr:uid="{00000000-0005-0000-0000-000006140000}"/>
    <cellStyle name="40% - Accent6 2 5 2 2" xfId="5131" xr:uid="{00000000-0005-0000-0000-000007140000}"/>
    <cellStyle name="40% - Accent6 2 5 3" xfId="5132" xr:uid="{00000000-0005-0000-0000-000008140000}"/>
    <cellStyle name="40% - Accent6 2 5 4" xfId="5133" xr:uid="{00000000-0005-0000-0000-000009140000}"/>
    <cellStyle name="40% - Accent6 2 5 5" xfId="5134" xr:uid="{00000000-0005-0000-0000-00000A140000}"/>
    <cellStyle name="40% - Accent6 2 6" xfId="5135" xr:uid="{00000000-0005-0000-0000-00000B140000}"/>
    <cellStyle name="40% - Accent6 2 6 2" xfId="5136" xr:uid="{00000000-0005-0000-0000-00000C140000}"/>
    <cellStyle name="40% - Accent6 2 6 2 2" xfId="5137" xr:uid="{00000000-0005-0000-0000-00000D140000}"/>
    <cellStyle name="40% - Accent6 2 6 3" xfId="5138" xr:uid="{00000000-0005-0000-0000-00000E140000}"/>
    <cellStyle name="40% - Accent6 2 6 4" xfId="5139" xr:uid="{00000000-0005-0000-0000-00000F140000}"/>
    <cellStyle name="40% - Accent6 2 6 5" xfId="5140" xr:uid="{00000000-0005-0000-0000-000010140000}"/>
    <cellStyle name="40% - Accent6 2 7" xfId="5141" xr:uid="{00000000-0005-0000-0000-000011140000}"/>
    <cellStyle name="40% - Accent6 2 7 2" xfId="5142" xr:uid="{00000000-0005-0000-0000-000012140000}"/>
    <cellStyle name="40% - Accent6 2 8" xfId="5143" xr:uid="{00000000-0005-0000-0000-000013140000}"/>
    <cellStyle name="40% - Accent6 2 9" xfId="5144" xr:uid="{00000000-0005-0000-0000-000014140000}"/>
    <cellStyle name="40% - Accent6 3" xfId="5145" xr:uid="{00000000-0005-0000-0000-000015140000}"/>
    <cellStyle name="40% - Accent6 3 10" xfId="5146" xr:uid="{00000000-0005-0000-0000-000016140000}"/>
    <cellStyle name="40% - Accent6 3 2" xfId="5147" xr:uid="{00000000-0005-0000-0000-000017140000}"/>
    <cellStyle name="40% - Accent6 3 2 2" xfId="5148" xr:uid="{00000000-0005-0000-0000-000018140000}"/>
    <cellStyle name="40% - Accent6 3 2 2 2" xfId="5149" xr:uid="{00000000-0005-0000-0000-000019140000}"/>
    <cellStyle name="40% - Accent6 3 2 2 2 2" xfId="5150" xr:uid="{00000000-0005-0000-0000-00001A140000}"/>
    <cellStyle name="40% - Accent6 3 2 2 2 3" xfId="5151" xr:uid="{00000000-0005-0000-0000-00001B140000}"/>
    <cellStyle name="40% - Accent6 3 2 2 3" xfId="5152" xr:uid="{00000000-0005-0000-0000-00001C140000}"/>
    <cellStyle name="40% - Accent6 3 2 2 4" xfId="5153" xr:uid="{00000000-0005-0000-0000-00001D140000}"/>
    <cellStyle name="40% - Accent6 3 2 2 5" xfId="5154" xr:uid="{00000000-0005-0000-0000-00001E140000}"/>
    <cellStyle name="40% - Accent6 3 2 2 6" xfId="5155" xr:uid="{00000000-0005-0000-0000-00001F140000}"/>
    <cellStyle name="40% - Accent6 3 2 3" xfId="5156" xr:uid="{00000000-0005-0000-0000-000020140000}"/>
    <cellStyle name="40% - Accent6 3 2 3 2" xfId="5157" xr:uid="{00000000-0005-0000-0000-000021140000}"/>
    <cellStyle name="40% - Accent6 3 2 3 2 2" xfId="5158" xr:uid="{00000000-0005-0000-0000-000022140000}"/>
    <cellStyle name="40% - Accent6 3 2 3 3" xfId="5159" xr:uid="{00000000-0005-0000-0000-000023140000}"/>
    <cellStyle name="40% - Accent6 3 2 3 4" xfId="5160" xr:uid="{00000000-0005-0000-0000-000024140000}"/>
    <cellStyle name="40% - Accent6 3 2 3 5" xfId="5161" xr:uid="{00000000-0005-0000-0000-000025140000}"/>
    <cellStyle name="40% - Accent6 3 2 4" xfId="5162" xr:uid="{00000000-0005-0000-0000-000026140000}"/>
    <cellStyle name="40% - Accent6 3 2 4 2" xfId="5163" xr:uid="{00000000-0005-0000-0000-000027140000}"/>
    <cellStyle name="40% - Accent6 3 2 4 3" xfId="5164" xr:uid="{00000000-0005-0000-0000-000028140000}"/>
    <cellStyle name="40% - Accent6 3 2 4 4" xfId="5165" xr:uid="{00000000-0005-0000-0000-000029140000}"/>
    <cellStyle name="40% - Accent6 3 2 5" xfId="5166" xr:uid="{00000000-0005-0000-0000-00002A140000}"/>
    <cellStyle name="40% - Accent6 3 2 5 2" xfId="5167" xr:uid="{00000000-0005-0000-0000-00002B140000}"/>
    <cellStyle name="40% - Accent6 3 2 6" xfId="5168" xr:uid="{00000000-0005-0000-0000-00002C140000}"/>
    <cellStyle name="40% - Accent6 3 2 7" xfId="5169" xr:uid="{00000000-0005-0000-0000-00002D140000}"/>
    <cellStyle name="40% - Accent6 3 2 8" xfId="5170" xr:uid="{00000000-0005-0000-0000-00002E140000}"/>
    <cellStyle name="40% - Accent6 3 2 9" xfId="5171" xr:uid="{00000000-0005-0000-0000-00002F140000}"/>
    <cellStyle name="40% - Accent6 3 3" xfId="5172" xr:uid="{00000000-0005-0000-0000-000030140000}"/>
    <cellStyle name="40% - Accent6 3 3 2" xfId="5173" xr:uid="{00000000-0005-0000-0000-000031140000}"/>
    <cellStyle name="40% - Accent6 3 3 2 2" xfId="5174" xr:uid="{00000000-0005-0000-0000-000032140000}"/>
    <cellStyle name="40% - Accent6 3 3 2 3" xfId="5175" xr:uid="{00000000-0005-0000-0000-000033140000}"/>
    <cellStyle name="40% - Accent6 3 3 3" xfId="5176" xr:uid="{00000000-0005-0000-0000-000034140000}"/>
    <cellStyle name="40% - Accent6 3 3 4" xfId="5177" xr:uid="{00000000-0005-0000-0000-000035140000}"/>
    <cellStyle name="40% - Accent6 3 3 5" xfId="5178" xr:uid="{00000000-0005-0000-0000-000036140000}"/>
    <cellStyle name="40% - Accent6 3 3 6" xfId="5179" xr:uid="{00000000-0005-0000-0000-000037140000}"/>
    <cellStyle name="40% - Accent6 3 4" xfId="5180" xr:uid="{00000000-0005-0000-0000-000038140000}"/>
    <cellStyle name="40% - Accent6 3 4 2" xfId="5181" xr:uid="{00000000-0005-0000-0000-000039140000}"/>
    <cellStyle name="40% - Accent6 3 4 2 2" xfId="5182" xr:uid="{00000000-0005-0000-0000-00003A140000}"/>
    <cellStyle name="40% - Accent6 3 4 3" xfId="5183" xr:uid="{00000000-0005-0000-0000-00003B140000}"/>
    <cellStyle name="40% - Accent6 3 4 4" xfId="5184" xr:uid="{00000000-0005-0000-0000-00003C140000}"/>
    <cellStyle name="40% - Accent6 3 4 5" xfId="5185" xr:uid="{00000000-0005-0000-0000-00003D140000}"/>
    <cellStyle name="40% - Accent6 3 5" xfId="5186" xr:uid="{00000000-0005-0000-0000-00003E140000}"/>
    <cellStyle name="40% - Accent6 3 5 2" xfId="5187" xr:uid="{00000000-0005-0000-0000-00003F140000}"/>
    <cellStyle name="40% - Accent6 3 5 2 2" xfId="5188" xr:uid="{00000000-0005-0000-0000-000040140000}"/>
    <cellStyle name="40% - Accent6 3 5 3" xfId="5189" xr:uid="{00000000-0005-0000-0000-000041140000}"/>
    <cellStyle name="40% - Accent6 3 5 4" xfId="5190" xr:uid="{00000000-0005-0000-0000-000042140000}"/>
    <cellStyle name="40% - Accent6 3 5 5" xfId="5191" xr:uid="{00000000-0005-0000-0000-000043140000}"/>
    <cellStyle name="40% - Accent6 3 6" xfId="5192" xr:uid="{00000000-0005-0000-0000-000044140000}"/>
    <cellStyle name="40% - Accent6 3 6 2" xfId="5193" xr:uid="{00000000-0005-0000-0000-000045140000}"/>
    <cellStyle name="40% - Accent6 3 7" xfId="5194" xr:uid="{00000000-0005-0000-0000-000046140000}"/>
    <cellStyle name="40% - Accent6 3 8" xfId="5195" xr:uid="{00000000-0005-0000-0000-000047140000}"/>
    <cellStyle name="40% - Accent6 3 9" xfId="5196" xr:uid="{00000000-0005-0000-0000-000048140000}"/>
    <cellStyle name="40% - Accent6 4" xfId="5197" xr:uid="{00000000-0005-0000-0000-000049140000}"/>
    <cellStyle name="40% - Accent6 4 10" xfId="5198" xr:uid="{00000000-0005-0000-0000-00004A140000}"/>
    <cellStyle name="40% - Accent6 4 2" xfId="5199" xr:uid="{00000000-0005-0000-0000-00004B140000}"/>
    <cellStyle name="40% - Accent6 4 2 2" xfId="5200" xr:uid="{00000000-0005-0000-0000-00004C140000}"/>
    <cellStyle name="40% - Accent6 4 2 2 2" xfId="5201" xr:uid="{00000000-0005-0000-0000-00004D140000}"/>
    <cellStyle name="40% - Accent6 4 2 2 2 2" xfId="5202" xr:uid="{00000000-0005-0000-0000-00004E140000}"/>
    <cellStyle name="40% - Accent6 4 2 2 2 3" xfId="5203" xr:uid="{00000000-0005-0000-0000-00004F140000}"/>
    <cellStyle name="40% - Accent6 4 2 2 3" xfId="5204" xr:uid="{00000000-0005-0000-0000-000050140000}"/>
    <cellStyle name="40% - Accent6 4 2 2 4" xfId="5205" xr:uid="{00000000-0005-0000-0000-000051140000}"/>
    <cellStyle name="40% - Accent6 4 2 2 5" xfId="5206" xr:uid="{00000000-0005-0000-0000-000052140000}"/>
    <cellStyle name="40% - Accent6 4 2 2 6" xfId="5207" xr:uid="{00000000-0005-0000-0000-000053140000}"/>
    <cellStyle name="40% - Accent6 4 2 3" xfId="5208" xr:uid="{00000000-0005-0000-0000-000054140000}"/>
    <cellStyle name="40% - Accent6 4 2 3 2" xfId="5209" xr:uid="{00000000-0005-0000-0000-000055140000}"/>
    <cellStyle name="40% - Accent6 4 2 3 2 2" xfId="5210" xr:uid="{00000000-0005-0000-0000-000056140000}"/>
    <cellStyle name="40% - Accent6 4 2 3 3" xfId="5211" xr:uid="{00000000-0005-0000-0000-000057140000}"/>
    <cellStyle name="40% - Accent6 4 2 3 4" xfId="5212" xr:uid="{00000000-0005-0000-0000-000058140000}"/>
    <cellStyle name="40% - Accent6 4 2 3 5" xfId="5213" xr:uid="{00000000-0005-0000-0000-000059140000}"/>
    <cellStyle name="40% - Accent6 4 2 4" xfId="5214" xr:uid="{00000000-0005-0000-0000-00005A140000}"/>
    <cellStyle name="40% - Accent6 4 2 4 2" xfId="5215" xr:uid="{00000000-0005-0000-0000-00005B140000}"/>
    <cellStyle name="40% - Accent6 4 2 4 3" xfId="5216" xr:uid="{00000000-0005-0000-0000-00005C140000}"/>
    <cellStyle name="40% - Accent6 4 2 4 4" xfId="5217" xr:uid="{00000000-0005-0000-0000-00005D140000}"/>
    <cellStyle name="40% - Accent6 4 2 5" xfId="5218" xr:uid="{00000000-0005-0000-0000-00005E140000}"/>
    <cellStyle name="40% - Accent6 4 2 5 2" xfId="5219" xr:uid="{00000000-0005-0000-0000-00005F140000}"/>
    <cellStyle name="40% - Accent6 4 2 6" xfId="5220" xr:uid="{00000000-0005-0000-0000-000060140000}"/>
    <cellStyle name="40% - Accent6 4 2 7" xfId="5221" xr:uid="{00000000-0005-0000-0000-000061140000}"/>
    <cellStyle name="40% - Accent6 4 2 8" xfId="5222" xr:uid="{00000000-0005-0000-0000-000062140000}"/>
    <cellStyle name="40% - Accent6 4 2 9" xfId="5223" xr:uid="{00000000-0005-0000-0000-000063140000}"/>
    <cellStyle name="40% - Accent6 4 3" xfId="5224" xr:uid="{00000000-0005-0000-0000-000064140000}"/>
    <cellStyle name="40% - Accent6 4 3 2" xfId="5225" xr:uid="{00000000-0005-0000-0000-000065140000}"/>
    <cellStyle name="40% - Accent6 4 3 2 2" xfId="5226" xr:uid="{00000000-0005-0000-0000-000066140000}"/>
    <cellStyle name="40% - Accent6 4 3 2 3" xfId="5227" xr:uid="{00000000-0005-0000-0000-000067140000}"/>
    <cellStyle name="40% - Accent6 4 3 3" xfId="5228" xr:uid="{00000000-0005-0000-0000-000068140000}"/>
    <cellStyle name="40% - Accent6 4 3 4" xfId="5229" xr:uid="{00000000-0005-0000-0000-000069140000}"/>
    <cellStyle name="40% - Accent6 4 3 5" xfId="5230" xr:uid="{00000000-0005-0000-0000-00006A140000}"/>
    <cellStyle name="40% - Accent6 4 3 6" xfId="5231" xr:uid="{00000000-0005-0000-0000-00006B140000}"/>
    <cellStyle name="40% - Accent6 4 4" xfId="5232" xr:uid="{00000000-0005-0000-0000-00006C140000}"/>
    <cellStyle name="40% - Accent6 4 4 2" xfId="5233" xr:uid="{00000000-0005-0000-0000-00006D140000}"/>
    <cellStyle name="40% - Accent6 4 4 2 2" xfId="5234" xr:uid="{00000000-0005-0000-0000-00006E140000}"/>
    <cellStyle name="40% - Accent6 4 4 3" xfId="5235" xr:uid="{00000000-0005-0000-0000-00006F140000}"/>
    <cellStyle name="40% - Accent6 4 4 4" xfId="5236" xr:uid="{00000000-0005-0000-0000-000070140000}"/>
    <cellStyle name="40% - Accent6 4 4 5" xfId="5237" xr:uid="{00000000-0005-0000-0000-000071140000}"/>
    <cellStyle name="40% - Accent6 4 5" xfId="5238" xr:uid="{00000000-0005-0000-0000-000072140000}"/>
    <cellStyle name="40% - Accent6 4 5 2" xfId="5239" xr:uid="{00000000-0005-0000-0000-000073140000}"/>
    <cellStyle name="40% - Accent6 4 5 2 2" xfId="5240" xr:uid="{00000000-0005-0000-0000-000074140000}"/>
    <cellStyle name="40% - Accent6 4 5 3" xfId="5241" xr:uid="{00000000-0005-0000-0000-000075140000}"/>
    <cellStyle name="40% - Accent6 4 5 4" xfId="5242" xr:uid="{00000000-0005-0000-0000-000076140000}"/>
    <cellStyle name="40% - Accent6 4 5 5" xfId="5243" xr:uid="{00000000-0005-0000-0000-000077140000}"/>
    <cellStyle name="40% - Accent6 4 6" xfId="5244" xr:uid="{00000000-0005-0000-0000-000078140000}"/>
    <cellStyle name="40% - Accent6 4 6 2" xfId="5245" xr:uid="{00000000-0005-0000-0000-000079140000}"/>
    <cellStyle name="40% - Accent6 4 7" xfId="5246" xr:uid="{00000000-0005-0000-0000-00007A140000}"/>
    <cellStyle name="40% - Accent6 4 8" xfId="5247" xr:uid="{00000000-0005-0000-0000-00007B140000}"/>
    <cellStyle name="40% - Accent6 4 9" xfId="5248" xr:uid="{00000000-0005-0000-0000-00007C140000}"/>
    <cellStyle name="40% - Accent6 5" xfId="5249" xr:uid="{00000000-0005-0000-0000-00007D140000}"/>
    <cellStyle name="40% - Accent6 5 10" xfId="5250" xr:uid="{00000000-0005-0000-0000-00007E140000}"/>
    <cellStyle name="40% - Accent6 5 2" xfId="5251" xr:uid="{00000000-0005-0000-0000-00007F140000}"/>
    <cellStyle name="40% - Accent6 5 2 2" xfId="5252" xr:uid="{00000000-0005-0000-0000-000080140000}"/>
    <cellStyle name="40% - Accent6 5 2 2 2" xfId="5253" xr:uid="{00000000-0005-0000-0000-000081140000}"/>
    <cellStyle name="40% - Accent6 5 2 2 2 2" xfId="5254" xr:uid="{00000000-0005-0000-0000-000082140000}"/>
    <cellStyle name="40% - Accent6 5 2 2 2 3" xfId="5255" xr:uid="{00000000-0005-0000-0000-000083140000}"/>
    <cellStyle name="40% - Accent6 5 2 2 3" xfId="5256" xr:uid="{00000000-0005-0000-0000-000084140000}"/>
    <cellStyle name="40% - Accent6 5 2 2 4" xfId="5257" xr:uid="{00000000-0005-0000-0000-000085140000}"/>
    <cellStyle name="40% - Accent6 5 2 2 5" xfId="5258" xr:uid="{00000000-0005-0000-0000-000086140000}"/>
    <cellStyle name="40% - Accent6 5 2 2 6" xfId="5259" xr:uid="{00000000-0005-0000-0000-000087140000}"/>
    <cellStyle name="40% - Accent6 5 2 3" xfId="5260" xr:uid="{00000000-0005-0000-0000-000088140000}"/>
    <cellStyle name="40% - Accent6 5 2 3 2" xfId="5261" xr:uid="{00000000-0005-0000-0000-000089140000}"/>
    <cellStyle name="40% - Accent6 5 2 3 2 2" xfId="5262" xr:uid="{00000000-0005-0000-0000-00008A140000}"/>
    <cellStyle name="40% - Accent6 5 2 3 3" xfId="5263" xr:uid="{00000000-0005-0000-0000-00008B140000}"/>
    <cellStyle name="40% - Accent6 5 2 3 4" xfId="5264" xr:uid="{00000000-0005-0000-0000-00008C140000}"/>
    <cellStyle name="40% - Accent6 5 2 3 5" xfId="5265" xr:uid="{00000000-0005-0000-0000-00008D140000}"/>
    <cellStyle name="40% - Accent6 5 2 4" xfId="5266" xr:uid="{00000000-0005-0000-0000-00008E140000}"/>
    <cellStyle name="40% - Accent6 5 2 4 2" xfId="5267" xr:uid="{00000000-0005-0000-0000-00008F140000}"/>
    <cellStyle name="40% - Accent6 5 2 4 3" xfId="5268" xr:uid="{00000000-0005-0000-0000-000090140000}"/>
    <cellStyle name="40% - Accent6 5 2 4 4" xfId="5269" xr:uid="{00000000-0005-0000-0000-000091140000}"/>
    <cellStyle name="40% - Accent6 5 2 5" xfId="5270" xr:uid="{00000000-0005-0000-0000-000092140000}"/>
    <cellStyle name="40% - Accent6 5 2 5 2" xfId="5271" xr:uid="{00000000-0005-0000-0000-000093140000}"/>
    <cellStyle name="40% - Accent6 5 2 6" xfId="5272" xr:uid="{00000000-0005-0000-0000-000094140000}"/>
    <cellStyle name="40% - Accent6 5 2 7" xfId="5273" xr:uid="{00000000-0005-0000-0000-000095140000}"/>
    <cellStyle name="40% - Accent6 5 2 8" xfId="5274" xr:uid="{00000000-0005-0000-0000-000096140000}"/>
    <cellStyle name="40% - Accent6 5 2 9" xfId="5275" xr:uid="{00000000-0005-0000-0000-000097140000}"/>
    <cellStyle name="40% - Accent6 5 3" xfId="5276" xr:uid="{00000000-0005-0000-0000-000098140000}"/>
    <cellStyle name="40% - Accent6 5 3 2" xfId="5277" xr:uid="{00000000-0005-0000-0000-000099140000}"/>
    <cellStyle name="40% - Accent6 5 3 2 2" xfId="5278" xr:uid="{00000000-0005-0000-0000-00009A140000}"/>
    <cellStyle name="40% - Accent6 5 3 2 3" xfId="5279" xr:uid="{00000000-0005-0000-0000-00009B140000}"/>
    <cellStyle name="40% - Accent6 5 3 3" xfId="5280" xr:uid="{00000000-0005-0000-0000-00009C140000}"/>
    <cellStyle name="40% - Accent6 5 3 4" xfId="5281" xr:uid="{00000000-0005-0000-0000-00009D140000}"/>
    <cellStyle name="40% - Accent6 5 3 5" xfId="5282" xr:uid="{00000000-0005-0000-0000-00009E140000}"/>
    <cellStyle name="40% - Accent6 5 3 6" xfId="5283" xr:uid="{00000000-0005-0000-0000-00009F140000}"/>
    <cellStyle name="40% - Accent6 5 4" xfId="5284" xr:uid="{00000000-0005-0000-0000-0000A0140000}"/>
    <cellStyle name="40% - Accent6 5 4 2" xfId="5285" xr:uid="{00000000-0005-0000-0000-0000A1140000}"/>
    <cellStyle name="40% - Accent6 5 4 2 2" xfId="5286" xr:uid="{00000000-0005-0000-0000-0000A2140000}"/>
    <cellStyle name="40% - Accent6 5 4 3" xfId="5287" xr:uid="{00000000-0005-0000-0000-0000A3140000}"/>
    <cellStyle name="40% - Accent6 5 4 4" xfId="5288" xr:uid="{00000000-0005-0000-0000-0000A4140000}"/>
    <cellStyle name="40% - Accent6 5 4 5" xfId="5289" xr:uid="{00000000-0005-0000-0000-0000A5140000}"/>
    <cellStyle name="40% - Accent6 5 5" xfId="5290" xr:uid="{00000000-0005-0000-0000-0000A6140000}"/>
    <cellStyle name="40% - Accent6 5 5 2" xfId="5291" xr:uid="{00000000-0005-0000-0000-0000A7140000}"/>
    <cellStyle name="40% - Accent6 5 5 3" xfId="5292" xr:uid="{00000000-0005-0000-0000-0000A8140000}"/>
    <cellStyle name="40% - Accent6 5 5 4" xfId="5293" xr:uid="{00000000-0005-0000-0000-0000A9140000}"/>
    <cellStyle name="40% - Accent6 5 6" xfId="5294" xr:uid="{00000000-0005-0000-0000-0000AA140000}"/>
    <cellStyle name="40% - Accent6 5 6 2" xfId="5295" xr:uid="{00000000-0005-0000-0000-0000AB140000}"/>
    <cellStyle name="40% - Accent6 5 7" xfId="5296" xr:uid="{00000000-0005-0000-0000-0000AC140000}"/>
    <cellStyle name="40% - Accent6 5 8" xfId="5297" xr:uid="{00000000-0005-0000-0000-0000AD140000}"/>
    <cellStyle name="40% - Accent6 5 9" xfId="5298" xr:uid="{00000000-0005-0000-0000-0000AE140000}"/>
    <cellStyle name="40% - Accent6 6" xfId="5299" xr:uid="{00000000-0005-0000-0000-0000AF140000}"/>
    <cellStyle name="40% - Accent6 6 10" xfId="5300" xr:uid="{00000000-0005-0000-0000-0000B0140000}"/>
    <cellStyle name="40% - Accent6 6 2" xfId="5301" xr:uid="{00000000-0005-0000-0000-0000B1140000}"/>
    <cellStyle name="40% - Accent6 6 2 2" xfId="5302" xr:uid="{00000000-0005-0000-0000-0000B2140000}"/>
    <cellStyle name="40% - Accent6 6 2 2 2" xfId="5303" xr:uid="{00000000-0005-0000-0000-0000B3140000}"/>
    <cellStyle name="40% - Accent6 6 2 2 2 2" xfId="5304" xr:uid="{00000000-0005-0000-0000-0000B4140000}"/>
    <cellStyle name="40% - Accent6 6 2 2 2 3" xfId="5305" xr:uid="{00000000-0005-0000-0000-0000B5140000}"/>
    <cellStyle name="40% - Accent6 6 2 2 3" xfId="5306" xr:uid="{00000000-0005-0000-0000-0000B6140000}"/>
    <cellStyle name="40% - Accent6 6 2 2 4" xfId="5307" xr:uid="{00000000-0005-0000-0000-0000B7140000}"/>
    <cellStyle name="40% - Accent6 6 2 2 5" xfId="5308" xr:uid="{00000000-0005-0000-0000-0000B8140000}"/>
    <cellStyle name="40% - Accent6 6 2 2 6" xfId="5309" xr:uid="{00000000-0005-0000-0000-0000B9140000}"/>
    <cellStyle name="40% - Accent6 6 2 3" xfId="5310" xr:uid="{00000000-0005-0000-0000-0000BA140000}"/>
    <cellStyle name="40% - Accent6 6 2 3 2" xfId="5311" xr:uid="{00000000-0005-0000-0000-0000BB140000}"/>
    <cellStyle name="40% - Accent6 6 2 3 2 2" xfId="5312" xr:uid="{00000000-0005-0000-0000-0000BC140000}"/>
    <cellStyle name="40% - Accent6 6 2 3 3" xfId="5313" xr:uid="{00000000-0005-0000-0000-0000BD140000}"/>
    <cellStyle name="40% - Accent6 6 2 3 4" xfId="5314" xr:uid="{00000000-0005-0000-0000-0000BE140000}"/>
    <cellStyle name="40% - Accent6 6 2 3 5" xfId="5315" xr:uid="{00000000-0005-0000-0000-0000BF140000}"/>
    <cellStyle name="40% - Accent6 6 2 4" xfId="5316" xr:uid="{00000000-0005-0000-0000-0000C0140000}"/>
    <cellStyle name="40% - Accent6 6 2 4 2" xfId="5317" xr:uid="{00000000-0005-0000-0000-0000C1140000}"/>
    <cellStyle name="40% - Accent6 6 2 4 3" xfId="5318" xr:uid="{00000000-0005-0000-0000-0000C2140000}"/>
    <cellStyle name="40% - Accent6 6 2 4 4" xfId="5319" xr:uid="{00000000-0005-0000-0000-0000C3140000}"/>
    <cellStyle name="40% - Accent6 6 2 5" xfId="5320" xr:uid="{00000000-0005-0000-0000-0000C4140000}"/>
    <cellStyle name="40% - Accent6 6 2 5 2" xfId="5321" xr:uid="{00000000-0005-0000-0000-0000C5140000}"/>
    <cellStyle name="40% - Accent6 6 2 6" xfId="5322" xr:uid="{00000000-0005-0000-0000-0000C6140000}"/>
    <cellStyle name="40% - Accent6 6 2 7" xfId="5323" xr:uid="{00000000-0005-0000-0000-0000C7140000}"/>
    <cellStyle name="40% - Accent6 6 2 8" xfId="5324" xr:uid="{00000000-0005-0000-0000-0000C8140000}"/>
    <cellStyle name="40% - Accent6 6 2 9" xfId="5325" xr:uid="{00000000-0005-0000-0000-0000C9140000}"/>
    <cellStyle name="40% - Accent6 6 3" xfId="5326" xr:uid="{00000000-0005-0000-0000-0000CA140000}"/>
    <cellStyle name="40% - Accent6 6 3 2" xfId="5327" xr:uid="{00000000-0005-0000-0000-0000CB140000}"/>
    <cellStyle name="40% - Accent6 6 3 2 2" xfId="5328" xr:uid="{00000000-0005-0000-0000-0000CC140000}"/>
    <cellStyle name="40% - Accent6 6 3 2 3" xfId="5329" xr:uid="{00000000-0005-0000-0000-0000CD140000}"/>
    <cellStyle name="40% - Accent6 6 3 3" xfId="5330" xr:uid="{00000000-0005-0000-0000-0000CE140000}"/>
    <cellStyle name="40% - Accent6 6 3 4" xfId="5331" xr:uid="{00000000-0005-0000-0000-0000CF140000}"/>
    <cellStyle name="40% - Accent6 6 3 5" xfId="5332" xr:uid="{00000000-0005-0000-0000-0000D0140000}"/>
    <cellStyle name="40% - Accent6 6 3 6" xfId="5333" xr:uid="{00000000-0005-0000-0000-0000D1140000}"/>
    <cellStyle name="40% - Accent6 6 4" xfId="5334" xr:uid="{00000000-0005-0000-0000-0000D2140000}"/>
    <cellStyle name="40% - Accent6 6 4 2" xfId="5335" xr:uid="{00000000-0005-0000-0000-0000D3140000}"/>
    <cellStyle name="40% - Accent6 6 4 2 2" xfId="5336" xr:uid="{00000000-0005-0000-0000-0000D4140000}"/>
    <cellStyle name="40% - Accent6 6 4 3" xfId="5337" xr:uid="{00000000-0005-0000-0000-0000D5140000}"/>
    <cellStyle name="40% - Accent6 6 4 4" xfId="5338" xr:uid="{00000000-0005-0000-0000-0000D6140000}"/>
    <cellStyle name="40% - Accent6 6 4 5" xfId="5339" xr:uid="{00000000-0005-0000-0000-0000D7140000}"/>
    <cellStyle name="40% - Accent6 6 5" xfId="5340" xr:uid="{00000000-0005-0000-0000-0000D8140000}"/>
    <cellStyle name="40% - Accent6 6 5 2" xfId="5341" xr:uid="{00000000-0005-0000-0000-0000D9140000}"/>
    <cellStyle name="40% - Accent6 6 5 3" xfId="5342" xr:uid="{00000000-0005-0000-0000-0000DA140000}"/>
    <cellStyle name="40% - Accent6 6 5 4" xfId="5343" xr:uid="{00000000-0005-0000-0000-0000DB140000}"/>
    <cellStyle name="40% - Accent6 6 6" xfId="5344" xr:uid="{00000000-0005-0000-0000-0000DC140000}"/>
    <cellStyle name="40% - Accent6 6 6 2" xfId="5345" xr:uid="{00000000-0005-0000-0000-0000DD140000}"/>
    <cellStyle name="40% - Accent6 6 7" xfId="5346" xr:uid="{00000000-0005-0000-0000-0000DE140000}"/>
    <cellStyle name="40% - Accent6 6 8" xfId="5347" xr:uid="{00000000-0005-0000-0000-0000DF140000}"/>
    <cellStyle name="40% - Accent6 6 9" xfId="5348" xr:uid="{00000000-0005-0000-0000-0000E0140000}"/>
    <cellStyle name="40% - Accent6 7" xfId="5349" xr:uid="{00000000-0005-0000-0000-0000E1140000}"/>
    <cellStyle name="40% - Accent6 7 2" xfId="5350" xr:uid="{00000000-0005-0000-0000-0000E2140000}"/>
    <cellStyle name="40% - Accent6 7 2 2" xfId="5351" xr:uid="{00000000-0005-0000-0000-0000E3140000}"/>
    <cellStyle name="40% - Accent6 7 2 2 2" xfId="5352" xr:uid="{00000000-0005-0000-0000-0000E4140000}"/>
    <cellStyle name="40% - Accent6 7 2 2 3" xfId="5353" xr:uid="{00000000-0005-0000-0000-0000E5140000}"/>
    <cellStyle name="40% - Accent6 7 2 3" xfId="5354" xr:uid="{00000000-0005-0000-0000-0000E6140000}"/>
    <cellStyle name="40% - Accent6 7 2 4" xfId="5355" xr:uid="{00000000-0005-0000-0000-0000E7140000}"/>
    <cellStyle name="40% - Accent6 7 2 5" xfId="5356" xr:uid="{00000000-0005-0000-0000-0000E8140000}"/>
    <cellStyle name="40% - Accent6 7 2 6" xfId="5357" xr:uid="{00000000-0005-0000-0000-0000E9140000}"/>
    <cellStyle name="40% - Accent6 7 3" xfId="5358" xr:uid="{00000000-0005-0000-0000-0000EA140000}"/>
    <cellStyle name="40% - Accent6 7 3 2" xfId="5359" xr:uid="{00000000-0005-0000-0000-0000EB140000}"/>
    <cellStyle name="40% - Accent6 7 3 2 2" xfId="5360" xr:uid="{00000000-0005-0000-0000-0000EC140000}"/>
    <cellStyle name="40% - Accent6 7 3 3" xfId="5361" xr:uid="{00000000-0005-0000-0000-0000ED140000}"/>
    <cellStyle name="40% - Accent6 7 3 4" xfId="5362" xr:uid="{00000000-0005-0000-0000-0000EE140000}"/>
    <cellStyle name="40% - Accent6 7 3 5" xfId="5363" xr:uid="{00000000-0005-0000-0000-0000EF140000}"/>
    <cellStyle name="40% - Accent6 7 4" xfId="5364" xr:uid="{00000000-0005-0000-0000-0000F0140000}"/>
    <cellStyle name="40% - Accent6 7 4 2" xfId="5365" xr:uid="{00000000-0005-0000-0000-0000F1140000}"/>
    <cellStyle name="40% - Accent6 7 4 3" xfId="5366" xr:uid="{00000000-0005-0000-0000-0000F2140000}"/>
    <cellStyle name="40% - Accent6 7 4 4" xfId="5367" xr:uid="{00000000-0005-0000-0000-0000F3140000}"/>
    <cellStyle name="40% - Accent6 7 5" xfId="5368" xr:uid="{00000000-0005-0000-0000-0000F4140000}"/>
    <cellStyle name="40% - Accent6 7 5 2" xfId="5369" xr:uid="{00000000-0005-0000-0000-0000F5140000}"/>
    <cellStyle name="40% - Accent6 7 6" xfId="5370" xr:uid="{00000000-0005-0000-0000-0000F6140000}"/>
    <cellStyle name="40% - Accent6 7 7" xfId="5371" xr:uid="{00000000-0005-0000-0000-0000F7140000}"/>
    <cellStyle name="40% - Accent6 7 8" xfId="5372" xr:uid="{00000000-0005-0000-0000-0000F8140000}"/>
    <cellStyle name="40% - Accent6 7 9" xfId="5373" xr:uid="{00000000-0005-0000-0000-0000F9140000}"/>
    <cellStyle name="40% - Accent6 8" xfId="5374" xr:uid="{00000000-0005-0000-0000-0000FA140000}"/>
    <cellStyle name="40% - Accent6 8 2" xfId="5375" xr:uid="{00000000-0005-0000-0000-0000FB140000}"/>
    <cellStyle name="40% - Accent6 8 2 2" xfId="5376" xr:uid="{00000000-0005-0000-0000-0000FC140000}"/>
    <cellStyle name="40% - Accent6 8 2 2 2" xfId="5377" xr:uid="{00000000-0005-0000-0000-0000FD140000}"/>
    <cellStyle name="40% - Accent6 8 2 2 3" xfId="5378" xr:uid="{00000000-0005-0000-0000-0000FE140000}"/>
    <cellStyle name="40% - Accent6 8 2 3" xfId="5379" xr:uid="{00000000-0005-0000-0000-0000FF140000}"/>
    <cellStyle name="40% - Accent6 8 2 4" xfId="5380" xr:uid="{00000000-0005-0000-0000-000000150000}"/>
    <cellStyle name="40% - Accent6 8 2 5" xfId="5381" xr:uid="{00000000-0005-0000-0000-000001150000}"/>
    <cellStyle name="40% - Accent6 8 2 6" xfId="5382" xr:uid="{00000000-0005-0000-0000-000002150000}"/>
    <cellStyle name="40% - Accent6 8 3" xfId="5383" xr:uid="{00000000-0005-0000-0000-000003150000}"/>
    <cellStyle name="40% - Accent6 8 3 2" xfId="5384" xr:uid="{00000000-0005-0000-0000-000004150000}"/>
    <cellStyle name="40% - Accent6 8 3 2 2" xfId="5385" xr:uid="{00000000-0005-0000-0000-000005150000}"/>
    <cellStyle name="40% - Accent6 8 3 3" xfId="5386" xr:uid="{00000000-0005-0000-0000-000006150000}"/>
    <cellStyle name="40% - Accent6 8 3 4" xfId="5387" xr:uid="{00000000-0005-0000-0000-000007150000}"/>
    <cellStyle name="40% - Accent6 8 3 5" xfId="5388" xr:uid="{00000000-0005-0000-0000-000008150000}"/>
    <cellStyle name="40% - Accent6 8 4" xfId="5389" xr:uid="{00000000-0005-0000-0000-000009150000}"/>
    <cellStyle name="40% - Accent6 8 4 2" xfId="5390" xr:uid="{00000000-0005-0000-0000-00000A150000}"/>
    <cellStyle name="40% - Accent6 8 4 3" xfId="5391" xr:uid="{00000000-0005-0000-0000-00000B150000}"/>
    <cellStyle name="40% - Accent6 8 4 4" xfId="5392" xr:uid="{00000000-0005-0000-0000-00000C150000}"/>
    <cellStyle name="40% - Accent6 8 5" xfId="5393" xr:uid="{00000000-0005-0000-0000-00000D150000}"/>
    <cellStyle name="40% - Accent6 8 5 2" xfId="5394" xr:uid="{00000000-0005-0000-0000-00000E150000}"/>
    <cellStyle name="40% - Accent6 8 6" xfId="5395" xr:uid="{00000000-0005-0000-0000-00000F150000}"/>
    <cellStyle name="40% - Accent6 8 7" xfId="5396" xr:uid="{00000000-0005-0000-0000-000010150000}"/>
    <cellStyle name="40% - Accent6 8 8" xfId="5397" xr:uid="{00000000-0005-0000-0000-000011150000}"/>
    <cellStyle name="40% - Accent6 8 9" xfId="5398" xr:uid="{00000000-0005-0000-0000-000012150000}"/>
    <cellStyle name="40% - Accent6 9" xfId="5399" xr:uid="{00000000-0005-0000-0000-000013150000}"/>
    <cellStyle name="40% - Accent6 9 2" xfId="5400" xr:uid="{00000000-0005-0000-0000-000014150000}"/>
    <cellStyle name="40% - Accent6 9 2 2" xfId="5401" xr:uid="{00000000-0005-0000-0000-000015150000}"/>
    <cellStyle name="40% - Accent6 9 2 2 2" xfId="5402" xr:uid="{00000000-0005-0000-0000-000016150000}"/>
    <cellStyle name="40% - Accent6 9 2 3" xfId="5403" xr:uid="{00000000-0005-0000-0000-000017150000}"/>
    <cellStyle name="40% - Accent6 9 2 4" xfId="5404" xr:uid="{00000000-0005-0000-0000-000018150000}"/>
    <cellStyle name="40% - Accent6 9 2 5" xfId="5405" xr:uid="{00000000-0005-0000-0000-000019150000}"/>
    <cellStyle name="40% - Accent6 9 3" xfId="5406" xr:uid="{00000000-0005-0000-0000-00001A150000}"/>
    <cellStyle name="40% - Accent6 9 3 2" xfId="5407" xr:uid="{00000000-0005-0000-0000-00001B150000}"/>
    <cellStyle name="40% - Accent6 9 3 3" xfId="5408" xr:uid="{00000000-0005-0000-0000-00001C150000}"/>
    <cellStyle name="40% - Accent6 9 3 4" xfId="5409" xr:uid="{00000000-0005-0000-0000-00001D150000}"/>
    <cellStyle name="40% - Accent6 9 4" xfId="5410" xr:uid="{00000000-0005-0000-0000-00001E150000}"/>
    <cellStyle name="40% - Accent6 9 4 2" xfId="5411" xr:uid="{00000000-0005-0000-0000-00001F150000}"/>
    <cellStyle name="40% - Accent6 9 5" xfId="5412" xr:uid="{00000000-0005-0000-0000-000020150000}"/>
    <cellStyle name="40% - Accent6 9 6" xfId="5413" xr:uid="{00000000-0005-0000-0000-000021150000}"/>
    <cellStyle name="40% - Accent6 9 7" xfId="5414" xr:uid="{00000000-0005-0000-0000-000022150000}"/>
    <cellStyle name="40% - Accent6 9 8" xfId="5415" xr:uid="{00000000-0005-0000-0000-000023150000}"/>
    <cellStyle name="C00A" xfId="5416" xr:uid="{00000000-0005-0000-0000-000024150000}"/>
    <cellStyle name="C00B" xfId="5417" xr:uid="{00000000-0005-0000-0000-000025150000}"/>
    <cellStyle name="C00L" xfId="5418" xr:uid="{00000000-0005-0000-0000-000026150000}"/>
    <cellStyle name="C01A" xfId="5419" xr:uid="{00000000-0005-0000-0000-000027150000}"/>
    <cellStyle name="C01B" xfId="5420" xr:uid="{00000000-0005-0000-0000-000028150000}"/>
    <cellStyle name="C01H" xfId="5421" xr:uid="{00000000-0005-0000-0000-000029150000}"/>
    <cellStyle name="C01L" xfId="5422" xr:uid="{00000000-0005-0000-0000-00002A150000}"/>
    <cellStyle name="C02A" xfId="5423" xr:uid="{00000000-0005-0000-0000-00002B150000}"/>
    <cellStyle name="C02B" xfId="5424" xr:uid="{00000000-0005-0000-0000-00002C150000}"/>
    <cellStyle name="C02H" xfId="5425" xr:uid="{00000000-0005-0000-0000-00002D150000}"/>
    <cellStyle name="C02L" xfId="5426" xr:uid="{00000000-0005-0000-0000-00002E150000}"/>
    <cellStyle name="C03A" xfId="5427" xr:uid="{00000000-0005-0000-0000-00002F150000}"/>
    <cellStyle name="C03B" xfId="5428" xr:uid="{00000000-0005-0000-0000-000030150000}"/>
    <cellStyle name="C03H" xfId="5429" xr:uid="{00000000-0005-0000-0000-000031150000}"/>
    <cellStyle name="C03L" xfId="5430" xr:uid="{00000000-0005-0000-0000-000032150000}"/>
    <cellStyle name="C04A" xfId="5431" xr:uid="{00000000-0005-0000-0000-000033150000}"/>
    <cellStyle name="C04B" xfId="5432" xr:uid="{00000000-0005-0000-0000-000034150000}"/>
    <cellStyle name="C04H" xfId="5433" xr:uid="{00000000-0005-0000-0000-000035150000}"/>
    <cellStyle name="C04L" xfId="5434" xr:uid="{00000000-0005-0000-0000-000036150000}"/>
    <cellStyle name="C05A" xfId="5435" xr:uid="{00000000-0005-0000-0000-000037150000}"/>
    <cellStyle name="C05B" xfId="5436" xr:uid="{00000000-0005-0000-0000-000038150000}"/>
    <cellStyle name="C05H" xfId="5437" xr:uid="{00000000-0005-0000-0000-000039150000}"/>
    <cellStyle name="C05L" xfId="5438" xr:uid="{00000000-0005-0000-0000-00003A150000}"/>
    <cellStyle name="C06A" xfId="5439" xr:uid="{00000000-0005-0000-0000-00003B150000}"/>
    <cellStyle name="C06B" xfId="5440" xr:uid="{00000000-0005-0000-0000-00003C150000}"/>
    <cellStyle name="C06H" xfId="5441" xr:uid="{00000000-0005-0000-0000-00003D150000}"/>
    <cellStyle name="C06L" xfId="5442" xr:uid="{00000000-0005-0000-0000-00003E150000}"/>
    <cellStyle name="C07A" xfId="5443" xr:uid="{00000000-0005-0000-0000-00003F150000}"/>
    <cellStyle name="C07B" xfId="5444" xr:uid="{00000000-0005-0000-0000-000040150000}"/>
    <cellStyle name="C07H" xfId="5445" xr:uid="{00000000-0005-0000-0000-000041150000}"/>
    <cellStyle name="C07L" xfId="5446" xr:uid="{00000000-0005-0000-0000-000042150000}"/>
    <cellStyle name="Comma" xfId="1" builtinId="3"/>
    <cellStyle name="Comma 10" xfId="5447" xr:uid="{00000000-0005-0000-0000-000044150000}"/>
    <cellStyle name="Comma 11" xfId="5448" xr:uid="{00000000-0005-0000-0000-000045150000}"/>
    <cellStyle name="Comma 12" xfId="5449" xr:uid="{00000000-0005-0000-0000-000046150000}"/>
    <cellStyle name="Comma 13" xfId="5450" xr:uid="{00000000-0005-0000-0000-000047150000}"/>
    <cellStyle name="Comma 14" xfId="5451" xr:uid="{00000000-0005-0000-0000-000048150000}"/>
    <cellStyle name="Comma 15" xfId="5452" xr:uid="{00000000-0005-0000-0000-000049150000}"/>
    <cellStyle name="Comma 16" xfId="5453" xr:uid="{00000000-0005-0000-0000-00004A150000}"/>
    <cellStyle name="Comma 17" xfId="5454" xr:uid="{00000000-0005-0000-0000-00004B150000}"/>
    <cellStyle name="Comma 18" xfId="5455" xr:uid="{00000000-0005-0000-0000-00004C150000}"/>
    <cellStyle name="Comma 19" xfId="5456" xr:uid="{00000000-0005-0000-0000-00004D150000}"/>
    <cellStyle name="Comma 2" xfId="5457" xr:uid="{00000000-0005-0000-0000-00004E150000}"/>
    <cellStyle name="Comma 2 10" xfId="5458" xr:uid="{00000000-0005-0000-0000-00004F150000}"/>
    <cellStyle name="Comma 2 10 10" xfId="5459" xr:uid="{00000000-0005-0000-0000-000050150000}"/>
    <cellStyle name="Comma 2 10 11" xfId="5460" xr:uid="{00000000-0005-0000-0000-000051150000}"/>
    <cellStyle name="Comma 2 10 2" xfId="5461" xr:uid="{00000000-0005-0000-0000-000052150000}"/>
    <cellStyle name="Comma 2 10 2 2" xfId="5462" xr:uid="{00000000-0005-0000-0000-000053150000}"/>
    <cellStyle name="Comma 2 10 2 2 2" xfId="5463" xr:uid="{00000000-0005-0000-0000-000054150000}"/>
    <cellStyle name="Comma 2 10 2 2 2 2" xfId="5464" xr:uid="{00000000-0005-0000-0000-000055150000}"/>
    <cellStyle name="Comma 2 10 2 2 2 3" xfId="5465" xr:uid="{00000000-0005-0000-0000-000056150000}"/>
    <cellStyle name="Comma 2 10 2 2 3" xfId="5466" xr:uid="{00000000-0005-0000-0000-000057150000}"/>
    <cellStyle name="Comma 2 10 2 2 4" xfId="5467" xr:uid="{00000000-0005-0000-0000-000058150000}"/>
    <cellStyle name="Comma 2 10 2 2 5" xfId="5468" xr:uid="{00000000-0005-0000-0000-000059150000}"/>
    <cellStyle name="Comma 2 10 2 2 6" xfId="5469" xr:uid="{00000000-0005-0000-0000-00005A150000}"/>
    <cellStyle name="Comma 2 10 2 3" xfId="5470" xr:uid="{00000000-0005-0000-0000-00005B150000}"/>
    <cellStyle name="Comma 2 10 2 3 2" xfId="5471" xr:uid="{00000000-0005-0000-0000-00005C150000}"/>
    <cellStyle name="Comma 2 10 2 3 2 2" xfId="5472" xr:uid="{00000000-0005-0000-0000-00005D150000}"/>
    <cellStyle name="Comma 2 10 2 3 3" xfId="5473" xr:uid="{00000000-0005-0000-0000-00005E150000}"/>
    <cellStyle name="Comma 2 10 2 3 4" xfId="5474" xr:uid="{00000000-0005-0000-0000-00005F150000}"/>
    <cellStyle name="Comma 2 10 2 3 5" xfId="5475" xr:uid="{00000000-0005-0000-0000-000060150000}"/>
    <cellStyle name="Comma 2 10 2 4" xfId="5476" xr:uid="{00000000-0005-0000-0000-000061150000}"/>
    <cellStyle name="Comma 2 10 2 4 2" xfId="5477" xr:uid="{00000000-0005-0000-0000-000062150000}"/>
    <cellStyle name="Comma 2 10 2 4 3" xfId="5478" xr:uid="{00000000-0005-0000-0000-000063150000}"/>
    <cellStyle name="Comma 2 10 2 4 4" xfId="5479" xr:uid="{00000000-0005-0000-0000-000064150000}"/>
    <cellStyle name="Comma 2 10 2 5" xfId="5480" xr:uid="{00000000-0005-0000-0000-000065150000}"/>
    <cellStyle name="Comma 2 10 2 5 2" xfId="5481" xr:uid="{00000000-0005-0000-0000-000066150000}"/>
    <cellStyle name="Comma 2 10 2 6" xfId="5482" xr:uid="{00000000-0005-0000-0000-000067150000}"/>
    <cellStyle name="Comma 2 10 2 7" xfId="5483" xr:uid="{00000000-0005-0000-0000-000068150000}"/>
    <cellStyle name="Comma 2 10 2 8" xfId="5484" xr:uid="{00000000-0005-0000-0000-000069150000}"/>
    <cellStyle name="Comma 2 10 2 9" xfId="5485" xr:uid="{00000000-0005-0000-0000-00006A150000}"/>
    <cellStyle name="Comma 2 10 3" xfId="5486" xr:uid="{00000000-0005-0000-0000-00006B150000}"/>
    <cellStyle name="Comma 2 10 3 2" xfId="5487" xr:uid="{00000000-0005-0000-0000-00006C150000}"/>
    <cellStyle name="Comma 2 10 3 2 2" xfId="5488" xr:uid="{00000000-0005-0000-0000-00006D150000}"/>
    <cellStyle name="Comma 2 10 3 2 2 2" xfId="5489" xr:uid="{00000000-0005-0000-0000-00006E150000}"/>
    <cellStyle name="Comma 2 10 3 2 2 3" xfId="5490" xr:uid="{00000000-0005-0000-0000-00006F150000}"/>
    <cellStyle name="Comma 2 10 3 2 3" xfId="5491" xr:uid="{00000000-0005-0000-0000-000070150000}"/>
    <cellStyle name="Comma 2 10 3 2 4" xfId="5492" xr:uid="{00000000-0005-0000-0000-000071150000}"/>
    <cellStyle name="Comma 2 10 3 2 5" xfId="5493" xr:uid="{00000000-0005-0000-0000-000072150000}"/>
    <cellStyle name="Comma 2 10 3 2 6" xfId="5494" xr:uid="{00000000-0005-0000-0000-000073150000}"/>
    <cellStyle name="Comma 2 10 3 3" xfId="5495" xr:uid="{00000000-0005-0000-0000-000074150000}"/>
    <cellStyle name="Comma 2 10 3 3 2" xfId="5496" xr:uid="{00000000-0005-0000-0000-000075150000}"/>
    <cellStyle name="Comma 2 10 3 3 2 2" xfId="5497" xr:uid="{00000000-0005-0000-0000-000076150000}"/>
    <cellStyle name="Comma 2 10 3 3 3" xfId="5498" xr:uid="{00000000-0005-0000-0000-000077150000}"/>
    <cellStyle name="Comma 2 10 3 3 4" xfId="5499" xr:uid="{00000000-0005-0000-0000-000078150000}"/>
    <cellStyle name="Comma 2 10 3 3 5" xfId="5500" xr:uid="{00000000-0005-0000-0000-000079150000}"/>
    <cellStyle name="Comma 2 10 3 4" xfId="5501" xr:uid="{00000000-0005-0000-0000-00007A150000}"/>
    <cellStyle name="Comma 2 10 3 4 2" xfId="5502" xr:uid="{00000000-0005-0000-0000-00007B150000}"/>
    <cellStyle name="Comma 2 10 3 4 3" xfId="5503" xr:uid="{00000000-0005-0000-0000-00007C150000}"/>
    <cellStyle name="Comma 2 10 3 4 4" xfId="5504" xr:uid="{00000000-0005-0000-0000-00007D150000}"/>
    <cellStyle name="Comma 2 10 3 5" xfId="5505" xr:uid="{00000000-0005-0000-0000-00007E150000}"/>
    <cellStyle name="Comma 2 10 3 5 2" xfId="5506" xr:uid="{00000000-0005-0000-0000-00007F150000}"/>
    <cellStyle name="Comma 2 10 3 6" xfId="5507" xr:uid="{00000000-0005-0000-0000-000080150000}"/>
    <cellStyle name="Comma 2 10 3 7" xfId="5508" xr:uid="{00000000-0005-0000-0000-000081150000}"/>
    <cellStyle name="Comma 2 10 3 8" xfId="5509" xr:uid="{00000000-0005-0000-0000-000082150000}"/>
    <cellStyle name="Comma 2 10 3 9" xfId="5510" xr:uid="{00000000-0005-0000-0000-000083150000}"/>
    <cellStyle name="Comma 2 10 4" xfId="5511" xr:uid="{00000000-0005-0000-0000-000084150000}"/>
    <cellStyle name="Comma 2 10 4 2" xfId="5512" xr:uid="{00000000-0005-0000-0000-000085150000}"/>
    <cellStyle name="Comma 2 10 4 2 2" xfId="5513" xr:uid="{00000000-0005-0000-0000-000086150000}"/>
    <cellStyle name="Comma 2 10 4 2 3" xfId="5514" xr:uid="{00000000-0005-0000-0000-000087150000}"/>
    <cellStyle name="Comma 2 10 4 3" xfId="5515" xr:uid="{00000000-0005-0000-0000-000088150000}"/>
    <cellStyle name="Comma 2 10 4 4" xfId="5516" xr:uid="{00000000-0005-0000-0000-000089150000}"/>
    <cellStyle name="Comma 2 10 4 5" xfId="5517" xr:uid="{00000000-0005-0000-0000-00008A150000}"/>
    <cellStyle name="Comma 2 10 4 6" xfId="5518" xr:uid="{00000000-0005-0000-0000-00008B150000}"/>
    <cellStyle name="Comma 2 10 5" xfId="5519" xr:uid="{00000000-0005-0000-0000-00008C150000}"/>
    <cellStyle name="Comma 2 10 5 2" xfId="5520" xr:uid="{00000000-0005-0000-0000-00008D150000}"/>
    <cellStyle name="Comma 2 10 5 2 2" xfId="5521" xr:uid="{00000000-0005-0000-0000-00008E150000}"/>
    <cellStyle name="Comma 2 10 5 3" xfId="5522" xr:uid="{00000000-0005-0000-0000-00008F150000}"/>
    <cellStyle name="Comma 2 10 5 4" xfId="5523" xr:uid="{00000000-0005-0000-0000-000090150000}"/>
    <cellStyle name="Comma 2 10 5 5" xfId="5524" xr:uid="{00000000-0005-0000-0000-000091150000}"/>
    <cellStyle name="Comma 2 10 5 6" xfId="5525" xr:uid="{00000000-0005-0000-0000-000092150000}"/>
    <cellStyle name="Comma 2 10 6" xfId="5526" xr:uid="{00000000-0005-0000-0000-000093150000}"/>
    <cellStyle name="Comma 2 10 6 2" xfId="5527" xr:uid="{00000000-0005-0000-0000-000094150000}"/>
    <cellStyle name="Comma 2 10 6 3" xfId="5528" xr:uid="{00000000-0005-0000-0000-000095150000}"/>
    <cellStyle name="Comma 2 10 6 4" xfId="5529" xr:uid="{00000000-0005-0000-0000-000096150000}"/>
    <cellStyle name="Comma 2 10 6 5" xfId="5530" xr:uid="{00000000-0005-0000-0000-000097150000}"/>
    <cellStyle name="Comma 2 10 7" xfId="5531" xr:uid="{00000000-0005-0000-0000-000098150000}"/>
    <cellStyle name="Comma 2 10 7 2" xfId="5532" xr:uid="{00000000-0005-0000-0000-000099150000}"/>
    <cellStyle name="Comma 2 10 7 3" xfId="5533" xr:uid="{00000000-0005-0000-0000-00009A150000}"/>
    <cellStyle name="Comma 2 10 8" xfId="5534" xr:uid="{00000000-0005-0000-0000-00009B150000}"/>
    <cellStyle name="Comma 2 10 9" xfId="5535" xr:uid="{00000000-0005-0000-0000-00009C150000}"/>
    <cellStyle name="Comma 2 11" xfId="5536" xr:uid="{00000000-0005-0000-0000-00009D150000}"/>
    <cellStyle name="Comma 2 11 10" xfId="5537" xr:uid="{00000000-0005-0000-0000-00009E150000}"/>
    <cellStyle name="Comma 2 11 11" xfId="5538" xr:uid="{00000000-0005-0000-0000-00009F150000}"/>
    <cellStyle name="Comma 2 11 2" xfId="5539" xr:uid="{00000000-0005-0000-0000-0000A0150000}"/>
    <cellStyle name="Comma 2 11 2 2" xfId="5540" xr:uid="{00000000-0005-0000-0000-0000A1150000}"/>
    <cellStyle name="Comma 2 11 2 2 2" xfId="5541" xr:uid="{00000000-0005-0000-0000-0000A2150000}"/>
    <cellStyle name="Comma 2 11 2 2 2 2" xfId="5542" xr:uid="{00000000-0005-0000-0000-0000A3150000}"/>
    <cellStyle name="Comma 2 11 2 2 2 3" xfId="5543" xr:uid="{00000000-0005-0000-0000-0000A4150000}"/>
    <cellStyle name="Comma 2 11 2 2 3" xfId="5544" xr:uid="{00000000-0005-0000-0000-0000A5150000}"/>
    <cellStyle name="Comma 2 11 2 2 4" xfId="5545" xr:uid="{00000000-0005-0000-0000-0000A6150000}"/>
    <cellStyle name="Comma 2 11 2 2 5" xfId="5546" xr:uid="{00000000-0005-0000-0000-0000A7150000}"/>
    <cellStyle name="Comma 2 11 2 2 6" xfId="5547" xr:uid="{00000000-0005-0000-0000-0000A8150000}"/>
    <cellStyle name="Comma 2 11 2 3" xfId="5548" xr:uid="{00000000-0005-0000-0000-0000A9150000}"/>
    <cellStyle name="Comma 2 11 2 3 2" xfId="5549" xr:uid="{00000000-0005-0000-0000-0000AA150000}"/>
    <cellStyle name="Comma 2 11 2 3 2 2" xfId="5550" xr:uid="{00000000-0005-0000-0000-0000AB150000}"/>
    <cellStyle name="Comma 2 11 2 3 3" xfId="5551" xr:uid="{00000000-0005-0000-0000-0000AC150000}"/>
    <cellStyle name="Comma 2 11 2 3 4" xfId="5552" xr:uid="{00000000-0005-0000-0000-0000AD150000}"/>
    <cellStyle name="Comma 2 11 2 3 5" xfId="5553" xr:uid="{00000000-0005-0000-0000-0000AE150000}"/>
    <cellStyle name="Comma 2 11 2 4" xfId="5554" xr:uid="{00000000-0005-0000-0000-0000AF150000}"/>
    <cellStyle name="Comma 2 11 2 4 2" xfId="5555" xr:uid="{00000000-0005-0000-0000-0000B0150000}"/>
    <cellStyle name="Comma 2 11 2 4 3" xfId="5556" xr:uid="{00000000-0005-0000-0000-0000B1150000}"/>
    <cellStyle name="Comma 2 11 2 4 4" xfId="5557" xr:uid="{00000000-0005-0000-0000-0000B2150000}"/>
    <cellStyle name="Comma 2 11 2 5" xfId="5558" xr:uid="{00000000-0005-0000-0000-0000B3150000}"/>
    <cellStyle name="Comma 2 11 2 5 2" xfId="5559" xr:uid="{00000000-0005-0000-0000-0000B4150000}"/>
    <cellStyle name="Comma 2 11 2 6" xfId="5560" xr:uid="{00000000-0005-0000-0000-0000B5150000}"/>
    <cellStyle name="Comma 2 11 2 7" xfId="5561" xr:uid="{00000000-0005-0000-0000-0000B6150000}"/>
    <cellStyle name="Comma 2 11 2 8" xfId="5562" xr:uid="{00000000-0005-0000-0000-0000B7150000}"/>
    <cellStyle name="Comma 2 11 2 9" xfId="5563" xr:uid="{00000000-0005-0000-0000-0000B8150000}"/>
    <cellStyle name="Comma 2 11 3" xfId="5564" xr:uid="{00000000-0005-0000-0000-0000B9150000}"/>
    <cellStyle name="Comma 2 11 3 2" xfId="5565" xr:uid="{00000000-0005-0000-0000-0000BA150000}"/>
    <cellStyle name="Comma 2 11 3 2 2" xfId="5566" xr:uid="{00000000-0005-0000-0000-0000BB150000}"/>
    <cellStyle name="Comma 2 11 3 2 2 2" xfId="5567" xr:uid="{00000000-0005-0000-0000-0000BC150000}"/>
    <cellStyle name="Comma 2 11 3 2 2 3" xfId="5568" xr:uid="{00000000-0005-0000-0000-0000BD150000}"/>
    <cellStyle name="Comma 2 11 3 2 3" xfId="5569" xr:uid="{00000000-0005-0000-0000-0000BE150000}"/>
    <cellStyle name="Comma 2 11 3 2 4" xfId="5570" xr:uid="{00000000-0005-0000-0000-0000BF150000}"/>
    <cellStyle name="Comma 2 11 3 2 5" xfId="5571" xr:uid="{00000000-0005-0000-0000-0000C0150000}"/>
    <cellStyle name="Comma 2 11 3 2 6" xfId="5572" xr:uid="{00000000-0005-0000-0000-0000C1150000}"/>
    <cellStyle name="Comma 2 11 3 3" xfId="5573" xr:uid="{00000000-0005-0000-0000-0000C2150000}"/>
    <cellStyle name="Comma 2 11 3 3 2" xfId="5574" xr:uid="{00000000-0005-0000-0000-0000C3150000}"/>
    <cellStyle name="Comma 2 11 3 3 2 2" xfId="5575" xr:uid="{00000000-0005-0000-0000-0000C4150000}"/>
    <cellStyle name="Comma 2 11 3 3 3" xfId="5576" xr:uid="{00000000-0005-0000-0000-0000C5150000}"/>
    <cellStyle name="Comma 2 11 3 3 4" xfId="5577" xr:uid="{00000000-0005-0000-0000-0000C6150000}"/>
    <cellStyle name="Comma 2 11 3 3 5" xfId="5578" xr:uid="{00000000-0005-0000-0000-0000C7150000}"/>
    <cellStyle name="Comma 2 11 3 4" xfId="5579" xr:uid="{00000000-0005-0000-0000-0000C8150000}"/>
    <cellStyle name="Comma 2 11 3 4 2" xfId="5580" xr:uid="{00000000-0005-0000-0000-0000C9150000}"/>
    <cellStyle name="Comma 2 11 3 4 3" xfId="5581" xr:uid="{00000000-0005-0000-0000-0000CA150000}"/>
    <cellStyle name="Comma 2 11 3 4 4" xfId="5582" xr:uid="{00000000-0005-0000-0000-0000CB150000}"/>
    <cellStyle name="Comma 2 11 3 5" xfId="5583" xr:uid="{00000000-0005-0000-0000-0000CC150000}"/>
    <cellStyle name="Comma 2 11 3 5 2" xfId="5584" xr:uid="{00000000-0005-0000-0000-0000CD150000}"/>
    <cellStyle name="Comma 2 11 3 6" xfId="5585" xr:uid="{00000000-0005-0000-0000-0000CE150000}"/>
    <cellStyle name="Comma 2 11 3 7" xfId="5586" xr:uid="{00000000-0005-0000-0000-0000CF150000}"/>
    <cellStyle name="Comma 2 11 3 8" xfId="5587" xr:uid="{00000000-0005-0000-0000-0000D0150000}"/>
    <cellStyle name="Comma 2 11 3 9" xfId="5588" xr:uid="{00000000-0005-0000-0000-0000D1150000}"/>
    <cellStyle name="Comma 2 11 4" xfId="5589" xr:uid="{00000000-0005-0000-0000-0000D2150000}"/>
    <cellStyle name="Comma 2 11 4 2" xfId="5590" xr:uid="{00000000-0005-0000-0000-0000D3150000}"/>
    <cellStyle name="Comma 2 11 4 2 2" xfId="5591" xr:uid="{00000000-0005-0000-0000-0000D4150000}"/>
    <cellStyle name="Comma 2 11 4 2 3" xfId="5592" xr:uid="{00000000-0005-0000-0000-0000D5150000}"/>
    <cellStyle name="Comma 2 11 4 3" xfId="5593" xr:uid="{00000000-0005-0000-0000-0000D6150000}"/>
    <cellStyle name="Comma 2 11 4 4" xfId="5594" xr:uid="{00000000-0005-0000-0000-0000D7150000}"/>
    <cellStyle name="Comma 2 11 4 5" xfId="5595" xr:uid="{00000000-0005-0000-0000-0000D8150000}"/>
    <cellStyle name="Comma 2 11 4 6" xfId="5596" xr:uid="{00000000-0005-0000-0000-0000D9150000}"/>
    <cellStyle name="Comma 2 11 5" xfId="5597" xr:uid="{00000000-0005-0000-0000-0000DA150000}"/>
    <cellStyle name="Comma 2 11 5 2" xfId="5598" xr:uid="{00000000-0005-0000-0000-0000DB150000}"/>
    <cellStyle name="Comma 2 11 5 2 2" xfId="5599" xr:uid="{00000000-0005-0000-0000-0000DC150000}"/>
    <cellStyle name="Comma 2 11 5 3" xfId="5600" xr:uid="{00000000-0005-0000-0000-0000DD150000}"/>
    <cellStyle name="Comma 2 11 5 4" xfId="5601" xr:uid="{00000000-0005-0000-0000-0000DE150000}"/>
    <cellStyle name="Comma 2 11 5 5" xfId="5602" xr:uid="{00000000-0005-0000-0000-0000DF150000}"/>
    <cellStyle name="Comma 2 11 5 6" xfId="5603" xr:uid="{00000000-0005-0000-0000-0000E0150000}"/>
    <cellStyle name="Comma 2 11 6" xfId="5604" xr:uid="{00000000-0005-0000-0000-0000E1150000}"/>
    <cellStyle name="Comma 2 11 6 2" xfId="5605" xr:uid="{00000000-0005-0000-0000-0000E2150000}"/>
    <cellStyle name="Comma 2 11 6 3" xfId="5606" xr:uid="{00000000-0005-0000-0000-0000E3150000}"/>
    <cellStyle name="Comma 2 11 6 4" xfId="5607" xr:uid="{00000000-0005-0000-0000-0000E4150000}"/>
    <cellStyle name="Comma 2 11 6 5" xfId="5608" xr:uid="{00000000-0005-0000-0000-0000E5150000}"/>
    <cellStyle name="Comma 2 11 7" xfId="5609" xr:uid="{00000000-0005-0000-0000-0000E6150000}"/>
    <cellStyle name="Comma 2 11 7 2" xfId="5610" xr:uid="{00000000-0005-0000-0000-0000E7150000}"/>
    <cellStyle name="Comma 2 11 7 3" xfId="5611" xr:uid="{00000000-0005-0000-0000-0000E8150000}"/>
    <cellStyle name="Comma 2 11 8" xfId="5612" xr:uid="{00000000-0005-0000-0000-0000E9150000}"/>
    <cellStyle name="Comma 2 11 9" xfId="5613" xr:uid="{00000000-0005-0000-0000-0000EA150000}"/>
    <cellStyle name="Comma 2 12" xfId="5614" xr:uid="{00000000-0005-0000-0000-0000EB150000}"/>
    <cellStyle name="Comma 2 12 10" xfId="5615" xr:uid="{00000000-0005-0000-0000-0000EC150000}"/>
    <cellStyle name="Comma 2 12 11" xfId="5616" xr:uid="{00000000-0005-0000-0000-0000ED150000}"/>
    <cellStyle name="Comma 2 12 12" xfId="5617" xr:uid="{00000000-0005-0000-0000-0000EE150000}"/>
    <cellStyle name="Comma 2 12 13" xfId="5618" xr:uid="{00000000-0005-0000-0000-0000EF150000}"/>
    <cellStyle name="Comma 2 12 14" xfId="5619" xr:uid="{00000000-0005-0000-0000-0000F0150000}"/>
    <cellStyle name="Comma 2 12 15" xfId="5620" xr:uid="{00000000-0005-0000-0000-0000F1150000}"/>
    <cellStyle name="Comma 2 12 16" xfId="5621" xr:uid="{00000000-0005-0000-0000-0000F2150000}"/>
    <cellStyle name="Comma 2 12 17" xfId="5622" xr:uid="{00000000-0005-0000-0000-0000F3150000}"/>
    <cellStyle name="Comma 2 12 18" xfId="5623" xr:uid="{00000000-0005-0000-0000-0000F4150000}"/>
    <cellStyle name="Comma 2 12 19" xfId="5624" xr:uid="{00000000-0005-0000-0000-0000F5150000}"/>
    <cellStyle name="Comma 2 12 2" xfId="5625" xr:uid="{00000000-0005-0000-0000-0000F6150000}"/>
    <cellStyle name="Comma 2 12 2 2" xfId="5626" xr:uid="{00000000-0005-0000-0000-0000F7150000}"/>
    <cellStyle name="Comma 2 12 2 2 2" xfId="5627" xr:uid="{00000000-0005-0000-0000-0000F8150000}"/>
    <cellStyle name="Comma 2 12 2 2 2 2" xfId="5628" xr:uid="{00000000-0005-0000-0000-0000F9150000}"/>
    <cellStyle name="Comma 2 12 2 2 2 3" xfId="5629" xr:uid="{00000000-0005-0000-0000-0000FA150000}"/>
    <cellStyle name="Comma 2 12 2 2 3" xfId="5630" xr:uid="{00000000-0005-0000-0000-0000FB150000}"/>
    <cellStyle name="Comma 2 12 2 2 4" xfId="5631" xr:uid="{00000000-0005-0000-0000-0000FC150000}"/>
    <cellStyle name="Comma 2 12 2 2 5" xfId="5632" xr:uid="{00000000-0005-0000-0000-0000FD150000}"/>
    <cellStyle name="Comma 2 12 2 2 6" xfId="5633" xr:uid="{00000000-0005-0000-0000-0000FE150000}"/>
    <cellStyle name="Comma 2 12 2 3" xfId="5634" xr:uid="{00000000-0005-0000-0000-0000FF150000}"/>
    <cellStyle name="Comma 2 12 2 3 2" xfId="5635" xr:uid="{00000000-0005-0000-0000-000000160000}"/>
    <cellStyle name="Comma 2 12 2 3 2 2" xfId="5636" xr:uid="{00000000-0005-0000-0000-000001160000}"/>
    <cellStyle name="Comma 2 12 2 3 3" xfId="5637" xr:uid="{00000000-0005-0000-0000-000002160000}"/>
    <cellStyle name="Comma 2 12 2 3 4" xfId="5638" xr:uid="{00000000-0005-0000-0000-000003160000}"/>
    <cellStyle name="Comma 2 12 2 3 5" xfId="5639" xr:uid="{00000000-0005-0000-0000-000004160000}"/>
    <cellStyle name="Comma 2 12 2 4" xfId="5640" xr:uid="{00000000-0005-0000-0000-000005160000}"/>
    <cellStyle name="Comma 2 12 2 4 2" xfId="5641" xr:uid="{00000000-0005-0000-0000-000006160000}"/>
    <cellStyle name="Comma 2 12 2 4 3" xfId="5642" xr:uid="{00000000-0005-0000-0000-000007160000}"/>
    <cellStyle name="Comma 2 12 2 4 4" xfId="5643" xr:uid="{00000000-0005-0000-0000-000008160000}"/>
    <cellStyle name="Comma 2 12 2 5" xfId="5644" xr:uid="{00000000-0005-0000-0000-000009160000}"/>
    <cellStyle name="Comma 2 12 2 5 2" xfId="5645" xr:uid="{00000000-0005-0000-0000-00000A160000}"/>
    <cellStyle name="Comma 2 12 2 6" xfId="5646" xr:uid="{00000000-0005-0000-0000-00000B160000}"/>
    <cellStyle name="Comma 2 12 2 7" xfId="5647" xr:uid="{00000000-0005-0000-0000-00000C160000}"/>
    <cellStyle name="Comma 2 12 2 8" xfId="5648" xr:uid="{00000000-0005-0000-0000-00000D160000}"/>
    <cellStyle name="Comma 2 12 2 9" xfId="5649" xr:uid="{00000000-0005-0000-0000-00000E160000}"/>
    <cellStyle name="Comma 2 12 20" xfId="5650" xr:uid="{00000000-0005-0000-0000-00000F160000}"/>
    <cellStyle name="Comma 2 12 21" xfId="5651" xr:uid="{00000000-0005-0000-0000-000010160000}"/>
    <cellStyle name="Comma 2 12 22" xfId="5652" xr:uid="{00000000-0005-0000-0000-000011160000}"/>
    <cellStyle name="Comma 2 12 23" xfId="5653" xr:uid="{00000000-0005-0000-0000-000012160000}"/>
    <cellStyle name="Comma 2 12 24" xfId="5654" xr:uid="{00000000-0005-0000-0000-000013160000}"/>
    <cellStyle name="Comma 2 12 25" xfId="5655" xr:uid="{00000000-0005-0000-0000-000014160000}"/>
    <cellStyle name="Comma 2 12 26" xfId="5656" xr:uid="{00000000-0005-0000-0000-000015160000}"/>
    <cellStyle name="Comma 2 12 27" xfId="5657" xr:uid="{00000000-0005-0000-0000-000016160000}"/>
    <cellStyle name="Comma 2 12 28" xfId="5658" xr:uid="{00000000-0005-0000-0000-000017160000}"/>
    <cellStyle name="Comma 2 12 29" xfId="5659" xr:uid="{00000000-0005-0000-0000-000018160000}"/>
    <cellStyle name="Comma 2 12 3" xfId="5660" xr:uid="{00000000-0005-0000-0000-000019160000}"/>
    <cellStyle name="Comma 2 12 3 2" xfId="5661" xr:uid="{00000000-0005-0000-0000-00001A160000}"/>
    <cellStyle name="Comma 2 12 3 2 2" xfId="5662" xr:uid="{00000000-0005-0000-0000-00001B160000}"/>
    <cellStyle name="Comma 2 12 3 2 2 2" xfId="5663" xr:uid="{00000000-0005-0000-0000-00001C160000}"/>
    <cellStyle name="Comma 2 12 3 2 2 3" xfId="5664" xr:uid="{00000000-0005-0000-0000-00001D160000}"/>
    <cellStyle name="Comma 2 12 3 2 3" xfId="5665" xr:uid="{00000000-0005-0000-0000-00001E160000}"/>
    <cellStyle name="Comma 2 12 3 2 4" xfId="5666" xr:uid="{00000000-0005-0000-0000-00001F160000}"/>
    <cellStyle name="Comma 2 12 3 2 5" xfId="5667" xr:uid="{00000000-0005-0000-0000-000020160000}"/>
    <cellStyle name="Comma 2 12 3 2 6" xfId="5668" xr:uid="{00000000-0005-0000-0000-000021160000}"/>
    <cellStyle name="Comma 2 12 3 3" xfId="5669" xr:uid="{00000000-0005-0000-0000-000022160000}"/>
    <cellStyle name="Comma 2 12 3 3 2" xfId="5670" xr:uid="{00000000-0005-0000-0000-000023160000}"/>
    <cellStyle name="Comma 2 12 3 3 2 2" xfId="5671" xr:uid="{00000000-0005-0000-0000-000024160000}"/>
    <cellStyle name="Comma 2 12 3 3 3" xfId="5672" xr:uid="{00000000-0005-0000-0000-000025160000}"/>
    <cellStyle name="Comma 2 12 3 3 4" xfId="5673" xr:uid="{00000000-0005-0000-0000-000026160000}"/>
    <cellStyle name="Comma 2 12 3 3 5" xfId="5674" xr:uid="{00000000-0005-0000-0000-000027160000}"/>
    <cellStyle name="Comma 2 12 3 4" xfId="5675" xr:uid="{00000000-0005-0000-0000-000028160000}"/>
    <cellStyle name="Comma 2 12 3 4 2" xfId="5676" xr:uid="{00000000-0005-0000-0000-000029160000}"/>
    <cellStyle name="Comma 2 12 3 4 3" xfId="5677" xr:uid="{00000000-0005-0000-0000-00002A160000}"/>
    <cellStyle name="Comma 2 12 3 4 4" xfId="5678" xr:uid="{00000000-0005-0000-0000-00002B160000}"/>
    <cellStyle name="Comma 2 12 3 5" xfId="5679" xr:uid="{00000000-0005-0000-0000-00002C160000}"/>
    <cellStyle name="Comma 2 12 3 5 2" xfId="5680" xr:uid="{00000000-0005-0000-0000-00002D160000}"/>
    <cellStyle name="Comma 2 12 3 6" xfId="5681" xr:uid="{00000000-0005-0000-0000-00002E160000}"/>
    <cellStyle name="Comma 2 12 3 7" xfId="5682" xr:uid="{00000000-0005-0000-0000-00002F160000}"/>
    <cellStyle name="Comma 2 12 3 8" xfId="5683" xr:uid="{00000000-0005-0000-0000-000030160000}"/>
    <cellStyle name="Comma 2 12 3 9" xfId="5684" xr:uid="{00000000-0005-0000-0000-000031160000}"/>
    <cellStyle name="Comma 2 12 30" xfId="5685" xr:uid="{00000000-0005-0000-0000-000032160000}"/>
    <cellStyle name="Comma 2 12 31" xfId="5686" xr:uid="{00000000-0005-0000-0000-000033160000}"/>
    <cellStyle name="Comma 2 12 32" xfId="5687" xr:uid="{00000000-0005-0000-0000-000034160000}"/>
    <cellStyle name="Comma 2 12 33" xfId="5688" xr:uid="{00000000-0005-0000-0000-000035160000}"/>
    <cellStyle name="Comma 2 12 34" xfId="5689" xr:uid="{00000000-0005-0000-0000-000036160000}"/>
    <cellStyle name="Comma 2 12 35" xfId="5690" xr:uid="{00000000-0005-0000-0000-000037160000}"/>
    <cellStyle name="Comma 2 12 36" xfId="5691" xr:uid="{00000000-0005-0000-0000-000038160000}"/>
    <cellStyle name="Comma 2 12 37" xfId="5692" xr:uid="{00000000-0005-0000-0000-000039160000}"/>
    <cellStyle name="Comma 2 12 37 2" xfId="5693" xr:uid="{00000000-0005-0000-0000-00003A160000}"/>
    <cellStyle name="Comma 2 12 38" xfId="5694" xr:uid="{00000000-0005-0000-0000-00003B160000}"/>
    <cellStyle name="Comma 2 12 39" xfId="5695" xr:uid="{00000000-0005-0000-0000-00003C160000}"/>
    <cellStyle name="Comma 2 12 4" xfId="5696" xr:uid="{00000000-0005-0000-0000-00003D160000}"/>
    <cellStyle name="Comma 2 12 4 2" xfId="5697" xr:uid="{00000000-0005-0000-0000-00003E160000}"/>
    <cellStyle name="Comma 2 12 4 2 2" xfId="5698" xr:uid="{00000000-0005-0000-0000-00003F160000}"/>
    <cellStyle name="Comma 2 12 4 2 3" xfId="5699" xr:uid="{00000000-0005-0000-0000-000040160000}"/>
    <cellStyle name="Comma 2 12 4 3" xfId="5700" xr:uid="{00000000-0005-0000-0000-000041160000}"/>
    <cellStyle name="Comma 2 12 4 4" xfId="5701" xr:uid="{00000000-0005-0000-0000-000042160000}"/>
    <cellStyle name="Comma 2 12 4 5" xfId="5702" xr:uid="{00000000-0005-0000-0000-000043160000}"/>
    <cellStyle name="Comma 2 12 4 6" xfId="5703" xr:uid="{00000000-0005-0000-0000-000044160000}"/>
    <cellStyle name="Comma 2 12 40" xfId="5704" xr:uid="{00000000-0005-0000-0000-000045160000}"/>
    <cellStyle name="Comma 2 12 5" xfId="5705" xr:uid="{00000000-0005-0000-0000-000046160000}"/>
    <cellStyle name="Comma 2 12 5 2" xfId="5706" xr:uid="{00000000-0005-0000-0000-000047160000}"/>
    <cellStyle name="Comma 2 12 5 2 2" xfId="5707" xr:uid="{00000000-0005-0000-0000-000048160000}"/>
    <cellStyle name="Comma 2 12 5 2 3" xfId="5708" xr:uid="{00000000-0005-0000-0000-000049160000}"/>
    <cellStyle name="Comma 2 12 5 3" xfId="5709" xr:uid="{00000000-0005-0000-0000-00004A160000}"/>
    <cellStyle name="Comma 2 12 5 4" xfId="5710" xr:uid="{00000000-0005-0000-0000-00004B160000}"/>
    <cellStyle name="Comma 2 12 5 5" xfId="5711" xr:uid="{00000000-0005-0000-0000-00004C160000}"/>
    <cellStyle name="Comma 2 12 5 6" xfId="5712" xr:uid="{00000000-0005-0000-0000-00004D160000}"/>
    <cellStyle name="Comma 2 12 6" xfId="5713" xr:uid="{00000000-0005-0000-0000-00004E160000}"/>
    <cellStyle name="Comma 2 12 6 2" xfId="5714" xr:uid="{00000000-0005-0000-0000-00004F160000}"/>
    <cellStyle name="Comma 2 12 6 2 2" xfId="5715" xr:uid="{00000000-0005-0000-0000-000050160000}"/>
    <cellStyle name="Comma 2 12 6 3" xfId="5716" xr:uid="{00000000-0005-0000-0000-000051160000}"/>
    <cellStyle name="Comma 2 12 6 4" xfId="5717" xr:uid="{00000000-0005-0000-0000-000052160000}"/>
    <cellStyle name="Comma 2 12 6 5" xfId="5718" xr:uid="{00000000-0005-0000-0000-000053160000}"/>
    <cellStyle name="Comma 2 12 7" xfId="5719" xr:uid="{00000000-0005-0000-0000-000054160000}"/>
    <cellStyle name="Comma 2 12 7 2" xfId="5720" xr:uid="{00000000-0005-0000-0000-000055160000}"/>
    <cellStyle name="Comma 2 12 7 3" xfId="5721" xr:uid="{00000000-0005-0000-0000-000056160000}"/>
    <cellStyle name="Comma 2 12 8" xfId="5722" xr:uid="{00000000-0005-0000-0000-000057160000}"/>
    <cellStyle name="Comma 2 12 8 2" xfId="5723" xr:uid="{00000000-0005-0000-0000-000058160000}"/>
    <cellStyle name="Comma 2 12 8 3" xfId="5724" xr:uid="{00000000-0005-0000-0000-000059160000}"/>
    <cellStyle name="Comma 2 12 9" xfId="5725" xr:uid="{00000000-0005-0000-0000-00005A160000}"/>
    <cellStyle name="Comma 2 13" xfId="5726" xr:uid="{00000000-0005-0000-0000-00005B160000}"/>
    <cellStyle name="Comma 2 13 10" xfId="5727" xr:uid="{00000000-0005-0000-0000-00005C160000}"/>
    <cellStyle name="Comma 2 13 11" xfId="5728" xr:uid="{00000000-0005-0000-0000-00005D160000}"/>
    <cellStyle name="Comma 2 13 2" xfId="5729" xr:uid="{00000000-0005-0000-0000-00005E160000}"/>
    <cellStyle name="Comma 2 13 2 2" xfId="5730" xr:uid="{00000000-0005-0000-0000-00005F160000}"/>
    <cellStyle name="Comma 2 13 2 2 2" xfId="5731" xr:uid="{00000000-0005-0000-0000-000060160000}"/>
    <cellStyle name="Comma 2 13 2 2 2 2" xfId="5732" xr:uid="{00000000-0005-0000-0000-000061160000}"/>
    <cellStyle name="Comma 2 13 2 2 2 3" xfId="5733" xr:uid="{00000000-0005-0000-0000-000062160000}"/>
    <cellStyle name="Comma 2 13 2 2 3" xfId="5734" xr:uid="{00000000-0005-0000-0000-000063160000}"/>
    <cellStyle name="Comma 2 13 2 2 4" xfId="5735" xr:uid="{00000000-0005-0000-0000-000064160000}"/>
    <cellStyle name="Comma 2 13 2 2 5" xfId="5736" xr:uid="{00000000-0005-0000-0000-000065160000}"/>
    <cellStyle name="Comma 2 13 2 2 6" xfId="5737" xr:uid="{00000000-0005-0000-0000-000066160000}"/>
    <cellStyle name="Comma 2 13 2 3" xfId="5738" xr:uid="{00000000-0005-0000-0000-000067160000}"/>
    <cellStyle name="Comma 2 13 2 3 2" xfId="5739" xr:uid="{00000000-0005-0000-0000-000068160000}"/>
    <cellStyle name="Comma 2 13 2 3 2 2" xfId="5740" xr:uid="{00000000-0005-0000-0000-000069160000}"/>
    <cellStyle name="Comma 2 13 2 3 3" xfId="5741" xr:uid="{00000000-0005-0000-0000-00006A160000}"/>
    <cellStyle name="Comma 2 13 2 3 4" xfId="5742" xr:uid="{00000000-0005-0000-0000-00006B160000}"/>
    <cellStyle name="Comma 2 13 2 3 5" xfId="5743" xr:uid="{00000000-0005-0000-0000-00006C160000}"/>
    <cellStyle name="Comma 2 13 2 4" xfId="5744" xr:uid="{00000000-0005-0000-0000-00006D160000}"/>
    <cellStyle name="Comma 2 13 2 4 2" xfId="5745" xr:uid="{00000000-0005-0000-0000-00006E160000}"/>
    <cellStyle name="Comma 2 13 2 4 3" xfId="5746" xr:uid="{00000000-0005-0000-0000-00006F160000}"/>
    <cellStyle name="Comma 2 13 2 4 4" xfId="5747" xr:uid="{00000000-0005-0000-0000-000070160000}"/>
    <cellStyle name="Comma 2 13 2 5" xfId="5748" xr:uid="{00000000-0005-0000-0000-000071160000}"/>
    <cellStyle name="Comma 2 13 2 5 2" xfId="5749" xr:uid="{00000000-0005-0000-0000-000072160000}"/>
    <cellStyle name="Comma 2 13 2 6" xfId="5750" xr:uid="{00000000-0005-0000-0000-000073160000}"/>
    <cellStyle name="Comma 2 13 2 7" xfId="5751" xr:uid="{00000000-0005-0000-0000-000074160000}"/>
    <cellStyle name="Comma 2 13 2 8" xfId="5752" xr:uid="{00000000-0005-0000-0000-000075160000}"/>
    <cellStyle name="Comma 2 13 2 9" xfId="5753" xr:uid="{00000000-0005-0000-0000-000076160000}"/>
    <cellStyle name="Comma 2 13 3" xfId="5754" xr:uid="{00000000-0005-0000-0000-000077160000}"/>
    <cellStyle name="Comma 2 13 3 2" xfId="5755" xr:uid="{00000000-0005-0000-0000-000078160000}"/>
    <cellStyle name="Comma 2 13 3 2 2" xfId="5756" xr:uid="{00000000-0005-0000-0000-000079160000}"/>
    <cellStyle name="Comma 2 13 3 2 2 2" xfId="5757" xr:uid="{00000000-0005-0000-0000-00007A160000}"/>
    <cellStyle name="Comma 2 13 3 2 2 3" xfId="5758" xr:uid="{00000000-0005-0000-0000-00007B160000}"/>
    <cellStyle name="Comma 2 13 3 2 3" xfId="5759" xr:uid="{00000000-0005-0000-0000-00007C160000}"/>
    <cellStyle name="Comma 2 13 3 2 4" xfId="5760" xr:uid="{00000000-0005-0000-0000-00007D160000}"/>
    <cellStyle name="Comma 2 13 3 2 5" xfId="5761" xr:uid="{00000000-0005-0000-0000-00007E160000}"/>
    <cellStyle name="Comma 2 13 3 2 6" xfId="5762" xr:uid="{00000000-0005-0000-0000-00007F160000}"/>
    <cellStyle name="Comma 2 13 3 3" xfId="5763" xr:uid="{00000000-0005-0000-0000-000080160000}"/>
    <cellStyle name="Comma 2 13 3 3 2" xfId="5764" xr:uid="{00000000-0005-0000-0000-000081160000}"/>
    <cellStyle name="Comma 2 13 3 3 2 2" xfId="5765" xr:uid="{00000000-0005-0000-0000-000082160000}"/>
    <cellStyle name="Comma 2 13 3 3 3" xfId="5766" xr:uid="{00000000-0005-0000-0000-000083160000}"/>
    <cellStyle name="Comma 2 13 3 3 4" xfId="5767" xr:uid="{00000000-0005-0000-0000-000084160000}"/>
    <cellStyle name="Comma 2 13 3 3 5" xfId="5768" xr:uid="{00000000-0005-0000-0000-000085160000}"/>
    <cellStyle name="Comma 2 13 3 4" xfId="5769" xr:uid="{00000000-0005-0000-0000-000086160000}"/>
    <cellStyle name="Comma 2 13 3 4 2" xfId="5770" xr:uid="{00000000-0005-0000-0000-000087160000}"/>
    <cellStyle name="Comma 2 13 3 4 3" xfId="5771" xr:uid="{00000000-0005-0000-0000-000088160000}"/>
    <cellStyle name="Comma 2 13 3 4 4" xfId="5772" xr:uid="{00000000-0005-0000-0000-000089160000}"/>
    <cellStyle name="Comma 2 13 3 5" xfId="5773" xr:uid="{00000000-0005-0000-0000-00008A160000}"/>
    <cellStyle name="Comma 2 13 3 5 2" xfId="5774" xr:uid="{00000000-0005-0000-0000-00008B160000}"/>
    <cellStyle name="Comma 2 13 3 6" xfId="5775" xr:uid="{00000000-0005-0000-0000-00008C160000}"/>
    <cellStyle name="Comma 2 13 3 7" xfId="5776" xr:uid="{00000000-0005-0000-0000-00008D160000}"/>
    <cellStyle name="Comma 2 13 3 8" xfId="5777" xr:uid="{00000000-0005-0000-0000-00008E160000}"/>
    <cellStyle name="Comma 2 13 3 9" xfId="5778" xr:uid="{00000000-0005-0000-0000-00008F160000}"/>
    <cellStyle name="Comma 2 13 4" xfId="5779" xr:uid="{00000000-0005-0000-0000-000090160000}"/>
    <cellStyle name="Comma 2 13 4 2" xfId="5780" xr:uid="{00000000-0005-0000-0000-000091160000}"/>
    <cellStyle name="Comma 2 13 4 2 2" xfId="5781" xr:uid="{00000000-0005-0000-0000-000092160000}"/>
    <cellStyle name="Comma 2 13 4 2 3" xfId="5782" xr:uid="{00000000-0005-0000-0000-000093160000}"/>
    <cellStyle name="Comma 2 13 4 3" xfId="5783" xr:uid="{00000000-0005-0000-0000-000094160000}"/>
    <cellStyle name="Comma 2 13 4 4" xfId="5784" xr:uid="{00000000-0005-0000-0000-000095160000}"/>
    <cellStyle name="Comma 2 13 4 5" xfId="5785" xr:uid="{00000000-0005-0000-0000-000096160000}"/>
    <cellStyle name="Comma 2 13 4 6" xfId="5786" xr:uid="{00000000-0005-0000-0000-000097160000}"/>
    <cellStyle name="Comma 2 13 5" xfId="5787" xr:uid="{00000000-0005-0000-0000-000098160000}"/>
    <cellStyle name="Comma 2 13 5 2" xfId="5788" xr:uid="{00000000-0005-0000-0000-000099160000}"/>
    <cellStyle name="Comma 2 13 5 2 2" xfId="5789" xr:uid="{00000000-0005-0000-0000-00009A160000}"/>
    <cellStyle name="Comma 2 13 5 3" xfId="5790" xr:uid="{00000000-0005-0000-0000-00009B160000}"/>
    <cellStyle name="Comma 2 13 5 4" xfId="5791" xr:uid="{00000000-0005-0000-0000-00009C160000}"/>
    <cellStyle name="Comma 2 13 5 5" xfId="5792" xr:uid="{00000000-0005-0000-0000-00009D160000}"/>
    <cellStyle name="Comma 2 13 5 6" xfId="5793" xr:uid="{00000000-0005-0000-0000-00009E160000}"/>
    <cellStyle name="Comma 2 13 6" xfId="5794" xr:uid="{00000000-0005-0000-0000-00009F160000}"/>
    <cellStyle name="Comma 2 13 6 2" xfId="5795" xr:uid="{00000000-0005-0000-0000-0000A0160000}"/>
    <cellStyle name="Comma 2 13 6 3" xfId="5796" xr:uid="{00000000-0005-0000-0000-0000A1160000}"/>
    <cellStyle name="Comma 2 13 6 4" xfId="5797" xr:uid="{00000000-0005-0000-0000-0000A2160000}"/>
    <cellStyle name="Comma 2 13 6 5" xfId="5798" xr:uid="{00000000-0005-0000-0000-0000A3160000}"/>
    <cellStyle name="Comma 2 13 7" xfId="5799" xr:uid="{00000000-0005-0000-0000-0000A4160000}"/>
    <cellStyle name="Comma 2 13 7 2" xfId="5800" xr:uid="{00000000-0005-0000-0000-0000A5160000}"/>
    <cellStyle name="Comma 2 13 7 3" xfId="5801" xr:uid="{00000000-0005-0000-0000-0000A6160000}"/>
    <cellStyle name="Comma 2 13 8" xfId="5802" xr:uid="{00000000-0005-0000-0000-0000A7160000}"/>
    <cellStyle name="Comma 2 13 9" xfId="5803" xr:uid="{00000000-0005-0000-0000-0000A8160000}"/>
    <cellStyle name="Comma 2 14" xfId="5804" xr:uid="{00000000-0005-0000-0000-0000A9160000}"/>
    <cellStyle name="Comma 2 14 10" xfId="5805" xr:uid="{00000000-0005-0000-0000-0000AA160000}"/>
    <cellStyle name="Comma 2 14 11" xfId="5806" xr:uid="{00000000-0005-0000-0000-0000AB160000}"/>
    <cellStyle name="Comma 2 14 2" xfId="5807" xr:uid="{00000000-0005-0000-0000-0000AC160000}"/>
    <cellStyle name="Comma 2 14 2 2" xfId="5808" xr:uid="{00000000-0005-0000-0000-0000AD160000}"/>
    <cellStyle name="Comma 2 14 2 2 2" xfId="5809" xr:uid="{00000000-0005-0000-0000-0000AE160000}"/>
    <cellStyle name="Comma 2 14 2 2 2 2" xfId="5810" xr:uid="{00000000-0005-0000-0000-0000AF160000}"/>
    <cellStyle name="Comma 2 14 2 2 2 3" xfId="5811" xr:uid="{00000000-0005-0000-0000-0000B0160000}"/>
    <cellStyle name="Comma 2 14 2 2 3" xfId="5812" xr:uid="{00000000-0005-0000-0000-0000B1160000}"/>
    <cellStyle name="Comma 2 14 2 2 4" xfId="5813" xr:uid="{00000000-0005-0000-0000-0000B2160000}"/>
    <cellStyle name="Comma 2 14 2 2 5" xfId="5814" xr:uid="{00000000-0005-0000-0000-0000B3160000}"/>
    <cellStyle name="Comma 2 14 2 2 6" xfId="5815" xr:uid="{00000000-0005-0000-0000-0000B4160000}"/>
    <cellStyle name="Comma 2 14 2 3" xfId="5816" xr:uid="{00000000-0005-0000-0000-0000B5160000}"/>
    <cellStyle name="Comma 2 14 2 3 2" xfId="5817" xr:uid="{00000000-0005-0000-0000-0000B6160000}"/>
    <cellStyle name="Comma 2 14 2 3 2 2" xfId="5818" xr:uid="{00000000-0005-0000-0000-0000B7160000}"/>
    <cellStyle name="Comma 2 14 2 3 3" xfId="5819" xr:uid="{00000000-0005-0000-0000-0000B8160000}"/>
    <cellStyle name="Comma 2 14 2 3 4" xfId="5820" xr:uid="{00000000-0005-0000-0000-0000B9160000}"/>
    <cellStyle name="Comma 2 14 2 3 5" xfId="5821" xr:uid="{00000000-0005-0000-0000-0000BA160000}"/>
    <cellStyle name="Comma 2 14 2 4" xfId="5822" xr:uid="{00000000-0005-0000-0000-0000BB160000}"/>
    <cellStyle name="Comma 2 14 2 4 2" xfId="5823" xr:uid="{00000000-0005-0000-0000-0000BC160000}"/>
    <cellStyle name="Comma 2 14 2 4 3" xfId="5824" xr:uid="{00000000-0005-0000-0000-0000BD160000}"/>
    <cellStyle name="Comma 2 14 2 4 4" xfId="5825" xr:uid="{00000000-0005-0000-0000-0000BE160000}"/>
    <cellStyle name="Comma 2 14 2 5" xfId="5826" xr:uid="{00000000-0005-0000-0000-0000BF160000}"/>
    <cellStyle name="Comma 2 14 2 5 2" xfId="5827" xr:uid="{00000000-0005-0000-0000-0000C0160000}"/>
    <cellStyle name="Comma 2 14 2 6" xfId="5828" xr:uid="{00000000-0005-0000-0000-0000C1160000}"/>
    <cellStyle name="Comma 2 14 2 7" xfId="5829" xr:uid="{00000000-0005-0000-0000-0000C2160000}"/>
    <cellStyle name="Comma 2 14 2 8" xfId="5830" xr:uid="{00000000-0005-0000-0000-0000C3160000}"/>
    <cellStyle name="Comma 2 14 2 9" xfId="5831" xr:uid="{00000000-0005-0000-0000-0000C4160000}"/>
    <cellStyle name="Comma 2 14 3" xfId="5832" xr:uid="{00000000-0005-0000-0000-0000C5160000}"/>
    <cellStyle name="Comma 2 14 3 2" xfId="5833" xr:uid="{00000000-0005-0000-0000-0000C6160000}"/>
    <cellStyle name="Comma 2 14 3 2 2" xfId="5834" xr:uid="{00000000-0005-0000-0000-0000C7160000}"/>
    <cellStyle name="Comma 2 14 3 2 2 2" xfId="5835" xr:uid="{00000000-0005-0000-0000-0000C8160000}"/>
    <cellStyle name="Comma 2 14 3 2 2 3" xfId="5836" xr:uid="{00000000-0005-0000-0000-0000C9160000}"/>
    <cellStyle name="Comma 2 14 3 2 3" xfId="5837" xr:uid="{00000000-0005-0000-0000-0000CA160000}"/>
    <cellStyle name="Comma 2 14 3 2 4" xfId="5838" xr:uid="{00000000-0005-0000-0000-0000CB160000}"/>
    <cellStyle name="Comma 2 14 3 2 5" xfId="5839" xr:uid="{00000000-0005-0000-0000-0000CC160000}"/>
    <cellStyle name="Comma 2 14 3 2 6" xfId="5840" xr:uid="{00000000-0005-0000-0000-0000CD160000}"/>
    <cellStyle name="Comma 2 14 3 3" xfId="5841" xr:uid="{00000000-0005-0000-0000-0000CE160000}"/>
    <cellStyle name="Comma 2 14 3 3 2" xfId="5842" xr:uid="{00000000-0005-0000-0000-0000CF160000}"/>
    <cellStyle name="Comma 2 14 3 3 2 2" xfId="5843" xr:uid="{00000000-0005-0000-0000-0000D0160000}"/>
    <cellStyle name="Comma 2 14 3 3 3" xfId="5844" xr:uid="{00000000-0005-0000-0000-0000D1160000}"/>
    <cellStyle name="Comma 2 14 3 3 4" xfId="5845" xr:uid="{00000000-0005-0000-0000-0000D2160000}"/>
    <cellStyle name="Comma 2 14 3 3 5" xfId="5846" xr:uid="{00000000-0005-0000-0000-0000D3160000}"/>
    <cellStyle name="Comma 2 14 3 4" xfId="5847" xr:uid="{00000000-0005-0000-0000-0000D4160000}"/>
    <cellStyle name="Comma 2 14 3 4 2" xfId="5848" xr:uid="{00000000-0005-0000-0000-0000D5160000}"/>
    <cellStyle name="Comma 2 14 3 4 3" xfId="5849" xr:uid="{00000000-0005-0000-0000-0000D6160000}"/>
    <cellStyle name="Comma 2 14 3 4 4" xfId="5850" xr:uid="{00000000-0005-0000-0000-0000D7160000}"/>
    <cellStyle name="Comma 2 14 3 5" xfId="5851" xr:uid="{00000000-0005-0000-0000-0000D8160000}"/>
    <cellStyle name="Comma 2 14 3 5 2" xfId="5852" xr:uid="{00000000-0005-0000-0000-0000D9160000}"/>
    <cellStyle name="Comma 2 14 3 6" xfId="5853" xr:uid="{00000000-0005-0000-0000-0000DA160000}"/>
    <cellStyle name="Comma 2 14 3 7" xfId="5854" xr:uid="{00000000-0005-0000-0000-0000DB160000}"/>
    <cellStyle name="Comma 2 14 3 8" xfId="5855" xr:uid="{00000000-0005-0000-0000-0000DC160000}"/>
    <cellStyle name="Comma 2 14 3 9" xfId="5856" xr:uid="{00000000-0005-0000-0000-0000DD160000}"/>
    <cellStyle name="Comma 2 14 4" xfId="5857" xr:uid="{00000000-0005-0000-0000-0000DE160000}"/>
    <cellStyle name="Comma 2 14 4 2" xfId="5858" xr:uid="{00000000-0005-0000-0000-0000DF160000}"/>
    <cellStyle name="Comma 2 14 4 2 2" xfId="5859" xr:uid="{00000000-0005-0000-0000-0000E0160000}"/>
    <cellStyle name="Comma 2 14 4 2 3" xfId="5860" xr:uid="{00000000-0005-0000-0000-0000E1160000}"/>
    <cellStyle name="Comma 2 14 4 3" xfId="5861" xr:uid="{00000000-0005-0000-0000-0000E2160000}"/>
    <cellStyle name="Comma 2 14 4 4" xfId="5862" xr:uid="{00000000-0005-0000-0000-0000E3160000}"/>
    <cellStyle name="Comma 2 14 4 5" xfId="5863" xr:uid="{00000000-0005-0000-0000-0000E4160000}"/>
    <cellStyle name="Comma 2 14 4 6" xfId="5864" xr:uid="{00000000-0005-0000-0000-0000E5160000}"/>
    <cellStyle name="Comma 2 14 5" xfId="5865" xr:uid="{00000000-0005-0000-0000-0000E6160000}"/>
    <cellStyle name="Comma 2 14 5 2" xfId="5866" xr:uid="{00000000-0005-0000-0000-0000E7160000}"/>
    <cellStyle name="Comma 2 14 5 2 2" xfId="5867" xr:uid="{00000000-0005-0000-0000-0000E8160000}"/>
    <cellStyle name="Comma 2 14 5 3" xfId="5868" xr:uid="{00000000-0005-0000-0000-0000E9160000}"/>
    <cellStyle name="Comma 2 14 5 4" xfId="5869" xr:uid="{00000000-0005-0000-0000-0000EA160000}"/>
    <cellStyle name="Comma 2 14 5 5" xfId="5870" xr:uid="{00000000-0005-0000-0000-0000EB160000}"/>
    <cellStyle name="Comma 2 14 5 6" xfId="5871" xr:uid="{00000000-0005-0000-0000-0000EC160000}"/>
    <cellStyle name="Comma 2 14 6" xfId="5872" xr:uid="{00000000-0005-0000-0000-0000ED160000}"/>
    <cellStyle name="Comma 2 14 6 2" xfId="5873" xr:uid="{00000000-0005-0000-0000-0000EE160000}"/>
    <cellStyle name="Comma 2 14 6 3" xfId="5874" xr:uid="{00000000-0005-0000-0000-0000EF160000}"/>
    <cellStyle name="Comma 2 14 6 4" xfId="5875" xr:uid="{00000000-0005-0000-0000-0000F0160000}"/>
    <cellStyle name="Comma 2 14 6 5" xfId="5876" xr:uid="{00000000-0005-0000-0000-0000F1160000}"/>
    <cellStyle name="Comma 2 14 7" xfId="5877" xr:uid="{00000000-0005-0000-0000-0000F2160000}"/>
    <cellStyle name="Comma 2 14 7 2" xfId="5878" xr:uid="{00000000-0005-0000-0000-0000F3160000}"/>
    <cellStyle name="Comma 2 14 7 3" xfId="5879" xr:uid="{00000000-0005-0000-0000-0000F4160000}"/>
    <cellStyle name="Comma 2 14 8" xfId="5880" xr:uid="{00000000-0005-0000-0000-0000F5160000}"/>
    <cellStyle name="Comma 2 14 9" xfId="5881" xr:uid="{00000000-0005-0000-0000-0000F6160000}"/>
    <cellStyle name="Comma 2 15" xfId="5882" xr:uid="{00000000-0005-0000-0000-0000F7160000}"/>
    <cellStyle name="Comma 2 15 10" xfId="5883" xr:uid="{00000000-0005-0000-0000-0000F8160000}"/>
    <cellStyle name="Comma 2 15 11" xfId="5884" xr:uid="{00000000-0005-0000-0000-0000F9160000}"/>
    <cellStyle name="Comma 2 15 2" xfId="5885" xr:uid="{00000000-0005-0000-0000-0000FA160000}"/>
    <cellStyle name="Comma 2 15 2 2" xfId="5886" xr:uid="{00000000-0005-0000-0000-0000FB160000}"/>
    <cellStyle name="Comma 2 15 2 2 2" xfId="5887" xr:uid="{00000000-0005-0000-0000-0000FC160000}"/>
    <cellStyle name="Comma 2 15 2 2 2 2" xfId="5888" xr:uid="{00000000-0005-0000-0000-0000FD160000}"/>
    <cellStyle name="Comma 2 15 2 2 2 3" xfId="5889" xr:uid="{00000000-0005-0000-0000-0000FE160000}"/>
    <cellStyle name="Comma 2 15 2 2 3" xfId="5890" xr:uid="{00000000-0005-0000-0000-0000FF160000}"/>
    <cellStyle name="Comma 2 15 2 2 4" xfId="5891" xr:uid="{00000000-0005-0000-0000-000000170000}"/>
    <cellStyle name="Comma 2 15 2 2 5" xfId="5892" xr:uid="{00000000-0005-0000-0000-000001170000}"/>
    <cellStyle name="Comma 2 15 2 2 6" xfId="5893" xr:uid="{00000000-0005-0000-0000-000002170000}"/>
    <cellStyle name="Comma 2 15 2 3" xfId="5894" xr:uid="{00000000-0005-0000-0000-000003170000}"/>
    <cellStyle name="Comma 2 15 2 3 2" xfId="5895" xr:uid="{00000000-0005-0000-0000-000004170000}"/>
    <cellStyle name="Comma 2 15 2 3 2 2" xfId="5896" xr:uid="{00000000-0005-0000-0000-000005170000}"/>
    <cellStyle name="Comma 2 15 2 3 3" xfId="5897" xr:uid="{00000000-0005-0000-0000-000006170000}"/>
    <cellStyle name="Comma 2 15 2 3 4" xfId="5898" xr:uid="{00000000-0005-0000-0000-000007170000}"/>
    <cellStyle name="Comma 2 15 2 3 5" xfId="5899" xr:uid="{00000000-0005-0000-0000-000008170000}"/>
    <cellStyle name="Comma 2 15 2 4" xfId="5900" xr:uid="{00000000-0005-0000-0000-000009170000}"/>
    <cellStyle name="Comma 2 15 2 4 2" xfId="5901" xr:uid="{00000000-0005-0000-0000-00000A170000}"/>
    <cellStyle name="Comma 2 15 2 4 3" xfId="5902" xr:uid="{00000000-0005-0000-0000-00000B170000}"/>
    <cellStyle name="Comma 2 15 2 4 4" xfId="5903" xr:uid="{00000000-0005-0000-0000-00000C170000}"/>
    <cellStyle name="Comma 2 15 2 5" xfId="5904" xr:uid="{00000000-0005-0000-0000-00000D170000}"/>
    <cellStyle name="Comma 2 15 2 5 2" xfId="5905" xr:uid="{00000000-0005-0000-0000-00000E170000}"/>
    <cellStyle name="Comma 2 15 2 6" xfId="5906" xr:uid="{00000000-0005-0000-0000-00000F170000}"/>
    <cellStyle name="Comma 2 15 2 7" xfId="5907" xr:uid="{00000000-0005-0000-0000-000010170000}"/>
    <cellStyle name="Comma 2 15 2 8" xfId="5908" xr:uid="{00000000-0005-0000-0000-000011170000}"/>
    <cellStyle name="Comma 2 15 2 9" xfId="5909" xr:uid="{00000000-0005-0000-0000-000012170000}"/>
    <cellStyle name="Comma 2 15 3" xfId="5910" xr:uid="{00000000-0005-0000-0000-000013170000}"/>
    <cellStyle name="Comma 2 15 3 2" xfId="5911" xr:uid="{00000000-0005-0000-0000-000014170000}"/>
    <cellStyle name="Comma 2 15 3 2 2" xfId="5912" xr:uid="{00000000-0005-0000-0000-000015170000}"/>
    <cellStyle name="Comma 2 15 3 2 2 2" xfId="5913" xr:uid="{00000000-0005-0000-0000-000016170000}"/>
    <cellStyle name="Comma 2 15 3 2 2 3" xfId="5914" xr:uid="{00000000-0005-0000-0000-000017170000}"/>
    <cellStyle name="Comma 2 15 3 2 3" xfId="5915" xr:uid="{00000000-0005-0000-0000-000018170000}"/>
    <cellStyle name="Comma 2 15 3 2 4" xfId="5916" xr:uid="{00000000-0005-0000-0000-000019170000}"/>
    <cellStyle name="Comma 2 15 3 2 5" xfId="5917" xr:uid="{00000000-0005-0000-0000-00001A170000}"/>
    <cellStyle name="Comma 2 15 3 2 6" xfId="5918" xr:uid="{00000000-0005-0000-0000-00001B170000}"/>
    <cellStyle name="Comma 2 15 3 3" xfId="5919" xr:uid="{00000000-0005-0000-0000-00001C170000}"/>
    <cellStyle name="Comma 2 15 3 3 2" xfId="5920" xr:uid="{00000000-0005-0000-0000-00001D170000}"/>
    <cellStyle name="Comma 2 15 3 3 2 2" xfId="5921" xr:uid="{00000000-0005-0000-0000-00001E170000}"/>
    <cellStyle name="Comma 2 15 3 3 3" xfId="5922" xr:uid="{00000000-0005-0000-0000-00001F170000}"/>
    <cellStyle name="Comma 2 15 3 3 4" xfId="5923" xr:uid="{00000000-0005-0000-0000-000020170000}"/>
    <cellStyle name="Comma 2 15 3 3 5" xfId="5924" xr:uid="{00000000-0005-0000-0000-000021170000}"/>
    <cellStyle name="Comma 2 15 3 4" xfId="5925" xr:uid="{00000000-0005-0000-0000-000022170000}"/>
    <cellStyle name="Comma 2 15 3 4 2" xfId="5926" xr:uid="{00000000-0005-0000-0000-000023170000}"/>
    <cellStyle name="Comma 2 15 3 4 3" xfId="5927" xr:uid="{00000000-0005-0000-0000-000024170000}"/>
    <cellStyle name="Comma 2 15 3 4 4" xfId="5928" xr:uid="{00000000-0005-0000-0000-000025170000}"/>
    <cellStyle name="Comma 2 15 3 5" xfId="5929" xr:uid="{00000000-0005-0000-0000-000026170000}"/>
    <cellStyle name="Comma 2 15 3 5 2" xfId="5930" xr:uid="{00000000-0005-0000-0000-000027170000}"/>
    <cellStyle name="Comma 2 15 3 6" xfId="5931" xr:uid="{00000000-0005-0000-0000-000028170000}"/>
    <cellStyle name="Comma 2 15 3 7" xfId="5932" xr:uid="{00000000-0005-0000-0000-000029170000}"/>
    <cellStyle name="Comma 2 15 3 8" xfId="5933" xr:uid="{00000000-0005-0000-0000-00002A170000}"/>
    <cellStyle name="Comma 2 15 3 9" xfId="5934" xr:uid="{00000000-0005-0000-0000-00002B170000}"/>
    <cellStyle name="Comma 2 15 4" xfId="5935" xr:uid="{00000000-0005-0000-0000-00002C170000}"/>
    <cellStyle name="Comma 2 15 4 2" xfId="5936" xr:uid="{00000000-0005-0000-0000-00002D170000}"/>
    <cellStyle name="Comma 2 15 4 2 2" xfId="5937" xr:uid="{00000000-0005-0000-0000-00002E170000}"/>
    <cellStyle name="Comma 2 15 4 2 3" xfId="5938" xr:uid="{00000000-0005-0000-0000-00002F170000}"/>
    <cellStyle name="Comma 2 15 4 3" xfId="5939" xr:uid="{00000000-0005-0000-0000-000030170000}"/>
    <cellStyle name="Comma 2 15 4 4" xfId="5940" xr:uid="{00000000-0005-0000-0000-000031170000}"/>
    <cellStyle name="Comma 2 15 4 5" xfId="5941" xr:uid="{00000000-0005-0000-0000-000032170000}"/>
    <cellStyle name="Comma 2 15 4 6" xfId="5942" xr:uid="{00000000-0005-0000-0000-000033170000}"/>
    <cellStyle name="Comma 2 15 5" xfId="5943" xr:uid="{00000000-0005-0000-0000-000034170000}"/>
    <cellStyle name="Comma 2 15 5 2" xfId="5944" xr:uid="{00000000-0005-0000-0000-000035170000}"/>
    <cellStyle name="Comma 2 15 5 2 2" xfId="5945" xr:uid="{00000000-0005-0000-0000-000036170000}"/>
    <cellStyle name="Comma 2 15 5 3" xfId="5946" xr:uid="{00000000-0005-0000-0000-000037170000}"/>
    <cellStyle name="Comma 2 15 5 4" xfId="5947" xr:uid="{00000000-0005-0000-0000-000038170000}"/>
    <cellStyle name="Comma 2 15 5 5" xfId="5948" xr:uid="{00000000-0005-0000-0000-000039170000}"/>
    <cellStyle name="Comma 2 15 5 6" xfId="5949" xr:uid="{00000000-0005-0000-0000-00003A170000}"/>
    <cellStyle name="Comma 2 15 6" xfId="5950" xr:uid="{00000000-0005-0000-0000-00003B170000}"/>
    <cellStyle name="Comma 2 15 6 2" xfId="5951" xr:uid="{00000000-0005-0000-0000-00003C170000}"/>
    <cellStyle name="Comma 2 15 6 3" xfId="5952" xr:uid="{00000000-0005-0000-0000-00003D170000}"/>
    <cellStyle name="Comma 2 15 6 4" xfId="5953" xr:uid="{00000000-0005-0000-0000-00003E170000}"/>
    <cellStyle name="Comma 2 15 6 5" xfId="5954" xr:uid="{00000000-0005-0000-0000-00003F170000}"/>
    <cellStyle name="Comma 2 15 7" xfId="5955" xr:uid="{00000000-0005-0000-0000-000040170000}"/>
    <cellStyle name="Comma 2 15 7 2" xfId="5956" xr:uid="{00000000-0005-0000-0000-000041170000}"/>
    <cellStyle name="Comma 2 15 7 3" xfId="5957" xr:uid="{00000000-0005-0000-0000-000042170000}"/>
    <cellStyle name="Comma 2 15 8" xfId="5958" xr:uid="{00000000-0005-0000-0000-000043170000}"/>
    <cellStyle name="Comma 2 15 9" xfId="5959" xr:uid="{00000000-0005-0000-0000-000044170000}"/>
    <cellStyle name="Comma 2 16" xfId="5960" xr:uid="{00000000-0005-0000-0000-000045170000}"/>
    <cellStyle name="Comma 2 16 10" xfId="5961" xr:uid="{00000000-0005-0000-0000-000046170000}"/>
    <cellStyle name="Comma 2 16 2" xfId="5962" xr:uid="{00000000-0005-0000-0000-000047170000}"/>
    <cellStyle name="Comma 2 16 2 2" xfId="5963" xr:uid="{00000000-0005-0000-0000-000048170000}"/>
    <cellStyle name="Comma 2 16 2 2 2" xfId="5964" xr:uid="{00000000-0005-0000-0000-000049170000}"/>
    <cellStyle name="Comma 2 16 2 2 3" xfId="5965" xr:uid="{00000000-0005-0000-0000-00004A170000}"/>
    <cellStyle name="Comma 2 16 2 3" xfId="5966" xr:uid="{00000000-0005-0000-0000-00004B170000}"/>
    <cellStyle name="Comma 2 16 2 4" xfId="5967" xr:uid="{00000000-0005-0000-0000-00004C170000}"/>
    <cellStyle name="Comma 2 16 2 5" xfId="5968" xr:uid="{00000000-0005-0000-0000-00004D170000}"/>
    <cellStyle name="Comma 2 16 2 6" xfId="5969" xr:uid="{00000000-0005-0000-0000-00004E170000}"/>
    <cellStyle name="Comma 2 16 3" xfId="5970" xr:uid="{00000000-0005-0000-0000-00004F170000}"/>
    <cellStyle name="Comma 2 16 3 2" xfId="5971" xr:uid="{00000000-0005-0000-0000-000050170000}"/>
    <cellStyle name="Comma 2 16 3 2 2" xfId="5972" xr:uid="{00000000-0005-0000-0000-000051170000}"/>
    <cellStyle name="Comma 2 16 3 2 3" xfId="5973" xr:uid="{00000000-0005-0000-0000-000052170000}"/>
    <cellStyle name="Comma 2 16 3 3" xfId="5974" xr:uid="{00000000-0005-0000-0000-000053170000}"/>
    <cellStyle name="Comma 2 16 3 4" xfId="5975" xr:uid="{00000000-0005-0000-0000-000054170000}"/>
    <cellStyle name="Comma 2 16 3 5" xfId="5976" xr:uid="{00000000-0005-0000-0000-000055170000}"/>
    <cellStyle name="Comma 2 16 3 6" xfId="5977" xr:uid="{00000000-0005-0000-0000-000056170000}"/>
    <cellStyle name="Comma 2 16 4" xfId="5978" xr:uid="{00000000-0005-0000-0000-000057170000}"/>
    <cellStyle name="Comma 2 16 4 2" xfId="5979" xr:uid="{00000000-0005-0000-0000-000058170000}"/>
    <cellStyle name="Comma 2 16 4 2 2" xfId="5980" xr:uid="{00000000-0005-0000-0000-000059170000}"/>
    <cellStyle name="Comma 2 16 4 3" xfId="5981" xr:uid="{00000000-0005-0000-0000-00005A170000}"/>
    <cellStyle name="Comma 2 16 4 4" xfId="5982" xr:uid="{00000000-0005-0000-0000-00005B170000}"/>
    <cellStyle name="Comma 2 16 4 5" xfId="5983" xr:uid="{00000000-0005-0000-0000-00005C170000}"/>
    <cellStyle name="Comma 2 16 4 6" xfId="5984" xr:uid="{00000000-0005-0000-0000-00005D170000}"/>
    <cellStyle name="Comma 2 16 5" xfId="5985" xr:uid="{00000000-0005-0000-0000-00005E170000}"/>
    <cellStyle name="Comma 2 16 5 2" xfId="5986" xr:uid="{00000000-0005-0000-0000-00005F170000}"/>
    <cellStyle name="Comma 2 16 5 3" xfId="5987" xr:uid="{00000000-0005-0000-0000-000060170000}"/>
    <cellStyle name="Comma 2 16 5 4" xfId="5988" xr:uid="{00000000-0005-0000-0000-000061170000}"/>
    <cellStyle name="Comma 2 16 5 5" xfId="5989" xr:uid="{00000000-0005-0000-0000-000062170000}"/>
    <cellStyle name="Comma 2 16 6" xfId="5990" xr:uid="{00000000-0005-0000-0000-000063170000}"/>
    <cellStyle name="Comma 2 16 6 2" xfId="5991" xr:uid="{00000000-0005-0000-0000-000064170000}"/>
    <cellStyle name="Comma 2 16 6 3" xfId="5992" xr:uid="{00000000-0005-0000-0000-000065170000}"/>
    <cellStyle name="Comma 2 16 7" xfId="5993" xr:uid="{00000000-0005-0000-0000-000066170000}"/>
    <cellStyle name="Comma 2 16 7 2" xfId="5994" xr:uid="{00000000-0005-0000-0000-000067170000}"/>
    <cellStyle name="Comma 2 16 8" xfId="5995" xr:uid="{00000000-0005-0000-0000-000068170000}"/>
    <cellStyle name="Comma 2 16 9" xfId="5996" xr:uid="{00000000-0005-0000-0000-000069170000}"/>
    <cellStyle name="Comma 2 17" xfId="5997" xr:uid="{00000000-0005-0000-0000-00006A170000}"/>
    <cellStyle name="Comma 2 17 10" xfId="5998" xr:uid="{00000000-0005-0000-0000-00006B170000}"/>
    <cellStyle name="Comma 2 17 2" xfId="5999" xr:uid="{00000000-0005-0000-0000-00006C170000}"/>
    <cellStyle name="Comma 2 17 2 2" xfId="6000" xr:uid="{00000000-0005-0000-0000-00006D170000}"/>
    <cellStyle name="Comma 2 17 2 2 2" xfId="6001" xr:uid="{00000000-0005-0000-0000-00006E170000}"/>
    <cellStyle name="Comma 2 17 2 2 3" xfId="6002" xr:uid="{00000000-0005-0000-0000-00006F170000}"/>
    <cellStyle name="Comma 2 17 2 3" xfId="6003" xr:uid="{00000000-0005-0000-0000-000070170000}"/>
    <cellStyle name="Comma 2 17 2 4" xfId="6004" xr:uid="{00000000-0005-0000-0000-000071170000}"/>
    <cellStyle name="Comma 2 17 2 5" xfId="6005" xr:uid="{00000000-0005-0000-0000-000072170000}"/>
    <cellStyle name="Comma 2 17 2 6" xfId="6006" xr:uid="{00000000-0005-0000-0000-000073170000}"/>
    <cellStyle name="Comma 2 17 3" xfId="6007" xr:uid="{00000000-0005-0000-0000-000074170000}"/>
    <cellStyle name="Comma 2 17 3 2" xfId="6008" xr:uid="{00000000-0005-0000-0000-000075170000}"/>
    <cellStyle name="Comma 2 17 3 2 2" xfId="6009" xr:uid="{00000000-0005-0000-0000-000076170000}"/>
    <cellStyle name="Comma 2 17 3 2 3" xfId="6010" xr:uid="{00000000-0005-0000-0000-000077170000}"/>
    <cellStyle name="Comma 2 17 3 3" xfId="6011" xr:uid="{00000000-0005-0000-0000-000078170000}"/>
    <cellStyle name="Comma 2 17 3 4" xfId="6012" xr:uid="{00000000-0005-0000-0000-000079170000}"/>
    <cellStyle name="Comma 2 17 3 5" xfId="6013" xr:uid="{00000000-0005-0000-0000-00007A170000}"/>
    <cellStyle name="Comma 2 17 3 6" xfId="6014" xr:uid="{00000000-0005-0000-0000-00007B170000}"/>
    <cellStyle name="Comma 2 17 4" xfId="6015" xr:uid="{00000000-0005-0000-0000-00007C170000}"/>
    <cellStyle name="Comma 2 17 4 2" xfId="6016" xr:uid="{00000000-0005-0000-0000-00007D170000}"/>
    <cellStyle name="Comma 2 17 4 2 2" xfId="6017" xr:uid="{00000000-0005-0000-0000-00007E170000}"/>
    <cellStyle name="Comma 2 17 4 3" xfId="6018" xr:uid="{00000000-0005-0000-0000-00007F170000}"/>
    <cellStyle name="Comma 2 17 4 4" xfId="6019" xr:uid="{00000000-0005-0000-0000-000080170000}"/>
    <cellStyle name="Comma 2 17 4 5" xfId="6020" xr:uid="{00000000-0005-0000-0000-000081170000}"/>
    <cellStyle name="Comma 2 17 4 6" xfId="6021" xr:uid="{00000000-0005-0000-0000-000082170000}"/>
    <cellStyle name="Comma 2 17 5" xfId="6022" xr:uid="{00000000-0005-0000-0000-000083170000}"/>
    <cellStyle name="Comma 2 17 5 2" xfId="6023" xr:uid="{00000000-0005-0000-0000-000084170000}"/>
    <cellStyle name="Comma 2 17 5 3" xfId="6024" xr:uid="{00000000-0005-0000-0000-000085170000}"/>
    <cellStyle name="Comma 2 17 5 4" xfId="6025" xr:uid="{00000000-0005-0000-0000-000086170000}"/>
    <cellStyle name="Comma 2 17 5 5" xfId="6026" xr:uid="{00000000-0005-0000-0000-000087170000}"/>
    <cellStyle name="Comma 2 17 6" xfId="6027" xr:uid="{00000000-0005-0000-0000-000088170000}"/>
    <cellStyle name="Comma 2 17 6 2" xfId="6028" xr:uid="{00000000-0005-0000-0000-000089170000}"/>
    <cellStyle name="Comma 2 17 6 3" xfId="6029" xr:uid="{00000000-0005-0000-0000-00008A170000}"/>
    <cellStyle name="Comma 2 17 7" xfId="6030" xr:uid="{00000000-0005-0000-0000-00008B170000}"/>
    <cellStyle name="Comma 2 17 7 2" xfId="6031" xr:uid="{00000000-0005-0000-0000-00008C170000}"/>
    <cellStyle name="Comma 2 17 8" xfId="6032" xr:uid="{00000000-0005-0000-0000-00008D170000}"/>
    <cellStyle name="Comma 2 17 9" xfId="6033" xr:uid="{00000000-0005-0000-0000-00008E170000}"/>
    <cellStyle name="Comma 2 18" xfId="6034" xr:uid="{00000000-0005-0000-0000-00008F170000}"/>
    <cellStyle name="Comma 2 18 10" xfId="6035" xr:uid="{00000000-0005-0000-0000-000090170000}"/>
    <cellStyle name="Comma 2 18 2" xfId="6036" xr:uid="{00000000-0005-0000-0000-000091170000}"/>
    <cellStyle name="Comma 2 18 2 2" xfId="6037" xr:uid="{00000000-0005-0000-0000-000092170000}"/>
    <cellStyle name="Comma 2 18 2 2 2" xfId="6038" xr:uid="{00000000-0005-0000-0000-000093170000}"/>
    <cellStyle name="Comma 2 18 2 2 3" xfId="6039" xr:uid="{00000000-0005-0000-0000-000094170000}"/>
    <cellStyle name="Comma 2 18 2 3" xfId="6040" xr:uid="{00000000-0005-0000-0000-000095170000}"/>
    <cellStyle name="Comma 2 18 2 4" xfId="6041" xr:uid="{00000000-0005-0000-0000-000096170000}"/>
    <cellStyle name="Comma 2 18 2 5" xfId="6042" xr:uid="{00000000-0005-0000-0000-000097170000}"/>
    <cellStyle name="Comma 2 18 2 6" xfId="6043" xr:uid="{00000000-0005-0000-0000-000098170000}"/>
    <cellStyle name="Comma 2 18 3" xfId="6044" xr:uid="{00000000-0005-0000-0000-000099170000}"/>
    <cellStyle name="Comma 2 18 3 2" xfId="6045" xr:uid="{00000000-0005-0000-0000-00009A170000}"/>
    <cellStyle name="Comma 2 18 3 2 2" xfId="6046" xr:uid="{00000000-0005-0000-0000-00009B170000}"/>
    <cellStyle name="Comma 2 18 3 2 3" xfId="6047" xr:uid="{00000000-0005-0000-0000-00009C170000}"/>
    <cellStyle name="Comma 2 18 3 3" xfId="6048" xr:uid="{00000000-0005-0000-0000-00009D170000}"/>
    <cellStyle name="Comma 2 18 3 4" xfId="6049" xr:uid="{00000000-0005-0000-0000-00009E170000}"/>
    <cellStyle name="Comma 2 18 3 5" xfId="6050" xr:uid="{00000000-0005-0000-0000-00009F170000}"/>
    <cellStyle name="Comma 2 18 3 6" xfId="6051" xr:uid="{00000000-0005-0000-0000-0000A0170000}"/>
    <cellStyle name="Comma 2 18 4" xfId="6052" xr:uid="{00000000-0005-0000-0000-0000A1170000}"/>
    <cellStyle name="Comma 2 18 4 2" xfId="6053" xr:uid="{00000000-0005-0000-0000-0000A2170000}"/>
    <cellStyle name="Comma 2 18 4 2 2" xfId="6054" xr:uid="{00000000-0005-0000-0000-0000A3170000}"/>
    <cellStyle name="Comma 2 18 4 3" xfId="6055" xr:uid="{00000000-0005-0000-0000-0000A4170000}"/>
    <cellStyle name="Comma 2 18 4 4" xfId="6056" xr:uid="{00000000-0005-0000-0000-0000A5170000}"/>
    <cellStyle name="Comma 2 18 4 5" xfId="6057" xr:uid="{00000000-0005-0000-0000-0000A6170000}"/>
    <cellStyle name="Comma 2 18 4 6" xfId="6058" xr:uid="{00000000-0005-0000-0000-0000A7170000}"/>
    <cellStyle name="Comma 2 18 5" xfId="6059" xr:uid="{00000000-0005-0000-0000-0000A8170000}"/>
    <cellStyle name="Comma 2 18 5 2" xfId="6060" xr:uid="{00000000-0005-0000-0000-0000A9170000}"/>
    <cellStyle name="Comma 2 18 5 3" xfId="6061" xr:uid="{00000000-0005-0000-0000-0000AA170000}"/>
    <cellStyle name="Comma 2 18 5 4" xfId="6062" xr:uid="{00000000-0005-0000-0000-0000AB170000}"/>
    <cellStyle name="Comma 2 18 5 5" xfId="6063" xr:uid="{00000000-0005-0000-0000-0000AC170000}"/>
    <cellStyle name="Comma 2 18 6" xfId="6064" xr:uid="{00000000-0005-0000-0000-0000AD170000}"/>
    <cellStyle name="Comma 2 18 6 2" xfId="6065" xr:uid="{00000000-0005-0000-0000-0000AE170000}"/>
    <cellStyle name="Comma 2 18 6 3" xfId="6066" xr:uid="{00000000-0005-0000-0000-0000AF170000}"/>
    <cellStyle name="Comma 2 18 7" xfId="6067" xr:uid="{00000000-0005-0000-0000-0000B0170000}"/>
    <cellStyle name="Comma 2 18 7 2" xfId="6068" xr:uid="{00000000-0005-0000-0000-0000B1170000}"/>
    <cellStyle name="Comma 2 18 8" xfId="6069" xr:uid="{00000000-0005-0000-0000-0000B2170000}"/>
    <cellStyle name="Comma 2 18 9" xfId="6070" xr:uid="{00000000-0005-0000-0000-0000B3170000}"/>
    <cellStyle name="Comma 2 19" xfId="6071" xr:uid="{00000000-0005-0000-0000-0000B4170000}"/>
    <cellStyle name="Comma 2 19 10" xfId="6072" xr:uid="{00000000-0005-0000-0000-0000B5170000}"/>
    <cellStyle name="Comma 2 19 2" xfId="6073" xr:uid="{00000000-0005-0000-0000-0000B6170000}"/>
    <cellStyle name="Comma 2 19 2 2" xfId="6074" xr:uid="{00000000-0005-0000-0000-0000B7170000}"/>
    <cellStyle name="Comma 2 19 2 2 2" xfId="6075" xr:uid="{00000000-0005-0000-0000-0000B8170000}"/>
    <cellStyle name="Comma 2 19 2 2 3" xfId="6076" xr:uid="{00000000-0005-0000-0000-0000B9170000}"/>
    <cellStyle name="Comma 2 19 2 3" xfId="6077" xr:uid="{00000000-0005-0000-0000-0000BA170000}"/>
    <cellStyle name="Comma 2 19 2 4" xfId="6078" xr:uid="{00000000-0005-0000-0000-0000BB170000}"/>
    <cellStyle name="Comma 2 19 2 5" xfId="6079" xr:uid="{00000000-0005-0000-0000-0000BC170000}"/>
    <cellStyle name="Comma 2 19 2 6" xfId="6080" xr:uid="{00000000-0005-0000-0000-0000BD170000}"/>
    <cellStyle name="Comma 2 19 3" xfId="6081" xr:uid="{00000000-0005-0000-0000-0000BE170000}"/>
    <cellStyle name="Comma 2 19 3 2" xfId="6082" xr:uid="{00000000-0005-0000-0000-0000BF170000}"/>
    <cellStyle name="Comma 2 19 3 2 2" xfId="6083" xr:uid="{00000000-0005-0000-0000-0000C0170000}"/>
    <cellStyle name="Comma 2 19 3 2 3" xfId="6084" xr:uid="{00000000-0005-0000-0000-0000C1170000}"/>
    <cellStyle name="Comma 2 19 3 3" xfId="6085" xr:uid="{00000000-0005-0000-0000-0000C2170000}"/>
    <cellStyle name="Comma 2 19 3 4" xfId="6086" xr:uid="{00000000-0005-0000-0000-0000C3170000}"/>
    <cellStyle name="Comma 2 19 3 5" xfId="6087" xr:uid="{00000000-0005-0000-0000-0000C4170000}"/>
    <cellStyle name="Comma 2 19 3 6" xfId="6088" xr:uid="{00000000-0005-0000-0000-0000C5170000}"/>
    <cellStyle name="Comma 2 19 4" xfId="6089" xr:uid="{00000000-0005-0000-0000-0000C6170000}"/>
    <cellStyle name="Comma 2 19 4 2" xfId="6090" xr:uid="{00000000-0005-0000-0000-0000C7170000}"/>
    <cellStyle name="Comma 2 19 4 2 2" xfId="6091" xr:uid="{00000000-0005-0000-0000-0000C8170000}"/>
    <cellStyle name="Comma 2 19 4 3" xfId="6092" xr:uid="{00000000-0005-0000-0000-0000C9170000}"/>
    <cellStyle name="Comma 2 19 4 4" xfId="6093" xr:uid="{00000000-0005-0000-0000-0000CA170000}"/>
    <cellStyle name="Comma 2 19 4 5" xfId="6094" xr:uid="{00000000-0005-0000-0000-0000CB170000}"/>
    <cellStyle name="Comma 2 19 4 6" xfId="6095" xr:uid="{00000000-0005-0000-0000-0000CC170000}"/>
    <cellStyle name="Comma 2 19 5" xfId="6096" xr:uid="{00000000-0005-0000-0000-0000CD170000}"/>
    <cellStyle name="Comma 2 19 5 2" xfId="6097" xr:uid="{00000000-0005-0000-0000-0000CE170000}"/>
    <cellStyle name="Comma 2 19 5 3" xfId="6098" xr:uid="{00000000-0005-0000-0000-0000CF170000}"/>
    <cellStyle name="Comma 2 19 5 4" xfId="6099" xr:uid="{00000000-0005-0000-0000-0000D0170000}"/>
    <cellStyle name="Comma 2 19 5 5" xfId="6100" xr:uid="{00000000-0005-0000-0000-0000D1170000}"/>
    <cellStyle name="Comma 2 19 6" xfId="6101" xr:uid="{00000000-0005-0000-0000-0000D2170000}"/>
    <cellStyle name="Comma 2 19 6 2" xfId="6102" xr:uid="{00000000-0005-0000-0000-0000D3170000}"/>
    <cellStyle name="Comma 2 19 6 3" xfId="6103" xr:uid="{00000000-0005-0000-0000-0000D4170000}"/>
    <cellStyle name="Comma 2 19 7" xfId="6104" xr:uid="{00000000-0005-0000-0000-0000D5170000}"/>
    <cellStyle name="Comma 2 19 7 2" xfId="6105" xr:uid="{00000000-0005-0000-0000-0000D6170000}"/>
    <cellStyle name="Comma 2 19 8" xfId="6106" xr:uid="{00000000-0005-0000-0000-0000D7170000}"/>
    <cellStyle name="Comma 2 19 9" xfId="6107" xr:uid="{00000000-0005-0000-0000-0000D8170000}"/>
    <cellStyle name="Comma 2 2" xfId="6108" xr:uid="{00000000-0005-0000-0000-0000D9170000}"/>
    <cellStyle name="Comma 2 2 10" xfId="6109" xr:uid="{00000000-0005-0000-0000-0000DA170000}"/>
    <cellStyle name="Comma 2 2 10 10" xfId="6110" xr:uid="{00000000-0005-0000-0000-0000DB170000}"/>
    <cellStyle name="Comma 2 2 10 2" xfId="6111" xr:uid="{00000000-0005-0000-0000-0000DC170000}"/>
    <cellStyle name="Comma 2 2 10 2 2" xfId="6112" xr:uid="{00000000-0005-0000-0000-0000DD170000}"/>
    <cellStyle name="Comma 2 2 10 2 2 2" xfId="6113" xr:uid="{00000000-0005-0000-0000-0000DE170000}"/>
    <cellStyle name="Comma 2 2 10 2 2 3" xfId="6114" xr:uid="{00000000-0005-0000-0000-0000DF170000}"/>
    <cellStyle name="Comma 2 2 10 2 3" xfId="6115" xr:uid="{00000000-0005-0000-0000-0000E0170000}"/>
    <cellStyle name="Comma 2 2 10 2 4" xfId="6116" xr:uid="{00000000-0005-0000-0000-0000E1170000}"/>
    <cellStyle name="Comma 2 2 10 2 5" xfId="6117" xr:uid="{00000000-0005-0000-0000-0000E2170000}"/>
    <cellStyle name="Comma 2 2 10 2 6" xfId="6118" xr:uid="{00000000-0005-0000-0000-0000E3170000}"/>
    <cellStyle name="Comma 2 2 10 3" xfId="6119" xr:uid="{00000000-0005-0000-0000-0000E4170000}"/>
    <cellStyle name="Comma 2 2 10 3 2" xfId="6120" xr:uid="{00000000-0005-0000-0000-0000E5170000}"/>
    <cellStyle name="Comma 2 2 10 3 2 2" xfId="6121" xr:uid="{00000000-0005-0000-0000-0000E6170000}"/>
    <cellStyle name="Comma 2 2 10 3 2 3" xfId="6122" xr:uid="{00000000-0005-0000-0000-0000E7170000}"/>
    <cellStyle name="Comma 2 2 10 3 3" xfId="6123" xr:uid="{00000000-0005-0000-0000-0000E8170000}"/>
    <cellStyle name="Comma 2 2 10 3 4" xfId="6124" xr:uid="{00000000-0005-0000-0000-0000E9170000}"/>
    <cellStyle name="Comma 2 2 10 3 5" xfId="6125" xr:uid="{00000000-0005-0000-0000-0000EA170000}"/>
    <cellStyle name="Comma 2 2 10 3 6" xfId="6126" xr:uid="{00000000-0005-0000-0000-0000EB170000}"/>
    <cellStyle name="Comma 2 2 10 4" xfId="6127" xr:uid="{00000000-0005-0000-0000-0000EC170000}"/>
    <cellStyle name="Comma 2 2 10 4 2" xfId="6128" xr:uid="{00000000-0005-0000-0000-0000ED170000}"/>
    <cellStyle name="Comma 2 2 10 4 2 2" xfId="6129" xr:uid="{00000000-0005-0000-0000-0000EE170000}"/>
    <cellStyle name="Comma 2 2 10 4 3" xfId="6130" xr:uid="{00000000-0005-0000-0000-0000EF170000}"/>
    <cellStyle name="Comma 2 2 10 4 4" xfId="6131" xr:uid="{00000000-0005-0000-0000-0000F0170000}"/>
    <cellStyle name="Comma 2 2 10 4 5" xfId="6132" xr:uid="{00000000-0005-0000-0000-0000F1170000}"/>
    <cellStyle name="Comma 2 2 10 5" xfId="6133" xr:uid="{00000000-0005-0000-0000-0000F2170000}"/>
    <cellStyle name="Comma 2 2 10 5 2" xfId="6134" xr:uid="{00000000-0005-0000-0000-0000F3170000}"/>
    <cellStyle name="Comma 2 2 10 5 3" xfId="6135" xr:uid="{00000000-0005-0000-0000-0000F4170000}"/>
    <cellStyle name="Comma 2 2 10 5 4" xfId="6136" xr:uid="{00000000-0005-0000-0000-0000F5170000}"/>
    <cellStyle name="Comma 2 2 10 6" xfId="6137" xr:uid="{00000000-0005-0000-0000-0000F6170000}"/>
    <cellStyle name="Comma 2 2 10 6 2" xfId="6138" xr:uid="{00000000-0005-0000-0000-0000F7170000}"/>
    <cellStyle name="Comma 2 2 10 7" xfId="6139" xr:uid="{00000000-0005-0000-0000-0000F8170000}"/>
    <cellStyle name="Comma 2 2 10 8" xfId="6140" xr:uid="{00000000-0005-0000-0000-0000F9170000}"/>
    <cellStyle name="Comma 2 2 10 9" xfId="6141" xr:uid="{00000000-0005-0000-0000-0000FA170000}"/>
    <cellStyle name="Comma 2 2 11" xfId="6142" xr:uid="{00000000-0005-0000-0000-0000FB170000}"/>
    <cellStyle name="Comma 2 2 11 10" xfId="6143" xr:uid="{00000000-0005-0000-0000-0000FC170000}"/>
    <cellStyle name="Comma 2 2 11 2" xfId="6144" xr:uid="{00000000-0005-0000-0000-0000FD170000}"/>
    <cellStyle name="Comma 2 2 11 2 2" xfId="6145" xr:uid="{00000000-0005-0000-0000-0000FE170000}"/>
    <cellStyle name="Comma 2 2 11 2 2 2" xfId="6146" xr:uid="{00000000-0005-0000-0000-0000FF170000}"/>
    <cellStyle name="Comma 2 2 11 2 2 3" xfId="6147" xr:uid="{00000000-0005-0000-0000-000000180000}"/>
    <cellStyle name="Comma 2 2 11 2 3" xfId="6148" xr:uid="{00000000-0005-0000-0000-000001180000}"/>
    <cellStyle name="Comma 2 2 11 2 4" xfId="6149" xr:uid="{00000000-0005-0000-0000-000002180000}"/>
    <cellStyle name="Comma 2 2 11 2 5" xfId="6150" xr:uid="{00000000-0005-0000-0000-000003180000}"/>
    <cellStyle name="Comma 2 2 11 2 6" xfId="6151" xr:uid="{00000000-0005-0000-0000-000004180000}"/>
    <cellStyle name="Comma 2 2 11 3" xfId="6152" xr:uid="{00000000-0005-0000-0000-000005180000}"/>
    <cellStyle name="Comma 2 2 11 3 2" xfId="6153" xr:uid="{00000000-0005-0000-0000-000006180000}"/>
    <cellStyle name="Comma 2 2 11 3 2 2" xfId="6154" xr:uid="{00000000-0005-0000-0000-000007180000}"/>
    <cellStyle name="Comma 2 2 11 3 2 3" xfId="6155" xr:uid="{00000000-0005-0000-0000-000008180000}"/>
    <cellStyle name="Comma 2 2 11 3 3" xfId="6156" xr:uid="{00000000-0005-0000-0000-000009180000}"/>
    <cellStyle name="Comma 2 2 11 3 4" xfId="6157" xr:uid="{00000000-0005-0000-0000-00000A180000}"/>
    <cellStyle name="Comma 2 2 11 3 5" xfId="6158" xr:uid="{00000000-0005-0000-0000-00000B180000}"/>
    <cellStyle name="Comma 2 2 11 3 6" xfId="6159" xr:uid="{00000000-0005-0000-0000-00000C180000}"/>
    <cellStyle name="Comma 2 2 11 4" xfId="6160" xr:uid="{00000000-0005-0000-0000-00000D180000}"/>
    <cellStyle name="Comma 2 2 11 4 2" xfId="6161" xr:uid="{00000000-0005-0000-0000-00000E180000}"/>
    <cellStyle name="Comma 2 2 11 4 2 2" xfId="6162" xr:uid="{00000000-0005-0000-0000-00000F180000}"/>
    <cellStyle name="Comma 2 2 11 4 3" xfId="6163" xr:uid="{00000000-0005-0000-0000-000010180000}"/>
    <cellStyle name="Comma 2 2 11 4 4" xfId="6164" xr:uid="{00000000-0005-0000-0000-000011180000}"/>
    <cellStyle name="Comma 2 2 11 4 5" xfId="6165" xr:uid="{00000000-0005-0000-0000-000012180000}"/>
    <cellStyle name="Comma 2 2 11 5" xfId="6166" xr:uid="{00000000-0005-0000-0000-000013180000}"/>
    <cellStyle name="Comma 2 2 11 5 2" xfId="6167" xr:uid="{00000000-0005-0000-0000-000014180000}"/>
    <cellStyle name="Comma 2 2 11 5 3" xfId="6168" xr:uid="{00000000-0005-0000-0000-000015180000}"/>
    <cellStyle name="Comma 2 2 11 5 4" xfId="6169" xr:uid="{00000000-0005-0000-0000-000016180000}"/>
    <cellStyle name="Comma 2 2 11 6" xfId="6170" xr:uid="{00000000-0005-0000-0000-000017180000}"/>
    <cellStyle name="Comma 2 2 11 6 2" xfId="6171" xr:uid="{00000000-0005-0000-0000-000018180000}"/>
    <cellStyle name="Comma 2 2 11 7" xfId="6172" xr:uid="{00000000-0005-0000-0000-000019180000}"/>
    <cellStyle name="Comma 2 2 11 8" xfId="6173" xr:uid="{00000000-0005-0000-0000-00001A180000}"/>
    <cellStyle name="Comma 2 2 11 9" xfId="6174" xr:uid="{00000000-0005-0000-0000-00001B180000}"/>
    <cellStyle name="Comma 2 2 12" xfId="6175" xr:uid="{00000000-0005-0000-0000-00001C180000}"/>
    <cellStyle name="Comma 2 2 12 10" xfId="6176" xr:uid="{00000000-0005-0000-0000-00001D180000}"/>
    <cellStyle name="Comma 2 2 12 2" xfId="6177" xr:uid="{00000000-0005-0000-0000-00001E180000}"/>
    <cellStyle name="Comma 2 2 12 2 2" xfId="6178" xr:uid="{00000000-0005-0000-0000-00001F180000}"/>
    <cellStyle name="Comma 2 2 12 2 2 2" xfId="6179" xr:uid="{00000000-0005-0000-0000-000020180000}"/>
    <cellStyle name="Comma 2 2 12 2 2 3" xfId="6180" xr:uid="{00000000-0005-0000-0000-000021180000}"/>
    <cellStyle name="Comma 2 2 12 2 3" xfId="6181" xr:uid="{00000000-0005-0000-0000-000022180000}"/>
    <cellStyle name="Comma 2 2 12 2 4" xfId="6182" xr:uid="{00000000-0005-0000-0000-000023180000}"/>
    <cellStyle name="Comma 2 2 12 2 5" xfId="6183" xr:uid="{00000000-0005-0000-0000-000024180000}"/>
    <cellStyle name="Comma 2 2 12 2 6" xfId="6184" xr:uid="{00000000-0005-0000-0000-000025180000}"/>
    <cellStyle name="Comma 2 2 12 3" xfId="6185" xr:uid="{00000000-0005-0000-0000-000026180000}"/>
    <cellStyle name="Comma 2 2 12 3 2" xfId="6186" xr:uid="{00000000-0005-0000-0000-000027180000}"/>
    <cellStyle name="Comma 2 2 12 3 2 2" xfId="6187" xr:uid="{00000000-0005-0000-0000-000028180000}"/>
    <cellStyle name="Comma 2 2 12 3 2 3" xfId="6188" xr:uid="{00000000-0005-0000-0000-000029180000}"/>
    <cellStyle name="Comma 2 2 12 3 3" xfId="6189" xr:uid="{00000000-0005-0000-0000-00002A180000}"/>
    <cellStyle name="Comma 2 2 12 3 4" xfId="6190" xr:uid="{00000000-0005-0000-0000-00002B180000}"/>
    <cellStyle name="Comma 2 2 12 3 5" xfId="6191" xr:uid="{00000000-0005-0000-0000-00002C180000}"/>
    <cellStyle name="Comma 2 2 12 3 6" xfId="6192" xr:uid="{00000000-0005-0000-0000-00002D180000}"/>
    <cellStyle name="Comma 2 2 12 4" xfId="6193" xr:uid="{00000000-0005-0000-0000-00002E180000}"/>
    <cellStyle name="Comma 2 2 12 4 2" xfId="6194" xr:uid="{00000000-0005-0000-0000-00002F180000}"/>
    <cellStyle name="Comma 2 2 12 4 2 2" xfId="6195" xr:uid="{00000000-0005-0000-0000-000030180000}"/>
    <cellStyle name="Comma 2 2 12 4 3" xfId="6196" xr:uid="{00000000-0005-0000-0000-000031180000}"/>
    <cellStyle name="Comma 2 2 12 4 4" xfId="6197" xr:uid="{00000000-0005-0000-0000-000032180000}"/>
    <cellStyle name="Comma 2 2 12 4 5" xfId="6198" xr:uid="{00000000-0005-0000-0000-000033180000}"/>
    <cellStyle name="Comma 2 2 12 5" xfId="6199" xr:uid="{00000000-0005-0000-0000-000034180000}"/>
    <cellStyle name="Comma 2 2 12 5 2" xfId="6200" xr:uid="{00000000-0005-0000-0000-000035180000}"/>
    <cellStyle name="Comma 2 2 12 5 3" xfId="6201" xr:uid="{00000000-0005-0000-0000-000036180000}"/>
    <cellStyle name="Comma 2 2 12 5 4" xfId="6202" xr:uid="{00000000-0005-0000-0000-000037180000}"/>
    <cellStyle name="Comma 2 2 12 6" xfId="6203" xr:uid="{00000000-0005-0000-0000-000038180000}"/>
    <cellStyle name="Comma 2 2 12 6 2" xfId="6204" xr:uid="{00000000-0005-0000-0000-000039180000}"/>
    <cellStyle name="Comma 2 2 12 7" xfId="6205" xr:uid="{00000000-0005-0000-0000-00003A180000}"/>
    <cellStyle name="Comma 2 2 12 8" xfId="6206" xr:uid="{00000000-0005-0000-0000-00003B180000}"/>
    <cellStyle name="Comma 2 2 12 9" xfId="6207" xr:uid="{00000000-0005-0000-0000-00003C180000}"/>
    <cellStyle name="Comma 2 2 13" xfId="6208" xr:uid="{00000000-0005-0000-0000-00003D180000}"/>
    <cellStyle name="Comma 2 2 13 10" xfId="6209" xr:uid="{00000000-0005-0000-0000-00003E180000}"/>
    <cellStyle name="Comma 2 2 13 2" xfId="6210" xr:uid="{00000000-0005-0000-0000-00003F180000}"/>
    <cellStyle name="Comma 2 2 13 2 2" xfId="6211" xr:uid="{00000000-0005-0000-0000-000040180000}"/>
    <cellStyle name="Comma 2 2 13 2 2 2" xfId="6212" xr:uid="{00000000-0005-0000-0000-000041180000}"/>
    <cellStyle name="Comma 2 2 13 2 2 3" xfId="6213" xr:uid="{00000000-0005-0000-0000-000042180000}"/>
    <cellStyle name="Comma 2 2 13 2 3" xfId="6214" xr:uid="{00000000-0005-0000-0000-000043180000}"/>
    <cellStyle name="Comma 2 2 13 2 4" xfId="6215" xr:uid="{00000000-0005-0000-0000-000044180000}"/>
    <cellStyle name="Comma 2 2 13 2 5" xfId="6216" xr:uid="{00000000-0005-0000-0000-000045180000}"/>
    <cellStyle name="Comma 2 2 13 2 6" xfId="6217" xr:uid="{00000000-0005-0000-0000-000046180000}"/>
    <cellStyle name="Comma 2 2 13 3" xfId="6218" xr:uid="{00000000-0005-0000-0000-000047180000}"/>
    <cellStyle name="Comma 2 2 13 3 2" xfId="6219" xr:uid="{00000000-0005-0000-0000-000048180000}"/>
    <cellStyle name="Comma 2 2 13 3 2 2" xfId="6220" xr:uid="{00000000-0005-0000-0000-000049180000}"/>
    <cellStyle name="Comma 2 2 13 3 2 3" xfId="6221" xr:uid="{00000000-0005-0000-0000-00004A180000}"/>
    <cellStyle name="Comma 2 2 13 3 3" xfId="6222" xr:uid="{00000000-0005-0000-0000-00004B180000}"/>
    <cellStyle name="Comma 2 2 13 3 4" xfId="6223" xr:uid="{00000000-0005-0000-0000-00004C180000}"/>
    <cellStyle name="Comma 2 2 13 3 5" xfId="6224" xr:uid="{00000000-0005-0000-0000-00004D180000}"/>
    <cellStyle name="Comma 2 2 13 3 6" xfId="6225" xr:uid="{00000000-0005-0000-0000-00004E180000}"/>
    <cellStyle name="Comma 2 2 13 4" xfId="6226" xr:uid="{00000000-0005-0000-0000-00004F180000}"/>
    <cellStyle name="Comma 2 2 13 4 2" xfId="6227" xr:uid="{00000000-0005-0000-0000-000050180000}"/>
    <cellStyle name="Comma 2 2 13 4 2 2" xfId="6228" xr:uid="{00000000-0005-0000-0000-000051180000}"/>
    <cellStyle name="Comma 2 2 13 4 3" xfId="6229" xr:uid="{00000000-0005-0000-0000-000052180000}"/>
    <cellStyle name="Comma 2 2 13 4 4" xfId="6230" xr:uid="{00000000-0005-0000-0000-000053180000}"/>
    <cellStyle name="Comma 2 2 13 4 5" xfId="6231" xr:uid="{00000000-0005-0000-0000-000054180000}"/>
    <cellStyle name="Comma 2 2 13 5" xfId="6232" xr:uid="{00000000-0005-0000-0000-000055180000}"/>
    <cellStyle name="Comma 2 2 13 5 2" xfId="6233" xr:uid="{00000000-0005-0000-0000-000056180000}"/>
    <cellStyle name="Comma 2 2 13 5 3" xfId="6234" xr:uid="{00000000-0005-0000-0000-000057180000}"/>
    <cellStyle name="Comma 2 2 13 5 4" xfId="6235" xr:uid="{00000000-0005-0000-0000-000058180000}"/>
    <cellStyle name="Comma 2 2 13 6" xfId="6236" xr:uid="{00000000-0005-0000-0000-000059180000}"/>
    <cellStyle name="Comma 2 2 13 6 2" xfId="6237" xr:uid="{00000000-0005-0000-0000-00005A180000}"/>
    <cellStyle name="Comma 2 2 13 7" xfId="6238" xr:uid="{00000000-0005-0000-0000-00005B180000}"/>
    <cellStyle name="Comma 2 2 13 8" xfId="6239" xr:uid="{00000000-0005-0000-0000-00005C180000}"/>
    <cellStyle name="Comma 2 2 13 9" xfId="6240" xr:uid="{00000000-0005-0000-0000-00005D180000}"/>
    <cellStyle name="Comma 2 2 14" xfId="6241" xr:uid="{00000000-0005-0000-0000-00005E180000}"/>
    <cellStyle name="Comma 2 2 14 10" xfId="6242" xr:uid="{00000000-0005-0000-0000-00005F180000}"/>
    <cellStyle name="Comma 2 2 14 2" xfId="6243" xr:uid="{00000000-0005-0000-0000-000060180000}"/>
    <cellStyle name="Comma 2 2 14 2 2" xfId="6244" xr:uid="{00000000-0005-0000-0000-000061180000}"/>
    <cellStyle name="Comma 2 2 14 2 2 2" xfId="6245" xr:uid="{00000000-0005-0000-0000-000062180000}"/>
    <cellStyle name="Comma 2 2 14 2 2 3" xfId="6246" xr:uid="{00000000-0005-0000-0000-000063180000}"/>
    <cellStyle name="Comma 2 2 14 2 3" xfId="6247" xr:uid="{00000000-0005-0000-0000-000064180000}"/>
    <cellStyle name="Comma 2 2 14 2 4" xfId="6248" xr:uid="{00000000-0005-0000-0000-000065180000}"/>
    <cellStyle name="Comma 2 2 14 2 5" xfId="6249" xr:uid="{00000000-0005-0000-0000-000066180000}"/>
    <cellStyle name="Comma 2 2 14 2 6" xfId="6250" xr:uid="{00000000-0005-0000-0000-000067180000}"/>
    <cellStyle name="Comma 2 2 14 3" xfId="6251" xr:uid="{00000000-0005-0000-0000-000068180000}"/>
    <cellStyle name="Comma 2 2 14 3 2" xfId="6252" xr:uid="{00000000-0005-0000-0000-000069180000}"/>
    <cellStyle name="Comma 2 2 14 3 2 2" xfId="6253" xr:uid="{00000000-0005-0000-0000-00006A180000}"/>
    <cellStyle name="Comma 2 2 14 3 2 3" xfId="6254" xr:uid="{00000000-0005-0000-0000-00006B180000}"/>
    <cellStyle name="Comma 2 2 14 3 3" xfId="6255" xr:uid="{00000000-0005-0000-0000-00006C180000}"/>
    <cellStyle name="Comma 2 2 14 3 4" xfId="6256" xr:uid="{00000000-0005-0000-0000-00006D180000}"/>
    <cellStyle name="Comma 2 2 14 3 5" xfId="6257" xr:uid="{00000000-0005-0000-0000-00006E180000}"/>
    <cellStyle name="Comma 2 2 14 3 6" xfId="6258" xr:uid="{00000000-0005-0000-0000-00006F180000}"/>
    <cellStyle name="Comma 2 2 14 4" xfId="6259" xr:uid="{00000000-0005-0000-0000-000070180000}"/>
    <cellStyle name="Comma 2 2 14 4 2" xfId="6260" xr:uid="{00000000-0005-0000-0000-000071180000}"/>
    <cellStyle name="Comma 2 2 14 4 2 2" xfId="6261" xr:uid="{00000000-0005-0000-0000-000072180000}"/>
    <cellStyle name="Comma 2 2 14 4 3" xfId="6262" xr:uid="{00000000-0005-0000-0000-000073180000}"/>
    <cellStyle name="Comma 2 2 14 4 4" xfId="6263" xr:uid="{00000000-0005-0000-0000-000074180000}"/>
    <cellStyle name="Comma 2 2 14 4 5" xfId="6264" xr:uid="{00000000-0005-0000-0000-000075180000}"/>
    <cellStyle name="Comma 2 2 14 5" xfId="6265" xr:uid="{00000000-0005-0000-0000-000076180000}"/>
    <cellStyle name="Comma 2 2 14 5 2" xfId="6266" xr:uid="{00000000-0005-0000-0000-000077180000}"/>
    <cellStyle name="Comma 2 2 14 5 3" xfId="6267" xr:uid="{00000000-0005-0000-0000-000078180000}"/>
    <cellStyle name="Comma 2 2 14 5 4" xfId="6268" xr:uid="{00000000-0005-0000-0000-000079180000}"/>
    <cellStyle name="Comma 2 2 14 6" xfId="6269" xr:uid="{00000000-0005-0000-0000-00007A180000}"/>
    <cellStyle name="Comma 2 2 14 6 2" xfId="6270" xr:uid="{00000000-0005-0000-0000-00007B180000}"/>
    <cellStyle name="Comma 2 2 14 7" xfId="6271" xr:uid="{00000000-0005-0000-0000-00007C180000}"/>
    <cellStyle name="Comma 2 2 14 8" xfId="6272" xr:uid="{00000000-0005-0000-0000-00007D180000}"/>
    <cellStyle name="Comma 2 2 14 9" xfId="6273" xr:uid="{00000000-0005-0000-0000-00007E180000}"/>
    <cellStyle name="Comma 2 2 15" xfId="6274" xr:uid="{00000000-0005-0000-0000-00007F180000}"/>
    <cellStyle name="Comma 2 2 15 10" xfId="6275" xr:uid="{00000000-0005-0000-0000-000080180000}"/>
    <cellStyle name="Comma 2 2 15 2" xfId="6276" xr:uid="{00000000-0005-0000-0000-000081180000}"/>
    <cellStyle name="Comma 2 2 15 2 2" xfId="6277" xr:uid="{00000000-0005-0000-0000-000082180000}"/>
    <cellStyle name="Comma 2 2 15 2 2 2" xfId="6278" xr:uid="{00000000-0005-0000-0000-000083180000}"/>
    <cellStyle name="Comma 2 2 15 2 2 3" xfId="6279" xr:uid="{00000000-0005-0000-0000-000084180000}"/>
    <cellStyle name="Comma 2 2 15 2 3" xfId="6280" xr:uid="{00000000-0005-0000-0000-000085180000}"/>
    <cellStyle name="Comma 2 2 15 2 4" xfId="6281" xr:uid="{00000000-0005-0000-0000-000086180000}"/>
    <cellStyle name="Comma 2 2 15 2 5" xfId="6282" xr:uid="{00000000-0005-0000-0000-000087180000}"/>
    <cellStyle name="Comma 2 2 15 2 6" xfId="6283" xr:uid="{00000000-0005-0000-0000-000088180000}"/>
    <cellStyle name="Comma 2 2 15 3" xfId="6284" xr:uid="{00000000-0005-0000-0000-000089180000}"/>
    <cellStyle name="Comma 2 2 15 3 2" xfId="6285" xr:uid="{00000000-0005-0000-0000-00008A180000}"/>
    <cellStyle name="Comma 2 2 15 3 2 2" xfId="6286" xr:uid="{00000000-0005-0000-0000-00008B180000}"/>
    <cellStyle name="Comma 2 2 15 3 2 3" xfId="6287" xr:uid="{00000000-0005-0000-0000-00008C180000}"/>
    <cellStyle name="Comma 2 2 15 3 3" xfId="6288" xr:uid="{00000000-0005-0000-0000-00008D180000}"/>
    <cellStyle name="Comma 2 2 15 3 4" xfId="6289" xr:uid="{00000000-0005-0000-0000-00008E180000}"/>
    <cellStyle name="Comma 2 2 15 3 5" xfId="6290" xr:uid="{00000000-0005-0000-0000-00008F180000}"/>
    <cellStyle name="Comma 2 2 15 3 6" xfId="6291" xr:uid="{00000000-0005-0000-0000-000090180000}"/>
    <cellStyle name="Comma 2 2 15 4" xfId="6292" xr:uid="{00000000-0005-0000-0000-000091180000}"/>
    <cellStyle name="Comma 2 2 15 4 2" xfId="6293" xr:uid="{00000000-0005-0000-0000-000092180000}"/>
    <cellStyle name="Comma 2 2 15 4 2 2" xfId="6294" xr:uid="{00000000-0005-0000-0000-000093180000}"/>
    <cellStyle name="Comma 2 2 15 4 3" xfId="6295" xr:uid="{00000000-0005-0000-0000-000094180000}"/>
    <cellStyle name="Comma 2 2 15 4 4" xfId="6296" xr:uid="{00000000-0005-0000-0000-000095180000}"/>
    <cellStyle name="Comma 2 2 15 4 5" xfId="6297" xr:uid="{00000000-0005-0000-0000-000096180000}"/>
    <cellStyle name="Comma 2 2 15 5" xfId="6298" xr:uid="{00000000-0005-0000-0000-000097180000}"/>
    <cellStyle name="Comma 2 2 15 5 2" xfId="6299" xr:uid="{00000000-0005-0000-0000-000098180000}"/>
    <cellStyle name="Comma 2 2 15 5 3" xfId="6300" xr:uid="{00000000-0005-0000-0000-000099180000}"/>
    <cellStyle name="Comma 2 2 15 5 4" xfId="6301" xr:uid="{00000000-0005-0000-0000-00009A180000}"/>
    <cellStyle name="Comma 2 2 15 6" xfId="6302" xr:uid="{00000000-0005-0000-0000-00009B180000}"/>
    <cellStyle name="Comma 2 2 15 6 2" xfId="6303" xr:uid="{00000000-0005-0000-0000-00009C180000}"/>
    <cellStyle name="Comma 2 2 15 7" xfId="6304" xr:uid="{00000000-0005-0000-0000-00009D180000}"/>
    <cellStyle name="Comma 2 2 15 8" xfId="6305" xr:uid="{00000000-0005-0000-0000-00009E180000}"/>
    <cellStyle name="Comma 2 2 15 9" xfId="6306" xr:uid="{00000000-0005-0000-0000-00009F180000}"/>
    <cellStyle name="Comma 2 2 16" xfId="6307" xr:uid="{00000000-0005-0000-0000-0000A0180000}"/>
    <cellStyle name="Comma 2 2 16 10" xfId="6308" xr:uid="{00000000-0005-0000-0000-0000A1180000}"/>
    <cellStyle name="Comma 2 2 16 2" xfId="6309" xr:uid="{00000000-0005-0000-0000-0000A2180000}"/>
    <cellStyle name="Comma 2 2 16 2 2" xfId="6310" xr:uid="{00000000-0005-0000-0000-0000A3180000}"/>
    <cellStyle name="Comma 2 2 16 2 2 2" xfId="6311" xr:uid="{00000000-0005-0000-0000-0000A4180000}"/>
    <cellStyle name="Comma 2 2 16 2 2 3" xfId="6312" xr:uid="{00000000-0005-0000-0000-0000A5180000}"/>
    <cellStyle name="Comma 2 2 16 2 3" xfId="6313" xr:uid="{00000000-0005-0000-0000-0000A6180000}"/>
    <cellStyle name="Comma 2 2 16 2 4" xfId="6314" xr:uid="{00000000-0005-0000-0000-0000A7180000}"/>
    <cellStyle name="Comma 2 2 16 2 5" xfId="6315" xr:uid="{00000000-0005-0000-0000-0000A8180000}"/>
    <cellStyle name="Comma 2 2 16 2 6" xfId="6316" xr:uid="{00000000-0005-0000-0000-0000A9180000}"/>
    <cellStyle name="Comma 2 2 16 3" xfId="6317" xr:uid="{00000000-0005-0000-0000-0000AA180000}"/>
    <cellStyle name="Comma 2 2 16 3 2" xfId="6318" xr:uid="{00000000-0005-0000-0000-0000AB180000}"/>
    <cellStyle name="Comma 2 2 16 3 2 2" xfId="6319" xr:uid="{00000000-0005-0000-0000-0000AC180000}"/>
    <cellStyle name="Comma 2 2 16 3 2 3" xfId="6320" xr:uid="{00000000-0005-0000-0000-0000AD180000}"/>
    <cellStyle name="Comma 2 2 16 3 3" xfId="6321" xr:uid="{00000000-0005-0000-0000-0000AE180000}"/>
    <cellStyle name="Comma 2 2 16 3 4" xfId="6322" xr:uid="{00000000-0005-0000-0000-0000AF180000}"/>
    <cellStyle name="Comma 2 2 16 3 5" xfId="6323" xr:uid="{00000000-0005-0000-0000-0000B0180000}"/>
    <cellStyle name="Comma 2 2 16 3 6" xfId="6324" xr:uid="{00000000-0005-0000-0000-0000B1180000}"/>
    <cellStyle name="Comma 2 2 16 4" xfId="6325" xr:uid="{00000000-0005-0000-0000-0000B2180000}"/>
    <cellStyle name="Comma 2 2 16 4 2" xfId="6326" xr:uid="{00000000-0005-0000-0000-0000B3180000}"/>
    <cellStyle name="Comma 2 2 16 4 2 2" xfId="6327" xr:uid="{00000000-0005-0000-0000-0000B4180000}"/>
    <cellStyle name="Comma 2 2 16 4 3" xfId="6328" xr:uid="{00000000-0005-0000-0000-0000B5180000}"/>
    <cellStyle name="Comma 2 2 16 4 4" xfId="6329" xr:uid="{00000000-0005-0000-0000-0000B6180000}"/>
    <cellStyle name="Comma 2 2 16 4 5" xfId="6330" xr:uid="{00000000-0005-0000-0000-0000B7180000}"/>
    <cellStyle name="Comma 2 2 16 5" xfId="6331" xr:uid="{00000000-0005-0000-0000-0000B8180000}"/>
    <cellStyle name="Comma 2 2 16 5 2" xfId="6332" xr:uid="{00000000-0005-0000-0000-0000B9180000}"/>
    <cellStyle name="Comma 2 2 16 5 3" xfId="6333" xr:uid="{00000000-0005-0000-0000-0000BA180000}"/>
    <cellStyle name="Comma 2 2 16 5 4" xfId="6334" xr:uid="{00000000-0005-0000-0000-0000BB180000}"/>
    <cellStyle name="Comma 2 2 16 6" xfId="6335" xr:uid="{00000000-0005-0000-0000-0000BC180000}"/>
    <cellStyle name="Comma 2 2 16 6 2" xfId="6336" xr:uid="{00000000-0005-0000-0000-0000BD180000}"/>
    <cellStyle name="Comma 2 2 16 7" xfId="6337" xr:uid="{00000000-0005-0000-0000-0000BE180000}"/>
    <cellStyle name="Comma 2 2 16 8" xfId="6338" xr:uid="{00000000-0005-0000-0000-0000BF180000}"/>
    <cellStyle name="Comma 2 2 16 9" xfId="6339" xr:uid="{00000000-0005-0000-0000-0000C0180000}"/>
    <cellStyle name="Comma 2 2 17" xfId="6340" xr:uid="{00000000-0005-0000-0000-0000C1180000}"/>
    <cellStyle name="Comma 2 2 17 10" xfId="6341" xr:uid="{00000000-0005-0000-0000-0000C2180000}"/>
    <cellStyle name="Comma 2 2 17 2" xfId="6342" xr:uid="{00000000-0005-0000-0000-0000C3180000}"/>
    <cellStyle name="Comma 2 2 17 2 2" xfId="6343" xr:uid="{00000000-0005-0000-0000-0000C4180000}"/>
    <cellStyle name="Comma 2 2 17 2 2 2" xfId="6344" xr:uid="{00000000-0005-0000-0000-0000C5180000}"/>
    <cellStyle name="Comma 2 2 17 2 2 3" xfId="6345" xr:uid="{00000000-0005-0000-0000-0000C6180000}"/>
    <cellStyle name="Comma 2 2 17 2 3" xfId="6346" xr:uid="{00000000-0005-0000-0000-0000C7180000}"/>
    <cellStyle name="Comma 2 2 17 2 4" xfId="6347" xr:uid="{00000000-0005-0000-0000-0000C8180000}"/>
    <cellStyle name="Comma 2 2 17 2 5" xfId="6348" xr:uid="{00000000-0005-0000-0000-0000C9180000}"/>
    <cellStyle name="Comma 2 2 17 2 6" xfId="6349" xr:uid="{00000000-0005-0000-0000-0000CA180000}"/>
    <cellStyle name="Comma 2 2 17 3" xfId="6350" xr:uid="{00000000-0005-0000-0000-0000CB180000}"/>
    <cellStyle name="Comma 2 2 17 3 2" xfId="6351" xr:uid="{00000000-0005-0000-0000-0000CC180000}"/>
    <cellStyle name="Comma 2 2 17 3 2 2" xfId="6352" xr:uid="{00000000-0005-0000-0000-0000CD180000}"/>
    <cellStyle name="Comma 2 2 17 3 2 3" xfId="6353" xr:uid="{00000000-0005-0000-0000-0000CE180000}"/>
    <cellStyle name="Comma 2 2 17 3 3" xfId="6354" xr:uid="{00000000-0005-0000-0000-0000CF180000}"/>
    <cellStyle name="Comma 2 2 17 3 4" xfId="6355" xr:uid="{00000000-0005-0000-0000-0000D0180000}"/>
    <cellStyle name="Comma 2 2 17 3 5" xfId="6356" xr:uid="{00000000-0005-0000-0000-0000D1180000}"/>
    <cellStyle name="Comma 2 2 17 3 6" xfId="6357" xr:uid="{00000000-0005-0000-0000-0000D2180000}"/>
    <cellStyle name="Comma 2 2 17 4" xfId="6358" xr:uid="{00000000-0005-0000-0000-0000D3180000}"/>
    <cellStyle name="Comma 2 2 17 4 2" xfId="6359" xr:uid="{00000000-0005-0000-0000-0000D4180000}"/>
    <cellStyle name="Comma 2 2 17 4 2 2" xfId="6360" xr:uid="{00000000-0005-0000-0000-0000D5180000}"/>
    <cellStyle name="Comma 2 2 17 4 3" xfId="6361" xr:uid="{00000000-0005-0000-0000-0000D6180000}"/>
    <cellStyle name="Comma 2 2 17 4 4" xfId="6362" xr:uid="{00000000-0005-0000-0000-0000D7180000}"/>
    <cellStyle name="Comma 2 2 17 4 5" xfId="6363" xr:uid="{00000000-0005-0000-0000-0000D8180000}"/>
    <cellStyle name="Comma 2 2 17 5" xfId="6364" xr:uid="{00000000-0005-0000-0000-0000D9180000}"/>
    <cellStyle name="Comma 2 2 17 5 2" xfId="6365" xr:uid="{00000000-0005-0000-0000-0000DA180000}"/>
    <cellStyle name="Comma 2 2 17 5 3" xfId="6366" xr:uid="{00000000-0005-0000-0000-0000DB180000}"/>
    <cellStyle name="Comma 2 2 17 5 4" xfId="6367" xr:uid="{00000000-0005-0000-0000-0000DC180000}"/>
    <cellStyle name="Comma 2 2 17 6" xfId="6368" xr:uid="{00000000-0005-0000-0000-0000DD180000}"/>
    <cellStyle name="Comma 2 2 17 6 2" xfId="6369" xr:uid="{00000000-0005-0000-0000-0000DE180000}"/>
    <cellStyle name="Comma 2 2 17 7" xfId="6370" xr:uid="{00000000-0005-0000-0000-0000DF180000}"/>
    <cellStyle name="Comma 2 2 17 8" xfId="6371" xr:uid="{00000000-0005-0000-0000-0000E0180000}"/>
    <cellStyle name="Comma 2 2 17 9" xfId="6372" xr:uid="{00000000-0005-0000-0000-0000E1180000}"/>
    <cellStyle name="Comma 2 2 18" xfId="6373" xr:uid="{00000000-0005-0000-0000-0000E2180000}"/>
    <cellStyle name="Comma 2 2 18 10" xfId="6374" xr:uid="{00000000-0005-0000-0000-0000E3180000}"/>
    <cellStyle name="Comma 2 2 18 2" xfId="6375" xr:uid="{00000000-0005-0000-0000-0000E4180000}"/>
    <cellStyle name="Comma 2 2 18 2 2" xfId="6376" xr:uid="{00000000-0005-0000-0000-0000E5180000}"/>
    <cellStyle name="Comma 2 2 18 2 2 2" xfId="6377" xr:uid="{00000000-0005-0000-0000-0000E6180000}"/>
    <cellStyle name="Comma 2 2 18 2 2 3" xfId="6378" xr:uid="{00000000-0005-0000-0000-0000E7180000}"/>
    <cellStyle name="Comma 2 2 18 2 3" xfId="6379" xr:uid="{00000000-0005-0000-0000-0000E8180000}"/>
    <cellStyle name="Comma 2 2 18 2 4" xfId="6380" xr:uid="{00000000-0005-0000-0000-0000E9180000}"/>
    <cellStyle name="Comma 2 2 18 2 5" xfId="6381" xr:uid="{00000000-0005-0000-0000-0000EA180000}"/>
    <cellStyle name="Comma 2 2 18 2 6" xfId="6382" xr:uid="{00000000-0005-0000-0000-0000EB180000}"/>
    <cellStyle name="Comma 2 2 18 3" xfId="6383" xr:uid="{00000000-0005-0000-0000-0000EC180000}"/>
    <cellStyle name="Comma 2 2 18 3 2" xfId="6384" xr:uid="{00000000-0005-0000-0000-0000ED180000}"/>
    <cellStyle name="Comma 2 2 18 3 2 2" xfId="6385" xr:uid="{00000000-0005-0000-0000-0000EE180000}"/>
    <cellStyle name="Comma 2 2 18 3 2 3" xfId="6386" xr:uid="{00000000-0005-0000-0000-0000EF180000}"/>
    <cellStyle name="Comma 2 2 18 3 3" xfId="6387" xr:uid="{00000000-0005-0000-0000-0000F0180000}"/>
    <cellStyle name="Comma 2 2 18 3 4" xfId="6388" xr:uid="{00000000-0005-0000-0000-0000F1180000}"/>
    <cellStyle name="Comma 2 2 18 3 5" xfId="6389" xr:uid="{00000000-0005-0000-0000-0000F2180000}"/>
    <cellStyle name="Comma 2 2 18 3 6" xfId="6390" xr:uid="{00000000-0005-0000-0000-0000F3180000}"/>
    <cellStyle name="Comma 2 2 18 4" xfId="6391" xr:uid="{00000000-0005-0000-0000-0000F4180000}"/>
    <cellStyle name="Comma 2 2 18 4 2" xfId="6392" xr:uid="{00000000-0005-0000-0000-0000F5180000}"/>
    <cellStyle name="Comma 2 2 18 4 2 2" xfId="6393" xr:uid="{00000000-0005-0000-0000-0000F6180000}"/>
    <cellStyle name="Comma 2 2 18 4 3" xfId="6394" xr:uid="{00000000-0005-0000-0000-0000F7180000}"/>
    <cellStyle name="Comma 2 2 18 4 4" xfId="6395" xr:uid="{00000000-0005-0000-0000-0000F8180000}"/>
    <cellStyle name="Comma 2 2 18 4 5" xfId="6396" xr:uid="{00000000-0005-0000-0000-0000F9180000}"/>
    <cellStyle name="Comma 2 2 18 5" xfId="6397" xr:uid="{00000000-0005-0000-0000-0000FA180000}"/>
    <cellStyle name="Comma 2 2 18 5 2" xfId="6398" xr:uid="{00000000-0005-0000-0000-0000FB180000}"/>
    <cellStyle name="Comma 2 2 18 5 3" xfId="6399" xr:uid="{00000000-0005-0000-0000-0000FC180000}"/>
    <cellStyle name="Comma 2 2 18 5 4" xfId="6400" xr:uid="{00000000-0005-0000-0000-0000FD180000}"/>
    <cellStyle name="Comma 2 2 18 6" xfId="6401" xr:uid="{00000000-0005-0000-0000-0000FE180000}"/>
    <cellStyle name="Comma 2 2 18 6 2" xfId="6402" xr:uid="{00000000-0005-0000-0000-0000FF180000}"/>
    <cellStyle name="Comma 2 2 18 7" xfId="6403" xr:uid="{00000000-0005-0000-0000-000000190000}"/>
    <cellStyle name="Comma 2 2 18 8" xfId="6404" xr:uid="{00000000-0005-0000-0000-000001190000}"/>
    <cellStyle name="Comma 2 2 18 9" xfId="6405" xr:uid="{00000000-0005-0000-0000-000002190000}"/>
    <cellStyle name="Comma 2 2 19" xfId="6406" xr:uid="{00000000-0005-0000-0000-000003190000}"/>
    <cellStyle name="Comma 2 2 19 10" xfId="6407" xr:uid="{00000000-0005-0000-0000-000004190000}"/>
    <cellStyle name="Comma 2 2 19 2" xfId="6408" xr:uid="{00000000-0005-0000-0000-000005190000}"/>
    <cellStyle name="Comma 2 2 19 2 2" xfId="6409" xr:uid="{00000000-0005-0000-0000-000006190000}"/>
    <cellStyle name="Comma 2 2 19 2 2 2" xfId="6410" xr:uid="{00000000-0005-0000-0000-000007190000}"/>
    <cellStyle name="Comma 2 2 19 2 2 3" xfId="6411" xr:uid="{00000000-0005-0000-0000-000008190000}"/>
    <cellStyle name="Comma 2 2 19 2 3" xfId="6412" xr:uid="{00000000-0005-0000-0000-000009190000}"/>
    <cellStyle name="Comma 2 2 19 2 4" xfId="6413" xr:uid="{00000000-0005-0000-0000-00000A190000}"/>
    <cellStyle name="Comma 2 2 19 2 5" xfId="6414" xr:uid="{00000000-0005-0000-0000-00000B190000}"/>
    <cellStyle name="Comma 2 2 19 2 6" xfId="6415" xr:uid="{00000000-0005-0000-0000-00000C190000}"/>
    <cellStyle name="Comma 2 2 19 3" xfId="6416" xr:uid="{00000000-0005-0000-0000-00000D190000}"/>
    <cellStyle name="Comma 2 2 19 3 2" xfId="6417" xr:uid="{00000000-0005-0000-0000-00000E190000}"/>
    <cellStyle name="Comma 2 2 19 3 2 2" xfId="6418" xr:uid="{00000000-0005-0000-0000-00000F190000}"/>
    <cellStyle name="Comma 2 2 19 3 2 3" xfId="6419" xr:uid="{00000000-0005-0000-0000-000010190000}"/>
    <cellStyle name="Comma 2 2 19 3 3" xfId="6420" xr:uid="{00000000-0005-0000-0000-000011190000}"/>
    <cellStyle name="Comma 2 2 19 3 4" xfId="6421" xr:uid="{00000000-0005-0000-0000-000012190000}"/>
    <cellStyle name="Comma 2 2 19 3 5" xfId="6422" xr:uid="{00000000-0005-0000-0000-000013190000}"/>
    <cellStyle name="Comma 2 2 19 3 6" xfId="6423" xr:uid="{00000000-0005-0000-0000-000014190000}"/>
    <cellStyle name="Comma 2 2 19 4" xfId="6424" xr:uid="{00000000-0005-0000-0000-000015190000}"/>
    <cellStyle name="Comma 2 2 19 4 2" xfId="6425" xr:uid="{00000000-0005-0000-0000-000016190000}"/>
    <cellStyle name="Comma 2 2 19 4 2 2" xfId="6426" xr:uid="{00000000-0005-0000-0000-000017190000}"/>
    <cellStyle name="Comma 2 2 19 4 3" xfId="6427" xr:uid="{00000000-0005-0000-0000-000018190000}"/>
    <cellStyle name="Comma 2 2 19 4 4" xfId="6428" xr:uid="{00000000-0005-0000-0000-000019190000}"/>
    <cellStyle name="Comma 2 2 19 4 5" xfId="6429" xr:uid="{00000000-0005-0000-0000-00001A190000}"/>
    <cellStyle name="Comma 2 2 19 5" xfId="6430" xr:uid="{00000000-0005-0000-0000-00001B190000}"/>
    <cellStyle name="Comma 2 2 19 5 2" xfId="6431" xr:uid="{00000000-0005-0000-0000-00001C190000}"/>
    <cellStyle name="Comma 2 2 19 5 3" xfId="6432" xr:uid="{00000000-0005-0000-0000-00001D190000}"/>
    <cellStyle name="Comma 2 2 19 5 4" xfId="6433" xr:uid="{00000000-0005-0000-0000-00001E190000}"/>
    <cellStyle name="Comma 2 2 19 6" xfId="6434" xr:uid="{00000000-0005-0000-0000-00001F190000}"/>
    <cellStyle name="Comma 2 2 19 6 2" xfId="6435" xr:uid="{00000000-0005-0000-0000-000020190000}"/>
    <cellStyle name="Comma 2 2 19 7" xfId="6436" xr:uid="{00000000-0005-0000-0000-000021190000}"/>
    <cellStyle name="Comma 2 2 19 8" xfId="6437" xr:uid="{00000000-0005-0000-0000-000022190000}"/>
    <cellStyle name="Comma 2 2 19 9" xfId="6438" xr:uid="{00000000-0005-0000-0000-000023190000}"/>
    <cellStyle name="Comma 2 2 2" xfId="6439" xr:uid="{00000000-0005-0000-0000-000024190000}"/>
    <cellStyle name="Comma 2 2 2 10" xfId="6440" xr:uid="{00000000-0005-0000-0000-000025190000}"/>
    <cellStyle name="Comma 2 2 2 10 10" xfId="6441" xr:uid="{00000000-0005-0000-0000-000026190000}"/>
    <cellStyle name="Comma 2 2 2 10 2" xfId="6442" xr:uid="{00000000-0005-0000-0000-000027190000}"/>
    <cellStyle name="Comma 2 2 2 10 2 2" xfId="6443" xr:uid="{00000000-0005-0000-0000-000028190000}"/>
    <cellStyle name="Comma 2 2 2 10 2 2 2" xfId="6444" xr:uid="{00000000-0005-0000-0000-000029190000}"/>
    <cellStyle name="Comma 2 2 2 10 2 2 3" xfId="6445" xr:uid="{00000000-0005-0000-0000-00002A190000}"/>
    <cellStyle name="Comma 2 2 2 10 2 3" xfId="6446" xr:uid="{00000000-0005-0000-0000-00002B190000}"/>
    <cellStyle name="Comma 2 2 2 10 2 4" xfId="6447" xr:uid="{00000000-0005-0000-0000-00002C190000}"/>
    <cellStyle name="Comma 2 2 2 10 2 5" xfId="6448" xr:uid="{00000000-0005-0000-0000-00002D190000}"/>
    <cellStyle name="Comma 2 2 2 10 2 6" xfId="6449" xr:uid="{00000000-0005-0000-0000-00002E190000}"/>
    <cellStyle name="Comma 2 2 2 10 3" xfId="6450" xr:uid="{00000000-0005-0000-0000-00002F190000}"/>
    <cellStyle name="Comma 2 2 2 10 3 2" xfId="6451" xr:uid="{00000000-0005-0000-0000-000030190000}"/>
    <cellStyle name="Comma 2 2 2 10 3 2 2" xfId="6452" xr:uid="{00000000-0005-0000-0000-000031190000}"/>
    <cellStyle name="Comma 2 2 2 10 3 2 3" xfId="6453" xr:uid="{00000000-0005-0000-0000-000032190000}"/>
    <cellStyle name="Comma 2 2 2 10 3 3" xfId="6454" xr:uid="{00000000-0005-0000-0000-000033190000}"/>
    <cellStyle name="Comma 2 2 2 10 3 4" xfId="6455" xr:uid="{00000000-0005-0000-0000-000034190000}"/>
    <cellStyle name="Comma 2 2 2 10 3 5" xfId="6456" xr:uid="{00000000-0005-0000-0000-000035190000}"/>
    <cellStyle name="Comma 2 2 2 10 3 6" xfId="6457" xr:uid="{00000000-0005-0000-0000-000036190000}"/>
    <cellStyle name="Comma 2 2 2 10 4" xfId="6458" xr:uid="{00000000-0005-0000-0000-000037190000}"/>
    <cellStyle name="Comma 2 2 2 10 4 2" xfId="6459" xr:uid="{00000000-0005-0000-0000-000038190000}"/>
    <cellStyle name="Comma 2 2 2 10 4 2 2" xfId="6460" xr:uid="{00000000-0005-0000-0000-000039190000}"/>
    <cellStyle name="Comma 2 2 2 10 4 3" xfId="6461" xr:uid="{00000000-0005-0000-0000-00003A190000}"/>
    <cellStyle name="Comma 2 2 2 10 4 4" xfId="6462" xr:uid="{00000000-0005-0000-0000-00003B190000}"/>
    <cellStyle name="Comma 2 2 2 10 4 5" xfId="6463" xr:uid="{00000000-0005-0000-0000-00003C190000}"/>
    <cellStyle name="Comma 2 2 2 10 5" xfId="6464" xr:uid="{00000000-0005-0000-0000-00003D190000}"/>
    <cellStyle name="Comma 2 2 2 10 5 2" xfId="6465" xr:uid="{00000000-0005-0000-0000-00003E190000}"/>
    <cellStyle name="Comma 2 2 2 10 5 3" xfId="6466" xr:uid="{00000000-0005-0000-0000-00003F190000}"/>
    <cellStyle name="Comma 2 2 2 10 5 4" xfId="6467" xr:uid="{00000000-0005-0000-0000-000040190000}"/>
    <cellStyle name="Comma 2 2 2 10 6" xfId="6468" xr:uid="{00000000-0005-0000-0000-000041190000}"/>
    <cellStyle name="Comma 2 2 2 10 6 2" xfId="6469" xr:uid="{00000000-0005-0000-0000-000042190000}"/>
    <cellStyle name="Comma 2 2 2 10 7" xfId="6470" xr:uid="{00000000-0005-0000-0000-000043190000}"/>
    <cellStyle name="Comma 2 2 2 10 8" xfId="6471" xr:uid="{00000000-0005-0000-0000-000044190000}"/>
    <cellStyle name="Comma 2 2 2 10 9" xfId="6472" xr:uid="{00000000-0005-0000-0000-000045190000}"/>
    <cellStyle name="Comma 2 2 2 11" xfId="6473" xr:uid="{00000000-0005-0000-0000-000046190000}"/>
    <cellStyle name="Comma 2 2 2 11 10" xfId="6474" xr:uid="{00000000-0005-0000-0000-000047190000}"/>
    <cellStyle name="Comma 2 2 2 11 2" xfId="6475" xr:uid="{00000000-0005-0000-0000-000048190000}"/>
    <cellStyle name="Comma 2 2 2 11 2 2" xfId="6476" xr:uid="{00000000-0005-0000-0000-000049190000}"/>
    <cellStyle name="Comma 2 2 2 11 2 2 2" xfId="6477" xr:uid="{00000000-0005-0000-0000-00004A190000}"/>
    <cellStyle name="Comma 2 2 2 11 2 2 3" xfId="6478" xr:uid="{00000000-0005-0000-0000-00004B190000}"/>
    <cellStyle name="Comma 2 2 2 11 2 3" xfId="6479" xr:uid="{00000000-0005-0000-0000-00004C190000}"/>
    <cellStyle name="Comma 2 2 2 11 2 4" xfId="6480" xr:uid="{00000000-0005-0000-0000-00004D190000}"/>
    <cellStyle name="Comma 2 2 2 11 2 5" xfId="6481" xr:uid="{00000000-0005-0000-0000-00004E190000}"/>
    <cellStyle name="Comma 2 2 2 11 2 6" xfId="6482" xr:uid="{00000000-0005-0000-0000-00004F190000}"/>
    <cellStyle name="Comma 2 2 2 11 3" xfId="6483" xr:uid="{00000000-0005-0000-0000-000050190000}"/>
    <cellStyle name="Comma 2 2 2 11 3 2" xfId="6484" xr:uid="{00000000-0005-0000-0000-000051190000}"/>
    <cellStyle name="Comma 2 2 2 11 3 2 2" xfId="6485" xr:uid="{00000000-0005-0000-0000-000052190000}"/>
    <cellStyle name="Comma 2 2 2 11 3 2 3" xfId="6486" xr:uid="{00000000-0005-0000-0000-000053190000}"/>
    <cellStyle name="Comma 2 2 2 11 3 3" xfId="6487" xr:uid="{00000000-0005-0000-0000-000054190000}"/>
    <cellStyle name="Comma 2 2 2 11 3 4" xfId="6488" xr:uid="{00000000-0005-0000-0000-000055190000}"/>
    <cellStyle name="Comma 2 2 2 11 3 5" xfId="6489" xr:uid="{00000000-0005-0000-0000-000056190000}"/>
    <cellStyle name="Comma 2 2 2 11 3 6" xfId="6490" xr:uid="{00000000-0005-0000-0000-000057190000}"/>
    <cellStyle name="Comma 2 2 2 11 4" xfId="6491" xr:uid="{00000000-0005-0000-0000-000058190000}"/>
    <cellStyle name="Comma 2 2 2 11 4 2" xfId="6492" xr:uid="{00000000-0005-0000-0000-000059190000}"/>
    <cellStyle name="Comma 2 2 2 11 4 2 2" xfId="6493" xr:uid="{00000000-0005-0000-0000-00005A190000}"/>
    <cellStyle name="Comma 2 2 2 11 4 3" xfId="6494" xr:uid="{00000000-0005-0000-0000-00005B190000}"/>
    <cellStyle name="Comma 2 2 2 11 4 4" xfId="6495" xr:uid="{00000000-0005-0000-0000-00005C190000}"/>
    <cellStyle name="Comma 2 2 2 11 4 5" xfId="6496" xr:uid="{00000000-0005-0000-0000-00005D190000}"/>
    <cellStyle name="Comma 2 2 2 11 5" xfId="6497" xr:uid="{00000000-0005-0000-0000-00005E190000}"/>
    <cellStyle name="Comma 2 2 2 11 5 2" xfId="6498" xr:uid="{00000000-0005-0000-0000-00005F190000}"/>
    <cellStyle name="Comma 2 2 2 11 5 3" xfId="6499" xr:uid="{00000000-0005-0000-0000-000060190000}"/>
    <cellStyle name="Comma 2 2 2 11 5 4" xfId="6500" xr:uid="{00000000-0005-0000-0000-000061190000}"/>
    <cellStyle name="Comma 2 2 2 11 6" xfId="6501" xr:uid="{00000000-0005-0000-0000-000062190000}"/>
    <cellStyle name="Comma 2 2 2 11 6 2" xfId="6502" xr:uid="{00000000-0005-0000-0000-000063190000}"/>
    <cellStyle name="Comma 2 2 2 11 7" xfId="6503" xr:uid="{00000000-0005-0000-0000-000064190000}"/>
    <cellStyle name="Comma 2 2 2 11 8" xfId="6504" xr:uid="{00000000-0005-0000-0000-000065190000}"/>
    <cellStyle name="Comma 2 2 2 11 9" xfId="6505" xr:uid="{00000000-0005-0000-0000-000066190000}"/>
    <cellStyle name="Comma 2 2 2 12" xfId="6506" xr:uid="{00000000-0005-0000-0000-000067190000}"/>
    <cellStyle name="Comma 2 2 2 12 10" xfId="6507" xr:uid="{00000000-0005-0000-0000-000068190000}"/>
    <cellStyle name="Comma 2 2 2 12 2" xfId="6508" xr:uid="{00000000-0005-0000-0000-000069190000}"/>
    <cellStyle name="Comma 2 2 2 12 2 2" xfId="6509" xr:uid="{00000000-0005-0000-0000-00006A190000}"/>
    <cellStyle name="Comma 2 2 2 12 2 2 2" xfId="6510" xr:uid="{00000000-0005-0000-0000-00006B190000}"/>
    <cellStyle name="Comma 2 2 2 12 2 2 3" xfId="6511" xr:uid="{00000000-0005-0000-0000-00006C190000}"/>
    <cellStyle name="Comma 2 2 2 12 2 3" xfId="6512" xr:uid="{00000000-0005-0000-0000-00006D190000}"/>
    <cellStyle name="Comma 2 2 2 12 2 4" xfId="6513" xr:uid="{00000000-0005-0000-0000-00006E190000}"/>
    <cellStyle name="Comma 2 2 2 12 2 5" xfId="6514" xr:uid="{00000000-0005-0000-0000-00006F190000}"/>
    <cellStyle name="Comma 2 2 2 12 2 6" xfId="6515" xr:uid="{00000000-0005-0000-0000-000070190000}"/>
    <cellStyle name="Comma 2 2 2 12 3" xfId="6516" xr:uid="{00000000-0005-0000-0000-000071190000}"/>
    <cellStyle name="Comma 2 2 2 12 3 2" xfId="6517" xr:uid="{00000000-0005-0000-0000-000072190000}"/>
    <cellStyle name="Comma 2 2 2 12 3 2 2" xfId="6518" xr:uid="{00000000-0005-0000-0000-000073190000}"/>
    <cellStyle name="Comma 2 2 2 12 3 2 3" xfId="6519" xr:uid="{00000000-0005-0000-0000-000074190000}"/>
    <cellStyle name="Comma 2 2 2 12 3 3" xfId="6520" xr:uid="{00000000-0005-0000-0000-000075190000}"/>
    <cellStyle name="Comma 2 2 2 12 3 4" xfId="6521" xr:uid="{00000000-0005-0000-0000-000076190000}"/>
    <cellStyle name="Comma 2 2 2 12 3 5" xfId="6522" xr:uid="{00000000-0005-0000-0000-000077190000}"/>
    <cellStyle name="Comma 2 2 2 12 3 6" xfId="6523" xr:uid="{00000000-0005-0000-0000-000078190000}"/>
    <cellStyle name="Comma 2 2 2 12 4" xfId="6524" xr:uid="{00000000-0005-0000-0000-000079190000}"/>
    <cellStyle name="Comma 2 2 2 12 4 2" xfId="6525" xr:uid="{00000000-0005-0000-0000-00007A190000}"/>
    <cellStyle name="Comma 2 2 2 12 4 2 2" xfId="6526" xr:uid="{00000000-0005-0000-0000-00007B190000}"/>
    <cellStyle name="Comma 2 2 2 12 4 3" xfId="6527" xr:uid="{00000000-0005-0000-0000-00007C190000}"/>
    <cellStyle name="Comma 2 2 2 12 4 4" xfId="6528" xr:uid="{00000000-0005-0000-0000-00007D190000}"/>
    <cellStyle name="Comma 2 2 2 12 4 5" xfId="6529" xr:uid="{00000000-0005-0000-0000-00007E190000}"/>
    <cellStyle name="Comma 2 2 2 12 5" xfId="6530" xr:uid="{00000000-0005-0000-0000-00007F190000}"/>
    <cellStyle name="Comma 2 2 2 12 5 2" xfId="6531" xr:uid="{00000000-0005-0000-0000-000080190000}"/>
    <cellStyle name="Comma 2 2 2 12 5 3" xfId="6532" xr:uid="{00000000-0005-0000-0000-000081190000}"/>
    <cellStyle name="Comma 2 2 2 12 5 4" xfId="6533" xr:uid="{00000000-0005-0000-0000-000082190000}"/>
    <cellStyle name="Comma 2 2 2 12 6" xfId="6534" xr:uid="{00000000-0005-0000-0000-000083190000}"/>
    <cellStyle name="Comma 2 2 2 12 6 2" xfId="6535" xr:uid="{00000000-0005-0000-0000-000084190000}"/>
    <cellStyle name="Comma 2 2 2 12 7" xfId="6536" xr:uid="{00000000-0005-0000-0000-000085190000}"/>
    <cellStyle name="Comma 2 2 2 12 8" xfId="6537" xr:uid="{00000000-0005-0000-0000-000086190000}"/>
    <cellStyle name="Comma 2 2 2 12 9" xfId="6538" xr:uid="{00000000-0005-0000-0000-000087190000}"/>
    <cellStyle name="Comma 2 2 2 13" xfId="6539" xr:uid="{00000000-0005-0000-0000-000088190000}"/>
    <cellStyle name="Comma 2 2 2 13 2" xfId="6540" xr:uid="{00000000-0005-0000-0000-000089190000}"/>
    <cellStyle name="Comma 2 2 2 13 2 2" xfId="6541" xr:uid="{00000000-0005-0000-0000-00008A190000}"/>
    <cellStyle name="Comma 2 2 2 13 2 2 2" xfId="6542" xr:uid="{00000000-0005-0000-0000-00008B190000}"/>
    <cellStyle name="Comma 2 2 2 13 2 2 3" xfId="6543" xr:uid="{00000000-0005-0000-0000-00008C190000}"/>
    <cellStyle name="Comma 2 2 2 13 2 3" xfId="6544" xr:uid="{00000000-0005-0000-0000-00008D190000}"/>
    <cellStyle name="Comma 2 2 2 13 2 4" xfId="6545" xr:uid="{00000000-0005-0000-0000-00008E190000}"/>
    <cellStyle name="Comma 2 2 2 13 2 5" xfId="6546" xr:uid="{00000000-0005-0000-0000-00008F190000}"/>
    <cellStyle name="Comma 2 2 2 13 2 6" xfId="6547" xr:uid="{00000000-0005-0000-0000-000090190000}"/>
    <cellStyle name="Comma 2 2 2 13 3" xfId="6548" xr:uid="{00000000-0005-0000-0000-000091190000}"/>
    <cellStyle name="Comma 2 2 2 13 3 2" xfId="6549" xr:uid="{00000000-0005-0000-0000-000092190000}"/>
    <cellStyle name="Comma 2 2 2 13 3 2 2" xfId="6550" xr:uid="{00000000-0005-0000-0000-000093190000}"/>
    <cellStyle name="Comma 2 2 2 13 3 3" xfId="6551" xr:uid="{00000000-0005-0000-0000-000094190000}"/>
    <cellStyle name="Comma 2 2 2 13 3 4" xfId="6552" xr:uid="{00000000-0005-0000-0000-000095190000}"/>
    <cellStyle name="Comma 2 2 2 13 3 5" xfId="6553" xr:uid="{00000000-0005-0000-0000-000096190000}"/>
    <cellStyle name="Comma 2 2 2 13 4" xfId="6554" xr:uid="{00000000-0005-0000-0000-000097190000}"/>
    <cellStyle name="Comma 2 2 2 13 4 2" xfId="6555" xr:uid="{00000000-0005-0000-0000-000098190000}"/>
    <cellStyle name="Comma 2 2 2 13 4 3" xfId="6556" xr:uid="{00000000-0005-0000-0000-000099190000}"/>
    <cellStyle name="Comma 2 2 2 13 4 4" xfId="6557" xr:uid="{00000000-0005-0000-0000-00009A190000}"/>
    <cellStyle name="Comma 2 2 2 13 5" xfId="6558" xr:uid="{00000000-0005-0000-0000-00009B190000}"/>
    <cellStyle name="Comma 2 2 2 13 5 2" xfId="6559" xr:uid="{00000000-0005-0000-0000-00009C190000}"/>
    <cellStyle name="Comma 2 2 2 13 6" xfId="6560" xr:uid="{00000000-0005-0000-0000-00009D190000}"/>
    <cellStyle name="Comma 2 2 2 13 7" xfId="6561" xr:uid="{00000000-0005-0000-0000-00009E190000}"/>
    <cellStyle name="Comma 2 2 2 13 8" xfId="6562" xr:uid="{00000000-0005-0000-0000-00009F190000}"/>
    <cellStyle name="Comma 2 2 2 13 9" xfId="6563" xr:uid="{00000000-0005-0000-0000-0000A0190000}"/>
    <cellStyle name="Comma 2 2 2 14" xfId="6564" xr:uid="{00000000-0005-0000-0000-0000A1190000}"/>
    <cellStyle name="Comma 2 2 2 14 2" xfId="6565" xr:uid="{00000000-0005-0000-0000-0000A2190000}"/>
    <cellStyle name="Comma 2 2 2 14 2 2" xfId="6566" xr:uid="{00000000-0005-0000-0000-0000A3190000}"/>
    <cellStyle name="Comma 2 2 2 14 2 2 2" xfId="6567" xr:uid="{00000000-0005-0000-0000-0000A4190000}"/>
    <cellStyle name="Comma 2 2 2 14 2 2 3" xfId="6568" xr:uid="{00000000-0005-0000-0000-0000A5190000}"/>
    <cellStyle name="Comma 2 2 2 14 2 3" xfId="6569" xr:uid="{00000000-0005-0000-0000-0000A6190000}"/>
    <cellStyle name="Comma 2 2 2 14 2 4" xfId="6570" xr:uid="{00000000-0005-0000-0000-0000A7190000}"/>
    <cellStyle name="Comma 2 2 2 14 2 5" xfId="6571" xr:uid="{00000000-0005-0000-0000-0000A8190000}"/>
    <cellStyle name="Comma 2 2 2 14 2 6" xfId="6572" xr:uid="{00000000-0005-0000-0000-0000A9190000}"/>
    <cellStyle name="Comma 2 2 2 14 3" xfId="6573" xr:uid="{00000000-0005-0000-0000-0000AA190000}"/>
    <cellStyle name="Comma 2 2 2 14 3 2" xfId="6574" xr:uid="{00000000-0005-0000-0000-0000AB190000}"/>
    <cellStyle name="Comma 2 2 2 14 3 2 2" xfId="6575" xr:uid="{00000000-0005-0000-0000-0000AC190000}"/>
    <cellStyle name="Comma 2 2 2 14 3 3" xfId="6576" xr:uid="{00000000-0005-0000-0000-0000AD190000}"/>
    <cellStyle name="Comma 2 2 2 14 3 4" xfId="6577" xr:uid="{00000000-0005-0000-0000-0000AE190000}"/>
    <cellStyle name="Comma 2 2 2 14 3 5" xfId="6578" xr:uid="{00000000-0005-0000-0000-0000AF190000}"/>
    <cellStyle name="Comma 2 2 2 14 4" xfId="6579" xr:uid="{00000000-0005-0000-0000-0000B0190000}"/>
    <cellStyle name="Comma 2 2 2 14 4 2" xfId="6580" xr:uid="{00000000-0005-0000-0000-0000B1190000}"/>
    <cellStyle name="Comma 2 2 2 14 4 3" xfId="6581" xr:uid="{00000000-0005-0000-0000-0000B2190000}"/>
    <cellStyle name="Comma 2 2 2 14 4 4" xfId="6582" xr:uid="{00000000-0005-0000-0000-0000B3190000}"/>
    <cellStyle name="Comma 2 2 2 14 5" xfId="6583" xr:uid="{00000000-0005-0000-0000-0000B4190000}"/>
    <cellStyle name="Comma 2 2 2 14 5 2" xfId="6584" xr:uid="{00000000-0005-0000-0000-0000B5190000}"/>
    <cellStyle name="Comma 2 2 2 14 6" xfId="6585" xr:uid="{00000000-0005-0000-0000-0000B6190000}"/>
    <cellStyle name="Comma 2 2 2 14 7" xfId="6586" xr:uid="{00000000-0005-0000-0000-0000B7190000}"/>
    <cellStyle name="Comma 2 2 2 14 8" xfId="6587" xr:uid="{00000000-0005-0000-0000-0000B8190000}"/>
    <cellStyle name="Comma 2 2 2 14 9" xfId="6588" xr:uid="{00000000-0005-0000-0000-0000B9190000}"/>
    <cellStyle name="Comma 2 2 2 15" xfId="6589" xr:uid="{00000000-0005-0000-0000-0000BA190000}"/>
    <cellStyle name="Comma 2 2 2 15 2" xfId="6590" xr:uid="{00000000-0005-0000-0000-0000BB190000}"/>
    <cellStyle name="Comma 2 2 2 15 2 2" xfId="6591" xr:uid="{00000000-0005-0000-0000-0000BC190000}"/>
    <cellStyle name="Comma 2 2 2 15 2 3" xfId="6592" xr:uid="{00000000-0005-0000-0000-0000BD190000}"/>
    <cellStyle name="Comma 2 2 2 15 3" xfId="6593" xr:uid="{00000000-0005-0000-0000-0000BE190000}"/>
    <cellStyle name="Comma 2 2 2 15 4" xfId="6594" xr:uid="{00000000-0005-0000-0000-0000BF190000}"/>
    <cellStyle name="Comma 2 2 2 15 5" xfId="6595" xr:uid="{00000000-0005-0000-0000-0000C0190000}"/>
    <cellStyle name="Comma 2 2 2 15 6" xfId="6596" xr:uid="{00000000-0005-0000-0000-0000C1190000}"/>
    <cellStyle name="Comma 2 2 2 16" xfId="6597" xr:uid="{00000000-0005-0000-0000-0000C2190000}"/>
    <cellStyle name="Comma 2 2 2 16 2" xfId="6598" xr:uid="{00000000-0005-0000-0000-0000C3190000}"/>
    <cellStyle name="Comma 2 2 2 16 2 2" xfId="6599" xr:uid="{00000000-0005-0000-0000-0000C4190000}"/>
    <cellStyle name="Comma 2 2 2 16 2 3" xfId="6600" xr:uid="{00000000-0005-0000-0000-0000C5190000}"/>
    <cellStyle name="Comma 2 2 2 16 3" xfId="6601" xr:uid="{00000000-0005-0000-0000-0000C6190000}"/>
    <cellStyle name="Comma 2 2 2 16 4" xfId="6602" xr:uid="{00000000-0005-0000-0000-0000C7190000}"/>
    <cellStyle name="Comma 2 2 2 16 5" xfId="6603" xr:uid="{00000000-0005-0000-0000-0000C8190000}"/>
    <cellStyle name="Comma 2 2 2 16 6" xfId="6604" xr:uid="{00000000-0005-0000-0000-0000C9190000}"/>
    <cellStyle name="Comma 2 2 2 17" xfId="6605" xr:uid="{00000000-0005-0000-0000-0000CA190000}"/>
    <cellStyle name="Comma 2 2 2 17 2" xfId="6606" xr:uid="{00000000-0005-0000-0000-0000CB190000}"/>
    <cellStyle name="Comma 2 2 2 17 2 2" xfId="6607" xr:uid="{00000000-0005-0000-0000-0000CC190000}"/>
    <cellStyle name="Comma 2 2 2 17 2 3" xfId="6608" xr:uid="{00000000-0005-0000-0000-0000CD190000}"/>
    <cellStyle name="Comma 2 2 2 17 3" xfId="6609" xr:uid="{00000000-0005-0000-0000-0000CE190000}"/>
    <cellStyle name="Comma 2 2 2 17 4" xfId="6610" xr:uid="{00000000-0005-0000-0000-0000CF190000}"/>
    <cellStyle name="Comma 2 2 2 17 5" xfId="6611" xr:uid="{00000000-0005-0000-0000-0000D0190000}"/>
    <cellStyle name="Comma 2 2 2 17 6" xfId="6612" xr:uid="{00000000-0005-0000-0000-0000D1190000}"/>
    <cellStyle name="Comma 2 2 2 18" xfId="6613" xr:uid="{00000000-0005-0000-0000-0000D2190000}"/>
    <cellStyle name="Comma 2 2 2 18 2" xfId="6614" xr:uid="{00000000-0005-0000-0000-0000D3190000}"/>
    <cellStyle name="Comma 2 2 2 18 3" xfId="6615" xr:uid="{00000000-0005-0000-0000-0000D4190000}"/>
    <cellStyle name="Comma 2 2 2 18 4" xfId="6616" xr:uid="{00000000-0005-0000-0000-0000D5190000}"/>
    <cellStyle name="Comma 2 2 2 19" xfId="6617" xr:uid="{00000000-0005-0000-0000-0000D6190000}"/>
    <cellStyle name="Comma 2 2 2 19 2" xfId="6618" xr:uid="{00000000-0005-0000-0000-0000D7190000}"/>
    <cellStyle name="Comma 2 2 2 19 3" xfId="6619" xr:uid="{00000000-0005-0000-0000-0000D8190000}"/>
    <cellStyle name="Comma 2 2 2 2" xfId="6620" xr:uid="{00000000-0005-0000-0000-0000D9190000}"/>
    <cellStyle name="Comma 2 2 2 2 10" xfId="6621" xr:uid="{00000000-0005-0000-0000-0000DA190000}"/>
    <cellStyle name="Comma 2 2 2 2 11" xfId="6622" xr:uid="{00000000-0005-0000-0000-0000DB190000}"/>
    <cellStyle name="Comma 2 2 2 2 2" xfId="6623" xr:uid="{00000000-0005-0000-0000-0000DC190000}"/>
    <cellStyle name="Comma 2 2 2 2 2 2" xfId="6624" xr:uid="{00000000-0005-0000-0000-0000DD190000}"/>
    <cellStyle name="Comma 2 2 2 2 2 2 2" xfId="6625" xr:uid="{00000000-0005-0000-0000-0000DE190000}"/>
    <cellStyle name="Comma 2 2 2 2 2 2 2 2" xfId="6626" xr:uid="{00000000-0005-0000-0000-0000DF190000}"/>
    <cellStyle name="Comma 2 2 2 2 2 2 2 3" xfId="6627" xr:uid="{00000000-0005-0000-0000-0000E0190000}"/>
    <cellStyle name="Comma 2 2 2 2 2 2 3" xfId="6628" xr:uid="{00000000-0005-0000-0000-0000E1190000}"/>
    <cellStyle name="Comma 2 2 2 2 2 2 4" xfId="6629" xr:uid="{00000000-0005-0000-0000-0000E2190000}"/>
    <cellStyle name="Comma 2 2 2 2 2 2 5" xfId="6630" xr:uid="{00000000-0005-0000-0000-0000E3190000}"/>
    <cellStyle name="Comma 2 2 2 2 2 2 6" xfId="6631" xr:uid="{00000000-0005-0000-0000-0000E4190000}"/>
    <cellStyle name="Comma 2 2 2 2 2 3" xfId="6632" xr:uid="{00000000-0005-0000-0000-0000E5190000}"/>
    <cellStyle name="Comma 2 2 2 2 2 3 2" xfId="6633" xr:uid="{00000000-0005-0000-0000-0000E6190000}"/>
    <cellStyle name="Comma 2 2 2 2 2 3 2 2" xfId="6634" xr:uid="{00000000-0005-0000-0000-0000E7190000}"/>
    <cellStyle name="Comma 2 2 2 2 2 3 3" xfId="6635" xr:uid="{00000000-0005-0000-0000-0000E8190000}"/>
    <cellStyle name="Comma 2 2 2 2 2 3 4" xfId="6636" xr:uid="{00000000-0005-0000-0000-0000E9190000}"/>
    <cellStyle name="Comma 2 2 2 2 2 3 5" xfId="6637" xr:uid="{00000000-0005-0000-0000-0000EA190000}"/>
    <cellStyle name="Comma 2 2 2 2 2 3 6" xfId="6638" xr:uid="{00000000-0005-0000-0000-0000EB190000}"/>
    <cellStyle name="Comma 2 2 2 2 2 4" xfId="6639" xr:uid="{00000000-0005-0000-0000-0000EC190000}"/>
    <cellStyle name="Comma 2 2 2 2 2 4 2" xfId="6640" xr:uid="{00000000-0005-0000-0000-0000ED190000}"/>
    <cellStyle name="Comma 2 2 2 2 2 4 3" xfId="6641" xr:uid="{00000000-0005-0000-0000-0000EE190000}"/>
    <cellStyle name="Comma 2 2 2 2 2 4 4" xfId="6642" xr:uid="{00000000-0005-0000-0000-0000EF190000}"/>
    <cellStyle name="Comma 2 2 2 2 2 4 5" xfId="6643" xr:uid="{00000000-0005-0000-0000-0000F0190000}"/>
    <cellStyle name="Comma 2 2 2 2 2 5" xfId="6644" xr:uid="{00000000-0005-0000-0000-0000F1190000}"/>
    <cellStyle name="Comma 2 2 2 2 2 5 2" xfId="6645" xr:uid="{00000000-0005-0000-0000-0000F2190000}"/>
    <cellStyle name="Comma 2 2 2 2 2 6" xfId="6646" xr:uid="{00000000-0005-0000-0000-0000F3190000}"/>
    <cellStyle name="Comma 2 2 2 2 2 7" xfId="6647" xr:uid="{00000000-0005-0000-0000-0000F4190000}"/>
    <cellStyle name="Comma 2 2 2 2 2 8" xfId="6648" xr:uid="{00000000-0005-0000-0000-0000F5190000}"/>
    <cellStyle name="Comma 2 2 2 2 2 9" xfId="6649" xr:uid="{00000000-0005-0000-0000-0000F6190000}"/>
    <cellStyle name="Comma 2 2 2 2 3" xfId="6650" xr:uid="{00000000-0005-0000-0000-0000F7190000}"/>
    <cellStyle name="Comma 2 2 2 2 3 2" xfId="6651" xr:uid="{00000000-0005-0000-0000-0000F8190000}"/>
    <cellStyle name="Comma 2 2 2 2 3 2 2" xfId="6652" xr:uid="{00000000-0005-0000-0000-0000F9190000}"/>
    <cellStyle name="Comma 2 2 2 2 3 2 2 2" xfId="6653" xr:uid="{00000000-0005-0000-0000-0000FA190000}"/>
    <cellStyle name="Comma 2 2 2 2 3 2 2 3" xfId="6654" xr:uid="{00000000-0005-0000-0000-0000FB190000}"/>
    <cellStyle name="Comma 2 2 2 2 3 2 3" xfId="6655" xr:uid="{00000000-0005-0000-0000-0000FC190000}"/>
    <cellStyle name="Comma 2 2 2 2 3 2 4" xfId="6656" xr:uid="{00000000-0005-0000-0000-0000FD190000}"/>
    <cellStyle name="Comma 2 2 2 2 3 2 5" xfId="6657" xr:uid="{00000000-0005-0000-0000-0000FE190000}"/>
    <cellStyle name="Comma 2 2 2 2 3 2 6" xfId="6658" xr:uid="{00000000-0005-0000-0000-0000FF190000}"/>
    <cellStyle name="Comma 2 2 2 2 3 3" xfId="6659" xr:uid="{00000000-0005-0000-0000-0000001A0000}"/>
    <cellStyle name="Comma 2 2 2 2 3 3 2" xfId="6660" xr:uid="{00000000-0005-0000-0000-0000011A0000}"/>
    <cellStyle name="Comma 2 2 2 2 3 3 2 2" xfId="6661" xr:uid="{00000000-0005-0000-0000-0000021A0000}"/>
    <cellStyle name="Comma 2 2 2 2 3 3 3" xfId="6662" xr:uid="{00000000-0005-0000-0000-0000031A0000}"/>
    <cellStyle name="Comma 2 2 2 2 3 3 4" xfId="6663" xr:uid="{00000000-0005-0000-0000-0000041A0000}"/>
    <cellStyle name="Comma 2 2 2 2 3 3 5" xfId="6664" xr:uid="{00000000-0005-0000-0000-0000051A0000}"/>
    <cellStyle name="Comma 2 2 2 2 3 4" xfId="6665" xr:uid="{00000000-0005-0000-0000-0000061A0000}"/>
    <cellStyle name="Comma 2 2 2 2 3 4 2" xfId="6666" xr:uid="{00000000-0005-0000-0000-0000071A0000}"/>
    <cellStyle name="Comma 2 2 2 2 3 4 3" xfId="6667" xr:uid="{00000000-0005-0000-0000-0000081A0000}"/>
    <cellStyle name="Comma 2 2 2 2 3 4 4" xfId="6668" xr:uid="{00000000-0005-0000-0000-0000091A0000}"/>
    <cellStyle name="Comma 2 2 2 2 3 5" xfId="6669" xr:uid="{00000000-0005-0000-0000-00000A1A0000}"/>
    <cellStyle name="Comma 2 2 2 2 3 5 2" xfId="6670" xr:uid="{00000000-0005-0000-0000-00000B1A0000}"/>
    <cellStyle name="Comma 2 2 2 2 3 6" xfId="6671" xr:uid="{00000000-0005-0000-0000-00000C1A0000}"/>
    <cellStyle name="Comma 2 2 2 2 3 7" xfId="6672" xr:uid="{00000000-0005-0000-0000-00000D1A0000}"/>
    <cellStyle name="Comma 2 2 2 2 3 8" xfId="6673" xr:uid="{00000000-0005-0000-0000-00000E1A0000}"/>
    <cellStyle name="Comma 2 2 2 2 3 9" xfId="6674" xr:uid="{00000000-0005-0000-0000-00000F1A0000}"/>
    <cellStyle name="Comma 2 2 2 2 4" xfId="6675" xr:uid="{00000000-0005-0000-0000-0000101A0000}"/>
    <cellStyle name="Comma 2 2 2 2 4 2" xfId="6676" xr:uid="{00000000-0005-0000-0000-0000111A0000}"/>
    <cellStyle name="Comma 2 2 2 2 4 2 2" xfId="6677" xr:uid="{00000000-0005-0000-0000-0000121A0000}"/>
    <cellStyle name="Comma 2 2 2 2 4 2 3" xfId="6678" xr:uid="{00000000-0005-0000-0000-0000131A0000}"/>
    <cellStyle name="Comma 2 2 2 2 4 3" xfId="6679" xr:uid="{00000000-0005-0000-0000-0000141A0000}"/>
    <cellStyle name="Comma 2 2 2 2 4 4" xfId="6680" xr:uid="{00000000-0005-0000-0000-0000151A0000}"/>
    <cellStyle name="Comma 2 2 2 2 4 5" xfId="6681" xr:uid="{00000000-0005-0000-0000-0000161A0000}"/>
    <cellStyle name="Comma 2 2 2 2 4 6" xfId="6682" xr:uid="{00000000-0005-0000-0000-0000171A0000}"/>
    <cellStyle name="Comma 2 2 2 2 5" xfId="6683" xr:uid="{00000000-0005-0000-0000-0000181A0000}"/>
    <cellStyle name="Comma 2 2 2 2 5 2" xfId="6684" xr:uid="{00000000-0005-0000-0000-0000191A0000}"/>
    <cellStyle name="Comma 2 2 2 2 5 2 2" xfId="6685" xr:uid="{00000000-0005-0000-0000-00001A1A0000}"/>
    <cellStyle name="Comma 2 2 2 2 5 3" xfId="6686" xr:uid="{00000000-0005-0000-0000-00001B1A0000}"/>
    <cellStyle name="Comma 2 2 2 2 5 4" xfId="6687" xr:uid="{00000000-0005-0000-0000-00001C1A0000}"/>
    <cellStyle name="Comma 2 2 2 2 5 5" xfId="6688" xr:uid="{00000000-0005-0000-0000-00001D1A0000}"/>
    <cellStyle name="Comma 2 2 2 2 6" xfId="6689" xr:uid="{00000000-0005-0000-0000-00001E1A0000}"/>
    <cellStyle name="Comma 2 2 2 2 6 2" xfId="6690" xr:uid="{00000000-0005-0000-0000-00001F1A0000}"/>
    <cellStyle name="Comma 2 2 2 2 6 3" xfId="6691" xr:uid="{00000000-0005-0000-0000-0000201A0000}"/>
    <cellStyle name="Comma 2 2 2 2 6 4" xfId="6692" xr:uid="{00000000-0005-0000-0000-0000211A0000}"/>
    <cellStyle name="Comma 2 2 2 2 7" xfId="6693" xr:uid="{00000000-0005-0000-0000-0000221A0000}"/>
    <cellStyle name="Comma 2 2 2 2 7 2" xfId="6694" xr:uid="{00000000-0005-0000-0000-0000231A0000}"/>
    <cellStyle name="Comma 2 2 2 2 8" xfId="6695" xr:uid="{00000000-0005-0000-0000-0000241A0000}"/>
    <cellStyle name="Comma 2 2 2 2 9" xfId="6696" xr:uid="{00000000-0005-0000-0000-0000251A0000}"/>
    <cellStyle name="Comma 2 2 2 20" xfId="6697" xr:uid="{00000000-0005-0000-0000-0000261A0000}"/>
    <cellStyle name="Comma 2 2 2 20 2" xfId="6698" xr:uid="{00000000-0005-0000-0000-0000271A0000}"/>
    <cellStyle name="Comma 2 2 2 21" xfId="6699" xr:uid="{00000000-0005-0000-0000-0000281A0000}"/>
    <cellStyle name="Comma 2 2 2 21 2" xfId="6700" xr:uid="{00000000-0005-0000-0000-0000291A0000}"/>
    <cellStyle name="Comma 2 2 2 22" xfId="6701" xr:uid="{00000000-0005-0000-0000-00002A1A0000}"/>
    <cellStyle name="Comma 2 2 2 22 2" xfId="6702" xr:uid="{00000000-0005-0000-0000-00002B1A0000}"/>
    <cellStyle name="Comma 2 2 2 23" xfId="6703" xr:uid="{00000000-0005-0000-0000-00002C1A0000}"/>
    <cellStyle name="Comma 2 2 2 23 2" xfId="6704" xr:uid="{00000000-0005-0000-0000-00002D1A0000}"/>
    <cellStyle name="Comma 2 2 2 24" xfId="6705" xr:uid="{00000000-0005-0000-0000-00002E1A0000}"/>
    <cellStyle name="Comma 2 2 2 24 2" xfId="6706" xr:uid="{00000000-0005-0000-0000-00002F1A0000}"/>
    <cellStyle name="Comma 2 2 2 25" xfId="6707" xr:uid="{00000000-0005-0000-0000-0000301A0000}"/>
    <cellStyle name="Comma 2 2 2 25 2" xfId="6708" xr:uid="{00000000-0005-0000-0000-0000311A0000}"/>
    <cellStyle name="Comma 2 2 2 26" xfId="6709" xr:uid="{00000000-0005-0000-0000-0000321A0000}"/>
    <cellStyle name="Comma 2 2 2 26 2" xfId="6710" xr:uid="{00000000-0005-0000-0000-0000331A0000}"/>
    <cellStyle name="Comma 2 2 2 27" xfId="6711" xr:uid="{00000000-0005-0000-0000-0000341A0000}"/>
    <cellStyle name="Comma 2 2 2 27 2" xfId="6712" xr:uid="{00000000-0005-0000-0000-0000351A0000}"/>
    <cellStyle name="Comma 2 2 2 28" xfId="6713" xr:uid="{00000000-0005-0000-0000-0000361A0000}"/>
    <cellStyle name="Comma 2 2 2 28 2" xfId="6714" xr:uid="{00000000-0005-0000-0000-0000371A0000}"/>
    <cellStyle name="Comma 2 2 2 29" xfId="6715" xr:uid="{00000000-0005-0000-0000-0000381A0000}"/>
    <cellStyle name="Comma 2 2 2 29 2" xfId="6716" xr:uid="{00000000-0005-0000-0000-0000391A0000}"/>
    <cellStyle name="Comma 2 2 2 3" xfId="6717" xr:uid="{00000000-0005-0000-0000-00003A1A0000}"/>
    <cellStyle name="Comma 2 2 2 3 10" xfId="6718" xr:uid="{00000000-0005-0000-0000-00003B1A0000}"/>
    <cellStyle name="Comma 2 2 2 3 11" xfId="6719" xr:uid="{00000000-0005-0000-0000-00003C1A0000}"/>
    <cellStyle name="Comma 2 2 2 3 2" xfId="6720" xr:uid="{00000000-0005-0000-0000-00003D1A0000}"/>
    <cellStyle name="Comma 2 2 2 3 2 2" xfId="6721" xr:uid="{00000000-0005-0000-0000-00003E1A0000}"/>
    <cellStyle name="Comma 2 2 2 3 2 2 2" xfId="6722" xr:uid="{00000000-0005-0000-0000-00003F1A0000}"/>
    <cellStyle name="Comma 2 2 2 3 2 2 2 2" xfId="6723" xr:uid="{00000000-0005-0000-0000-0000401A0000}"/>
    <cellStyle name="Comma 2 2 2 3 2 2 2 3" xfId="6724" xr:uid="{00000000-0005-0000-0000-0000411A0000}"/>
    <cellStyle name="Comma 2 2 2 3 2 2 3" xfId="6725" xr:uid="{00000000-0005-0000-0000-0000421A0000}"/>
    <cellStyle name="Comma 2 2 2 3 2 2 4" xfId="6726" xr:uid="{00000000-0005-0000-0000-0000431A0000}"/>
    <cellStyle name="Comma 2 2 2 3 2 2 5" xfId="6727" xr:uid="{00000000-0005-0000-0000-0000441A0000}"/>
    <cellStyle name="Comma 2 2 2 3 2 2 6" xfId="6728" xr:uid="{00000000-0005-0000-0000-0000451A0000}"/>
    <cellStyle name="Comma 2 2 2 3 2 3" xfId="6729" xr:uid="{00000000-0005-0000-0000-0000461A0000}"/>
    <cellStyle name="Comma 2 2 2 3 2 3 2" xfId="6730" xr:uid="{00000000-0005-0000-0000-0000471A0000}"/>
    <cellStyle name="Comma 2 2 2 3 2 3 2 2" xfId="6731" xr:uid="{00000000-0005-0000-0000-0000481A0000}"/>
    <cellStyle name="Comma 2 2 2 3 2 3 3" xfId="6732" xr:uid="{00000000-0005-0000-0000-0000491A0000}"/>
    <cellStyle name="Comma 2 2 2 3 2 3 4" xfId="6733" xr:uid="{00000000-0005-0000-0000-00004A1A0000}"/>
    <cellStyle name="Comma 2 2 2 3 2 3 5" xfId="6734" xr:uid="{00000000-0005-0000-0000-00004B1A0000}"/>
    <cellStyle name="Comma 2 2 2 3 2 4" xfId="6735" xr:uid="{00000000-0005-0000-0000-00004C1A0000}"/>
    <cellStyle name="Comma 2 2 2 3 2 4 2" xfId="6736" xr:uid="{00000000-0005-0000-0000-00004D1A0000}"/>
    <cellStyle name="Comma 2 2 2 3 2 4 3" xfId="6737" xr:uid="{00000000-0005-0000-0000-00004E1A0000}"/>
    <cellStyle name="Comma 2 2 2 3 2 4 4" xfId="6738" xr:uid="{00000000-0005-0000-0000-00004F1A0000}"/>
    <cellStyle name="Comma 2 2 2 3 2 5" xfId="6739" xr:uid="{00000000-0005-0000-0000-0000501A0000}"/>
    <cellStyle name="Comma 2 2 2 3 2 5 2" xfId="6740" xr:uid="{00000000-0005-0000-0000-0000511A0000}"/>
    <cellStyle name="Comma 2 2 2 3 2 6" xfId="6741" xr:uid="{00000000-0005-0000-0000-0000521A0000}"/>
    <cellStyle name="Comma 2 2 2 3 2 7" xfId="6742" xr:uid="{00000000-0005-0000-0000-0000531A0000}"/>
    <cellStyle name="Comma 2 2 2 3 2 8" xfId="6743" xr:uid="{00000000-0005-0000-0000-0000541A0000}"/>
    <cellStyle name="Comma 2 2 2 3 2 9" xfId="6744" xr:uid="{00000000-0005-0000-0000-0000551A0000}"/>
    <cellStyle name="Comma 2 2 2 3 3" xfId="6745" xr:uid="{00000000-0005-0000-0000-0000561A0000}"/>
    <cellStyle name="Comma 2 2 2 3 3 2" xfId="6746" xr:uid="{00000000-0005-0000-0000-0000571A0000}"/>
    <cellStyle name="Comma 2 2 2 3 3 2 2" xfId="6747" xr:uid="{00000000-0005-0000-0000-0000581A0000}"/>
    <cellStyle name="Comma 2 2 2 3 3 2 2 2" xfId="6748" xr:uid="{00000000-0005-0000-0000-0000591A0000}"/>
    <cellStyle name="Comma 2 2 2 3 3 2 2 3" xfId="6749" xr:uid="{00000000-0005-0000-0000-00005A1A0000}"/>
    <cellStyle name="Comma 2 2 2 3 3 2 3" xfId="6750" xr:uid="{00000000-0005-0000-0000-00005B1A0000}"/>
    <cellStyle name="Comma 2 2 2 3 3 2 4" xfId="6751" xr:uid="{00000000-0005-0000-0000-00005C1A0000}"/>
    <cellStyle name="Comma 2 2 2 3 3 2 5" xfId="6752" xr:uid="{00000000-0005-0000-0000-00005D1A0000}"/>
    <cellStyle name="Comma 2 2 2 3 3 2 6" xfId="6753" xr:uid="{00000000-0005-0000-0000-00005E1A0000}"/>
    <cellStyle name="Comma 2 2 2 3 3 3" xfId="6754" xr:uid="{00000000-0005-0000-0000-00005F1A0000}"/>
    <cellStyle name="Comma 2 2 2 3 3 3 2" xfId="6755" xr:uid="{00000000-0005-0000-0000-0000601A0000}"/>
    <cellStyle name="Comma 2 2 2 3 3 3 2 2" xfId="6756" xr:uid="{00000000-0005-0000-0000-0000611A0000}"/>
    <cellStyle name="Comma 2 2 2 3 3 3 3" xfId="6757" xr:uid="{00000000-0005-0000-0000-0000621A0000}"/>
    <cellStyle name="Comma 2 2 2 3 3 3 4" xfId="6758" xr:uid="{00000000-0005-0000-0000-0000631A0000}"/>
    <cellStyle name="Comma 2 2 2 3 3 3 5" xfId="6759" xr:uid="{00000000-0005-0000-0000-0000641A0000}"/>
    <cellStyle name="Comma 2 2 2 3 3 4" xfId="6760" xr:uid="{00000000-0005-0000-0000-0000651A0000}"/>
    <cellStyle name="Comma 2 2 2 3 3 4 2" xfId="6761" xr:uid="{00000000-0005-0000-0000-0000661A0000}"/>
    <cellStyle name="Comma 2 2 2 3 3 4 3" xfId="6762" xr:uid="{00000000-0005-0000-0000-0000671A0000}"/>
    <cellStyle name="Comma 2 2 2 3 3 4 4" xfId="6763" xr:uid="{00000000-0005-0000-0000-0000681A0000}"/>
    <cellStyle name="Comma 2 2 2 3 3 5" xfId="6764" xr:uid="{00000000-0005-0000-0000-0000691A0000}"/>
    <cellStyle name="Comma 2 2 2 3 3 5 2" xfId="6765" xr:uid="{00000000-0005-0000-0000-00006A1A0000}"/>
    <cellStyle name="Comma 2 2 2 3 3 6" xfId="6766" xr:uid="{00000000-0005-0000-0000-00006B1A0000}"/>
    <cellStyle name="Comma 2 2 2 3 3 7" xfId="6767" xr:uid="{00000000-0005-0000-0000-00006C1A0000}"/>
    <cellStyle name="Comma 2 2 2 3 3 8" xfId="6768" xr:uid="{00000000-0005-0000-0000-00006D1A0000}"/>
    <cellStyle name="Comma 2 2 2 3 3 9" xfId="6769" xr:uid="{00000000-0005-0000-0000-00006E1A0000}"/>
    <cellStyle name="Comma 2 2 2 3 4" xfId="6770" xr:uid="{00000000-0005-0000-0000-00006F1A0000}"/>
    <cellStyle name="Comma 2 2 2 3 4 2" xfId="6771" xr:uid="{00000000-0005-0000-0000-0000701A0000}"/>
    <cellStyle name="Comma 2 2 2 3 4 2 2" xfId="6772" xr:uid="{00000000-0005-0000-0000-0000711A0000}"/>
    <cellStyle name="Comma 2 2 2 3 4 2 3" xfId="6773" xr:uid="{00000000-0005-0000-0000-0000721A0000}"/>
    <cellStyle name="Comma 2 2 2 3 4 3" xfId="6774" xr:uid="{00000000-0005-0000-0000-0000731A0000}"/>
    <cellStyle name="Comma 2 2 2 3 4 4" xfId="6775" xr:uid="{00000000-0005-0000-0000-0000741A0000}"/>
    <cellStyle name="Comma 2 2 2 3 4 5" xfId="6776" xr:uid="{00000000-0005-0000-0000-0000751A0000}"/>
    <cellStyle name="Comma 2 2 2 3 4 6" xfId="6777" xr:uid="{00000000-0005-0000-0000-0000761A0000}"/>
    <cellStyle name="Comma 2 2 2 3 5" xfId="6778" xr:uid="{00000000-0005-0000-0000-0000771A0000}"/>
    <cellStyle name="Comma 2 2 2 3 5 2" xfId="6779" xr:uid="{00000000-0005-0000-0000-0000781A0000}"/>
    <cellStyle name="Comma 2 2 2 3 5 2 2" xfId="6780" xr:uid="{00000000-0005-0000-0000-0000791A0000}"/>
    <cellStyle name="Comma 2 2 2 3 5 3" xfId="6781" xr:uid="{00000000-0005-0000-0000-00007A1A0000}"/>
    <cellStyle name="Comma 2 2 2 3 5 4" xfId="6782" xr:uid="{00000000-0005-0000-0000-00007B1A0000}"/>
    <cellStyle name="Comma 2 2 2 3 5 5" xfId="6783" xr:uid="{00000000-0005-0000-0000-00007C1A0000}"/>
    <cellStyle name="Comma 2 2 2 3 6" xfId="6784" xr:uid="{00000000-0005-0000-0000-00007D1A0000}"/>
    <cellStyle name="Comma 2 2 2 3 6 2" xfId="6785" xr:uid="{00000000-0005-0000-0000-00007E1A0000}"/>
    <cellStyle name="Comma 2 2 2 3 6 3" xfId="6786" xr:uid="{00000000-0005-0000-0000-00007F1A0000}"/>
    <cellStyle name="Comma 2 2 2 3 6 4" xfId="6787" xr:uid="{00000000-0005-0000-0000-0000801A0000}"/>
    <cellStyle name="Comma 2 2 2 3 7" xfId="6788" xr:uid="{00000000-0005-0000-0000-0000811A0000}"/>
    <cellStyle name="Comma 2 2 2 3 7 2" xfId="6789" xr:uid="{00000000-0005-0000-0000-0000821A0000}"/>
    <cellStyle name="Comma 2 2 2 3 8" xfId="6790" xr:uid="{00000000-0005-0000-0000-0000831A0000}"/>
    <cellStyle name="Comma 2 2 2 3 9" xfId="6791" xr:uid="{00000000-0005-0000-0000-0000841A0000}"/>
    <cellStyle name="Comma 2 2 2 30" xfId="6792" xr:uid="{00000000-0005-0000-0000-0000851A0000}"/>
    <cellStyle name="Comma 2 2 2 30 2" xfId="6793" xr:uid="{00000000-0005-0000-0000-0000861A0000}"/>
    <cellStyle name="Comma 2 2 2 31" xfId="6794" xr:uid="{00000000-0005-0000-0000-0000871A0000}"/>
    <cellStyle name="Comma 2 2 2 31 2" xfId="6795" xr:uid="{00000000-0005-0000-0000-0000881A0000}"/>
    <cellStyle name="Comma 2 2 2 32" xfId="6796" xr:uid="{00000000-0005-0000-0000-0000891A0000}"/>
    <cellStyle name="Comma 2 2 2 32 2" xfId="6797" xr:uid="{00000000-0005-0000-0000-00008A1A0000}"/>
    <cellStyle name="Comma 2 2 2 33" xfId="6798" xr:uid="{00000000-0005-0000-0000-00008B1A0000}"/>
    <cellStyle name="Comma 2 2 2 33 2" xfId="6799" xr:uid="{00000000-0005-0000-0000-00008C1A0000}"/>
    <cellStyle name="Comma 2 2 2 34" xfId="6800" xr:uid="{00000000-0005-0000-0000-00008D1A0000}"/>
    <cellStyle name="Comma 2 2 2 34 2" xfId="6801" xr:uid="{00000000-0005-0000-0000-00008E1A0000}"/>
    <cellStyle name="Comma 2 2 2 35" xfId="6802" xr:uid="{00000000-0005-0000-0000-00008F1A0000}"/>
    <cellStyle name="Comma 2 2 2 35 2" xfId="6803" xr:uid="{00000000-0005-0000-0000-0000901A0000}"/>
    <cellStyle name="Comma 2 2 2 36" xfId="6804" xr:uid="{00000000-0005-0000-0000-0000911A0000}"/>
    <cellStyle name="Comma 2 2 2 37" xfId="6805" xr:uid="{00000000-0005-0000-0000-0000921A0000}"/>
    <cellStyle name="Comma 2 2 2 38" xfId="6806" xr:uid="{00000000-0005-0000-0000-0000931A0000}"/>
    <cellStyle name="Comma 2 2 2 4" xfId="6807" xr:uid="{00000000-0005-0000-0000-0000941A0000}"/>
    <cellStyle name="Comma 2 2 2 4 10" xfId="6808" xr:uid="{00000000-0005-0000-0000-0000951A0000}"/>
    <cellStyle name="Comma 2 2 2 4 11" xfId="6809" xr:uid="{00000000-0005-0000-0000-0000961A0000}"/>
    <cellStyle name="Comma 2 2 2 4 2" xfId="6810" xr:uid="{00000000-0005-0000-0000-0000971A0000}"/>
    <cellStyle name="Comma 2 2 2 4 2 2" xfId="6811" xr:uid="{00000000-0005-0000-0000-0000981A0000}"/>
    <cellStyle name="Comma 2 2 2 4 2 2 2" xfId="6812" xr:uid="{00000000-0005-0000-0000-0000991A0000}"/>
    <cellStyle name="Comma 2 2 2 4 2 2 2 2" xfId="6813" xr:uid="{00000000-0005-0000-0000-00009A1A0000}"/>
    <cellStyle name="Comma 2 2 2 4 2 2 2 3" xfId="6814" xr:uid="{00000000-0005-0000-0000-00009B1A0000}"/>
    <cellStyle name="Comma 2 2 2 4 2 2 3" xfId="6815" xr:uid="{00000000-0005-0000-0000-00009C1A0000}"/>
    <cellStyle name="Comma 2 2 2 4 2 2 4" xfId="6816" xr:uid="{00000000-0005-0000-0000-00009D1A0000}"/>
    <cellStyle name="Comma 2 2 2 4 2 2 5" xfId="6817" xr:uid="{00000000-0005-0000-0000-00009E1A0000}"/>
    <cellStyle name="Comma 2 2 2 4 2 2 6" xfId="6818" xr:uid="{00000000-0005-0000-0000-00009F1A0000}"/>
    <cellStyle name="Comma 2 2 2 4 2 3" xfId="6819" xr:uid="{00000000-0005-0000-0000-0000A01A0000}"/>
    <cellStyle name="Comma 2 2 2 4 2 3 2" xfId="6820" xr:uid="{00000000-0005-0000-0000-0000A11A0000}"/>
    <cellStyle name="Comma 2 2 2 4 2 3 2 2" xfId="6821" xr:uid="{00000000-0005-0000-0000-0000A21A0000}"/>
    <cellStyle name="Comma 2 2 2 4 2 3 3" xfId="6822" xr:uid="{00000000-0005-0000-0000-0000A31A0000}"/>
    <cellStyle name="Comma 2 2 2 4 2 3 4" xfId="6823" xr:uid="{00000000-0005-0000-0000-0000A41A0000}"/>
    <cellStyle name="Comma 2 2 2 4 2 3 5" xfId="6824" xr:uid="{00000000-0005-0000-0000-0000A51A0000}"/>
    <cellStyle name="Comma 2 2 2 4 2 4" xfId="6825" xr:uid="{00000000-0005-0000-0000-0000A61A0000}"/>
    <cellStyle name="Comma 2 2 2 4 2 4 2" xfId="6826" xr:uid="{00000000-0005-0000-0000-0000A71A0000}"/>
    <cellStyle name="Comma 2 2 2 4 2 4 3" xfId="6827" xr:uid="{00000000-0005-0000-0000-0000A81A0000}"/>
    <cellStyle name="Comma 2 2 2 4 2 4 4" xfId="6828" xr:uid="{00000000-0005-0000-0000-0000A91A0000}"/>
    <cellStyle name="Comma 2 2 2 4 2 5" xfId="6829" xr:uid="{00000000-0005-0000-0000-0000AA1A0000}"/>
    <cellStyle name="Comma 2 2 2 4 2 5 2" xfId="6830" xr:uid="{00000000-0005-0000-0000-0000AB1A0000}"/>
    <cellStyle name="Comma 2 2 2 4 2 6" xfId="6831" xr:uid="{00000000-0005-0000-0000-0000AC1A0000}"/>
    <cellStyle name="Comma 2 2 2 4 2 7" xfId="6832" xr:uid="{00000000-0005-0000-0000-0000AD1A0000}"/>
    <cellStyle name="Comma 2 2 2 4 2 8" xfId="6833" xr:uid="{00000000-0005-0000-0000-0000AE1A0000}"/>
    <cellStyle name="Comma 2 2 2 4 2 9" xfId="6834" xr:uid="{00000000-0005-0000-0000-0000AF1A0000}"/>
    <cellStyle name="Comma 2 2 2 4 3" xfId="6835" xr:uid="{00000000-0005-0000-0000-0000B01A0000}"/>
    <cellStyle name="Comma 2 2 2 4 3 2" xfId="6836" xr:uid="{00000000-0005-0000-0000-0000B11A0000}"/>
    <cellStyle name="Comma 2 2 2 4 3 2 2" xfId="6837" xr:uid="{00000000-0005-0000-0000-0000B21A0000}"/>
    <cellStyle name="Comma 2 2 2 4 3 2 2 2" xfId="6838" xr:uid="{00000000-0005-0000-0000-0000B31A0000}"/>
    <cellStyle name="Comma 2 2 2 4 3 2 2 3" xfId="6839" xr:uid="{00000000-0005-0000-0000-0000B41A0000}"/>
    <cellStyle name="Comma 2 2 2 4 3 2 3" xfId="6840" xr:uid="{00000000-0005-0000-0000-0000B51A0000}"/>
    <cellStyle name="Comma 2 2 2 4 3 2 4" xfId="6841" xr:uid="{00000000-0005-0000-0000-0000B61A0000}"/>
    <cellStyle name="Comma 2 2 2 4 3 2 5" xfId="6842" xr:uid="{00000000-0005-0000-0000-0000B71A0000}"/>
    <cellStyle name="Comma 2 2 2 4 3 2 6" xfId="6843" xr:uid="{00000000-0005-0000-0000-0000B81A0000}"/>
    <cellStyle name="Comma 2 2 2 4 3 3" xfId="6844" xr:uid="{00000000-0005-0000-0000-0000B91A0000}"/>
    <cellStyle name="Comma 2 2 2 4 3 3 2" xfId="6845" xr:uid="{00000000-0005-0000-0000-0000BA1A0000}"/>
    <cellStyle name="Comma 2 2 2 4 3 3 2 2" xfId="6846" xr:uid="{00000000-0005-0000-0000-0000BB1A0000}"/>
    <cellStyle name="Comma 2 2 2 4 3 3 3" xfId="6847" xr:uid="{00000000-0005-0000-0000-0000BC1A0000}"/>
    <cellStyle name="Comma 2 2 2 4 3 3 4" xfId="6848" xr:uid="{00000000-0005-0000-0000-0000BD1A0000}"/>
    <cellStyle name="Comma 2 2 2 4 3 3 5" xfId="6849" xr:uid="{00000000-0005-0000-0000-0000BE1A0000}"/>
    <cellStyle name="Comma 2 2 2 4 3 4" xfId="6850" xr:uid="{00000000-0005-0000-0000-0000BF1A0000}"/>
    <cellStyle name="Comma 2 2 2 4 3 4 2" xfId="6851" xr:uid="{00000000-0005-0000-0000-0000C01A0000}"/>
    <cellStyle name="Comma 2 2 2 4 3 4 3" xfId="6852" xr:uid="{00000000-0005-0000-0000-0000C11A0000}"/>
    <cellStyle name="Comma 2 2 2 4 3 4 4" xfId="6853" xr:uid="{00000000-0005-0000-0000-0000C21A0000}"/>
    <cellStyle name="Comma 2 2 2 4 3 5" xfId="6854" xr:uid="{00000000-0005-0000-0000-0000C31A0000}"/>
    <cellStyle name="Comma 2 2 2 4 3 5 2" xfId="6855" xr:uid="{00000000-0005-0000-0000-0000C41A0000}"/>
    <cellStyle name="Comma 2 2 2 4 3 6" xfId="6856" xr:uid="{00000000-0005-0000-0000-0000C51A0000}"/>
    <cellStyle name="Comma 2 2 2 4 3 7" xfId="6857" xr:uid="{00000000-0005-0000-0000-0000C61A0000}"/>
    <cellStyle name="Comma 2 2 2 4 3 8" xfId="6858" xr:uid="{00000000-0005-0000-0000-0000C71A0000}"/>
    <cellStyle name="Comma 2 2 2 4 3 9" xfId="6859" xr:uid="{00000000-0005-0000-0000-0000C81A0000}"/>
    <cellStyle name="Comma 2 2 2 4 4" xfId="6860" xr:uid="{00000000-0005-0000-0000-0000C91A0000}"/>
    <cellStyle name="Comma 2 2 2 4 4 2" xfId="6861" xr:uid="{00000000-0005-0000-0000-0000CA1A0000}"/>
    <cellStyle name="Comma 2 2 2 4 4 2 2" xfId="6862" xr:uid="{00000000-0005-0000-0000-0000CB1A0000}"/>
    <cellStyle name="Comma 2 2 2 4 4 2 3" xfId="6863" xr:uid="{00000000-0005-0000-0000-0000CC1A0000}"/>
    <cellStyle name="Comma 2 2 2 4 4 3" xfId="6864" xr:uid="{00000000-0005-0000-0000-0000CD1A0000}"/>
    <cellStyle name="Comma 2 2 2 4 4 4" xfId="6865" xr:uid="{00000000-0005-0000-0000-0000CE1A0000}"/>
    <cellStyle name="Comma 2 2 2 4 4 5" xfId="6866" xr:uid="{00000000-0005-0000-0000-0000CF1A0000}"/>
    <cellStyle name="Comma 2 2 2 4 4 6" xfId="6867" xr:uid="{00000000-0005-0000-0000-0000D01A0000}"/>
    <cellStyle name="Comma 2 2 2 4 5" xfId="6868" xr:uid="{00000000-0005-0000-0000-0000D11A0000}"/>
    <cellStyle name="Comma 2 2 2 4 5 2" xfId="6869" xr:uid="{00000000-0005-0000-0000-0000D21A0000}"/>
    <cellStyle name="Comma 2 2 2 4 5 2 2" xfId="6870" xr:uid="{00000000-0005-0000-0000-0000D31A0000}"/>
    <cellStyle name="Comma 2 2 2 4 5 3" xfId="6871" xr:uid="{00000000-0005-0000-0000-0000D41A0000}"/>
    <cellStyle name="Comma 2 2 2 4 5 4" xfId="6872" xr:uid="{00000000-0005-0000-0000-0000D51A0000}"/>
    <cellStyle name="Comma 2 2 2 4 5 5" xfId="6873" xr:uid="{00000000-0005-0000-0000-0000D61A0000}"/>
    <cellStyle name="Comma 2 2 2 4 6" xfId="6874" xr:uid="{00000000-0005-0000-0000-0000D71A0000}"/>
    <cellStyle name="Comma 2 2 2 4 6 2" xfId="6875" xr:uid="{00000000-0005-0000-0000-0000D81A0000}"/>
    <cellStyle name="Comma 2 2 2 4 6 3" xfId="6876" xr:uid="{00000000-0005-0000-0000-0000D91A0000}"/>
    <cellStyle name="Comma 2 2 2 4 6 4" xfId="6877" xr:uid="{00000000-0005-0000-0000-0000DA1A0000}"/>
    <cellStyle name="Comma 2 2 2 4 7" xfId="6878" xr:uid="{00000000-0005-0000-0000-0000DB1A0000}"/>
    <cellStyle name="Comma 2 2 2 4 7 2" xfId="6879" xr:uid="{00000000-0005-0000-0000-0000DC1A0000}"/>
    <cellStyle name="Comma 2 2 2 4 8" xfId="6880" xr:uid="{00000000-0005-0000-0000-0000DD1A0000}"/>
    <cellStyle name="Comma 2 2 2 4 9" xfId="6881" xr:uid="{00000000-0005-0000-0000-0000DE1A0000}"/>
    <cellStyle name="Comma 2 2 2 5" xfId="6882" xr:uid="{00000000-0005-0000-0000-0000DF1A0000}"/>
    <cellStyle name="Comma 2 2 2 5 10" xfId="6883" xr:uid="{00000000-0005-0000-0000-0000E01A0000}"/>
    <cellStyle name="Comma 2 2 2 5 11" xfId="6884" xr:uid="{00000000-0005-0000-0000-0000E11A0000}"/>
    <cellStyle name="Comma 2 2 2 5 2" xfId="6885" xr:uid="{00000000-0005-0000-0000-0000E21A0000}"/>
    <cellStyle name="Comma 2 2 2 5 2 2" xfId="6886" xr:uid="{00000000-0005-0000-0000-0000E31A0000}"/>
    <cellStyle name="Comma 2 2 2 5 2 2 2" xfId="6887" xr:uid="{00000000-0005-0000-0000-0000E41A0000}"/>
    <cellStyle name="Comma 2 2 2 5 2 2 2 2" xfId="6888" xr:uid="{00000000-0005-0000-0000-0000E51A0000}"/>
    <cellStyle name="Comma 2 2 2 5 2 2 2 3" xfId="6889" xr:uid="{00000000-0005-0000-0000-0000E61A0000}"/>
    <cellStyle name="Comma 2 2 2 5 2 2 3" xfId="6890" xr:uid="{00000000-0005-0000-0000-0000E71A0000}"/>
    <cellStyle name="Comma 2 2 2 5 2 2 4" xfId="6891" xr:uid="{00000000-0005-0000-0000-0000E81A0000}"/>
    <cellStyle name="Comma 2 2 2 5 2 2 5" xfId="6892" xr:uid="{00000000-0005-0000-0000-0000E91A0000}"/>
    <cellStyle name="Comma 2 2 2 5 2 2 6" xfId="6893" xr:uid="{00000000-0005-0000-0000-0000EA1A0000}"/>
    <cellStyle name="Comma 2 2 2 5 2 3" xfId="6894" xr:uid="{00000000-0005-0000-0000-0000EB1A0000}"/>
    <cellStyle name="Comma 2 2 2 5 2 3 2" xfId="6895" xr:uid="{00000000-0005-0000-0000-0000EC1A0000}"/>
    <cellStyle name="Comma 2 2 2 5 2 3 2 2" xfId="6896" xr:uid="{00000000-0005-0000-0000-0000ED1A0000}"/>
    <cellStyle name="Comma 2 2 2 5 2 3 3" xfId="6897" xr:uid="{00000000-0005-0000-0000-0000EE1A0000}"/>
    <cellStyle name="Comma 2 2 2 5 2 3 4" xfId="6898" xr:uid="{00000000-0005-0000-0000-0000EF1A0000}"/>
    <cellStyle name="Comma 2 2 2 5 2 3 5" xfId="6899" xr:uid="{00000000-0005-0000-0000-0000F01A0000}"/>
    <cellStyle name="Comma 2 2 2 5 2 4" xfId="6900" xr:uid="{00000000-0005-0000-0000-0000F11A0000}"/>
    <cellStyle name="Comma 2 2 2 5 2 4 2" xfId="6901" xr:uid="{00000000-0005-0000-0000-0000F21A0000}"/>
    <cellStyle name="Comma 2 2 2 5 2 4 3" xfId="6902" xr:uid="{00000000-0005-0000-0000-0000F31A0000}"/>
    <cellStyle name="Comma 2 2 2 5 2 4 4" xfId="6903" xr:uid="{00000000-0005-0000-0000-0000F41A0000}"/>
    <cellStyle name="Comma 2 2 2 5 2 5" xfId="6904" xr:uid="{00000000-0005-0000-0000-0000F51A0000}"/>
    <cellStyle name="Comma 2 2 2 5 2 5 2" xfId="6905" xr:uid="{00000000-0005-0000-0000-0000F61A0000}"/>
    <cellStyle name="Comma 2 2 2 5 2 6" xfId="6906" xr:uid="{00000000-0005-0000-0000-0000F71A0000}"/>
    <cellStyle name="Comma 2 2 2 5 2 7" xfId="6907" xr:uid="{00000000-0005-0000-0000-0000F81A0000}"/>
    <cellStyle name="Comma 2 2 2 5 2 8" xfId="6908" xr:uid="{00000000-0005-0000-0000-0000F91A0000}"/>
    <cellStyle name="Comma 2 2 2 5 2 9" xfId="6909" xr:uid="{00000000-0005-0000-0000-0000FA1A0000}"/>
    <cellStyle name="Comma 2 2 2 5 3" xfId="6910" xr:uid="{00000000-0005-0000-0000-0000FB1A0000}"/>
    <cellStyle name="Comma 2 2 2 5 3 2" xfId="6911" xr:uid="{00000000-0005-0000-0000-0000FC1A0000}"/>
    <cellStyle name="Comma 2 2 2 5 3 2 2" xfId="6912" xr:uid="{00000000-0005-0000-0000-0000FD1A0000}"/>
    <cellStyle name="Comma 2 2 2 5 3 2 2 2" xfId="6913" xr:uid="{00000000-0005-0000-0000-0000FE1A0000}"/>
    <cellStyle name="Comma 2 2 2 5 3 2 2 3" xfId="6914" xr:uid="{00000000-0005-0000-0000-0000FF1A0000}"/>
    <cellStyle name="Comma 2 2 2 5 3 2 3" xfId="6915" xr:uid="{00000000-0005-0000-0000-0000001B0000}"/>
    <cellStyle name="Comma 2 2 2 5 3 2 4" xfId="6916" xr:uid="{00000000-0005-0000-0000-0000011B0000}"/>
    <cellStyle name="Comma 2 2 2 5 3 2 5" xfId="6917" xr:uid="{00000000-0005-0000-0000-0000021B0000}"/>
    <cellStyle name="Comma 2 2 2 5 3 2 6" xfId="6918" xr:uid="{00000000-0005-0000-0000-0000031B0000}"/>
    <cellStyle name="Comma 2 2 2 5 3 3" xfId="6919" xr:uid="{00000000-0005-0000-0000-0000041B0000}"/>
    <cellStyle name="Comma 2 2 2 5 3 3 2" xfId="6920" xr:uid="{00000000-0005-0000-0000-0000051B0000}"/>
    <cellStyle name="Comma 2 2 2 5 3 3 2 2" xfId="6921" xr:uid="{00000000-0005-0000-0000-0000061B0000}"/>
    <cellStyle name="Comma 2 2 2 5 3 3 3" xfId="6922" xr:uid="{00000000-0005-0000-0000-0000071B0000}"/>
    <cellStyle name="Comma 2 2 2 5 3 3 4" xfId="6923" xr:uid="{00000000-0005-0000-0000-0000081B0000}"/>
    <cellStyle name="Comma 2 2 2 5 3 3 5" xfId="6924" xr:uid="{00000000-0005-0000-0000-0000091B0000}"/>
    <cellStyle name="Comma 2 2 2 5 3 4" xfId="6925" xr:uid="{00000000-0005-0000-0000-00000A1B0000}"/>
    <cellStyle name="Comma 2 2 2 5 3 4 2" xfId="6926" xr:uid="{00000000-0005-0000-0000-00000B1B0000}"/>
    <cellStyle name="Comma 2 2 2 5 3 4 3" xfId="6927" xr:uid="{00000000-0005-0000-0000-00000C1B0000}"/>
    <cellStyle name="Comma 2 2 2 5 3 4 4" xfId="6928" xr:uid="{00000000-0005-0000-0000-00000D1B0000}"/>
    <cellStyle name="Comma 2 2 2 5 3 5" xfId="6929" xr:uid="{00000000-0005-0000-0000-00000E1B0000}"/>
    <cellStyle name="Comma 2 2 2 5 3 5 2" xfId="6930" xr:uid="{00000000-0005-0000-0000-00000F1B0000}"/>
    <cellStyle name="Comma 2 2 2 5 3 6" xfId="6931" xr:uid="{00000000-0005-0000-0000-0000101B0000}"/>
    <cellStyle name="Comma 2 2 2 5 3 7" xfId="6932" xr:uid="{00000000-0005-0000-0000-0000111B0000}"/>
    <cellStyle name="Comma 2 2 2 5 3 8" xfId="6933" xr:uid="{00000000-0005-0000-0000-0000121B0000}"/>
    <cellStyle name="Comma 2 2 2 5 3 9" xfId="6934" xr:uid="{00000000-0005-0000-0000-0000131B0000}"/>
    <cellStyle name="Comma 2 2 2 5 4" xfId="6935" xr:uid="{00000000-0005-0000-0000-0000141B0000}"/>
    <cellStyle name="Comma 2 2 2 5 4 2" xfId="6936" xr:uid="{00000000-0005-0000-0000-0000151B0000}"/>
    <cellStyle name="Comma 2 2 2 5 4 2 2" xfId="6937" xr:uid="{00000000-0005-0000-0000-0000161B0000}"/>
    <cellStyle name="Comma 2 2 2 5 4 2 3" xfId="6938" xr:uid="{00000000-0005-0000-0000-0000171B0000}"/>
    <cellStyle name="Comma 2 2 2 5 4 3" xfId="6939" xr:uid="{00000000-0005-0000-0000-0000181B0000}"/>
    <cellStyle name="Comma 2 2 2 5 4 4" xfId="6940" xr:uid="{00000000-0005-0000-0000-0000191B0000}"/>
    <cellStyle name="Comma 2 2 2 5 4 5" xfId="6941" xr:uid="{00000000-0005-0000-0000-00001A1B0000}"/>
    <cellStyle name="Comma 2 2 2 5 4 6" xfId="6942" xr:uid="{00000000-0005-0000-0000-00001B1B0000}"/>
    <cellStyle name="Comma 2 2 2 5 5" xfId="6943" xr:uid="{00000000-0005-0000-0000-00001C1B0000}"/>
    <cellStyle name="Comma 2 2 2 5 5 2" xfId="6944" xr:uid="{00000000-0005-0000-0000-00001D1B0000}"/>
    <cellStyle name="Comma 2 2 2 5 5 2 2" xfId="6945" xr:uid="{00000000-0005-0000-0000-00001E1B0000}"/>
    <cellStyle name="Comma 2 2 2 5 5 3" xfId="6946" xr:uid="{00000000-0005-0000-0000-00001F1B0000}"/>
    <cellStyle name="Comma 2 2 2 5 5 4" xfId="6947" xr:uid="{00000000-0005-0000-0000-0000201B0000}"/>
    <cellStyle name="Comma 2 2 2 5 5 5" xfId="6948" xr:uid="{00000000-0005-0000-0000-0000211B0000}"/>
    <cellStyle name="Comma 2 2 2 5 6" xfId="6949" xr:uid="{00000000-0005-0000-0000-0000221B0000}"/>
    <cellStyle name="Comma 2 2 2 5 6 2" xfId="6950" xr:uid="{00000000-0005-0000-0000-0000231B0000}"/>
    <cellStyle name="Comma 2 2 2 5 6 3" xfId="6951" xr:uid="{00000000-0005-0000-0000-0000241B0000}"/>
    <cellStyle name="Comma 2 2 2 5 6 4" xfId="6952" xr:uid="{00000000-0005-0000-0000-0000251B0000}"/>
    <cellStyle name="Comma 2 2 2 5 7" xfId="6953" xr:uid="{00000000-0005-0000-0000-0000261B0000}"/>
    <cellStyle name="Comma 2 2 2 5 7 2" xfId="6954" xr:uid="{00000000-0005-0000-0000-0000271B0000}"/>
    <cellStyle name="Comma 2 2 2 5 8" xfId="6955" xr:uid="{00000000-0005-0000-0000-0000281B0000}"/>
    <cellStyle name="Comma 2 2 2 5 9" xfId="6956" xr:uid="{00000000-0005-0000-0000-0000291B0000}"/>
    <cellStyle name="Comma 2 2 2 6" xfId="6957" xr:uid="{00000000-0005-0000-0000-00002A1B0000}"/>
    <cellStyle name="Comma 2 2 2 6 10" xfId="6958" xr:uid="{00000000-0005-0000-0000-00002B1B0000}"/>
    <cellStyle name="Comma 2 2 2 6 11" xfId="6959" xr:uid="{00000000-0005-0000-0000-00002C1B0000}"/>
    <cellStyle name="Comma 2 2 2 6 2" xfId="6960" xr:uid="{00000000-0005-0000-0000-00002D1B0000}"/>
    <cellStyle name="Comma 2 2 2 6 2 2" xfId="6961" xr:uid="{00000000-0005-0000-0000-00002E1B0000}"/>
    <cellStyle name="Comma 2 2 2 6 2 2 2" xfId="6962" xr:uid="{00000000-0005-0000-0000-00002F1B0000}"/>
    <cellStyle name="Comma 2 2 2 6 2 2 2 2" xfId="6963" xr:uid="{00000000-0005-0000-0000-0000301B0000}"/>
    <cellStyle name="Comma 2 2 2 6 2 2 2 3" xfId="6964" xr:uid="{00000000-0005-0000-0000-0000311B0000}"/>
    <cellStyle name="Comma 2 2 2 6 2 2 3" xfId="6965" xr:uid="{00000000-0005-0000-0000-0000321B0000}"/>
    <cellStyle name="Comma 2 2 2 6 2 2 4" xfId="6966" xr:uid="{00000000-0005-0000-0000-0000331B0000}"/>
    <cellStyle name="Comma 2 2 2 6 2 2 5" xfId="6967" xr:uid="{00000000-0005-0000-0000-0000341B0000}"/>
    <cellStyle name="Comma 2 2 2 6 2 2 6" xfId="6968" xr:uid="{00000000-0005-0000-0000-0000351B0000}"/>
    <cellStyle name="Comma 2 2 2 6 2 3" xfId="6969" xr:uid="{00000000-0005-0000-0000-0000361B0000}"/>
    <cellStyle name="Comma 2 2 2 6 2 3 2" xfId="6970" xr:uid="{00000000-0005-0000-0000-0000371B0000}"/>
    <cellStyle name="Comma 2 2 2 6 2 3 2 2" xfId="6971" xr:uid="{00000000-0005-0000-0000-0000381B0000}"/>
    <cellStyle name="Comma 2 2 2 6 2 3 3" xfId="6972" xr:uid="{00000000-0005-0000-0000-0000391B0000}"/>
    <cellStyle name="Comma 2 2 2 6 2 3 4" xfId="6973" xr:uid="{00000000-0005-0000-0000-00003A1B0000}"/>
    <cellStyle name="Comma 2 2 2 6 2 3 5" xfId="6974" xr:uid="{00000000-0005-0000-0000-00003B1B0000}"/>
    <cellStyle name="Comma 2 2 2 6 2 4" xfId="6975" xr:uid="{00000000-0005-0000-0000-00003C1B0000}"/>
    <cellStyle name="Comma 2 2 2 6 2 4 2" xfId="6976" xr:uid="{00000000-0005-0000-0000-00003D1B0000}"/>
    <cellStyle name="Comma 2 2 2 6 2 4 3" xfId="6977" xr:uid="{00000000-0005-0000-0000-00003E1B0000}"/>
    <cellStyle name="Comma 2 2 2 6 2 4 4" xfId="6978" xr:uid="{00000000-0005-0000-0000-00003F1B0000}"/>
    <cellStyle name="Comma 2 2 2 6 2 5" xfId="6979" xr:uid="{00000000-0005-0000-0000-0000401B0000}"/>
    <cellStyle name="Comma 2 2 2 6 2 5 2" xfId="6980" xr:uid="{00000000-0005-0000-0000-0000411B0000}"/>
    <cellStyle name="Comma 2 2 2 6 2 6" xfId="6981" xr:uid="{00000000-0005-0000-0000-0000421B0000}"/>
    <cellStyle name="Comma 2 2 2 6 2 7" xfId="6982" xr:uid="{00000000-0005-0000-0000-0000431B0000}"/>
    <cellStyle name="Comma 2 2 2 6 2 8" xfId="6983" xr:uid="{00000000-0005-0000-0000-0000441B0000}"/>
    <cellStyle name="Comma 2 2 2 6 2 9" xfId="6984" xr:uid="{00000000-0005-0000-0000-0000451B0000}"/>
    <cellStyle name="Comma 2 2 2 6 3" xfId="6985" xr:uid="{00000000-0005-0000-0000-0000461B0000}"/>
    <cellStyle name="Comma 2 2 2 6 3 2" xfId="6986" xr:uid="{00000000-0005-0000-0000-0000471B0000}"/>
    <cellStyle name="Comma 2 2 2 6 3 2 2" xfId="6987" xr:uid="{00000000-0005-0000-0000-0000481B0000}"/>
    <cellStyle name="Comma 2 2 2 6 3 2 2 2" xfId="6988" xr:uid="{00000000-0005-0000-0000-0000491B0000}"/>
    <cellStyle name="Comma 2 2 2 6 3 2 2 3" xfId="6989" xr:uid="{00000000-0005-0000-0000-00004A1B0000}"/>
    <cellStyle name="Comma 2 2 2 6 3 2 3" xfId="6990" xr:uid="{00000000-0005-0000-0000-00004B1B0000}"/>
    <cellStyle name="Comma 2 2 2 6 3 2 4" xfId="6991" xr:uid="{00000000-0005-0000-0000-00004C1B0000}"/>
    <cellStyle name="Comma 2 2 2 6 3 2 5" xfId="6992" xr:uid="{00000000-0005-0000-0000-00004D1B0000}"/>
    <cellStyle name="Comma 2 2 2 6 3 2 6" xfId="6993" xr:uid="{00000000-0005-0000-0000-00004E1B0000}"/>
    <cellStyle name="Comma 2 2 2 6 3 3" xfId="6994" xr:uid="{00000000-0005-0000-0000-00004F1B0000}"/>
    <cellStyle name="Comma 2 2 2 6 3 3 2" xfId="6995" xr:uid="{00000000-0005-0000-0000-0000501B0000}"/>
    <cellStyle name="Comma 2 2 2 6 3 3 2 2" xfId="6996" xr:uid="{00000000-0005-0000-0000-0000511B0000}"/>
    <cellStyle name="Comma 2 2 2 6 3 3 3" xfId="6997" xr:uid="{00000000-0005-0000-0000-0000521B0000}"/>
    <cellStyle name="Comma 2 2 2 6 3 3 4" xfId="6998" xr:uid="{00000000-0005-0000-0000-0000531B0000}"/>
    <cellStyle name="Comma 2 2 2 6 3 3 5" xfId="6999" xr:uid="{00000000-0005-0000-0000-0000541B0000}"/>
    <cellStyle name="Comma 2 2 2 6 3 4" xfId="7000" xr:uid="{00000000-0005-0000-0000-0000551B0000}"/>
    <cellStyle name="Comma 2 2 2 6 3 4 2" xfId="7001" xr:uid="{00000000-0005-0000-0000-0000561B0000}"/>
    <cellStyle name="Comma 2 2 2 6 3 4 3" xfId="7002" xr:uid="{00000000-0005-0000-0000-0000571B0000}"/>
    <cellStyle name="Comma 2 2 2 6 3 4 4" xfId="7003" xr:uid="{00000000-0005-0000-0000-0000581B0000}"/>
    <cellStyle name="Comma 2 2 2 6 3 5" xfId="7004" xr:uid="{00000000-0005-0000-0000-0000591B0000}"/>
    <cellStyle name="Comma 2 2 2 6 3 5 2" xfId="7005" xr:uid="{00000000-0005-0000-0000-00005A1B0000}"/>
    <cellStyle name="Comma 2 2 2 6 3 6" xfId="7006" xr:uid="{00000000-0005-0000-0000-00005B1B0000}"/>
    <cellStyle name="Comma 2 2 2 6 3 7" xfId="7007" xr:uid="{00000000-0005-0000-0000-00005C1B0000}"/>
    <cellStyle name="Comma 2 2 2 6 3 8" xfId="7008" xr:uid="{00000000-0005-0000-0000-00005D1B0000}"/>
    <cellStyle name="Comma 2 2 2 6 3 9" xfId="7009" xr:uid="{00000000-0005-0000-0000-00005E1B0000}"/>
    <cellStyle name="Comma 2 2 2 6 4" xfId="7010" xr:uid="{00000000-0005-0000-0000-00005F1B0000}"/>
    <cellStyle name="Comma 2 2 2 6 4 2" xfId="7011" xr:uid="{00000000-0005-0000-0000-0000601B0000}"/>
    <cellStyle name="Comma 2 2 2 6 4 2 2" xfId="7012" xr:uid="{00000000-0005-0000-0000-0000611B0000}"/>
    <cellStyle name="Comma 2 2 2 6 4 2 3" xfId="7013" xr:uid="{00000000-0005-0000-0000-0000621B0000}"/>
    <cellStyle name="Comma 2 2 2 6 4 3" xfId="7014" xr:uid="{00000000-0005-0000-0000-0000631B0000}"/>
    <cellStyle name="Comma 2 2 2 6 4 4" xfId="7015" xr:uid="{00000000-0005-0000-0000-0000641B0000}"/>
    <cellStyle name="Comma 2 2 2 6 4 5" xfId="7016" xr:uid="{00000000-0005-0000-0000-0000651B0000}"/>
    <cellStyle name="Comma 2 2 2 6 4 6" xfId="7017" xr:uid="{00000000-0005-0000-0000-0000661B0000}"/>
    <cellStyle name="Comma 2 2 2 6 5" xfId="7018" xr:uid="{00000000-0005-0000-0000-0000671B0000}"/>
    <cellStyle name="Comma 2 2 2 6 5 2" xfId="7019" xr:uid="{00000000-0005-0000-0000-0000681B0000}"/>
    <cellStyle name="Comma 2 2 2 6 5 2 2" xfId="7020" xr:uid="{00000000-0005-0000-0000-0000691B0000}"/>
    <cellStyle name="Comma 2 2 2 6 5 3" xfId="7021" xr:uid="{00000000-0005-0000-0000-00006A1B0000}"/>
    <cellStyle name="Comma 2 2 2 6 5 4" xfId="7022" xr:uid="{00000000-0005-0000-0000-00006B1B0000}"/>
    <cellStyle name="Comma 2 2 2 6 5 5" xfId="7023" xr:uid="{00000000-0005-0000-0000-00006C1B0000}"/>
    <cellStyle name="Comma 2 2 2 6 6" xfId="7024" xr:uid="{00000000-0005-0000-0000-00006D1B0000}"/>
    <cellStyle name="Comma 2 2 2 6 6 2" xfId="7025" xr:uid="{00000000-0005-0000-0000-00006E1B0000}"/>
    <cellStyle name="Comma 2 2 2 6 6 3" xfId="7026" xr:uid="{00000000-0005-0000-0000-00006F1B0000}"/>
    <cellStyle name="Comma 2 2 2 6 6 4" xfId="7027" xr:uid="{00000000-0005-0000-0000-0000701B0000}"/>
    <cellStyle name="Comma 2 2 2 6 7" xfId="7028" xr:uid="{00000000-0005-0000-0000-0000711B0000}"/>
    <cellStyle name="Comma 2 2 2 6 7 2" xfId="7029" xr:uid="{00000000-0005-0000-0000-0000721B0000}"/>
    <cellStyle name="Comma 2 2 2 6 8" xfId="7030" xr:uid="{00000000-0005-0000-0000-0000731B0000}"/>
    <cellStyle name="Comma 2 2 2 6 9" xfId="7031" xr:uid="{00000000-0005-0000-0000-0000741B0000}"/>
    <cellStyle name="Comma 2 2 2 7" xfId="7032" xr:uid="{00000000-0005-0000-0000-0000751B0000}"/>
    <cellStyle name="Comma 2 2 2 7 10" xfId="7033" xr:uid="{00000000-0005-0000-0000-0000761B0000}"/>
    <cellStyle name="Comma 2 2 2 7 11" xfId="7034" xr:uid="{00000000-0005-0000-0000-0000771B0000}"/>
    <cellStyle name="Comma 2 2 2 7 2" xfId="7035" xr:uid="{00000000-0005-0000-0000-0000781B0000}"/>
    <cellStyle name="Comma 2 2 2 7 2 2" xfId="7036" xr:uid="{00000000-0005-0000-0000-0000791B0000}"/>
    <cellStyle name="Comma 2 2 2 7 2 2 2" xfId="7037" xr:uid="{00000000-0005-0000-0000-00007A1B0000}"/>
    <cellStyle name="Comma 2 2 2 7 2 2 2 2" xfId="7038" xr:uid="{00000000-0005-0000-0000-00007B1B0000}"/>
    <cellStyle name="Comma 2 2 2 7 2 2 2 3" xfId="7039" xr:uid="{00000000-0005-0000-0000-00007C1B0000}"/>
    <cellStyle name="Comma 2 2 2 7 2 2 3" xfId="7040" xr:uid="{00000000-0005-0000-0000-00007D1B0000}"/>
    <cellStyle name="Comma 2 2 2 7 2 2 4" xfId="7041" xr:uid="{00000000-0005-0000-0000-00007E1B0000}"/>
    <cellStyle name="Comma 2 2 2 7 2 2 5" xfId="7042" xr:uid="{00000000-0005-0000-0000-00007F1B0000}"/>
    <cellStyle name="Comma 2 2 2 7 2 2 6" xfId="7043" xr:uid="{00000000-0005-0000-0000-0000801B0000}"/>
    <cellStyle name="Comma 2 2 2 7 2 3" xfId="7044" xr:uid="{00000000-0005-0000-0000-0000811B0000}"/>
    <cellStyle name="Comma 2 2 2 7 2 3 2" xfId="7045" xr:uid="{00000000-0005-0000-0000-0000821B0000}"/>
    <cellStyle name="Comma 2 2 2 7 2 3 2 2" xfId="7046" xr:uid="{00000000-0005-0000-0000-0000831B0000}"/>
    <cellStyle name="Comma 2 2 2 7 2 3 3" xfId="7047" xr:uid="{00000000-0005-0000-0000-0000841B0000}"/>
    <cellStyle name="Comma 2 2 2 7 2 3 4" xfId="7048" xr:uid="{00000000-0005-0000-0000-0000851B0000}"/>
    <cellStyle name="Comma 2 2 2 7 2 3 5" xfId="7049" xr:uid="{00000000-0005-0000-0000-0000861B0000}"/>
    <cellStyle name="Comma 2 2 2 7 2 4" xfId="7050" xr:uid="{00000000-0005-0000-0000-0000871B0000}"/>
    <cellStyle name="Comma 2 2 2 7 2 4 2" xfId="7051" xr:uid="{00000000-0005-0000-0000-0000881B0000}"/>
    <cellStyle name="Comma 2 2 2 7 2 4 3" xfId="7052" xr:uid="{00000000-0005-0000-0000-0000891B0000}"/>
    <cellStyle name="Comma 2 2 2 7 2 4 4" xfId="7053" xr:uid="{00000000-0005-0000-0000-00008A1B0000}"/>
    <cellStyle name="Comma 2 2 2 7 2 5" xfId="7054" xr:uid="{00000000-0005-0000-0000-00008B1B0000}"/>
    <cellStyle name="Comma 2 2 2 7 2 5 2" xfId="7055" xr:uid="{00000000-0005-0000-0000-00008C1B0000}"/>
    <cellStyle name="Comma 2 2 2 7 2 6" xfId="7056" xr:uid="{00000000-0005-0000-0000-00008D1B0000}"/>
    <cellStyle name="Comma 2 2 2 7 2 7" xfId="7057" xr:uid="{00000000-0005-0000-0000-00008E1B0000}"/>
    <cellStyle name="Comma 2 2 2 7 2 8" xfId="7058" xr:uid="{00000000-0005-0000-0000-00008F1B0000}"/>
    <cellStyle name="Comma 2 2 2 7 2 9" xfId="7059" xr:uid="{00000000-0005-0000-0000-0000901B0000}"/>
    <cellStyle name="Comma 2 2 2 7 3" xfId="7060" xr:uid="{00000000-0005-0000-0000-0000911B0000}"/>
    <cellStyle name="Comma 2 2 2 7 3 2" xfId="7061" xr:uid="{00000000-0005-0000-0000-0000921B0000}"/>
    <cellStyle name="Comma 2 2 2 7 3 2 2" xfId="7062" xr:uid="{00000000-0005-0000-0000-0000931B0000}"/>
    <cellStyle name="Comma 2 2 2 7 3 2 2 2" xfId="7063" xr:uid="{00000000-0005-0000-0000-0000941B0000}"/>
    <cellStyle name="Comma 2 2 2 7 3 2 2 3" xfId="7064" xr:uid="{00000000-0005-0000-0000-0000951B0000}"/>
    <cellStyle name="Comma 2 2 2 7 3 2 3" xfId="7065" xr:uid="{00000000-0005-0000-0000-0000961B0000}"/>
    <cellStyle name="Comma 2 2 2 7 3 2 4" xfId="7066" xr:uid="{00000000-0005-0000-0000-0000971B0000}"/>
    <cellStyle name="Comma 2 2 2 7 3 2 5" xfId="7067" xr:uid="{00000000-0005-0000-0000-0000981B0000}"/>
    <cellStyle name="Comma 2 2 2 7 3 2 6" xfId="7068" xr:uid="{00000000-0005-0000-0000-0000991B0000}"/>
    <cellStyle name="Comma 2 2 2 7 3 3" xfId="7069" xr:uid="{00000000-0005-0000-0000-00009A1B0000}"/>
    <cellStyle name="Comma 2 2 2 7 3 3 2" xfId="7070" xr:uid="{00000000-0005-0000-0000-00009B1B0000}"/>
    <cellStyle name="Comma 2 2 2 7 3 3 2 2" xfId="7071" xr:uid="{00000000-0005-0000-0000-00009C1B0000}"/>
    <cellStyle name="Comma 2 2 2 7 3 3 3" xfId="7072" xr:uid="{00000000-0005-0000-0000-00009D1B0000}"/>
    <cellStyle name="Comma 2 2 2 7 3 3 4" xfId="7073" xr:uid="{00000000-0005-0000-0000-00009E1B0000}"/>
    <cellStyle name="Comma 2 2 2 7 3 3 5" xfId="7074" xr:uid="{00000000-0005-0000-0000-00009F1B0000}"/>
    <cellStyle name="Comma 2 2 2 7 3 4" xfId="7075" xr:uid="{00000000-0005-0000-0000-0000A01B0000}"/>
    <cellStyle name="Comma 2 2 2 7 3 4 2" xfId="7076" xr:uid="{00000000-0005-0000-0000-0000A11B0000}"/>
    <cellStyle name="Comma 2 2 2 7 3 4 3" xfId="7077" xr:uid="{00000000-0005-0000-0000-0000A21B0000}"/>
    <cellStyle name="Comma 2 2 2 7 3 4 4" xfId="7078" xr:uid="{00000000-0005-0000-0000-0000A31B0000}"/>
    <cellStyle name="Comma 2 2 2 7 3 5" xfId="7079" xr:uid="{00000000-0005-0000-0000-0000A41B0000}"/>
    <cellStyle name="Comma 2 2 2 7 3 5 2" xfId="7080" xr:uid="{00000000-0005-0000-0000-0000A51B0000}"/>
    <cellStyle name="Comma 2 2 2 7 3 6" xfId="7081" xr:uid="{00000000-0005-0000-0000-0000A61B0000}"/>
    <cellStyle name="Comma 2 2 2 7 3 7" xfId="7082" xr:uid="{00000000-0005-0000-0000-0000A71B0000}"/>
    <cellStyle name="Comma 2 2 2 7 3 8" xfId="7083" xr:uid="{00000000-0005-0000-0000-0000A81B0000}"/>
    <cellStyle name="Comma 2 2 2 7 3 9" xfId="7084" xr:uid="{00000000-0005-0000-0000-0000A91B0000}"/>
    <cellStyle name="Comma 2 2 2 7 4" xfId="7085" xr:uid="{00000000-0005-0000-0000-0000AA1B0000}"/>
    <cellStyle name="Comma 2 2 2 7 4 2" xfId="7086" xr:uid="{00000000-0005-0000-0000-0000AB1B0000}"/>
    <cellStyle name="Comma 2 2 2 7 4 2 2" xfId="7087" xr:uid="{00000000-0005-0000-0000-0000AC1B0000}"/>
    <cellStyle name="Comma 2 2 2 7 4 2 3" xfId="7088" xr:uid="{00000000-0005-0000-0000-0000AD1B0000}"/>
    <cellStyle name="Comma 2 2 2 7 4 3" xfId="7089" xr:uid="{00000000-0005-0000-0000-0000AE1B0000}"/>
    <cellStyle name="Comma 2 2 2 7 4 4" xfId="7090" xr:uid="{00000000-0005-0000-0000-0000AF1B0000}"/>
    <cellStyle name="Comma 2 2 2 7 4 5" xfId="7091" xr:uid="{00000000-0005-0000-0000-0000B01B0000}"/>
    <cellStyle name="Comma 2 2 2 7 4 6" xfId="7092" xr:uid="{00000000-0005-0000-0000-0000B11B0000}"/>
    <cellStyle name="Comma 2 2 2 7 5" xfId="7093" xr:uid="{00000000-0005-0000-0000-0000B21B0000}"/>
    <cellStyle name="Comma 2 2 2 7 5 2" xfId="7094" xr:uid="{00000000-0005-0000-0000-0000B31B0000}"/>
    <cellStyle name="Comma 2 2 2 7 5 2 2" xfId="7095" xr:uid="{00000000-0005-0000-0000-0000B41B0000}"/>
    <cellStyle name="Comma 2 2 2 7 5 3" xfId="7096" xr:uid="{00000000-0005-0000-0000-0000B51B0000}"/>
    <cellStyle name="Comma 2 2 2 7 5 4" xfId="7097" xr:uid="{00000000-0005-0000-0000-0000B61B0000}"/>
    <cellStyle name="Comma 2 2 2 7 5 5" xfId="7098" xr:uid="{00000000-0005-0000-0000-0000B71B0000}"/>
    <cellStyle name="Comma 2 2 2 7 6" xfId="7099" xr:uid="{00000000-0005-0000-0000-0000B81B0000}"/>
    <cellStyle name="Comma 2 2 2 7 6 2" xfId="7100" xr:uid="{00000000-0005-0000-0000-0000B91B0000}"/>
    <cellStyle name="Comma 2 2 2 7 6 3" xfId="7101" xr:uid="{00000000-0005-0000-0000-0000BA1B0000}"/>
    <cellStyle name="Comma 2 2 2 7 6 4" xfId="7102" xr:uid="{00000000-0005-0000-0000-0000BB1B0000}"/>
    <cellStyle name="Comma 2 2 2 7 7" xfId="7103" xr:uid="{00000000-0005-0000-0000-0000BC1B0000}"/>
    <cellStyle name="Comma 2 2 2 7 7 2" xfId="7104" xr:uid="{00000000-0005-0000-0000-0000BD1B0000}"/>
    <cellStyle name="Comma 2 2 2 7 8" xfId="7105" xr:uid="{00000000-0005-0000-0000-0000BE1B0000}"/>
    <cellStyle name="Comma 2 2 2 7 9" xfId="7106" xr:uid="{00000000-0005-0000-0000-0000BF1B0000}"/>
    <cellStyle name="Comma 2 2 2 8" xfId="7107" xr:uid="{00000000-0005-0000-0000-0000C01B0000}"/>
    <cellStyle name="Comma 2 2 2 8 10" xfId="7108" xr:uid="{00000000-0005-0000-0000-0000C11B0000}"/>
    <cellStyle name="Comma 2 2 2 8 2" xfId="7109" xr:uid="{00000000-0005-0000-0000-0000C21B0000}"/>
    <cellStyle name="Comma 2 2 2 8 2 2" xfId="7110" xr:uid="{00000000-0005-0000-0000-0000C31B0000}"/>
    <cellStyle name="Comma 2 2 2 8 2 2 2" xfId="7111" xr:uid="{00000000-0005-0000-0000-0000C41B0000}"/>
    <cellStyle name="Comma 2 2 2 8 2 2 3" xfId="7112" xr:uid="{00000000-0005-0000-0000-0000C51B0000}"/>
    <cellStyle name="Comma 2 2 2 8 2 3" xfId="7113" xr:uid="{00000000-0005-0000-0000-0000C61B0000}"/>
    <cellStyle name="Comma 2 2 2 8 2 4" xfId="7114" xr:uid="{00000000-0005-0000-0000-0000C71B0000}"/>
    <cellStyle name="Comma 2 2 2 8 2 5" xfId="7115" xr:uid="{00000000-0005-0000-0000-0000C81B0000}"/>
    <cellStyle name="Comma 2 2 2 8 2 6" xfId="7116" xr:uid="{00000000-0005-0000-0000-0000C91B0000}"/>
    <cellStyle name="Comma 2 2 2 8 3" xfId="7117" xr:uid="{00000000-0005-0000-0000-0000CA1B0000}"/>
    <cellStyle name="Comma 2 2 2 8 3 2" xfId="7118" xr:uid="{00000000-0005-0000-0000-0000CB1B0000}"/>
    <cellStyle name="Comma 2 2 2 8 3 2 2" xfId="7119" xr:uid="{00000000-0005-0000-0000-0000CC1B0000}"/>
    <cellStyle name="Comma 2 2 2 8 3 2 3" xfId="7120" xr:uid="{00000000-0005-0000-0000-0000CD1B0000}"/>
    <cellStyle name="Comma 2 2 2 8 3 3" xfId="7121" xr:uid="{00000000-0005-0000-0000-0000CE1B0000}"/>
    <cellStyle name="Comma 2 2 2 8 3 4" xfId="7122" xr:uid="{00000000-0005-0000-0000-0000CF1B0000}"/>
    <cellStyle name="Comma 2 2 2 8 3 5" xfId="7123" xr:uid="{00000000-0005-0000-0000-0000D01B0000}"/>
    <cellStyle name="Comma 2 2 2 8 3 6" xfId="7124" xr:uid="{00000000-0005-0000-0000-0000D11B0000}"/>
    <cellStyle name="Comma 2 2 2 8 4" xfId="7125" xr:uid="{00000000-0005-0000-0000-0000D21B0000}"/>
    <cellStyle name="Comma 2 2 2 8 4 2" xfId="7126" xr:uid="{00000000-0005-0000-0000-0000D31B0000}"/>
    <cellStyle name="Comma 2 2 2 8 4 2 2" xfId="7127" xr:uid="{00000000-0005-0000-0000-0000D41B0000}"/>
    <cellStyle name="Comma 2 2 2 8 4 3" xfId="7128" xr:uid="{00000000-0005-0000-0000-0000D51B0000}"/>
    <cellStyle name="Comma 2 2 2 8 4 4" xfId="7129" xr:uid="{00000000-0005-0000-0000-0000D61B0000}"/>
    <cellStyle name="Comma 2 2 2 8 4 5" xfId="7130" xr:uid="{00000000-0005-0000-0000-0000D71B0000}"/>
    <cellStyle name="Comma 2 2 2 8 5" xfId="7131" xr:uid="{00000000-0005-0000-0000-0000D81B0000}"/>
    <cellStyle name="Comma 2 2 2 8 5 2" xfId="7132" xr:uid="{00000000-0005-0000-0000-0000D91B0000}"/>
    <cellStyle name="Comma 2 2 2 8 5 3" xfId="7133" xr:uid="{00000000-0005-0000-0000-0000DA1B0000}"/>
    <cellStyle name="Comma 2 2 2 8 5 4" xfId="7134" xr:uid="{00000000-0005-0000-0000-0000DB1B0000}"/>
    <cellStyle name="Comma 2 2 2 8 6" xfId="7135" xr:uid="{00000000-0005-0000-0000-0000DC1B0000}"/>
    <cellStyle name="Comma 2 2 2 8 6 2" xfId="7136" xr:uid="{00000000-0005-0000-0000-0000DD1B0000}"/>
    <cellStyle name="Comma 2 2 2 8 7" xfId="7137" xr:uid="{00000000-0005-0000-0000-0000DE1B0000}"/>
    <cellStyle name="Comma 2 2 2 8 8" xfId="7138" xr:uid="{00000000-0005-0000-0000-0000DF1B0000}"/>
    <cellStyle name="Comma 2 2 2 8 9" xfId="7139" xr:uid="{00000000-0005-0000-0000-0000E01B0000}"/>
    <cellStyle name="Comma 2 2 2 9" xfId="7140" xr:uid="{00000000-0005-0000-0000-0000E11B0000}"/>
    <cellStyle name="Comma 2 2 2 9 10" xfId="7141" xr:uid="{00000000-0005-0000-0000-0000E21B0000}"/>
    <cellStyle name="Comma 2 2 2 9 2" xfId="7142" xr:uid="{00000000-0005-0000-0000-0000E31B0000}"/>
    <cellStyle name="Comma 2 2 2 9 2 2" xfId="7143" xr:uid="{00000000-0005-0000-0000-0000E41B0000}"/>
    <cellStyle name="Comma 2 2 2 9 2 2 2" xfId="7144" xr:uid="{00000000-0005-0000-0000-0000E51B0000}"/>
    <cellStyle name="Comma 2 2 2 9 2 2 3" xfId="7145" xr:uid="{00000000-0005-0000-0000-0000E61B0000}"/>
    <cellStyle name="Comma 2 2 2 9 2 3" xfId="7146" xr:uid="{00000000-0005-0000-0000-0000E71B0000}"/>
    <cellStyle name="Comma 2 2 2 9 2 4" xfId="7147" xr:uid="{00000000-0005-0000-0000-0000E81B0000}"/>
    <cellStyle name="Comma 2 2 2 9 2 5" xfId="7148" xr:uid="{00000000-0005-0000-0000-0000E91B0000}"/>
    <cellStyle name="Comma 2 2 2 9 2 6" xfId="7149" xr:uid="{00000000-0005-0000-0000-0000EA1B0000}"/>
    <cellStyle name="Comma 2 2 2 9 3" xfId="7150" xr:uid="{00000000-0005-0000-0000-0000EB1B0000}"/>
    <cellStyle name="Comma 2 2 2 9 3 2" xfId="7151" xr:uid="{00000000-0005-0000-0000-0000EC1B0000}"/>
    <cellStyle name="Comma 2 2 2 9 3 2 2" xfId="7152" xr:uid="{00000000-0005-0000-0000-0000ED1B0000}"/>
    <cellStyle name="Comma 2 2 2 9 3 2 3" xfId="7153" xr:uid="{00000000-0005-0000-0000-0000EE1B0000}"/>
    <cellStyle name="Comma 2 2 2 9 3 3" xfId="7154" xr:uid="{00000000-0005-0000-0000-0000EF1B0000}"/>
    <cellStyle name="Comma 2 2 2 9 3 4" xfId="7155" xr:uid="{00000000-0005-0000-0000-0000F01B0000}"/>
    <cellStyle name="Comma 2 2 2 9 3 5" xfId="7156" xr:uid="{00000000-0005-0000-0000-0000F11B0000}"/>
    <cellStyle name="Comma 2 2 2 9 3 6" xfId="7157" xr:uid="{00000000-0005-0000-0000-0000F21B0000}"/>
    <cellStyle name="Comma 2 2 2 9 4" xfId="7158" xr:uid="{00000000-0005-0000-0000-0000F31B0000}"/>
    <cellStyle name="Comma 2 2 2 9 4 2" xfId="7159" xr:uid="{00000000-0005-0000-0000-0000F41B0000}"/>
    <cellStyle name="Comma 2 2 2 9 4 2 2" xfId="7160" xr:uid="{00000000-0005-0000-0000-0000F51B0000}"/>
    <cellStyle name="Comma 2 2 2 9 4 3" xfId="7161" xr:uid="{00000000-0005-0000-0000-0000F61B0000}"/>
    <cellStyle name="Comma 2 2 2 9 4 4" xfId="7162" xr:uid="{00000000-0005-0000-0000-0000F71B0000}"/>
    <cellStyle name="Comma 2 2 2 9 4 5" xfId="7163" xr:uid="{00000000-0005-0000-0000-0000F81B0000}"/>
    <cellStyle name="Comma 2 2 2 9 5" xfId="7164" xr:uid="{00000000-0005-0000-0000-0000F91B0000}"/>
    <cellStyle name="Comma 2 2 2 9 5 2" xfId="7165" xr:uid="{00000000-0005-0000-0000-0000FA1B0000}"/>
    <cellStyle name="Comma 2 2 2 9 5 3" xfId="7166" xr:uid="{00000000-0005-0000-0000-0000FB1B0000}"/>
    <cellStyle name="Comma 2 2 2 9 5 4" xfId="7167" xr:uid="{00000000-0005-0000-0000-0000FC1B0000}"/>
    <cellStyle name="Comma 2 2 2 9 6" xfId="7168" xr:uid="{00000000-0005-0000-0000-0000FD1B0000}"/>
    <cellStyle name="Comma 2 2 2 9 6 2" xfId="7169" xr:uid="{00000000-0005-0000-0000-0000FE1B0000}"/>
    <cellStyle name="Comma 2 2 2 9 7" xfId="7170" xr:uid="{00000000-0005-0000-0000-0000FF1B0000}"/>
    <cellStyle name="Comma 2 2 2 9 8" xfId="7171" xr:uid="{00000000-0005-0000-0000-0000001C0000}"/>
    <cellStyle name="Comma 2 2 2 9 9" xfId="7172" xr:uid="{00000000-0005-0000-0000-0000011C0000}"/>
    <cellStyle name="Comma 2 2 20" xfId="7173" xr:uid="{00000000-0005-0000-0000-0000021C0000}"/>
    <cellStyle name="Comma 2 2 20 10" xfId="7174" xr:uid="{00000000-0005-0000-0000-0000031C0000}"/>
    <cellStyle name="Comma 2 2 20 2" xfId="7175" xr:uid="{00000000-0005-0000-0000-0000041C0000}"/>
    <cellStyle name="Comma 2 2 20 2 2" xfId="7176" xr:uid="{00000000-0005-0000-0000-0000051C0000}"/>
    <cellStyle name="Comma 2 2 20 2 2 2" xfId="7177" xr:uid="{00000000-0005-0000-0000-0000061C0000}"/>
    <cellStyle name="Comma 2 2 20 2 2 3" xfId="7178" xr:uid="{00000000-0005-0000-0000-0000071C0000}"/>
    <cellStyle name="Comma 2 2 20 2 3" xfId="7179" xr:uid="{00000000-0005-0000-0000-0000081C0000}"/>
    <cellStyle name="Comma 2 2 20 2 4" xfId="7180" xr:uid="{00000000-0005-0000-0000-0000091C0000}"/>
    <cellStyle name="Comma 2 2 20 2 5" xfId="7181" xr:uid="{00000000-0005-0000-0000-00000A1C0000}"/>
    <cellStyle name="Comma 2 2 20 2 6" xfId="7182" xr:uid="{00000000-0005-0000-0000-00000B1C0000}"/>
    <cellStyle name="Comma 2 2 20 3" xfId="7183" xr:uid="{00000000-0005-0000-0000-00000C1C0000}"/>
    <cellStyle name="Comma 2 2 20 3 2" xfId="7184" xr:uid="{00000000-0005-0000-0000-00000D1C0000}"/>
    <cellStyle name="Comma 2 2 20 3 2 2" xfId="7185" xr:uid="{00000000-0005-0000-0000-00000E1C0000}"/>
    <cellStyle name="Comma 2 2 20 3 2 3" xfId="7186" xr:uid="{00000000-0005-0000-0000-00000F1C0000}"/>
    <cellStyle name="Comma 2 2 20 3 3" xfId="7187" xr:uid="{00000000-0005-0000-0000-0000101C0000}"/>
    <cellStyle name="Comma 2 2 20 3 4" xfId="7188" xr:uid="{00000000-0005-0000-0000-0000111C0000}"/>
    <cellStyle name="Comma 2 2 20 3 5" xfId="7189" xr:uid="{00000000-0005-0000-0000-0000121C0000}"/>
    <cellStyle name="Comma 2 2 20 3 6" xfId="7190" xr:uid="{00000000-0005-0000-0000-0000131C0000}"/>
    <cellStyle name="Comma 2 2 20 4" xfId="7191" xr:uid="{00000000-0005-0000-0000-0000141C0000}"/>
    <cellStyle name="Comma 2 2 20 4 2" xfId="7192" xr:uid="{00000000-0005-0000-0000-0000151C0000}"/>
    <cellStyle name="Comma 2 2 20 4 2 2" xfId="7193" xr:uid="{00000000-0005-0000-0000-0000161C0000}"/>
    <cellStyle name="Comma 2 2 20 4 3" xfId="7194" xr:uid="{00000000-0005-0000-0000-0000171C0000}"/>
    <cellStyle name="Comma 2 2 20 4 4" xfId="7195" xr:uid="{00000000-0005-0000-0000-0000181C0000}"/>
    <cellStyle name="Comma 2 2 20 4 5" xfId="7196" xr:uid="{00000000-0005-0000-0000-0000191C0000}"/>
    <cellStyle name="Comma 2 2 20 5" xfId="7197" xr:uid="{00000000-0005-0000-0000-00001A1C0000}"/>
    <cellStyle name="Comma 2 2 20 5 2" xfId="7198" xr:uid="{00000000-0005-0000-0000-00001B1C0000}"/>
    <cellStyle name="Comma 2 2 20 5 3" xfId="7199" xr:uid="{00000000-0005-0000-0000-00001C1C0000}"/>
    <cellStyle name="Comma 2 2 20 5 4" xfId="7200" xr:uid="{00000000-0005-0000-0000-00001D1C0000}"/>
    <cellStyle name="Comma 2 2 20 6" xfId="7201" xr:uid="{00000000-0005-0000-0000-00001E1C0000}"/>
    <cellStyle name="Comma 2 2 20 6 2" xfId="7202" xr:uid="{00000000-0005-0000-0000-00001F1C0000}"/>
    <cellStyle name="Comma 2 2 20 7" xfId="7203" xr:uid="{00000000-0005-0000-0000-0000201C0000}"/>
    <cellStyle name="Comma 2 2 20 8" xfId="7204" xr:uid="{00000000-0005-0000-0000-0000211C0000}"/>
    <cellStyle name="Comma 2 2 20 9" xfId="7205" xr:uid="{00000000-0005-0000-0000-0000221C0000}"/>
    <cellStyle name="Comma 2 2 21" xfId="7206" xr:uid="{00000000-0005-0000-0000-0000231C0000}"/>
    <cellStyle name="Comma 2 2 21 10" xfId="7207" xr:uid="{00000000-0005-0000-0000-0000241C0000}"/>
    <cellStyle name="Comma 2 2 21 2" xfId="7208" xr:uid="{00000000-0005-0000-0000-0000251C0000}"/>
    <cellStyle name="Comma 2 2 21 2 2" xfId="7209" xr:uid="{00000000-0005-0000-0000-0000261C0000}"/>
    <cellStyle name="Comma 2 2 21 2 2 2" xfId="7210" xr:uid="{00000000-0005-0000-0000-0000271C0000}"/>
    <cellStyle name="Comma 2 2 21 2 2 3" xfId="7211" xr:uid="{00000000-0005-0000-0000-0000281C0000}"/>
    <cellStyle name="Comma 2 2 21 2 3" xfId="7212" xr:uid="{00000000-0005-0000-0000-0000291C0000}"/>
    <cellStyle name="Comma 2 2 21 2 4" xfId="7213" xr:uid="{00000000-0005-0000-0000-00002A1C0000}"/>
    <cellStyle name="Comma 2 2 21 2 5" xfId="7214" xr:uid="{00000000-0005-0000-0000-00002B1C0000}"/>
    <cellStyle name="Comma 2 2 21 2 6" xfId="7215" xr:uid="{00000000-0005-0000-0000-00002C1C0000}"/>
    <cellStyle name="Comma 2 2 21 3" xfId="7216" xr:uid="{00000000-0005-0000-0000-00002D1C0000}"/>
    <cellStyle name="Comma 2 2 21 3 2" xfId="7217" xr:uid="{00000000-0005-0000-0000-00002E1C0000}"/>
    <cellStyle name="Comma 2 2 21 3 2 2" xfId="7218" xr:uid="{00000000-0005-0000-0000-00002F1C0000}"/>
    <cellStyle name="Comma 2 2 21 3 2 3" xfId="7219" xr:uid="{00000000-0005-0000-0000-0000301C0000}"/>
    <cellStyle name="Comma 2 2 21 3 3" xfId="7220" xr:uid="{00000000-0005-0000-0000-0000311C0000}"/>
    <cellStyle name="Comma 2 2 21 3 4" xfId="7221" xr:uid="{00000000-0005-0000-0000-0000321C0000}"/>
    <cellStyle name="Comma 2 2 21 3 5" xfId="7222" xr:uid="{00000000-0005-0000-0000-0000331C0000}"/>
    <cellStyle name="Comma 2 2 21 3 6" xfId="7223" xr:uid="{00000000-0005-0000-0000-0000341C0000}"/>
    <cellStyle name="Comma 2 2 21 4" xfId="7224" xr:uid="{00000000-0005-0000-0000-0000351C0000}"/>
    <cellStyle name="Comma 2 2 21 4 2" xfId="7225" xr:uid="{00000000-0005-0000-0000-0000361C0000}"/>
    <cellStyle name="Comma 2 2 21 4 2 2" xfId="7226" xr:uid="{00000000-0005-0000-0000-0000371C0000}"/>
    <cellStyle name="Comma 2 2 21 4 3" xfId="7227" xr:uid="{00000000-0005-0000-0000-0000381C0000}"/>
    <cellStyle name="Comma 2 2 21 4 4" xfId="7228" xr:uid="{00000000-0005-0000-0000-0000391C0000}"/>
    <cellStyle name="Comma 2 2 21 4 5" xfId="7229" xr:uid="{00000000-0005-0000-0000-00003A1C0000}"/>
    <cellStyle name="Comma 2 2 21 5" xfId="7230" xr:uid="{00000000-0005-0000-0000-00003B1C0000}"/>
    <cellStyle name="Comma 2 2 21 5 2" xfId="7231" xr:uid="{00000000-0005-0000-0000-00003C1C0000}"/>
    <cellStyle name="Comma 2 2 21 5 3" xfId="7232" xr:uid="{00000000-0005-0000-0000-00003D1C0000}"/>
    <cellStyle name="Comma 2 2 21 5 4" xfId="7233" xr:uid="{00000000-0005-0000-0000-00003E1C0000}"/>
    <cellStyle name="Comma 2 2 21 6" xfId="7234" xr:uid="{00000000-0005-0000-0000-00003F1C0000}"/>
    <cellStyle name="Comma 2 2 21 6 2" xfId="7235" xr:uid="{00000000-0005-0000-0000-0000401C0000}"/>
    <cellStyle name="Comma 2 2 21 7" xfId="7236" xr:uid="{00000000-0005-0000-0000-0000411C0000}"/>
    <cellStyle name="Comma 2 2 21 8" xfId="7237" xr:uid="{00000000-0005-0000-0000-0000421C0000}"/>
    <cellStyle name="Comma 2 2 21 9" xfId="7238" xr:uid="{00000000-0005-0000-0000-0000431C0000}"/>
    <cellStyle name="Comma 2 2 22" xfId="7239" xr:uid="{00000000-0005-0000-0000-0000441C0000}"/>
    <cellStyle name="Comma 2 2 22 10" xfId="7240" xr:uid="{00000000-0005-0000-0000-0000451C0000}"/>
    <cellStyle name="Comma 2 2 22 2" xfId="7241" xr:uid="{00000000-0005-0000-0000-0000461C0000}"/>
    <cellStyle name="Comma 2 2 22 2 2" xfId="7242" xr:uid="{00000000-0005-0000-0000-0000471C0000}"/>
    <cellStyle name="Comma 2 2 22 2 2 2" xfId="7243" xr:uid="{00000000-0005-0000-0000-0000481C0000}"/>
    <cellStyle name="Comma 2 2 22 2 2 3" xfId="7244" xr:uid="{00000000-0005-0000-0000-0000491C0000}"/>
    <cellStyle name="Comma 2 2 22 2 3" xfId="7245" xr:uid="{00000000-0005-0000-0000-00004A1C0000}"/>
    <cellStyle name="Comma 2 2 22 2 4" xfId="7246" xr:uid="{00000000-0005-0000-0000-00004B1C0000}"/>
    <cellStyle name="Comma 2 2 22 2 5" xfId="7247" xr:uid="{00000000-0005-0000-0000-00004C1C0000}"/>
    <cellStyle name="Comma 2 2 22 2 6" xfId="7248" xr:uid="{00000000-0005-0000-0000-00004D1C0000}"/>
    <cellStyle name="Comma 2 2 22 3" xfId="7249" xr:uid="{00000000-0005-0000-0000-00004E1C0000}"/>
    <cellStyle name="Comma 2 2 22 3 2" xfId="7250" xr:uid="{00000000-0005-0000-0000-00004F1C0000}"/>
    <cellStyle name="Comma 2 2 22 3 2 2" xfId="7251" xr:uid="{00000000-0005-0000-0000-0000501C0000}"/>
    <cellStyle name="Comma 2 2 22 3 2 3" xfId="7252" xr:uid="{00000000-0005-0000-0000-0000511C0000}"/>
    <cellStyle name="Comma 2 2 22 3 3" xfId="7253" xr:uid="{00000000-0005-0000-0000-0000521C0000}"/>
    <cellStyle name="Comma 2 2 22 3 4" xfId="7254" xr:uid="{00000000-0005-0000-0000-0000531C0000}"/>
    <cellStyle name="Comma 2 2 22 3 5" xfId="7255" xr:uid="{00000000-0005-0000-0000-0000541C0000}"/>
    <cellStyle name="Comma 2 2 22 3 6" xfId="7256" xr:uid="{00000000-0005-0000-0000-0000551C0000}"/>
    <cellStyle name="Comma 2 2 22 4" xfId="7257" xr:uid="{00000000-0005-0000-0000-0000561C0000}"/>
    <cellStyle name="Comma 2 2 22 4 2" xfId="7258" xr:uid="{00000000-0005-0000-0000-0000571C0000}"/>
    <cellStyle name="Comma 2 2 22 4 2 2" xfId="7259" xr:uid="{00000000-0005-0000-0000-0000581C0000}"/>
    <cellStyle name="Comma 2 2 22 4 3" xfId="7260" xr:uid="{00000000-0005-0000-0000-0000591C0000}"/>
    <cellStyle name="Comma 2 2 22 4 4" xfId="7261" xr:uid="{00000000-0005-0000-0000-00005A1C0000}"/>
    <cellStyle name="Comma 2 2 22 4 5" xfId="7262" xr:uid="{00000000-0005-0000-0000-00005B1C0000}"/>
    <cellStyle name="Comma 2 2 22 5" xfId="7263" xr:uid="{00000000-0005-0000-0000-00005C1C0000}"/>
    <cellStyle name="Comma 2 2 22 5 2" xfId="7264" xr:uid="{00000000-0005-0000-0000-00005D1C0000}"/>
    <cellStyle name="Comma 2 2 22 5 3" xfId="7265" xr:uid="{00000000-0005-0000-0000-00005E1C0000}"/>
    <cellStyle name="Comma 2 2 22 5 4" xfId="7266" xr:uid="{00000000-0005-0000-0000-00005F1C0000}"/>
    <cellStyle name="Comma 2 2 22 6" xfId="7267" xr:uid="{00000000-0005-0000-0000-0000601C0000}"/>
    <cellStyle name="Comma 2 2 22 6 2" xfId="7268" xr:uid="{00000000-0005-0000-0000-0000611C0000}"/>
    <cellStyle name="Comma 2 2 22 7" xfId="7269" xr:uid="{00000000-0005-0000-0000-0000621C0000}"/>
    <cellStyle name="Comma 2 2 22 8" xfId="7270" xr:uid="{00000000-0005-0000-0000-0000631C0000}"/>
    <cellStyle name="Comma 2 2 22 9" xfId="7271" xr:uid="{00000000-0005-0000-0000-0000641C0000}"/>
    <cellStyle name="Comma 2 2 23" xfId="7272" xr:uid="{00000000-0005-0000-0000-0000651C0000}"/>
    <cellStyle name="Comma 2 2 23 10" xfId="7273" xr:uid="{00000000-0005-0000-0000-0000661C0000}"/>
    <cellStyle name="Comma 2 2 23 2" xfId="7274" xr:uid="{00000000-0005-0000-0000-0000671C0000}"/>
    <cellStyle name="Comma 2 2 23 2 2" xfId="7275" xr:uid="{00000000-0005-0000-0000-0000681C0000}"/>
    <cellStyle name="Comma 2 2 23 2 2 2" xfId="7276" xr:uid="{00000000-0005-0000-0000-0000691C0000}"/>
    <cellStyle name="Comma 2 2 23 2 2 3" xfId="7277" xr:uid="{00000000-0005-0000-0000-00006A1C0000}"/>
    <cellStyle name="Comma 2 2 23 2 3" xfId="7278" xr:uid="{00000000-0005-0000-0000-00006B1C0000}"/>
    <cellStyle name="Comma 2 2 23 2 4" xfId="7279" xr:uid="{00000000-0005-0000-0000-00006C1C0000}"/>
    <cellStyle name="Comma 2 2 23 2 5" xfId="7280" xr:uid="{00000000-0005-0000-0000-00006D1C0000}"/>
    <cellStyle name="Comma 2 2 23 2 6" xfId="7281" xr:uid="{00000000-0005-0000-0000-00006E1C0000}"/>
    <cellStyle name="Comma 2 2 23 3" xfId="7282" xr:uid="{00000000-0005-0000-0000-00006F1C0000}"/>
    <cellStyle name="Comma 2 2 23 3 2" xfId="7283" xr:uid="{00000000-0005-0000-0000-0000701C0000}"/>
    <cellStyle name="Comma 2 2 23 3 2 2" xfId="7284" xr:uid="{00000000-0005-0000-0000-0000711C0000}"/>
    <cellStyle name="Comma 2 2 23 3 2 3" xfId="7285" xr:uid="{00000000-0005-0000-0000-0000721C0000}"/>
    <cellStyle name="Comma 2 2 23 3 3" xfId="7286" xr:uid="{00000000-0005-0000-0000-0000731C0000}"/>
    <cellStyle name="Comma 2 2 23 3 4" xfId="7287" xr:uid="{00000000-0005-0000-0000-0000741C0000}"/>
    <cellStyle name="Comma 2 2 23 3 5" xfId="7288" xr:uid="{00000000-0005-0000-0000-0000751C0000}"/>
    <cellStyle name="Comma 2 2 23 3 6" xfId="7289" xr:uid="{00000000-0005-0000-0000-0000761C0000}"/>
    <cellStyle name="Comma 2 2 23 4" xfId="7290" xr:uid="{00000000-0005-0000-0000-0000771C0000}"/>
    <cellStyle name="Comma 2 2 23 4 2" xfId="7291" xr:uid="{00000000-0005-0000-0000-0000781C0000}"/>
    <cellStyle name="Comma 2 2 23 4 2 2" xfId="7292" xr:uid="{00000000-0005-0000-0000-0000791C0000}"/>
    <cellStyle name="Comma 2 2 23 4 3" xfId="7293" xr:uid="{00000000-0005-0000-0000-00007A1C0000}"/>
    <cellStyle name="Comma 2 2 23 4 4" xfId="7294" xr:uid="{00000000-0005-0000-0000-00007B1C0000}"/>
    <cellStyle name="Comma 2 2 23 4 5" xfId="7295" xr:uid="{00000000-0005-0000-0000-00007C1C0000}"/>
    <cellStyle name="Comma 2 2 23 5" xfId="7296" xr:uid="{00000000-0005-0000-0000-00007D1C0000}"/>
    <cellStyle name="Comma 2 2 23 5 2" xfId="7297" xr:uid="{00000000-0005-0000-0000-00007E1C0000}"/>
    <cellStyle name="Comma 2 2 23 5 3" xfId="7298" xr:uid="{00000000-0005-0000-0000-00007F1C0000}"/>
    <cellStyle name="Comma 2 2 23 5 4" xfId="7299" xr:uid="{00000000-0005-0000-0000-0000801C0000}"/>
    <cellStyle name="Comma 2 2 23 6" xfId="7300" xr:uid="{00000000-0005-0000-0000-0000811C0000}"/>
    <cellStyle name="Comma 2 2 23 6 2" xfId="7301" xr:uid="{00000000-0005-0000-0000-0000821C0000}"/>
    <cellStyle name="Comma 2 2 23 7" xfId="7302" xr:uid="{00000000-0005-0000-0000-0000831C0000}"/>
    <cellStyle name="Comma 2 2 23 8" xfId="7303" xr:uid="{00000000-0005-0000-0000-0000841C0000}"/>
    <cellStyle name="Comma 2 2 23 9" xfId="7304" xr:uid="{00000000-0005-0000-0000-0000851C0000}"/>
    <cellStyle name="Comma 2 2 24" xfId="7305" xr:uid="{00000000-0005-0000-0000-0000861C0000}"/>
    <cellStyle name="Comma 2 2 24 10" xfId="7306" xr:uid="{00000000-0005-0000-0000-0000871C0000}"/>
    <cellStyle name="Comma 2 2 24 2" xfId="7307" xr:uid="{00000000-0005-0000-0000-0000881C0000}"/>
    <cellStyle name="Comma 2 2 24 2 2" xfId="7308" xr:uid="{00000000-0005-0000-0000-0000891C0000}"/>
    <cellStyle name="Comma 2 2 24 2 2 2" xfId="7309" xr:uid="{00000000-0005-0000-0000-00008A1C0000}"/>
    <cellStyle name="Comma 2 2 24 2 2 3" xfId="7310" xr:uid="{00000000-0005-0000-0000-00008B1C0000}"/>
    <cellStyle name="Comma 2 2 24 2 3" xfId="7311" xr:uid="{00000000-0005-0000-0000-00008C1C0000}"/>
    <cellStyle name="Comma 2 2 24 2 4" xfId="7312" xr:uid="{00000000-0005-0000-0000-00008D1C0000}"/>
    <cellStyle name="Comma 2 2 24 2 5" xfId="7313" xr:uid="{00000000-0005-0000-0000-00008E1C0000}"/>
    <cellStyle name="Comma 2 2 24 2 6" xfId="7314" xr:uid="{00000000-0005-0000-0000-00008F1C0000}"/>
    <cellStyle name="Comma 2 2 24 3" xfId="7315" xr:uid="{00000000-0005-0000-0000-0000901C0000}"/>
    <cellStyle name="Comma 2 2 24 3 2" xfId="7316" xr:uid="{00000000-0005-0000-0000-0000911C0000}"/>
    <cellStyle name="Comma 2 2 24 3 2 2" xfId="7317" xr:uid="{00000000-0005-0000-0000-0000921C0000}"/>
    <cellStyle name="Comma 2 2 24 3 2 3" xfId="7318" xr:uid="{00000000-0005-0000-0000-0000931C0000}"/>
    <cellStyle name="Comma 2 2 24 3 3" xfId="7319" xr:uid="{00000000-0005-0000-0000-0000941C0000}"/>
    <cellStyle name="Comma 2 2 24 3 4" xfId="7320" xr:uid="{00000000-0005-0000-0000-0000951C0000}"/>
    <cellStyle name="Comma 2 2 24 3 5" xfId="7321" xr:uid="{00000000-0005-0000-0000-0000961C0000}"/>
    <cellStyle name="Comma 2 2 24 3 6" xfId="7322" xr:uid="{00000000-0005-0000-0000-0000971C0000}"/>
    <cellStyle name="Comma 2 2 24 4" xfId="7323" xr:uid="{00000000-0005-0000-0000-0000981C0000}"/>
    <cellStyle name="Comma 2 2 24 4 2" xfId="7324" xr:uid="{00000000-0005-0000-0000-0000991C0000}"/>
    <cellStyle name="Comma 2 2 24 4 2 2" xfId="7325" xr:uid="{00000000-0005-0000-0000-00009A1C0000}"/>
    <cellStyle name="Comma 2 2 24 4 3" xfId="7326" xr:uid="{00000000-0005-0000-0000-00009B1C0000}"/>
    <cellStyle name="Comma 2 2 24 4 4" xfId="7327" xr:uid="{00000000-0005-0000-0000-00009C1C0000}"/>
    <cellStyle name="Comma 2 2 24 4 5" xfId="7328" xr:uid="{00000000-0005-0000-0000-00009D1C0000}"/>
    <cellStyle name="Comma 2 2 24 5" xfId="7329" xr:uid="{00000000-0005-0000-0000-00009E1C0000}"/>
    <cellStyle name="Comma 2 2 24 5 2" xfId="7330" xr:uid="{00000000-0005-0000-0000-00009F1C0000}"/>
    <cellStyle name="Comma 2 2 24 5 3" xfId="7331" xr:uid="{00000000-0005-0000-0000-0000A01C0000}"/>
    <cellStyle name="Comma 2 2 24 5 4" xfId="7332" xr:uid="{00000000-0005-0000-0000-0000A11C0000}"/>
    <cellStyle name="Comma 2 2 24 6" xfId="7333" xr:uid="{00000000-0005-0000-0000-0000A21C0000}"/>
    <cellStyle name="Comma 2 2 24 6 2" xfId="7334" xr:uid="{00000000-0005-0000-0000-0000A31C0000}"/>
    <cellStyle name="Comma 2 2 24 7" xfId="7335" xr:uid="{00000000-0005-0000-0000-0000A41C0000}"/>
    <cellStyle name="Comma 2 2 24 8" xfId="7336" xr:uid="{00000000-0005-0000-0000-0000A51C0000}"/>
    <cellStyle name="Comma 2 2 24 9" xfId="7337" xr:uid="{00000000-0005-0000-0000-0000A61C0000}"/>
    <cellStyle name="Comma 2 2 25" xfId="7338" xr:uid="{00000000-0005-0000-0000-0000A71C0000}"/>
    <cellStyle name="Comma 2 2 25 10" xfId="7339" xr:uid="{00000000-0005-0000-0000-0000A81C0000}"/>
    <cellStyle name="Comma 2 2 25 2" xfId="7340" xr:uid="{00000000-0005-0000-0000-0000A91C0000}"/>
    <cellStyle name="Comma 2 2 25 2 2" xfId="7341" xr:uid="{00000000-0005-0000-0000-0000AA1C0000}"/>
    <cellStyle name="Comma 2 2 25 2 2 2" xfId="7342" xr:uid="{00000000-0005-0000-0000-0000AB1C0000}"/>
    <cellStyle name="Comma 2 2 25 2 2 3" xfId="7343" xr:uid="{00000000-0005-0000-0000-0000AC1C0000}"/>
    <cellStyle name="Comma 2 2 25 2 3" xfId="7344" xr:uid="{00000000-0005-0000-0000-0000AD1C0000}"/>
    <cellStyle name="Comma 2 2 25 2 4" xfId="7345" xr:uid="{00000000-0005-0000-0000-0000AE1C0000}"/>
    <cellStyle name="Comma 2 2 25 2 5" xfId="7346" xr:uid="{00000000-0005-0000-0000-0000AF1C0000}"/>
    <cellStyle name="Comma 2 2 25 2 6" xfId="7347" xr:uid="{00000000-0005-0000-0000-0000B01C0000}"/>
    <cellStyle name="Comma 2 2 25 3" xfId="7348" xr:uid="{00000000-0005-0000-0000-0000B11C0000}"/>
    <cellStyle name="Comma 2 2 25 3 2" xfId="7349" xr:uid="{00000000-0005-0000-0000-0000B21C0000}"/>
    <cellStyle name="Comma 2 2 25 3 2 2" xfId="7350" xr:uid="{00000000-0005-0000-0000-0000B31C0000}"/>
    <cellStyle name="Comma 2 2 25 3 2 3" xfId="7351" xr:uid="{00000000-0005-0000-0000-0000B41C0000}"/>
    <cellStyle name="Comma 2 2 25 3 3" xfId="7352" xr:uid="{00000000-0005-0000-0000-0000B51C0000}"/>
    <cellStyle name="Comma 2 2 25 3 4" xfId="7353" xr:uid="{00000000-0005-0000-0000-0000B61C0000}"/>
    <cellStyle name="Comma 2 2 25 3 5" xfId="7354" xr:uid="{00000000-0005-0000-0000-0000B71C0000}"/>
    <cellStyle name="Comma 2 2 25 3 6" xfId="7355" xr:uid="{00000000-0005-0000-0000-0000B81C0000}"/>
    <cellStyle name="Comma 2 2 25 4" xfId="7356" xr:uid="{00000000-0005-0000-0000-0000B91C0000}"/>
    <cellStyle name="Comma 2 2 25 4 2" xfId="7357" xr:uid="{00000000-0005-0000-0000-0000BA1C0000}"/>
    <cellStyle name="Comma 2 2 25 4 2 2" xfId="7358" xr:uid="{00000000-0005-0000-0000-0000BB1C0000}"/>
    <cellStyle name="Comma 2 2 25 4 3" xfId="7359" xr:uid="{00000000-0005-0000-0000-0000BC1C0000}"/>
    <cellStyle name="Comma 2 2 25 4 4" xfId="7360" xr:uid="{00000000-0005-0000-0000-0000BD1C0000}"/>
    <cellStyle name="Comma 2 2 25 4 5" xfId="7361" xr:uid="{00000000-0005-0000-0000-0000BE1C0000}"/>
    <cellStyle name="Comma 2 2 25 5" xfId="7362" xr:uid="{00000000-0005-0000-0000-0000BF1C0000}"/>
    <cellStyle name="Comma 2 2 25 5 2" xfId="7363" xr:uid="{00000000-0005-0000-0000-0000C01C0000}"/>
    <cellStyle name="Comma 2 2 25 5 3" xfId="7364" xr:uid="{00000000-0005-0000-0000-0000C11C0000}"/>
    <cellStyle name="Comma 2 2 25 5 4" xfId="7365" xr:uid="{00000000-0005-0000-0000-0000C21C0000}"/>
    <cellStyle name="Comma 2 2 25 6" xfId="7366" xr:uid="{00000000-0005-0000-0000-0000C31C0000}"/>
    <cellStyle name="Comma 2 2 25 6 2" xfId="7367" xr:uid="{00000000-0005-0000-0000-0000C41C0000}"/>
    <cellStyle name="Comma 2 2 25 7" xfId="7368" xr:uid="{00000000-0005-0000-0000-0000C51C0000}"/>
    <cellStyle name="Comma 2 2 25 8" xfId="7369" xr:uid="{00000000-0005-0000-0000-0000C61C0000}"/>
    <cellStyle name="Comma 2 2 25 9" xfId="7370" xr:uid="{00000000-0005-0000-0000-0000C71C0000}"/>
    <cellStyle name="Comma 2 2 26" xfId="7371" xr:uid="{00000000-0005-0000-0000-0000C81C0000}"/>
    <cellStyle name="Comma 2 2 26 10" xfId="7372" xr:uid="{00000000-0005-0000-0000-0000C91C0000}"/>
    <cellStyle name="Comma 2 2 26 2" xfId="7373" xr:uid="{00000000-0005-0000-0000-0000CA1C0000}"/>
    <cellStyle name="Comma 2 2 26 2 2" xfId="7374" xr:uid="{00000000-0005-0000-0000-0000CB1C0000}"/>
    <cellStyle name="Comma 2 2 26 2 2 2" xfId="7375" xr:uid="{00000000-0005-0000-0000-0000CC1C0000}"/>
    <cellStyle name="Comma 2 2 26 2 2 3" xfId="7376" xr:uid="{00000000-0005-0000-0000-0000CD1C0000}"/>
    <cellStyle name="Comma 2 2 26 2 3" xfId="7377" xr:uid="{00000000-0005-0000-0000-0000CE1C0000}"/>
    <cellStyle name="Comma 2 2 26 2 4" xfId="7378" xr:uid="{00000000-0005-0000-0000-0000CF1C0000}"/>
    <cellStyle name="Comma 2 2 26 2 5" xfId="7379" xr:uid="{00000000-0005-0000-0000-0000D01C0000}"/>
    <cellStyle name="Comma 2 2 26 2 6" xfId="7380" xr:uid="{00000000-0005-0000-0000-0000D11C0000}"/>
    <cellStyle name="Comma 2 2 26 3" xfId="7381" xr:uid="{00000000-0005-0000-0000-0000D21C0000}"/>
    <cellStyle name="Comma 2 2 26 3 2" xfId="7382" xr:uid="{00000000-0005-0000-0000-0000D31C0000}"/>
    <cellStyle name="Comma 2 2 26 3 2 2" xfId="7383" xr:uid="{00000000-0005-0000-0000-0000D41C0000}"/>
    <cellStyle name="Comma 2 2 26 3 2 3" xfId="7384" xr:uid="{00000000-0005-0000-0000-0000D51C0000}"/>
    <cellStyle name="Comma 2 2 26 3 3" xfId="7385" xr:uid="{00000000-0005-0000-0000-0000D61C0000}"/>
    <cellStyle name="Comma 2 2 26 3 4" xfId="7386" xr:uid="{00000000-0005-0000-0000-0000D71C0000}"/>
    <cellStyle name="Comma 2 2 26 3 5" xfId="7387" xr:uid="{00000000-0005-0000-0000-0000D81C0000}"/>
    <cellStyle name="Comma 2 2 26 3 6" xfId="7388" xr:uid="{00000000-0005-0000-0000-0000D91C0000}"/>
    <cellStyle name="Comma 2 2 26 4" xfId="7389" xr:uid="{00000000-0005-0000-0000-0000DA1C0000}"/>
    <cellStyle name="Comma 2 2 26 4 2" xfId="7390" xr:uid="{00000000-0005-0000-0000-0000DB1C0000}"/>
    <cellStyle name="Comma 2 2 26 4 2 2" xfId="7391" xr:uid="{00000000-0005-0000-0000-0000DC1C0000}"/>
    <cellStyle name="Comma 2 2 26 4 3" xfId="7392" xr:uid="{00000000-0005-0000-0000-0000DD1C0000}"/>
    <cellStyle name="Comma 2 2 26 4 4" xfId="7393" xr:uid="{00000000-0005-0000-0000-0000DE1C0000}"/>
    <cellStyle name="Comma 2 2 26 4 5" xfId="7394" xr:uid="{00000000-0005-0000-0000-0000DF1C0000}"/>
    <cellStyle name="Comma 2 2 26 5" xfId="7395" xr:uid="{00000000-0005-0000-0000-0000E01C0000}"/>
    <cellStyle name="Comma 2 2 26 5 2" xfId="7396" xr:uid="{00000000-0005-0000-0000-0000E11C0000}"/>
    <cellStyle name="Comma 2 2 26 5 3" xfId="7397" xr:uid="{00000000-0005-0000-0000-0000E21C0000}"/>
    <cellStyle name="Comma 2 2 26 5 4" xfId="7398" xr:uid="{00000000-0005-0000-0000-0000E31C0000}"/>
    <cellStyle name="Comma 2 2 26 6" xfId="7399" xr:uid="{00000000-0005-0000-0000-0000E41C0000}"/>
    <cellStyle name="Comma 2 2 26 6 2" xfId="7400" xr:uid="{00000000-0005-0000-0000-0000E51C0000}"/>
    <cellStyle name="Comma 2 2 26 7" xfId="7401" xr:uid="{00000000-0005-0000-0000-0000E61C0000}"/>
    <cellStyle name="Comma 2 2 26 8" xfId="7402" xr:uid="{00000000-0005-0000-0000-0000E71C0000}"/>
    <cellStyle name="Comma 2 2 26 9" xfId="7403" xr:uid="{00000000-0005-0000-0000-0000E81C0000}"/>
    <cellStyle name="Comma 2 2 27" xfId="7404" xr:uid="{00000000-0005-0000-0000-0000E91C0000}"/>
    <cellStyle name="Comma 2 2 27 10" xfId="7405" xr:uid="{00000000-0005-0000-0000-0000EA1C0000}"/>
    <cellStyle name="Comma 2 2 27 2" xfId="7406" xr:uid="{00000000-0005-0000-0000-0000EB1C0000}"/>
    <cellStyle name="Comma 2 2 27 2 2" xfId="7407" xr:uid="{00000000-0005-0000-0000-0000EC1C0000}"/>
    <cellStyle name="Comma 2 2 27 2 2 2" xfId="7408" xr:uid="{00000000-0005-0000-0000-0000ED1C0000}"/>
    <cellStyle name="Comma 2 2 27 2 2 3" xfId="7409" xr:uid="{00000000-0005-0000-0000-0000EE1C0000}"/>
    <cellStyle name="Comma 2 2 27 2 3" xfId="7410" xr:uid="{00000000-0005-0000-0000-0000EF1C0000}"/>
    <cellStyle name="Comma 2 2 27 2 4" xfId="7411" xr:uid="{00000000-0005-0000-0000-0000F01C0000}"/>
    <cellStyle name="Comma 2 2 27 2 5" xfId="7412" xr:uid="{00000000-0005-0000-0000-0000F11C0000}"/>
    <cellStyle name="Comma 2 2 27 2 6" xfId="7413" xr:uid="{00000000-0005-0000-0000-0000F21C0000}"/>
    <cellStyle name="Comma 2 2 27 3" xfId="7414" xr:uid="{00000000-0005-0000-0000-0000F31C0000}"/>
    <cellStyle name="Comma 2 2 27 3 2" xfId="7415" xr:uid="{00000000-0005-0000-0000-0000F41C0000}"/>
    <cellStyle name="Comma 2 2 27 3 2 2" xfId="7416" xr:uid="{00000000-0005-0000-0000-0000F51C0000}"/>
    <cellStyle name="Comma 2 2 27 3 2 3" xfId="7417" xr:uid="{00000000-0005-0000-0000-0000F61C0000}"/>
    <cellStyle name="Comma 2 2 27 3 3" xfId="7418" xr:uid="{00000000-0005-0000-0000-0000F71C0000}"/>
    <cellStyle name="Comma 2 2 27 3 4" xfId="7419" xr:uid="{00000000-0005-0000-0000-0000F81C0000}"/>
    <cellStyle name="Comma 2 2 27 3 5" xfId="7420" xr:uid="{00000000-0005-0000-0000-0000F91C0000}"/>
    <cellStyle name="Comma 2 2 27 3 6" xfId="7421" xr:uid="{00000000-0005-0000-0000-0000FA1C0000}"/>
    <cellStyle name="Comma 2 2 27 4" xfId="7422" xr:uid="{00000000-0005-0000-0000-0000FB1C0000}"/>
    <cellStyle name="Comma 2 2 27 4 2" xfId="7423" xr:uid="{00000000-0005-0000-0000-0000FC1C0000}"/>
    <cellStyle name="Comma 2 2 27 4 2 2" xfId="7424" xr:uid="{00000000-0005-0000-0000-0000FD1C0000}"/>
    <cellStyle name="Comma 2 2 27 4 3" xfId="7425" xr:uid="{00000000-0005-0000-0000-0000FE1C0000}"/>
    <cellStyle name="Comma 2 2 27 4 4" xfId="7426" xr:uid="{00000000-0005-0000-0000-0000FF1C0000}"/>
    <cellStyle name="Comma 2 2 27 4 5" xfId="7427" xr:uid="{00000000-0005-0000-0000-0000001D0000}"/>
    <cellStyle name="Comma 2 2 27 5" xfId="7428" xr:uid="{00000000-0005-0000-0000-0000011D0000}"/>
    <cellStyle name="Comma 2 2 27 5 2" xfId="7429" xr:uid="{00000000-0005-0000-0000-0000021D0000}"/>
    <cellStyle name="Comma 2 2 27 5 3" xfId="7430" xr:uid="{00000000-0005-0000-0000-0000031D0000}"/>
    <cellStyle name="Comma 2 2 27 5 4" xfId="7431" xr:uid="{00000000-0005-0000-0000-0000041D0000}"/>
    <cellStyle name="Comma 2 2 27 6" xfId="7432" xr:uid="{00000000-0005-0000-0000-0000051D0000}"/>
    <cellStyle name="Comma 2 2 27 6 2" xfId="7433" xr:uid="{00000000-0005-0000-0000-0000061D0000}"/>
    <cellStyle name="Comma 2 2 27 7" xfId="7434" xr:uid="{00000000-0005-0000-0000-0000071D0000}"/>
    <cellStyle name="Comma 2 2 27 8" xfId="7435" xr:uid="{00000000-0005-0000-0000-0000081D0000}"/>
    <cellStyle name="Comma 2 2 27 9" xfId="7436" xr:uid="{00000000-0005-0000-0000-0000091D0000}"/>
    <cellStyle name="Comma 2 2 28" xfId="7437" xr:uid="{00000000-0005-0000-0000-00000A1D0000}"/>
    <cellStyle name="Comma 2 2 28 10" xfId="7438" xr:uid="{00000000-0005-0000-0000-00000B1D0000}"/>
    <cellStyle name="Comma 2 2 28 2" xfId="7439" xr:uid="{00000000-0005-0000-0000-00000C1D0000}"/>
    <cellStyle name="Comma 2 2 28 2 2" xfId="7440" xr:uid="{00000000-0005-0000-0000-00000D1D0000}"/>
    <cellStyle name="Comma 2 2 28 2 2 2" xfId="7441" xr:uid="{00000000-0005-0000-0000-00000E1D0000}"/>
    <cellStyle name="Comma 2 2 28 2 2 3" xfId="7442" xr:uid="{00000000-0005-0000-0000-00000F1D0000}"/>
    <cellStyle name="Comma 2 2 28 2 3" xfId="7443" xr:uid="{00000000-0005-0000-0000-0000101D0000}"/>
    <cellStyle name="Comma 2 2 28 2 4" xfId="7444" xr:uid="{00000000-0005-0000-0000-0000111D0000}"/>
    <cellStyle name="Comma 2 2 28 2 5" xfId="7445" xr:uid="{00000000-0005-0000-0000-0000121D0000}"/>
    <cellStyle name="Comma 2 2 28 2 6" xfId="7446" xr:uid="{00000000-0005-0000-0000-0000131D0000}"/>
    <cellStyle name="Comma 2 2 28 3" xfId="7447" xr:uid="{00000000-0005-0000-0000-0000141D0000}"/>
    <cellStyle name="Comma 2 2 28 3 2" xfId="7448" xr:uid="{00000000-0005-0000-0000-0000151D0000}"/>
    <cellStyle name="Comma 2 2 28 3 2 2" xfId="7449" xr:uid="{00000000-0005-0000-0000-0000161D0000}"/>
    <cellStyle name="Comma 2 2 28 3 2 3" xfId="7450" xr:uid="{00000000-0005-0000-0000-0000171D0000}"/>
    <cellStyle name="Comma 2 2 28 3 3" xfId="7451" xr:uid="{00000000-0005-0000-0000-0000181D0000}"/>
    <cellStyle name="Comma 2 2 28 3 4" xfId="7452" xr:uid="{00000000-0005-0000-0000-0000191D0000}"/>
    <cellStyle name="Comma 2 2 28 3 5" xfId="7453" xr:uid="{00000000-0005-0000-0000-00001A1D0000}"/>
    <cellStyle name="Comma 2 2 28 3 6" xfId="7454" xr:uid="{00000000-0005-0000-0000-00001B1D0000}"/>
    <cellStyle name="Comma 2 2 28 4" xfId="7455" xr:uid="{00000000-0005-0000-0000-00001C1D0000}"/>
    <cellStyle name="Comma 2 2 28 4 2" xfId="7456" xr:uid="{00000000-0005-0000-0000-00001D1D0000}"/>
    <cellStyle name="Comma 2 2 28 4 2 2" xfId="7457" xr:uid="{00000000-0005-0000-0000-00001E1D0000}"/>
    <cellStyle name="Comma 2 2 28 4 3" xfId="7458" xr:uid="{00000000-0005-0000-0000-00001F1D0000}"/>
    <cellStyle name="Comma 2 2 28 4 4" xfId="7459" xr:uid="{00000000-0005-0000-0000-0000201D0000}"/>
    <cellStyle name="Comma 2 2 28 4 5" xfId="7460" xr:uid="{00000000-0005-0000-0000-0000211D0000}"/>
    <cellStyle name="Comma 2 2 28 5" xfId="7461" xr:uid="{00000000-0005-0000-0000-0000221D0000}"/>
    <cellStyle name="Comma 2 2 28 5 2" xfId="7462" xr:uid="{00000000-0005-0000-0000-0000231D0000}"/>
    <cellStyle name="Comma 2 2 28 5 3" xfId="7463" xr:uid="{00000000-0005-0000-0000-0000241D0000}"/>
    <cellStyle name="Comma 2 2 28 5 4" xfId="7464" xr:uid="{00000000-0005-0000-0000-0000251D0000}"/>
    <cellStyle name="Comma 2 2 28 6" xfId="7465" xr:uid="{00000000-0005-0000-0000-0000261D0000}"/>
    <cellStyle name="Comma 2 2 28 6 2" xfId="7466" xr:uid="{00000000-0005-0000-0000-0000271D0000}"/>
    <cellStyle name="Comma 2 2 28 7" xfId="7467" xr:uid="{00000000-0005-0000-0000-0000281D0000}"/>
    <cellStyle name="Comma 2 2 28 8" xfId="7468" xr:uid="{00000000-0005-0000-0000-0000291D0000}"/>
    <cellStyle name="Comma 2 2 28 9" xfId="7469" xr:uid="{00000000-0005-0000-0000-00002A1D0000}"/>
    <cellStyle name="Comma 2 2 29" xfId="7470" xr:uid="{00000000-0005-0000-0000-00002B1D0000}"/>
    <cellStyle name="Comma 2 2 29 2" xfId="7471" xr:uid="{00000000-0005-0000-0000-00002C1D0000}"/>
    <cellStyle name="Comma 2 2 29 2 2" xfId="7472" xr:uid="{00000000-0005-0000-0000-00002D1D0000}"/>
    <cellStyle name="Comma 2 2 29 2 2 2" xfId="7473" xr:uid="{00000000-0005-0000-0000-00002E1D0000}"/>
    <cellStyle name="Comma 2 2 29 2 2 3" xfId="7474" xr:uid="{00000000-0005-0000-0000-00002F1D0000}"/>
    <cellStyle name="Comma 2 2 29 2 3" xfId="7475" xr:uid="{00000000-0005-0000-0000-0000301D0000}"/>
    <cellStyle name="Comma 2 2 29 2 4" xfId="7476" xr:uid="{00000000-0005-0000-0000-0000311D0000}"/>
    <cellStyle name="Comma 2 2 29 2 5" xfId="7477" xr:uid="{00000000-0005-0000-0000-0000321D0000}"/>
    <cellStyle name="Comma 2 2 29 2 6" xfId="7478" xr:uid="{00000000-0005-0000-0000-0000331D0000}"/>
    <cellStyle name="Comma 2 2 29 3" xfId="7479" xr:uid="{00000000-0005-0000-0000-0000341D0000}"/>
    <cellStyle name="Comma 2 2 29 3 2" xfId="7480" xr:uid="{00000000-0005-0000-0000-0000351D0000}"/>
    <cellStyle name="Comma 2 2 29 3 2 2" xfId="7481" xr:uid="{00000000-0005-0000-0000-0000361D0000}"/>
    <cellStyle name="Comma 2 2 29 3 3" xfId="7482" xr:uid="{00000000-0005-0000-0000-0000371D0000}"/>
    <cellStyle name="Comma 2 2 29 3 4" xfId="7483" xr:uid="{00000000-0005-0000-0000-0000381D0000}"/>
    <cellStyle name="Comma 2 2 29 3 5" xfId="7484" xr:uid="{00000000-0005-0000-0000-0000391D0000}"/>
    <cellStyle name="Comma 2 2 29 4" xfId="7485" xr:uid="{00000000-0005-0000-0000-00003A1D0000}"/>
    <cellStyle name="Comma 2 2 29 4 2" xfId="7486" xr:uid="{00000000-0005-0000-0000-00003B1D0000}"/>
    <cellStyle name="Comma 2 2 29 4 3" xfId="7487" xr:uid="{00000000-0005-0000-0000-00003C1D0000}"/>
    <cellStyle name="Comma 2 2 29 4 4" xfId="7488" xr:uid="{00000000-0005-0000-0000-00003D1D0000}"/>
    <cellStyle name="Comma 2 2 29 5" xfId="7489" xr:uid="{00000000-0005-0000-0000-00003E1D0000}"/>
    <cellStyle name="Comma 2 2 29 5 2" xfId="7490" xr:uid="{00000000-0005-0000-0000-00003F1D0000}"/>
    <cellStyle name="Comma 2 2 29 6" xfId="7491" xr:uid="{00000000-0005-0000-0000-0000401D0000}"/>
    <cellStyle name="Comma 2 2 29 7" xfId="7492" xr:uid="{00000000-0005-0000-0000-0000411D0000}"/>
    <cellStyle name="Comma 2 2 29 8" xfId="7493" xr:uid="{00000000-0005-0000-0000-0000421D0000}"/>
    <cellStyle name="Comma 2 2 29 9" xfId="7494" xr:uid="{00000000-0005-0000-0000-0000431D0000}"/>
    <cellStyle name="Comma 2 2 3" xfId="7495" xr:uid="{00000000-0005-0000-0000-0000441D0000}"/>
    <cellStyle name="Comma 2 2 3 10" xfId="7496" xr:uid="{00000000-0005-0000-0000-0000451D0000}"/>
    <cellStyle name="Comma 2 2 3 10 10" xfId="7497" xr:uid="{00000000-0005-0000-0000-0000461D0000}"/>
    <cellStyle name="Comma 2 2 3 10 2" xfId="7498" xr:uid="{00000000-0005-0000-0000-0000471D0000}"/>
    <cellStyle name="Comma 2 2 3 10 2 2" xfId="7499" xr:uid="{00000000-0005-0000-0000-0000481D0000}"/>
    <cellStyle name="Comma 2 2 3 10 2 2 2" xfId="7500" xr:uid="{00000000-0005-0000-0000-0000491D0000}"/>
    <cellStyle name="Comma 2 2 3 10 2 2 3" xfId="7501" xr:uid="{00000000-0005-0000-0000-00004A1D0000}"/>
    <cellStyle name="Comma 2 2 3 10 2 3" xfId="7502" xr:uid="{00000000-0005-0000-0000-00004B1D0000}"/>
    <cellStyle name="Comma 2 2 3 10 2 4" xfId="7503" xr:uid="{00000000-0005-0000-0000-00004C1D0000}"/>
    <cellStyle name="Comma 2 2 3 10 2 5" xfId="7504" xr:uid="{00000000-0005-0000-0000-00004D1D0000}"/>
    <cellStyle name="Comma 2 2 3 10 2 6" xfId="7505" xr:uid="{00000000-0005-0000-0000-00004E1D0000}"/>
    <cellStyle name="Comma 2 2 3 10 3" xfId="7506" xr:uid="{00000000-0005-0000-0000-00004F1D0000}"/>
    <cellStyle name="Comma 2 2 3 10 3 2" xfId="7507" xr:uid="{00000000-0005-0000-0000-0000501D0000}"/>
    <cellStyle name="Comma 2 2 3 10 3 2 2" xfId="7508" xr:uid="{00000000-0005-0000-0000-0000511D0000}"/>
    <cellStyle name="Comma 2 2 3 10 3 2 3" xfId="7509" xr:uid="{00000000-0005-0000-0000-0000521D0000}"/>
    <cellStyle name="Comma 2 2 3 10 3 3" xfId="7510" xr:uid="{00000000-0005-0000-0000-0000531D0000}"/>
    <cellStyle name="Comma 2 2 3 10 3 4" xfId="7511" xr:uid="{00000000-0005-0000-0000-0000541D0000}"/>
    <cellStyle name="Comma 2 2 3 10 3 5" xfId="7512" xr:uid="{00000000-0005-0000-0000-0000551D0000}"/>
    <cellStyle name="Comma 2 2 3 10 3 6" xfId="7513" xr:uid="{00000000-0005-0000-0000-0000561D0000}"/>
    <cellStyle name="Comma 2 2 3 10 4" xfId="7514" xr:uid="{00000000-0005-0000-0000-0000571D0000}"/>
    <cellStyle name="Comma 2 2 3 10 4 2" xfId="7515" xr:uid="{00000000-0005-0000-0000-0000581D0000}"/>
    <cellStyle name="Comma 2 2 3 10 4 2 2" xfId="7516" xr:uid="{00000000-0005-0000-0000-0000591D0000}"/>
    <cellStyle name="Comma 2 2 3 10 4 3" xfId="7517" xr:uid="{00000000-0005-0000-0000-00005A1D0000}"/>
    <cellStyle name="Comma 2 2 3 10 4 4" xfId="7518" xr:uid="{00000000-0005-0000-0000-00005B1D0000}"/>
    <cellStyle name="Comma 2 2 3 10 4 5" xfId="7519" xr:uid="{00000000-0005-0000-0000-00005C1D0000}"/>
    <cellStyle name="Comma 2 2 3 10 5" xfId="7520" xr:uid="{00000000-0005-0000-0000-00005D1D0000}"/>
    <cellStyle name="Comma 2 2 3 10 5 2" xfId="7521" xr:uid="{00000000-0005-0000-0000-00005E1D0000}"/>
    <cellStyle name="Comma 2 2 3 10 5 3" xfId="7522" xr:uid="{00000000-0005-0000-0000-00005F1D0000}"/>
    <cellStyle name="Comma 2 2 3 10 5 4" xfId="7523" xr:uid="{00000000-0005-0000-0000-0000601D0000}"/>
    <cellStyle name="Comma 2 2 3 10 6" xfId="7524" xr:uid="{00000000-0005-0000-0000-0000611D0000}"/>
    <cellStyle name="Comma 2 2 3 10 6 2" xfId="7525" xr:uid="{00000000-0005-0000-0000-0000621D0000}"/>
    <cellStyle name="Comma 2 2 3 10 7" xfId="7526" xr:uid="{00000000-0005-0000-0000-0000631D0000}"/>
    <cellStyle name="Comma 2 2 3 10 8" xfId="7527" xr:uid="{00000000-0005-0000-0000-0000641D0000}"/>
    <cellStyle name="Comma 2 2 3 10 9" xfId="7528" xr:uid="{00000000-0005-0000-0000-0000651D0000}"/>
    <cellStyle name="Comma 2 2 3 11" xfId="7529" xr:uid="{00000000-0005-0000-0000-0000661D0000}"/>
    <cellStyle name="Comma 2 2 3 11 10" xfId="7530" xr:uid="{00000000-0005-0000-0000-0000671D0000}"/>
    <cellStyle name="Comma 2 2 3 11 2" xfId="7531" xr:uid="{00000000-0005-0000-0000-0000681D0000}"/>
    <cellStyle name="Comma 2 2 3 11 2 2" xfId="7532" xr:uid="{00000000-0005-0000-0000-0000691D0000}"/>
    <cellStyle name="Comma 2 2 3 11 2 2 2" xfId="7533" xr:uid="{00000000-0005-0000-0000-00006A1D0000}"/>
    <cellStyle name="Comma 2 2 3 11 2 2 3" xfId="7534" xr:uid="{00000000-0005-0000-0000-00006B1D0000}"/>
    <cellStyle name="Comma 2 2 3 11 2 3" xfId="7535" xr:uid="{00000000-0005-0000-0000-00006C1D0000}"/>
    <cellStyle name="Comma 2 2 3 11 2 4" xfId="7536" xr:uid="{00000000-0005-0000-0000-00006D1D0000}"/>
    <cellStyle name="Comma 2 2 3 11 2 5" xfId="7537" xr:uid="{00000000-0005-0000-0000-00006E1D0000}"/>
    <cellStyle name="Comma 2 2 3 11 2 6" xfId="7538" xr:uid="{00000000-0005-0000-0000-00006F1D0000}"/>
    <cellStyle name="Comma 2 2 3 11 3" xfId="7539" xr:uid="{00000000-0005-0000-0000-0000701D0000}"/>
    <cellStyle name="Comma 2 2 3 11 3 2" xfId="7540" xr:uid="{00000000-0005-0000-0000-0000711D0000}"/>
    <cellStyle name="Comma 2 2 3 11 3 2 2" xfId="7541" xr:uid="{00000000-0005-0000-0000-0000721D0000}"/>
    <cellStyle name="Comma 2 2 3 11 3 2 3" xfId="7542" xr:uid="{00000000-0005-0000-0000-0000731D0000}"/>
    <cellStyle name="Comma 2 2 3 11 3 3" xfId="7543" xr:uid="{00000000-0005-0000-0000-0000741D0000}"/>
    <cellStyle name="Comma 2 2 3 11 3 4" xfId="7544" xr:uid="{00000000-0005-0000-0000-0000751D0000}"/>
    <cellStyle name="Comma 2 2 3 11 3 5" xfId="7545" xr:uid="{00000000-0005-0000-0000-0000761D0000}"/>
    <cellStyle name="Comma 2 2 3 11 3 6" xfId="7546" xr:uid="{00000000-0005-0000-0000-0000771D0000}"/>
    <cellStyle name="Comma 2 2 3 11 4" xfId="7547" xr:uid="{00000000-0005-0000-0000-0000781D0000}"/>
    <cellStyle name="Comma 2 2 3 11 4 2" xfId="7548" xr:uid="{00000000-0005-0000-0000-0000791D0000}"/>
    <cellStyle name="Comma 2 2 3 11 4 2 2" xfId="7549" xr:uid="{00000000-0005-0000-0000-00007A1D0000}"/>
    <cellStyle name="Comma 2 2 3 11 4 3" xfId="7550" xr:uid="{00000000-0005-0000-0000-00007B1D0000}"/>
    <cellStyle name="Comma 2 2 3 11 4 4" xfId="7551" xr:uid="{00000000-0005-0000-0000-00007C1D0000}"/>
    <cellStyle name="Comma 2 2 3 11 4 5" xfId="7552" xr:uid="{00000000-0005-0000-0000-00007D1D0000}"/>
    <cellStyle name="Comma 2 2 3 11 5" xfId="7553" xr:uid="{00000000-0005-0000-0000-00007E1D0000}"/>
    <cellStyle name="Comma 2 2 3 11 5 2" xfId="7554" xr:uid="{00000000-0005-0000-0000-00007F1D0000}"/>
    <cellStyle name="Comma 2 2 3 11 5 3" xfId="7555" xr:uid="{00000000-0005-0000-0000-0000801D0000}"/>
    <cellStyle name="Comma 2 2 3 11 5 4" xfId="7556" xr:uid="{00000000-0005-0000-0000-0000811D0000}"/>
    <cellStyle name="Comma 2 2 3 11 6" xfId="7557" xr:uid="{00000000-0005-0000-0000-0000821D0000}"/>
    <cellStyle name="Comma 2 2 3 11 6 2" xfId="7558" xr:uid="{00000000-0005-0000-0000-0000831D0000}"/>
    <cellStyle name="Comma 2 2 3 11 7" xfId="7559" xr:uid="{00000000-0005-0000-0000-0000841D0000}"/>
    <cellStyle name="Comma 2 2 3 11 8" xfId="7560" xr:uid="{00000000-0005-0000-0000-0000851D0000}"/>
    <cellStyle name="Comma 2 2 3 11 9" xfId="7561" xr:uid="{00000000-0005-0000-0000-0000861D0000}"/>
    <cellStyle name="Comma 2 2 3 12" xfId="7562" xr:uid="{00000000-0005-0000-0000-0000871D0000}"/>
    <cellStyle name="Comma 2 2 3 12 10" xfId="7563" xr:uid="{00000000-0005-0000-0000-0000881D0000}"/>
    <cellStyle name="Comma 2 2 3 12 2" xfId="7564" xr:uid="{00000000-0005-0000-0000-0000891D0000}"/>
    <cellStyle name="Comma 2 2 3 12 2 2" xfId="7565" xr:uid="{00000000-0005-0000-0000-00008A1D0000}"/>
    <cellStyle name="Comma 2 2 3 12 2 2 2" xfId="7566" xr:uid="{00000000-0005-0000-0000-00008B1D0000}"/>
    <cellStyle name="Comma 2 2 3 12 2 2 3" xfId="7567" xr:uid="{00000000-0005-0000-0000-00008C1D0000}"/>
    <cellStyle name="Comma 2 2 3 12 2 3" xfId="7568" xr:uid="{00000000-0005-0000-0000-00008D1D0000}"/>
    <cellStyle name="Comma 2 2 3 12 2 4" xfId="7569" xr:uid="{00000000-0005-0000-0000-00008E1D0000}"/>
    <cellStyle name="Comma 2 2 3 12 2 5" xfId="7570" xr:uid="{00000000-0005-0000-0000-00008F1D0000}"/>
    <cellStyle name="Comma 2 2 3 12 2 6" xfId="7571" xr:uid="{00000000-0005-0000-0000-0000901D0000}"/>
    <cellStyle name="Comma 2 2 3 12 3" xfId="7572" xr:uid="{00000000-0005-0000-0000-0000911D0000}"/>
    <cellStyle name="Comma 2 2 3 12 3 2" xfId="7573" xr:uid="{00000000-0005-0000-0000-0000921D0000}"/>
    <cellStyle name="Comma 2 2 3 12 3 2 2" xfId="7574" xr:uid="{00000000-0005-0000-0000-0000931D0000}"/>
    <cellStyle name="Comma 2 2 3 12 3 2 3" xfId="7575" xr:uid="{00000000-0005-0000-0000-0000941D0000}"/>
    <cellStyle name="Comma 2 2 3 12 3 3" xfId="7576" xr:uid="{00000000-0005-0000-0000-0000951D0000}"/>
    <cellStyle name="Comma 2 2 3 12 3 4" xfId="7577" xr:uid="{00000000-0005-0000-0000-0000961D0000}"/>
    <cellStyle name="Comma 2 2 3 12 3 5" xfId="7578" xr:uid="{00000000-0005-0000-0000-0000971D0000}"/>
    <cellStyle name="Comma 2 2 3 12 3 6" xfId="7579" xr:uid="{00000000-0005-0000-0000-0000981D0000}"/>
    <cellStyle name="Comma 2 2 3 12 4" xfId="7580" xr:uid="{00000000-0005-0000-0000-0000991D0000}"/>
    <cellStyle name="Comma 2 2 3 12 4 2" xfId="7581" xr:uid="{00000000-0005-0000-0000-00009A1D0000}"/>
    <cellStyle name="Comma 2 2 3 12 4 2 2" xfId="7582" xr:uid="{00000000-0005-0000-0000-00009B1D0000}"/>
    <cellStyle name="Comma 2 2 3 12 4 3" xfId="7583" xr:uid="{00000000-0005-0000-0000-00009C1D0000}"/>
    <cellStyle name="Comma 2 2 3 12 4 4" xfId="7584" xr:uid="{00000000-0005-0000-0000-00009D1D0000}"/>
    <cellStyle name="Comma 2 2 3 12 4 5" xfId="7585" xr:uid="{00000000-0005-0000-0000-00009E1D0000}"/>
    <cellStyle name="Comma 2 2 3 12 5" xfId="7586" xr:uid="{00000000-0005-0000-0000-00009F1D0000}"/>
    <cellStyle name="Comma 2 2 3 12 5 2" xfId="7587" xr:uid="{00000000-0005-0000-0000-0000A01D0000}"/>
    <cellStyle name="Comma 2 2 3 12 5 3" xfId="7588" xr:uid="{00000000-0005-0000-0000-0000A11D0000}"/>
    <cellStyle name="Comma 2 2 3 12 5 4" xfId="7589" xr:uid="{00000000-0005-0000-0000-0000A21D0000}"/>
    <cellStyle name="Comma 2 2 3 12 6" xfId="7590" xr:uid="{00000000-0005-0000-0000-0000A31D0000}"/>
    <cellStyle name="Comma 2 2 3 12 6 2" xfId="7591" xr:uid="{00000000-0005-0000-0000-0000A41D0000}"/>
    <cellStyle name="Comma 2 2 3 12 7" xfId="7592" xr:uid="{00000000-0005-0000-0000-0000A51D0000}"/>
    <cellStyle name="Comma 2 2 3 12 8" xfId="7593" xr:uid="{00000000-0005-0000-0000-0000A61D0000}"/>
    <cellStyle name="Comma 2 2 3 12 9" xfId="7594" xr:uid="{00000000-0005-0000-0000-0000A71D0000}"/>
    <cellStyle name="Comma 2 2 3 13" xfId="7595" xr:uid="{00000000-0005-0000-0000-0000A81D0000}"/>
    <cellStyle name="Comma 2 2 3 13 2" xfId="7596" xr:uid="{00000000-0005-0000-0000-0000A91D0000}"/>
    <cellStyle name="Comma 2 2 3 13 2 2" xfId="7597" xr:uid="{00000000-0005-0000-0000-0000AA1D0000}"/>
    <cellStyle name="Comma 2 2 3 13 2 2 2" xfId="7598" xr:uid="{00000000-0005-0000-0000-0000AB1D0000}"/>
    <cellStyle name="Comma 2 2 3 13 2 2 3" xfId="7599" xr:uid="{00000000-0005-0000-0000-0000AC1D0000}"/>
    <cellStyle name="Comma 2 2 3 13 2 3" xfId="7600" xr:uid="{00000000-0005-0000-0000-0000AD1D0000}"/>
    <cellStyle name="Comma 2 2 3 13 2 4" xfId="7601" xr:uid="{00000000-0005-0000-0000-0000AE1D0000}"/>
    <cellStyle name="Comma 2 2 3 13 2 5" xfId="7602" xr:uid="{00000000-0005-0000-0000-0000AF1D0000}"/>
    <cellStyle name="Comma 2 2 3 13 2 6" xfId="7603" xr:uid="{00000000-0005-0000-0000-0000B01D0000}"/>
    <cellStyle name="Comma 2 2 3 13 3" xfId="7604" xr:uid="{00000000-0005-0000-0000-0000B11D0000}"/>
    <cellStyle name="Comma 2 2 3 13 3 2" xfId="7605" xr:uid="{00000000-0005-0000-0000-0000B21D0000}"/>
    <cellStyle name="Comma 2 2 3 13 3 2 2" xfId="7606" xr:uid="{00000000-0005-0000-0000-0000B31D0000}"/>
    <cellStyle name="Comma 2 2 3 13 3 3" xfId="7607" xr:uid="{00000000-0005-0000-0000-0000B41D0000}"/>
    <cellStyle name="Comma 2 2 3 13 3 4" xfId="7608" xr:uid="{00000000-0005-0000-0000-0000B51D0000}"/>
    <cellStyle name="Comma 2 2 3 13 3 5" xfId="7609" xr:uid="{00000000-0005-0000-0000-0000B61D0000}"/>
    <cellStyle name="Comma 2 2 3 13 4" xfId="7610" xr:uid="{00000000-0005-0000-0000-0000B71D0000}"/>
    <cellStyle name="Comma 2 2 3 13 4 2" xfId="7611" xr:uid="{00000000-0005-0000-0000-0000B81D0000}"/>
    <cellStyle name="Comma 2 2 3 13 4 3" xfId="7612" xr:uid="{00000000-0005-0000-0000-0000B91D0000}"/>
    <cellStyle name="Comma 2 2 3 13 4 4" xfId="7613" xr:uid="{00000000-0005-0000-0000-0000BA1D0000}"/>
    <cellStyle name="Comma 2 2 3 13 5" xfId="7614" xr:uid="{00000000-0005-0000-0000-0000BB1D0000}"/>
    <cellStyle name="Comma 2 2 3 13 5 2" xfId="7615" xr:uid="{00000000-0005-0000-0000-0000BC1D0000}"/>
    <cellStyle name="Comma 2 2 3 13 6" xfId="7616" xr:uid="{00000000-0005-0000-0000-0000BD1D0000}"/>
    <cellStyle name="Comma 2 2 3 13 7" xfId="7617" xr:uid="{00000000-0005-0000-0000-0000BE1D0000}"/>
    <cellStyle name="Comma 2 2 3 13 8" xfId="7618" xr:uid="{00000000-0005-0000-0000-0000BF1D0000}"/>
    <cellStyle name="Comma 2 2 3 13 9" xfId="7619" xr:uid="{00000000-0005-0000-0000-0000C01D0000}"/>
    <cellStyle name="Comma 2 2 3 14" xfId="7620" xr:uid="{00000000-0005-0000-0000-0000C11D0000}"/>
    <cellStyle name="Comma 2 2 3 14 2" xfId="7621" xr:uid="{00000000-0005-0000-0000-0000C21D0000}"/>
    <cellStyle name="Comma 2 2 3 14 2 2" xfId="7622" xr:uid="{00000000-0005-0000-0000-0000C31D0000}"/>
    <cellStyle name="Comma 2 2 3 14 2 2 2" xfId="7623" xr:uid="{00000000-0005-0000-0000-0000C41D0000}"/>
    <cellStyle name="Comma 2 2 3 14 2 2 3" xfId="7624" xr:uid="{00000000-0005-0000-0000-0000C51D0000}"/>
    <cellStyle name="Comma 2 2 3 14 2 3" xfId="7625" xr:uid="{00000000-0005-0000-0000-0000C61D0000}"/>
    <cellStyle name="Comma 2 2 3 14 2 4" xfId="7626" xr:uid="{00000000-0005-0000-0000-0000C71D0000}"/>
    <cellStyle name="Comma 2 2 3 14 2 5" xfId="7627" xr:uid="{00000000-0005-0000-0000-0000C81D0000}"/>
    <cellStyle name="Comma 2 2 3 14 2 6" xfId="7628" xr:uid="{00000000-0005-0000-0000-0000C91D0000}"/>
    <cellStyle name="Comma 2 2 3 14 3" xfId="7629" xr:uid="{00000000-0005-0000-0000-0000CA1D0000}"/>
    <cellStyle name="Comma 2 2 3 14 3 2" xfId="7630" xr:uid="{00000000-0005-0000-0000-0000CB1D0000}"/>
    <cellStyle name="Comma 2 2 3 14 3 2 2" xfId="7631" xr:uid="{00000000-0005-0000-0000-0000CC1D0000}"/>
    <cellStyle name="Comma 2 2 3 14 3 3" xfId="7632" xr:uid="{00000000-0005-0000-0000-0000CD1D0000}"/>
    <cellStyle name="Comma 2 2 3 14 3 4" xfId="7633" xr:uid="{00000000-0005-0000-0000-0000CE1D0000}"/>
    <cellStyle name="Comma 2 2 3 14 3 5" xfId="7634" xr:uid="{00000000-0005-0000-0000-0000CF1D0000}"/>
    <cellStyle name="Comma 2 2 3 14 4" xfId="7635" xr:uid="{00000000-0005-0000-0000-0000D01D0000}"/>
    <cellStyle name="Comma 2 2 3 14 4 2" xfId="7636" xr:uid="{00000000-0005-0000-0000-0000D11D0000}"/>
    <cellStyle name="Comma 2 2 3 14 4 3" xfId="7637" xr:uid="{00000000-0005-0000-0000-0000D21D0000}"/>
    <cellStyle name="Comma 2 2 3 14 4 4" xfId="7638" xr:uid="{00000000-0005-0000-0000-0000D31D0000}"/>
    <cellStyle name="Comma 2 2 3 14 5" xfId="7639" xr:uid="{00000000-0005-0000-0000-0000D41D0000}"/>
    <cellStyle name="Comma 2 2 3 14 5 2" xfId="7640" xr:uid="{00000000-0005-0000-0000-0000D51D0000}"/>
    <cellStyle name="Comma 2 2 3 14 6" xfId="7641" xr:uid="{00000000-0005-0000-0000-0000D61D0000}"/>
    <cellStyle name="Comma 2 2 3 14 7" xfId="7642" xr:uid="{00000000-0005-0000-0000-0000D71D0000}"/>
    <cellStyle name="Comma 2 2 3 14 8" xfId="7643" xr:uid="{00000000-0005-0000-0000-0000D81D0000}"/>
    <cellStyle name="Comma 2 2 3 14 9" xfId="7644" xr:uid="{00000000-0005-0000-0000-0000D91D0000}"/>
    <cellStyle name="Comma 2 2 3 15" xfId="7645" xr:uid="{00000000-0005-0000-0000-0000DA1D0000}"/>
    <cellStyle name="Comma 2 2 3 15 2" xfId="7646" xr:uid="{00000000-0005-0000-0000-0000DB1D0000}"/>
    <cellStyle name="Comma 2 2 3 15 2 2" xfId="7647" xr:uid="{00000000-0005-0000-0000-0000DC1D0000}"/>
    <cellStyle name="Comma 2 2 3 15 2 3" xfId="7648" xr:uid="{00000000-0005-0000-0000-0000DD1D0000}"/>
    <cellStyle name="Comma 2 2 3 15 3" xfId="7649" xr:uid="{00000000-0005-0000-0000-0000DE1D0000}"/>
    <cellStyle name="Comma 2 2 3 15 4" xfId="7650" xr:uid="{00000000-0005-0000-0000-0000DF1D0000}"/>
    <cellStyle name="Comma 2 2 3 15 5" xfId="7651" xr:uid="{00000000-0005-0000-0000-0000E01D0000}"/>
    <cellStyle name="Comma 2 2 3 15 6" xfId="7652" xr:uid="{00000000-0005-0000-0000-0000E11D0000}"/>
    <cellStyle name="Comma 2 2 3 16" xfId="7653" xr:uid="{00000000-0005-0000-0000-0000E21D0000}"/>
    <cellStyle name="Comma 2 2 3 16 2" xfId="7654" xr:uid="{00000000-0005-0000-0000-0000E31D0000}"/>
    <cellStyle name="Comma 2 2 3 16 2 2" xfId="7655" xr:uid="{00000000-0005-0000-0000-0000E41D0000}"/>
    <cellStyle name="Comma 2 2 3 16 3" xfId="7656" xr:uid="{00000000-0005-0000-0000-0000E51D0000}"/>
    <cellStyle name="Comma 2 2 3 16 4" xfId="7657" xr:uid="{00000000-0005-0000-0000-0000E61D0000}"/>
    <cellStyle name="Comma 2 2 3 16 5" xfId="7658" xr:uid="{00000000-0005-0000-0000-0000E71D0000}"/>
    <cellStyle name="Comma 2 2 3 17" xfId="7659" xr:uid="{00000000-0005-0000-0000-0000E81D0000}"/>
    <cellStyle name="Comma 2 2 3 17 2" xfId="7660" xr:uid="{00000000-0005-0000-0000-0000E91D0000}"/>
    <cellStyle name="Comma 2 2 3 17 2 2" xfId="7661" xr:uid="{00000000-0005-0000-0000-0000EA1D0000}"/>
    <cellStyle name="Comma 2 2 3 17 3" xfId="7662" xr:uid="{00000000-0005-0000-0000-0000EB1D0000}"/>
    <cellStyle name="Comma 2 2 3 17 4" xfId="7663" xr:uid="{00000000-0005-0000-0000-0000EC1D0000}"/>
    <cellStyle name="Comma 2 2 3 17 5" xfId="7664" xr:uid="{00000000-0005-0000-0000-0000ED1D0000}"/>
    <cellStyle name="Comma 2 2 3 18" xfId="7665" xr:uid="{00000000-0005-0000-0000-0000EE1D0000}"/>
    <cellStyle name="Comma 2 2 3 18 2" xfId="7666" xr:uid="{00000000-0005-0000-0000-0000EF1D0000}"/>
    <cellStyle name="Comma 2 2 3 19" xfId="7667" xr:uid="{00000000-0005-0000-0000-0000F01D0000}"/>
    <cellStyle name="Comma 2 2 3 2" xfId="7668" xr:uid="{00000000-0005-0000-0000-0000F11D0000}"/>
    <cellStyle name="Comma 2 2 3 2 10" xfId="7669" xr:uid="{00000000-0005-0000-0000-0000F21D0000}"/>
    <cellStyle name="Comma 2 2 3 2 11" xfId="7670" xr:uid="{00000000-0005-0000-0000-0000F31D0000}"/>
    <cellStyle name="Comma 2 2 3 2 2" xfId="7671" xr:uid="{00000000-0005-0000-0000-0000F41D0000}"/>
    <cellStyle name="Comma 2 2 3 2 2 2" xfId="7672" xr:uid="{00000000-0005-0000-0000-0000F51D0000}"/>
    <cellStyle name="Comma 2 2 3 2 2 2 2" xfId="7673" xr:uid="{00000000-0005-0000-0000-0000F61D0000}"/>
    <cellStyle name="Comma 2 2 3 2 2 2 2 2" xfId="7674" xr:uid="{00000000-0005-0000-0000-0000F71D0000}"/>
    <cellStyle name="Comma 2 2 3 2 2 2 2 3" xfId="7675" xr:uid="{00000000-0005-0000-0000-0000F81D0000}"/>
    <cellStyle name="Comma 2 2 3 2 2 2 3" xfId="7676" xr:uid="{00000000-0005-0000-0000-0000F91D0000}"/>
    <cellStyle name="Comma 2 2 3 2 2 2 4" xfId="7677" xr:uid="{00000000-0005-0000-0000-0000FA1D0000}"/>
    <cellStyle name="Comma 2 2 3 2 2 2 5" xfId="7678" xr:uid="{00000000-0005-0000-0000-0000FB1D0000}"/>
    <cellStyle name="Comma 2 2 3 2 2 2 6" xfId="7679" xr:uid="{00000000-0005-0000-0000-0000FC1D0000}"/>
    <cellStyle name="Comma 2 2 3 2 2 3" xfId="7680" xr:uid="{00000000-0005-0000-0000-0000FD1D0000}"/>
    <cellStyle name="Comma 2 2 3 2 2 3 2" xfId="7681" xr:uid="{00000000-0005-0000-0000-0000FE1D0000}"/>
    <cellStyle name="Comma 2 2 3 2 2 3 2 2" xfId="7682" xr:uid="{00000000-0005-0000-0000-0000FF1D0000}"/>
    <cellStyle name="Comma 2 2 3 2 2 3 3" xfId="7683" xr:uid="{00000000-0005-0000-0000-0000001E0000}"/>
    <cellStyle name="Comma 2 2 3 2 2 3 4" xfId="7684" xr:uid="{00000000-0005-0000-0000-0000011E0000}"/>
    <cellStyle name="Comma 2 2 3 2 2 3 5" xfId="7685" xr:uid="{00000000-0005-0000-0000-0000021E0000}"/>
    <cellStyle name="Comma 2 2 3 2 2 4" xfId="7686" xr:uid="{00000000-0005-0000-0000-0000031E0000}"/>
    <cellStyle name="Comma 2 2 3 2 2 4 2" xfId="7687" xr:uid="{00000000-0005-0000-0000-0000041E0000}"/>
    <cellStyle name="Comma 2 2 3 2 2 4 3" xfId="7688" xr:uid="{00000000-0005-0000-0000-0000051E0000}"/>
    <cellStyle name="Comma 2 2 3 2 2 4 4" xfId="7689" xr:uid="{00000000-0005-0000-0000-0000061E0000}"/>
    <cellStyle name="Comma 2 2 3 2 2 5" xfId="7690" xr:uid="{00000000-0005-0000-0000-0000071E0000}"/>
    <cellStyle name="Comma 2 2 3 2 2 5 2" xfId="7691" xr:uid="{00000000-0005-0000-0000-0000081E0000}"/>
    <cellStyle name="Comma 2 2 3 2 2 6" xfId="7692" xr:uid="{00000000-0005-0000-0000-0000091E0000}"/>
    <cellStyle name="Comma 2 2 3 2 2 7" xfId="7693" xr:uid="{00000000-0005-0000-0000-00000A1E0000}"/>
    <cellStyle name="Comma 2 2 3 2 2 8" xfId="7694" xr:uid="{00000000-0005-0000-0000-00000B1E0000}"/>
    <cellStyle name="Comma 2 2 3 2 2 9" xfId="7695" xr:uid="{00000000-0005-0000-0000-00000C1E0000}"/>
    <cellStyle name="Comma 2 2 3 2 3" xfId="7696" xr:uid="{00000000-0005-0000-0000-00000D1E0000}"/>
    <cellStyle name="Comma 2 2 3 2 3 2" xfId="7697" xr:uid="{00000000-0005-0000-0000-00000E1E0000}"/>
    <cellStyle name="Comma 2 2 3 2 3 2 2" xfId="7698" xr:uid="{00000000-0005-0000-0000-00000F1E0000}"/>
    <cellStyle name="Comma 2 2 3 2 3 2 2 2" xfId="7699" xr:uid="{00000000-0005-0000-0000-0000101E0000}"/>
    <cellStyle name="Comma 2 2 3 2 3 2 2 3" xfId="7700" xr:uid="{00000000-0005-0000-0000-0000111E0000}"/>
    <cellStyle name="Comma 2 2 3 2 3 2 3" xfId="7701" xr:uid="{00000000-0005-0000-0000-0000121E0000}"/>
    <cellStyle name="Comma 2 2 3 2 3 2 4" xfId="7702" xr:uid="{00000000-0005-0000-0000-0000131E0000}"/>
    <cellStyle name="Comma 2 2 3 2 3 2 5" xfId="7703" xr:uid="{00000000-0005-0000-0000-0000141E0000}"/>
    <cellStyle name="Comma 2 2 3 2 3 2 6" xfId="7704" xr:uid="{00000000-0005-0000-0000-0000151E0000}"/>
    <cellStyle name="Comma 2 2 3 2 3 3" xfId="7705" xr:uid="{00000000-0005-0000-0000-0000161E0000}"/>
    <cellStyle name="Comma 2 2 3 2 3 3 2" xfId="7706" xr:uid="{00000000-0005-0000-0000-0000171E0000}"/>
    <cellStyle name="Comma 2 2 3 2 3 3 2 2" xfId="7707" xr:uid="{00000000-0005-0000-0000-0000181E0000}"/>
    <cellStyle name="Comma 2 2 3 2 3 3 3" xfId="7708" xr:uid="{00000000-0005-0000-0000-0000191E0000}"/>
    <cellStyle name="Comma 2 2 3 2 3 3 4" xfId="7709" xr:uid="{00000000-0005-0000-0000-00001A1E0000}"/>
    <cellStyle name="Comma 2 2 3 2 3 3 5" xfId="7710" xr:uid="{00000000-0005-0000-0000-00001B1E0000}"/>
    <cellStyle name="Comma 2 2 3 2 3 4" xfId="7711" xr:uid="{00000000-0005-0000-0000-00001C1E0000}"/>
    <cellStyle name="Comma 2 2 3 2 3 4 2" xfId="7712" xr:uid="{00000000-0005-0000-0000-00001D1E0000}"/>
    <cellStyle name="Comma 2 2 3 2 3 4 3" xfId="7713" xr:uid="{00000000-0005-0000-0000-00001E1E0000}"/>
    <cellStyle name="Comma 2 2 3 2 3 4 4" xfId="7714" xr:uid="{00000000-0005-0000-0000-00001F1E0000}"/>
    <cellStyle name="Comma 2 2 3 2 3 5" xfId="7715" xr:uid="{00000000-0005-0000-0000-0000201E0000}"/>
    <cellStyle name="Comma 2 2 3 2 3 5 2" xfId="7716" xr:uid="{00000000-0005-0000-0000-0000211E0000}"/>
    <cellStyle name="Comma 2 2 3 2 3 6" xfId="7717" xr:uid="{00000000-0005-0000-0000-0000221E0000}"/>
    <cellStyle name="Comma 2 2 3 2 3 7" xfId="7718" xr:uid="{00000000-0005-0000-0000-0000231E0000}"/>
    <cellStyle name="Comma 2 2 3 2 3 8" xfId="7719" xr:uid="{00000000-0005-0000-0000-0000241E0000}"/>
    <cellStyle name="Comma 2 2 3 2 3 9" xfId="7720" xr:uid="{00000000-0005-0000-0000-0000251E0000}"/>
    <cellStyle name="Comma 2 2 3 2 4" xfId="7721" xr:uid="{00000000-0005-0000-0000-0000261E0000}"/>
    <cellStyle name="Comma 2 2 3 2 4 2" xfId="7722" xr:uid="{00000000-0005-0000-0000-0000271E0000}"/>
    <cellStyle name="Comma 2 2 3 2 4 2 2" xfId="7723" xr:uid="{00000000-0005-0000-0000-0000281E0000}"/>
    <cellStyle name="Comma 2 2 3 2 4 2 3" xfId="7724" xr:uid="{00000000-0005-0000-0000-0000291E0000}"/>
    <cellStyle name="Comma 2 2 3 2 4 3" xfId="7725" xr:uid="{00000000-0005-0000-0000-00002A1E0000}"/>
    <cellStyle name="Comma 2 2 3 2 4 4" xfId="7726" xr:uid="{00000000-0005-0000-0000-00002B1E0000}"/>
    <cellStyle name="Comma 2 2 3 2 4 5" xfId="7727" xr:uid="{00000000-0005-0000-0000-00002C1E0000}"/>
    <cellStyle name="Comma 2 2 3 2 4 6" xfId="7728" xr:uid="{00000000-0005-0000-0000-00002D1E0000}"/>
    <cellStyle name="Comma 2 2 3 2 5" xfId="7729" xr:uid="{00000000-0005-0000-0000-00002E1E0000}"/>
    <cellStyle name="Comma 2 2 3 2 5 2" xfId="7730" xr:uid="{00000000-0005-0000-0000-00002F1E0000}"/>
    <cellStyle name="Comma 2 2 3 2 5 2 2" xfId="7731" xr:uid="{00000000-0005-0000-0000-0000301E0000}"/>
    <cellStyle name="Comma 2 2 3 2 5 3" xfId="7732" xr:uid="{00000000-0005-0000-0000-0000311E0000}"/>
    <cellStyle name="Comma 2 2 3 2 5 4" xfId="7733" xr:uid="{00000000-0005-0000-0000-0000321E0000}"/>
    <cellStyle name="Comma 2 2 3 2 5 5" xfId="7734" xr:uid="{00000000-0005-0000-0000-0000331E0000}"/>
    <cellStyle name="Comma 2 2 3 2 6" xfId="7735" xr:uid="{00000000-0005-0000-0000-0000341E0000}"/>
    <cellStyle name="Comma 2 2 3 2 6 2" xfId="7736" xr:uid="{00000000-0005-0000-0000-0000351E0000}"/>
    <cellStyle name="Comma 2 2 3 2 6 3" xfId="7737" xr:uid="{00000000-0005-0000-0000-0000361E0000}"/>
    <cellStyle name="Comma 2 2 3 2 6 4" xfId="7738" xr:uid="{00000000-0005-0000-0000-0000371E0000}"/>
    <cellStyle name="Comma 2 2 3 2 7" xfId="7739" xr:uid="{00000000-0005-0000-0000-0000381E0000}"/>
    <cellStyle name="Comma 2 2 3 2 7 2" xfId="7740" xr:uid="{00000000-0005-0000-0000-0000391E0000}"/>
    <cellStyle name="Comma 2 2 3 2 8" xfId="7741" xr:uid="{00000000-0005-0000-0000-00003A1E0000}"/>
    <cellStyle name="Comma 2 2 3 2 9" xfId="7742" xr:uid="{00000000-0005-0000-0000-00003B1E0000}"/>
    <cellStyle name="Comma 2 2 3 20" xfId="7743" xr:uid="{00000000-0005-0000-0000-00003C1E0000}"/>
    <cellStyle name="Comma 2 2 3 21" xfId="7744" xr:uid="{00000000-0005-0000-0000-00003D1E0000}"/>
    <cellStyle name="Comma 2 2 3 22" xfId="7745" xr:uid="{00000000-0005-0000-0000-00003E1E0000}"/>
    <cellStyle name="Comma 2 2 3 3" xfId="7746" xr:uid="{00000000-0005-0000-0000-00003F1E0000}"/>
    <cellStyle name="Comma 2 2 3 3 10" xfId="7747" xr:uid="{00000000-0005-0000-0000-0000401E0000}"/>
    <cellStyle name="Comma 2 2 3 3 11" xfId="7748" xr:uid="{00000000-0005-0000-0000-0000411E0000}"/>
    <cellStyle name="Comma 2 2 3 3 2" xfId="7749" xr:uid="{00000000-0005-0000-0000-0000421E0000}"/>
    <cellStyle name="Comma 2 2 3 3 2 2" xfId="7750" xr:uid="{00000000-0005-0000-0000-0000431E0000}"/>
    <cellStyle name="Comma 2 2 3 3 2 2 2" xfId="7751" xr:uid="{00000000-0005-0000-0000-0000441E0000}"/>
    <cellStyle name="Comma 2 2 3 3 2 2 2 2" xfId="7752" xr:uid="{00000000-0005-0000-0000-0000451E0000}"/>
    <cellStyle name="Comma 2 2 3 3 2 2 2 3" xfId="7753" xr:uid="{00000000-0005-0000-0000-0000461E0000}"/>
    <cellStyle name="Comma 2 2 3 3 2 2 3" xfId="7754" xr:uid="{00000000-0005-0000-0000-0000471E0000}"/>
    <cellStyle name="Comma 2 2 3 3 2 2 4" xfId="7755" xr:uid="{00000000-0005-0000-0000-0000481E0000}"/>
    <cellStyle name="Comma 2 2 3 3 2 2 5" xfId="7756" xr:uid="{00000000-0005-0000-0000-0000491E0000}"/>
    <cellStyle name="Comma 2 2 3 3 2 2 6" xfId="7757" xr:uid="{00000000-0005-0000-0000-00004A1E0000}"/>
    <cellStyle name="Comma 2 2 3 3 2 3" xfId="7758" xr:uid="{00000000-0005-0000-0000-00004B1E0000}"/>
    <cellStyle name="Comma 2 2 3 3 2 3 2" xfId="7759" xr:uid="{00000000-0005-0000-0000-00004C1E0000}"/>
    <cellStyle name="Comma 2 2 3 3 2 3 2 2" xfId="7760" xr:uid="{00000000-0005-0000-0000-00004D1E0000}"/>
    <cellStyle name="Comma 2 2 3 3 2 3 3" xfId="7761" xr:uid="{00000000-0005-0000-0000-00004E1E0000}"/>
    <cellStyle name="Comma 2 2 3 3 2 3 4" xfId="7762" xr:uid="{00000000-0005-0000-0000-00004F1E0000}"/>
    <cellStyle name="Comma 2 2 3 3 2 3 5" xfId="7763" xr:uid="{00000000-0005-0000-0000-0000501E0000}"/>
    <cellStyle name="Comma 2 2 3 3 2 4" xfId="7764" xr:uid="{00000000-0005-0000-0000-0000511E0000}"/>
    <cellStyle name="Comma 2 2 3 3 2 4 2" xfId="7765" xr:uid="{00000000-0005-0000-0000-0000521E0000}"/>
    <cellStyle name="Comma 2 2 3 3 2 4 3" xfId="7766" xr:uid="{00000000-0005-0000-0000-0000531E0000}"/>
    <cellStyle name="Comma 2 2 3 3 2 4 4" xfId="7767" xr:uid="{00000000-0005-0000-0000-0000541E0000}"/>
    <cellStyle name="Comma 2 2 3 3 2 5" xfId="7768" xr:uid="{00000000-0005-0000-0000-0000551E0000}"/>
    <cellStyle name="Comma 2 2 3 3 2 5 2" xfId="7769" xr:uid="{00000000-0005-0000-0000-0000561E0000}"/>
    <cellStyle name="Comma 2 2 3 3 2 6" xfId="7770" xr:uid="{00000000-0005-0000-0000-0000571E0000}"/>
    <cellStyle name="Comma 2 2 3 3 2 7" xfId="7771" xr:uid="{00000000-0005-0000-0000-0000581E0000}"/>
    <cellStyle name="Comma 2 2 3 3 2 8" xfId="7772" xr:uid="{00000000-0005-0000-0000-0000591E0000}"/>
    <cellStyle name="Comma 2 2 3 3 2 9" xfId="7773" xr:uid="{00000000-0005-0000-0000-00005A1E0000}"/>
    <cellStyle name="Comma 2 2 3 3 3" xfId="7774" xr:uid="{00000000-0005-0000-0000-00005B1E0000}"/>
    <cellStyle name="Comma 2 2 3 3 3 2" xfId="7775" xr:uid="{00000000-0005-0000-0000-00005C1E0000}"/>
    <cellStyle name="Comma 2 2 3 3 3 2 2" xfId="7776" xr:uid="{00000000-0005-0000-0000-00005D1E0000}"/>
    <cellStyle name="Comma 2 2 3 3 3 2 2 2" xfId="7777" xr:uid="{00000000-0005-0000-0000-00005E1E0000}"/>
    <cellStyle name="Comma 2 2 3 3 3 2 2 3" xfId="7778" xr:uid="{00000000-0005-0000-0000-00005F1E0000}"/>
    <cellStyle name="Comma 2 2 3 3 3 2 3" xfId="7779" xr:uid="{00000000-0005-0000-0000-0000601E0000}"/>
    <cellStyle name="Comma 2 2 3 3 3 2 4" xfId="7780" xr:uid="{00000000-0005-0000-0000-0000611E0000}"/>
    <cellStyle name="Comma 2 2 3 3 3 2 5" xfId="7781" xr:uid="{00000000-0005-0000-0000-0000621E0000}"/>
    <cellStyle name="Comma 2 2 3 3 3 2 6" xfId="7782" xr:uid="{00000000-0005-0000-0000-0000631E0000}"/>
    <cellStyle name="Comma 2 2 3 3 3 3" xfId="7783" xr:uid="{00000000-0005-0000-0000-0000641E0000}"/>
    <cellStyle name="Comma 2 2 3 3 3 3 2" xfId="7784" xr:uid="{00000000-0005-0000-0000-0000651E0000}"/>
    <cellStyle name="Comma 2 2 3 3 3 3 2 2" xfId="7785" xr:uid="{00000000-0005-0000-0000-0000661E0000}"/>
    <cellStyle name="Comma 2 2 3 3 3 3 3" xfId="7786" xr:uid="{00000000-0005-0000-0000-0000671E0000}"/>
    <cellStyle name="Comma 2 2 3 3 3 3 4" xfId="7787" xr:uid="{00000000-0005-0000-0000-0000681E0000}"/>
    <cellStyle name="Comma 2 2 3 3 3 3 5" xfId="7788" xr:uid="{00000000-0005-0000-0000-0000691E0000}"/>
    <cellStyle name="Comma 2 2 3 3 3 4" xfId="7789" xr:uid="{00000000-0005-0000-0000-00006A1E0000}"/>
    <cellStyle name="Comma 2 2 3 3 3 4 2" xfId="7790" xr:uid="{00000000-0005-0000-0000-00006B1E0000}"/>
    <cellStyle name="Comma 2 2 3 3 3 4 3" xfId="7791" xr:uid="{00000000-0005-0000-0000-00006C1E0000}"/>
    <cellStyle name="Comma 2 2 3 3 3 4 4" xfId="7792" xr:uid="{00000000-0005-0000-0000-00006D1E0000}"/>
    <cellStyle name="Comma 2 2 3 3 3 5" xfId="7793" xr:uid="{00000000-0005-0000-0000-00006E1E0000}"/>
    <cellStyle name="Comma 2 2 3 3 3 5 2" xfId="7794" xr:uid="{00000000-0005-0000-0000-00006F1E0000}"/>
    <cellStyle name="Comma 2 2 3 3 3 6" xfId="7795" xr:uid="{00000000-0005-0000-0000-0000701E0000}"/>
    <cellStyle name="Comma 2 2 3 3 3 7" xfId="7796" xr:uid="{00000000-0005-0000-0000-0000711E0000}"/>
    <cellStyle name="Comma 2 2 3 3 3 8" xfId="7797" xr:uid="{00000000-0005-0000-0000-0000721E0000}"/>
    <cellStyle name="Comma 2 2 3 3 3 9" xfId="7798" xr:uid="{00000000-0005-0000-0000-0000731E0000}"/>
    <cellStyle name="Comma 2 2 3 3 4" xfId="7799" xr:uid="{00000000-0005-0000-0000-0000741E0000}"/>
    <cellStyle name="Comma 2 2 3 3 4 2" xfId="7800" xr:uid="{00000000-0005-0000-0000-0000751E0000}"/>
    <cellStyle name="Comma 2 2 3 3 4 2 2" xfId="7801" xr:uid="{00000000-0005-0000-0000-0000761E0000}"/>
    <cellStyle name="Comma 2 2 3 3 4 2 3" xfId="7802" xr:uid="{00000000-0005-0000-0000-0000771E0000}"/>
    <cellStyle name="Comma 2 2 3 3 4 3" xfId="7803" xr:uid="{00000000-0005-0000-0000-0000781E0000}"/>
    <cellStyle name="Comma 2 2 3 3 4 4" xfId="7804" xr:uid="{00000000-0005-0000-0000-0000791E0000}"/>
    <cellStyle name="Comma 2 2 3 3 4 5" xfId="7805" xr:uid="{00000000-0005-0000-0000-00007A1E0000}"/>
    <cellStyle name="Comma 2 2 3 3 4 6" xfId="7806" xr:uid="{00000000-0005-0000-0000-00007B1E0000}"/>
    <cellStyle name="Comma 2 2 3 3 5" xfId="7807" xr:uid="{00000000-0005-0000-0000-00007C1E0000}"/>
    <cellStyle name="Comma 2 2 3 3 5 2" xfId="7808" xr:uid="{00000000-0005-0000-0000-00007D1E0000}"/>
    <cellStyle name="Comma 2 2 3 3 5 2 2" xfId="7809" xr:uid="{00000000-0005-0000-0000-00007E1E0000}"/>
    <cellStyle name="Comma 2 2 3 3 5 3" xfId="7810" xr:uid="{00000000-0005-0000-0000-00007F1E0000}"/>
    <cellStyle name="Comma 2 2 3 3 5 4" xfId="7811" xr:uid="{00000000-0005-0000-0000-0000801E0000}"/>
    <cellStyle name="Comma 2 2 3 3 5 5" xfId="7812" xr:uid="{00000000-0005-0000-0000-0000811E0000}"/>
    <cellStyle name="Comma 2 2 3 3 6" xfId="7813" xr:uid="{00000000-0005-0000-0000-0000821E0000}"/>
    <cellStyle name="Comma 2 2 3 3 6 2" xfId="7814" xr:uid="{00000000-0005-0000-0000-0000831E0000}"/>
    <cellStyle name="Comma 2 2 3 3 6 3" xfId="7815" xr:uid="{00000000-0005-0000-0000-0000841E0000}"/>
    <cellStyle name="Comma 2 2 3 3 6 4" xfId="7816" xr:uid="{00000000-0005-0000-0000-0000851E0000}"/>
    <cellStyle name="Comma 2 2 3 3 7" xfId="7817" xr:uid="{00000000-0005-0000-0000-0000861E0000}"/>
    <cellStyle name="Comma 2 2 3 3 7 2" xfId="7818" xr:uid="{00000000-0005-0000-0000-0000871E0000}"/>
    <cellStyle name="Comma 2 2 3 3 8" xfId="7819" xr:uid="{00000000-0005-0000-0000-0000881E0000}"/>
    <cellStyle name="Comma 2 2 3 3 9" xfId="7820" xr:uid="{00000000-0005-0000-0000-0000891E0000}"/>
    <cellStyle name="Comma 2 2 3 4" xfId="7821" xr:uid="{00000000-0005-0000-0000-00008A1E0000}"/>
    <cellStyle name="Comma 2 2 3 4 10" xfId="7822" xr:uid="{00000000-0005-0000-0000-00008B1E0000}"/>
    <cellStyle name="Comma 2 2 3 4 11" xfId="7823" xr:uid="{00000000-0005-0000-0000-00008C1E0000}"/>
    <cellStyle name="Comma 2 2 3 4 2" xfId="7824" xr:uid="{00000000-0005-0000-0000-00008D1E0000}"/>
    <cellStyle name="Comma 2 2 3 4 2 2" xfId="7825" xr:uid="{00000000-0005-0000-0000-00008E1E0000}"/>
    <cellStyle name="Comma 2 2 3 4 2 2 2" xfId="7826" xr:uid="{00000000-0005-0000-0000-00008F1E0000}"/>
    <cellStyle name="Comma 2 2 3 4 2 2 2 2" xfId="7827" xr:uid="{00000000-0005-0000-0000-0000901E0000}"/>
    <cellStyle name="Comma 2 2 3 4 2 2 2 3" xfId="7828" xr:uid="{00000000-0005-0000-0000-0000911E0000}"/>
    <cellStyle name="Comma 2 2 3 4 2 2 3" xfId="7829" xr:uid="{00000000-0005-0000-0000-0000921E0000}"/>
    <cellStyle name="Comma 2 2 3 4 2 2 4" xfId="7830" xr:uid="{00000000-0005-0000-0000-0000931E0000}"/>
    <cellStyle name="Comma 2 2 3 4 2 2 5" xfId="7831" xr:uid="{00000000-0005-0000-0000-0000941E0000}"/>
    <cellStyle name="Comma 2 2 3 4 2 2 6" xfId="7832" xr:uid="{00000000-0005-0000-0000-0000951E0000}"/>
    <cellStyle name="Comma 2 2 3 4 2 3" xfId="7833" xr:uid="{00000000-0005-0000-0000-0000961E0000}"/>
    <cellStyle name="Comma 2 2 3 4 2 3 2" xfId="7834" xr:uid="{00000000-0005-0000-0000-0000971E0000}"/>
    <cellStyle name="Comma 2 2 3 4 2 3 2 2" xfId="7835" xr:uid="{00000000-0005-0000-0000-0000981E0000}"/>
    <cellStyle name="Comma 2 2 3 4 2 3 3" xfId="7836" xr:uid="{00000000-0005-0000-0000-0000991E0000}"/>
    <cellStyle name="Comma 2 2 3 4 2 3 4" xfId="7837" xr:uid="{00000000-0005-0000-0000-00009A1E0000}"/>
    <cellStyle name="Comma 2 2 3 4 2 3 5" xfId="7838" xr:uid="{00000000-0005-0000-0000-00009B1E0000}"/>
    <cellStyle name="Comma 2 2 3 4 2 4" xfId="7839" xr:uid="{00000000-0005-0000-0000-00009C1E0000}"/>
    <cellStyle name="Comma 2 2 3 4 2 4 2" xfId="7840" xr:uid="{00000000-0005-0000-0000-00009D1E0000}"/>
    <cellStyle name="Comma 2 2 3 4 2 4 3" xfId="7841" xr:uid="{00000000-0005-0000-0000-00009E1E0000}"/>
    <cellStyle name="Comma 2 2 3 4 2 4 4" xfId="7842" xr:uid="{00000000-0005-0000-0000-00009F1E0000}"/>
    <cellStyle name="Comma 2 2 3 4 2 5" xfId="7843" xr:uid="{00000000-0005-0000-0000-0000A01E0000}"/>
    <cellStyle name="Comma 2 2 3 4 2 5 2" xfId="7844" xr:uid="{00000000-0005-0000-0000-0000A11E0000}"/>
    <cellStyle name="Comma 2 2 3 4 2 6" xfId="7845" xr:uid="{00000000-0005-0000-0000-0000A21E0000}"/>
    <cellStyle name="Comma 2 2 3 4 2 7" xfId="7846" xr:uid="{00000000-0005-0000-0000-0000A31E0000}"/>
    <cellStyle name="Comma 2 2 3 4 2 8" xfId="7847" xr:uid="{00000000-0005-0000-0000-0000A41E0000}"/>
    <cellStyle name="Comma 2 2 3 4 2 9" xfId="7848" xr:uid="{00000000-0005-0000-0000-0000A51E0000}"/>
    <cellStyle name="Comma 2 2 3 4 3" xfId="7849" xr:uid="{00000000-0005-0000-0000-0000A61E0000}"/>
    <cellStyle name="Comma 2 2 3 4 3 2" xfId="7850" xr:uid="{00000000-0005-0000-0000-0000A71E0000}"/>
    <cellStyle name="Comma 2 2 3 4 3 2 2" xfId="7851" xr:uid="{00000000-0005-0000-0000-0000A81E0000}"/>
    <cellStyle name="Comma 2 2 3 4 3 2 2 2" xfId="7852" xr:uid="{00000000-0005-0000-0000-0000A91E0000}"/>
    <cellStyle name="Comma 2 2 3 4 3 2 2 3" xfId="7853" xr:uid="{00000000-0005-0000-0000-0000AA1E0000}"/>
    <cellStyle name="Comma 2 2 3 4 3 2 3" xfId="7854" xr:uid="{00000000-0005-0000-0000-0000AB1E0000}"/>
    <cellStyle name="Comma 2 2 3 4 3 2 4" xfId="7855" xr:uid="{00000000-0005-0000-0000-0000AC1E0000}"/>
    <cellStyle name="Comma 2 2 3 4 3 2 5" xfId="7856" xr:uid="{00000000-0005-0000-0000-0000AD1E0000}"/>
    <cellStyle name="Comma 2 2 3 4 3 2 6" xfId="7857" xr:uid="{00000000-0005-0000-0000-0000AE1E0000}"/>
    <cellStyle name="Comma 2 2 3 4 3 3" xfId="7858" xr:uid="{00000000-0005-0000-0000-0000AF1E0000}"/>
    <cellStyle name="Comma 2 2 3 4 3 3 2" xfId="7859" xr:uid="{00000000-0005-0000-0000-0000B01E0000}"/>
    <cellStyle name="Comma 2 2 3 4 3 3 2 2" xfId="7860" xr:uid="{00000000-0005-0000-0000-0000B11E0000}"/>
    <cellStyle name="Comma 2 2 3 4 3 3 3" xfId="7861" xr:uid="{00000000-0005-0000-0000-0000B21E0000}"/>
    <cellStyle name="Comma 2 2 3 4 3 3 4" xfId="7862" xr:uid="{00000000-0005-0000-0000-0000B31E0000}"/>
    <cellStyle name="Comma 2 2 3 4 3 3 5" xfId="7863" xr:uid="{00000000-0005-0000-0000-0000B41E0000}"/>
    <cellStyle name="Comma 2 2 3 4 3 4" xfId="7864" xr:uid="{00000000-0005-0000-0000-0000B51E0000}"/>
    <cellStyle name="Comma 2 2 3 4 3 4 2" xfId="7865" xr:uid="{00000000-0005-0000-0000-0000B61E0000}"/>
    <cellStyle name="Comma 2 2 3 4 3 4 3" xfId="7866" xr:uid="{00000000-0005-0000-0000-0000B71E0000}"/>
    <cellStyle name="Comma 2 2 3 4 3 4 4" xfId="7867" xr:uid="{00000000-0005-0000-0000-0000B81E0000}"/>
    <cellStyle name="Comma 2 2 3 4 3 5" xfId="7868" xr:uid="{00000000-0005-0000-0000-0000B91E0000}"/>
    <cellStyle name="Comma 2 2 3 4 3 5 2" xfId="7869" xr:uid="{00000000-0005-0000-0000-0000BA1E0000}"/>
    <cellStyle name="Comma 2 2 3 4 3 6" xfId="7870" xr:uid="{00000000-0005-0000-0000-0000BB1E0000}"/>
    <cellStyle name="Comma 2 2 3 4 3 7" xfId="7871" xr:uid="{00000000-0005-0000-0000-0000BC1E0000}"/>
    <cellStyle name="Comma 2 2 3 4 3 8" xfId="7872" xr:uid="{00000000-0005-0000-0000-0000BD1E0000}"/>
    <cellStyle name="Comma 2 2 3 4 3 9" xfId="7873" xr:uid="{00000000-0005-0000-0000-0000BE1E0000}"/>
    <cellStyle name="Comma 2 2 3 4 4" xfId="7874" xr:uid="{00000000-0005-0000-0000-0000BF1E0000}"/>
    <cellStyle name="Comma 2 2 3 4 4 2" xfId="7875" xr:uid="{00000000-0005-0000-0000-0000C01E0000}"/>
    <cellStyle name="Comma 2 2 3 4 4 2 2" xfId="7876" xr:uid="{00000000-0005-0000-0000-0000C11E0000}"/>
    <cellStyle name="Comma 2 2 3 4 4 2 3" xfId="7877" xr:uid="{00000000-0005-0000-0000-0000C21E0000}"/>
    <cellStyle name="Comma 2 2 3 4 4 3" xfId="7878" xr:uid="{00000000-0005-0000-0000-0000C31E0000}"/>
    <cellStyle name="Comma 2 2 3 4 4 4" xfId="7879" xr:uid="{00000000-0005-0000-0000-0000C41E0000}"/>
    <cellStyle name="Comma 2 2 3 4 4 5" xfId="7880" xr:uid="{00000000-0005-0000-0000-0000C51E0000}"/>
    <cellStyle name="Comma 2 2 3 4 4 6" xfId="7881" xr:uid="{00000000-0005-0000-0000-0000C61E0000}"/>
    <cellStyle name="Comma 2 2 3 4 5" xfId="7882" xr:uid="{00000000-0005-0000-0000-0000C71E0000}"/>
    <cellStyle name="Comma 2 2 3 4 5 2" xfId="7883" xr:uid="{00000000-0005-0000-0000-0000C81E0000}"/>
    <cellStyle name="Comma 2 2 3 4 5 2 2" xfId="7884" xr:uid="{00000000-0005-0000-0000-0000C91E0000}"/>
    <cellStyle name="Comma 2 2 3 4 5 3" xfId="7885" xr:uid="{00000000-0005-0000-0000-0000CA1E0000}"/>
    <cellStyle name="Comma 2 2 3 4 5 4" xfId="7886" xr:uid="{00000000-0005-0000-0000-0000CB1E0000}"/>
    <cellStyle name="Comma 2 2 3 4 5 5" xfId="7887" xr:uid="{00000000-0005-0000-0000-0000CC1E0000}"/>
    <cellStyle name="Comma 2 2 3 4 6" xfId="7888" xr:uid="{00000000-0005-0000-0000-0000CD1E0000}"/>
    <cellStyle name="Comma 2 2 3 4 6 2" xfId="7889" xr:uid="{00000000-0005-0000-0000-0000CE1E0000}"/>
    <cellStyle name="Comma 2 2 3 4 6 3" xfId="7890" xr:uid="{00000000-0005-0000-0000-0000CF1E0000}"/>
    <cellStyle name="Comma 2 2 3 4 6 4" xfId="7891" xr:uid="{00000000-0005-0000-0000-0000D01E0000}"/>
    <cellStyle name="Comma 2 2 3 4 7" xfId="7892" xr:uid="{00000000-0005-0000-0000-0000D11E0000}"/>
    <cellStyle name="Comma 2 2 3 4 7 2" xfId="7893" xr:uid="{00000000-0005-0000-0000-0000D21E0000}"/>
    <cellStyle name="Comma 2 2 3 4 8" xfId="7894" xr:uid="{00000000-0005-0000-0000-0000D31E0000}"/>
    <cellStyle name="Comma 2 2 3 4 9" xfId="7895" xr:uid="{00000000-0005-0000-0000-0000D41E0000}"/>
    <cellStyle name="Comma 2 2 3 5" xfId="7896" xr:uid="{00000000-0005-0000-0000-0000D51E0000}"/>
    <cellStyle name="Comma 2 2 3 5 10" xfId="7897" xr:uid="{00000000-0005-0000-0000-0000D61E0000}"/>
    <cellStyle name="Comma 2 2 3 5 11" xfId="7898" xr:uid="{00000000-0005-0000-0000-0000D71E0000}"/>
    <cellStyle name="Comma 2 2 3 5 2" xfId="7899" xr:uid="{00000000-0005-0000-0000-0000D81E0000}"/>
    <cellStyle name="Comma 2 2 3 5 2 2" xfId="7900" xr:uid="{00000000-0005-0000-0000-0000D91E0000}"/>
    <cellStyle name="Comma 2 2 3 5 2 2 2" xfId="7901" xr:uid="{00000000-0005-0000-0000-0000DA1E0000}"/>
    <cellStyle name="Comma 2 2 3 5 2 2 2 2" xfId="7902" xr:uid="{00000000-0005-0000-0000-0000DB1E0000}"/>
    <cellStyle name="Comma 2 2 3 5 2 2 2 3" xfId="7903" xr:uid="{00000000-0005-0000-0000-0000DC1E0000}"/>
    <cellStyle name="Comma 2 2 3 5 2 2 3" xfId="7904" xr:uid="{00000000-0005-0000-0000-0000DD1E0000}"/>
    <cellStyle name="Comma 2 2 3 5 2 2 4" xfId="7905" xr:uid="{00000000-0005-0000-0000-0000DE1E0000}"/>
    <cellStyle name="Comma 2 2 3 5 2 2 5" xfId="7906" xr:uid="{00000000-0005-0000-0000-0000DF1E0000}"/>
    <cellStyle name="Comma 2 2 3 5 2 2 6" xfId="7907" xr:uid="{00000000-0005-0000-0000-0000E01E0000}"/>
    <cellStyle name="Comma 2 2 3 5 2 3" xfId="7908" xr:uid="{00000000-0005-0000-0000-0000E11E0000}"/>
    <cellStyle name="Comma 2 2 3 5 2 3 2" xfId="7909" xr:uid="{00000000-0005-0000-0000-0000E21E0000}"/>
    <cellStyle name="Comma 2 2 3 5 2 3 2 2" xfId="7910" xr:uid="{00000000-0005-0000-0000-0000E31E0000}"/>
    <cellStyle name="Comma 2 2 3 5 2 3 3" xfId="7911" xr:uid="{00000000-0005-0000-0000-0000E41E0000}"/>
    <cellStyle name="Comma 2 2 3 5 2 3 4" xfId="7912" xr:uid="{00000000-0005-0000-0000-0000E51E0000}"/>
    <cellStyle name="Comma 2 2 3 5 2 3 5" xfId="7913" xr:uid="{00000000-0005-0000-0000-0000E61E0000}"/>
    <cellStyle name="Comma 2 2 3 5 2 4" xfId="7914" xr:uid="{00000000-0005-0000-0000-0000E71E0000}"/>
    <cellStyle name="Comma 2 2 3 5 2 4 2" xfId="7915" xr:uid="{00000000-0005-0000-0000-0000E81E0000}"/>
    <cellStyle name="Comma 2 2 3 5 2 4 3" xfId="7916" xr:uid="{00000000-0005-0000-0000-0000E91E0000}"/>
    <cellStyle name="Comma 2 2 3 5 2 4 4" xfId="7917" xr:uid="{00000000-0005-0000-0000-0000EA1E0000}"/>
    <cellStyle name="Comma 2 2 3 5 2 5" xfId="7918" xr:uid="{00000000-0005-0000-0000-0000EB1E0000}"/>
    <cellStyle name="Comma 2 2 3 5 2 5 2" xfId="7919" xr:uid="{00000000-0005-0000-0000-0000EC1E0000}"/>
    <cellStyle name="Comma 2 2 3 5 2 6" xfId="7920" xr:uid="{00000000-0005-0000-0000-0000ED1E0000}"/>
    <cellStyle name="Comma 2 2 3 5 2 7" xfId="7921" xr:uid="{00000000-0005-0000-0000-0000EE1E0000}"/>
    <cellStyle name="Comma 2 2 3 5 2 8" xfId="7922" xr:uid="{00000000-0005-0000-0000-0000EF1E0000}"/>
    <cellStyle name="Comma 2 2 3 5 2 9" xfId="7923" xr:uid="{00000000-0005-0000-0000-0000F01E0000}"/>
    <cellStyle name="Comma 2 2 3 5 3" xfId="7924" xr:uid="{00000000-0005-0000-0000-0000F11E0000}"/>
    <cellStyle name="Comma 2 2 3 5 3 2" xfId="7925" xr:uid="{00000000-0005-0000-0000-0000F21E0000}"/>
    <cellStyle name="Comma 2 2 3 5 3 2 2" xfId="7926" xr:uid="{00000000-0005-0000-0000-0000F31E0000}"/>
    <cellStyle name="Comma 2 2 3 5 3 2 2 2" xfId="7927" xr:uid="{00000000-0005-0000-0000-0000F41E0000}"/>
    <cellStyle name="Comma 2 2 3 5 3 2 2 3" xfId="7928" xr:uid="{00000000-0005-0000-0000-0000F51E0000}"/>
    <cellStyle name="Comma 2 2 3 5 3 2 3" xfId="7929" xr:uid="{00000000-0005-0000-0000-0000F61E0000}"/>
    <cellStyle name="Comma 2 2 3 5 3 2 4" xfId="7930" xr:uid="{00000000-0005-0000-0000-0000F71E0000}"/>
    <cellStyle name="Comma 2 2 3 5 3 2 5" xfId="7931" xr:uid="{00000000-0005-0000-0000-0000F81E0000}"/>
    <cellStyle name="Comma 2 2 3 5 3 2 6" xfId="7932" xr:uid="{00000000-0005-0000-0000-0000F91E0000}"/>
    <cellStyle name="Comma 2 2 3 5 3 3" xfId="7933" xr:uid="{00000000-0005-0000-0000-0000FA1E0000}"/>
    <cellStyle name="Comma 2 2 3 5 3 3 2" xfId="7934" xr:uid="{00000000-0005-0000-0000-0000FB1E0000}"/>
    <cellStyle name="Comma 2 2 3 5 3 3 2 2" xfId="7935" xr:uid="{00000000-0005-0000-0000-0000FC1E0000}"/>
    <cellStyle name="Comma 2 2 3 5 3 3 3" xfId="7936" xr:uid="{00000000-0005-0000-0000-0000FD1E0000}"/>
    <cellStyle name="Comma 2 2 3 5 3 3 4" xfId="7937" xr:uid="{00000000-0005-0000-0000-0000FE1E0000}"/>
    <cellStyle name="Comma 2 2 3 5 3 3 5" xfId="7938" xr:uid="{00000000-0005-0000-0000-0000FF1E0000}"/>
    <cellStyle name="Comma 2 2 3 5 3 4" xfId="7939" xr:uid="{00000000-0005-0000-0000-0000001F0000}"/>
    <cellStyle name="Comma 2 2 3 5 3 4 2" xfId="7940" xr:uid="{00000000-0005-0000-0000-0000011F0000}"/>
    <cellStyle name="Comma 2 2 3 5 3 4 3" xfId="7941" xr:uid="{00000000-0005-0000-0000-0000021F0000}"/>
    <cellStyle name="Comma 2 2 3 5 3 4 4" xfId="7942" xr:uid="{00000000-0005-0000-0000-0000031F0000}"/>
    <cellStyle name="Comma 2 2 3 5 3 5" xfId="7943" xr:uid="{00000000-0005-0000-0000-0000041F0000}"/>
    <cellStyle name="Comma 2 2 3 5 3 5 2" xfId="7944" xr:uid="{00000000-0005-0000-0000-0000051F0000}"/>
    <cellStyle name="Comma 2 2 3 5 3 6" xfId="7945" xr:uid="{00000000-0005-0000-0000-0000061F0000}"/>
    <cellStyle name="Comma 2 2 3 5 3 7" xfId="7946" xr:uid="{00000000-0005-0000-0000-0000071F0000}"/>
    <cellStyle name="Comma 2 2 3 5 3 8" xfId="7947" xr:uid="{00000000-0005-0000-0000-0000081F0000}"/>
    <cellStyle name="Comma 2 2 3 5 3 9" xfId="7948" xr:uid="{00000000-0005-0000-0000-0000091F0000}"/>
    <cellStyle name="Comma 2 2 3 5 4" xfId="7949" xr:uid="{00000000-0005-0000-0000-00000A1F0000}"/>
    <cellStyle name="Comma 2 2 3 5 4 2" xfId="7950" xr:uid="{00000000-0005-0000-0000-00000B1F0000}"/>
    <cellStyle name="Comma 2 2 3 5 4 2 2" xfId="7951" xr:uid="{00000000-0005-0000-0000-00000C1F0000}"/>
    <cellStyle name="Comma 2 2 3 5 4 2 3" xfId="7952" xr:uid="{00000000-0005-0000-0000-00000D1F0000}"/>
    <cellStyle name="Comma 2 2 3 5 4 3" xfId="7953" xr:uid="{00000000-0005-0000-0000-00000E1F0000}"/>
    <cellStyle name="Comma 2 2 3 5 4 4" xfId="7954" xr:uid="{00000000-0005-0000-0000-00000F1F0000}"/>
    <cellStyle name="Comma 2 2 3 5 4 5" xfId="7955" xr:uid="{00000000-0005-0000-0000-0000101F0000}"/>
    <cellStyle name="Comma 2 2 3 5 4 6" xfId="7956" xr:uid="{00000000-0005-0000-0000-0000111F0000}"/>
    <cellStyle name="Comma 2 2 3 5 5" xfId="7957" xr:uid="{00000000-0005-0000-0000-0000121F0000}"/>
    <cellStyle name="Comma 2 2 3 5 5 2" xfId="7958" xr:uid="{00000000-0005-0000-0000-0000131F0000}"/>
    <cellStyle name="Comma 2 2 3 5 5 2 2" xfId="7959" xr:uid="{00000000-0005-0000-0000-0000141F0000}"/>
    <cellStyle name="Comma 2 2 3 5 5 3" xfId="7960" xr:uid="{00000000-0005-0000-0000-0000151F0000}"/>
    <cellStyle name="Comma 2 2 3 5 5 4" xfId="7961" xr:uid="{00000000-0005-0000-0000-0000161F0000}"/>
    <cellStyle name="Comma 2 2 3 5 5 5" xfId="7962" xr:uid="{00000000-0005-0000-0000-0000171F0000}"/>
    <cellStyle name="Comma 2 2 3 5 6" xfId="7963" xr:uid="{00000000-0005-0000-0000-0000181F0000}"/>
    <cellStyle name="Comma 2 2 3 5 6 2" xfId="7964" xr:uid="{00000000-0005-0000-0000-0000191F0000}"/>
    <cellStyle name="Comma 2 2 3 5 6 3" xfId="7965" xr:uid="{00000000-0005-0000-0000-00001A1F0000}"/>
    <cellStyle name="Comma 2 2 3 5 6 4" xfId="7966" xr:uid="{00000000-0005-0000-0000-00001B1F0000}"/>
    <cellStyle name="Comma 2 2 3 5 7" xfId="7967" xr:uid="{00000000-0005-0000-0000-00001C1F0000}"/>
    <cellStyle name="Comma 2 2 3 5 7 2" xfId="7968" xr:uid="{00000000-0005-0000-0000-00001D1F0000}"/>
    <cellStyle name="Comma 2 2 3 5 8" xfId="7969" xr:uid="{00000000-0005-0000-0000-00001E1F0000}"/>
    <cellStyle name="Comma 2 2 3 5 9" xfId="7970" xr:uid="{00000000-0005-0000-0000-00001F1F0000}"/>
    <cellStyle name="Comma 2 2 3 6" xfId="7971" xr:uid="{00000000-0005-0000-0000-0000201F0000}"/>
    <cellStyle name="Comma 2 2 3 6 10" xfId="7972" xr:uid="{00000000-0005-0000-0000-0000211F0000}"/>
    <cellStyle name="Comma 2 2 3 6 11" xfId="7973" xr:uid="{00000000-0005-0000-0000-0000221F0000}"/>
    <cellStyle name="Comma 2 2 3 6 2" xfId="7974" xr:uid="{00000000-0005-0000-0000-0000231F0000}"/>
    <cellStyle name="Comma 2 2 3 6 2 2" xfId="7975" xr:uid="{00000000-0005-0000-0000-0000241F0000}"/>
    <cellStyle name="Comma 2 2 3 6 2 2 2" xfId="7976" xr:uid="{00000000-0005-0000-0000-0000251F0000}"/>
    <cellStyle name="Comma 2 2 3 6 2 2 2 2" xfId="7977" xr:uid="{00000000-0005-0000-0000-0000261F0000}"/>
    <cellStyle name="Comma 2 2 3 6 2 2 2 3" xfId="7978" xr:uid="{00000000-0005-0000-0000-0000271F0000}"/>
    <cellStyle name="Comma 2 2 3 6 2 2 3" xfId="7979" xr:uid="{00000000-0005-0000-0000-0000281F0000}"/>
    <cellStyle name="Comma 2 2 3 6 2 2 4" xfId="7980" xr:uid="{00000000-0005-0000-0000-0000291F0000}"/>
    <cellStyle name="Comma 2 2 3 6 2 2 5" xfId="7981" xr:uid="{00000000-0005-0000-0000-00002A1F0000}"/>
    <cellStyle name="Comma 2 2 3 6 2 2 6" xfId="7982" xr:uid="{00000000-0005-0000-0000-00002B1F0000}"/>
    <cellStyle name="Comma 2 2 3 6 2 3" xfId="7983" xr:uid="{00000000-0005-0000-0000-00002C1F0000}"/>
    <cellStyle name="Comma 2 2 3 6 2 3 2" xfId="7984" xr:uid="{00000000-0005-0000-0000-00002D1F0000}"/>
    <cellStyle name="Comma 2 2 3 6 2 3 2 2" xfId="7985" xr:uid="{00000000-0005-0000-0000-00002E1F0000}"/>
    <cellStyle name="Comma 2 2 3 6 2 3 3" xfId="7986" xr:uid="{00000000-0005-0000-0000-00002F1F0000}"/>
    <cellStyle name="Comma 2 2 3 6 2 3 4" xfId="7987" xr:uid="{00000000-0005-0000-0000-0000301F0000}"/>
    <cellStyle name="Comma 2 2 3 6 2 3 5" xfId="7988" xr:uid="{00000000-0005-0000-0000-0000311F0000}"/>
    <cellStyle name="Comma 2 2 3 6 2 4" xfId="7989" xr:uid="{00000000-0005-0000-0000-0000321F0000}"/>
    <cellStyle name="Comma 2 2 3 6 2 4 2" xfId="7990" xr:uid="{00000000-0005-0000-0000-0000331F0000}"/>
    <cellStyle name="Comma 2 2 3 6 2 4 3" xfId="7991" xr:uid="{00000000-0005-0000-0000-0000341F0000}"/>
    <cellStyle name="Comma 2 2 3 6 2 4 4" xfId="7992" xr:uid="{00000000-0005-0000-0000-0000351F0000}"/>
    <cellStyle name="Comma 2 2 3 6 2 5" xfId="7993" xr:uid="{00000000-0005-0000-0000-0000361F0000}"/>
    <cellStyle name="Comma 2 2 3 6 2 5 2" xfId="7994" xr:uid="{00000000-0005-0000-0000-0000371F0000}"/>
    <cellStyle name="Comma 2 2 3 6 2 6" xfId="7995" xr:uid="{00000000-0005-0000-0000-0000381F0000}"/>
    <cellStyle name="Comma 2 2 3 6 2 7" xfId="7996" xr:uid="{00000000-0005-0000-0000-0000391F0000}"/>
    <cellStyle name="Comma 2 2 3 6 2 8" xfId="7997" xr:uid="{00000000-0005-0000-0000-00003A1F0000}"/>
    <cellStyle name="Comma 2 2 3 6 2 9" xfId="7998" xr:uid="{00000000-0005-0000-0000-00003B1F0000}"/>
    <cellStyle name="Comma 2 2 3 6 3" xfId="7999" xr:uid="{00000000-0005-0000-0000-00003C1F0000}"/>
    <cellStyle name="Comma 2 2 3 6 3 2" xfId="8000" xr:uid="{00000000-0005-0000-0000-00003D1F0000}"/>
    <cellStyle name="Comma 2 2 3 6 3 2 2" xfId="8001" xr:uid="{00000000-0005-0000-0000-00003E1F0000}"/>
    <cellStyle name="Comma 2 2 3 6 3 2 2 2" xfId="8002" xr:uid="{00000000-0005-0000-0000-00003F1F0000}"/>
    <cellStyle name="Comma 2 2 3 6 3 2 2 3" xfId="8003" xr:uid="{00000000-0005-0000-0000-0000401F0000}"/>
    <cellStyle name="Comma 2 2 3 6 3 2 3" xfId="8004" xr:uid="{00000000-0005-0000-0000-0000411F0000}"/>
    <cellStyle name="Comma 2 2 3 6 3 2 4" xfId="8005" xr:uid="{00000000-0005-0000-0000-0000421F0000}"/>
    <cellStyle name="Comma 2 2 3 6 3 2 5" xfId="8006" xr:uid="{00000000-0005-0000-0000-0000431F0000}"/>
    <cellStyle name="Comma 2 2 3 6 3 2 6" xfId="8007" xr:uid="{00000000-0005-0000-0000-0000441F0000}"/>
    <cellStyle name="Comma 2 2 3 6 3 3" xfId="8008" xr:uid="{00000000-0005-0000-0000-0000451F0000}"/>
    <cellStyle name="Comma 2 2 3 6 3 3 2" xfId="8009" xr:uid="{00000000-0005-0000-0000-0000461F0000}"/>
    <cellStyle name="Comma 2 2 3 6 3 3 2 2" xfId="8010" xr:uid="{00000000-0005-0000-0000-0000471F0000}"/>
    <cellStyle name="Comma 2 2 3 6 3 3 3" xfId="8011" xr:uid="{00000000-0005-0000-0000-0000481F0000}"/>
    <cellStyle name="Comma 2 2 3 6 3 3 4" xfId="8012" xr:uid="{00000000-0005-0000-0000-0000491F0000}"/>
    <cellStyle name="Comma 2 2 3 6 3 3 5" xfId="8013" xr:uid="{00000000-0005-0000-0000-00004A1F0000}"/>
    <cellStyle name="Comma 2 2 3 6 3 4" xfId="8014" xr:uid="{00000000-0005-0000-0000-00004B1F0000}"/>
    <cellStyle name="Comma 2 2 3 6 3 4 2" xfId="8015" xr:uid="{00000000-0005-0000-0000-00004C1F0000}"/>
    <cellStyle name="Comma 2 2 3 6 3 4 3" xfId="8016" xr:uid="{00000000-0005-0000-0000-00004D1F0000}"/>
    <cellStyle name="Comma 2 2 3 6 3 4 4" xfId="8017" xr:uid="{00000000-0005-0000-0000-00004E1F0000}"/>
    <cellStyle name="Comma 2 2 3 6 3 5" xfId="8018" xr:uid="{00000000-0005-0000-0000-00004F1F0000}"/>
    <cellStyle name="Comma 2 2 3 6 3 5 2" xfId="8019" xr:uid="{00000000-0005-0000-0000-0000501F0000}"/>
    <cellStyle name="Comma 2 2 3 6 3 6" xfId="8020" xr:uid="{00000000-0005-0000-0000-0000511F0000}"/>
    <cellStyle name="Comma 2 2 3 6 3 7" xfId="8021" xr:uid="{00000000-0005-0000-0000-0000521F0000}"/>
    <cellStyle name="Comma 2 2 3 6 3 8" xfId="8022" xr:uid="{00000000-0005-0000-0000-0000531F0000}"/>
    <cellStyle name="Comma 2 2 3 6 3 9" xfId="8023" xr:uid="{00000000-0005-0000-0000-0000541F0000}"/>
    <cellStyle name="Comma 2 2 3 6 4" xfId="8024" xr:uid="{00000000-0005-0000-0000-0000551F0000}"/>
    <cellStyle name="Comma 2 2 3 6 4 2" xfId="8025" xr:uid="{00000000-0005-0000-0000-0000561F0000}"/>
    <cellStyle name="Comma 2 2 3 6 4 2 2" xfId="8026" xr:uid="{00000000-0005-0000-0000-0000571F0000}"/>
    <cellStyle name="Comma 2 2 3 6 4 2 3" xfId="8027" xr:uid="{00000000-0005-0000-0000-0000581F0000}"/>
    <cellStyle name="Comma 2 2 3 6 4 3" xfId="8028" xr:uid="{00000000-0005-0000-0000-0000591F0000}"/>
    <cellStyle name="Comma 2 2 3 6 4 4" xfId="8029" xr:uid="{00000000-0005-0000-0000-00005A1F0000}"/>
    <cellStyle name="Comma 2 2 3 6 4 5" xfId="8030" xr:uid="{00000000-0005-0000-0000-00005B1F0000}"/>
    <cellStyle name="Comma 2 2 3 6 4 6" xfId="8031" xr:uid="{00000000-0005-0000-0000-00005C1F0000}"/>
    <cellStyle name="Comma 2 2 3 6 5" xfId="8032" xr:uid="{00000000-0005-0000-0000-00005D1F0000}"/>
    <cellStyle name="Comma 2 2 3 6 5 2" xfId="8033" xr:uid="{00000000-0005-0000-0000-00005E1F0000}"/>
    <cellStyle name="Comma 2 2 3 6 5 2 2" xfId="8034" xr:uid="{00000000-0005-0000-0000-00005F1F0000}"/>
    <cellStyle name="Comma 2 2 3 6 5 3" xfId="8035" xr:uid="{00000000-0005-0000-0000-0000601F0000}"/>
    <cellStyle name="Comma 2 2 3 6 5 4" xfId="8036" xr:uid="{00000000-0005-0000-0000-0000611F0000}"/>
    <cellStyle name="Comma 2 2 3 6 5 5" xfId="8037" xr:uid="{00000000-0005-0000-0000-0000621F0000}"/>
    <cellStyle name="Comma 2 2 3 6 6" xfId="8038" xr:uid="{00000000-0005-0000-0000-0000631F0000}"/>
    <cellStyle name="Comma 2 2 3 6 6 2" xfId="8039" xr:uid="{00000000-0005-0000-0000-0000641F0000}"/>
    <cellStyle name="Comma 2 2 3 6 6 3" xfId="8040" xr:uid="{00000000-0005-0000-0000-0000651F0000}"/>
    <cellStyle name="Comma 2 2 3 6 6 4" xfId="8041" xr:uid="{00000000-0005-0000-0000-0000661F0000}"/>
    <cellStyle name="Comma 2 2 3 6 7" xfId="8042" xr:uid="{00000000-0005-0000-0000-0000671F0000}"/>
    <cellStyle name="Comma 2 2 3 6 7 2" xfId="8043" xr:uid="{00000000-0005-0000-0000-0000681F0000}"/>
    <cellStyle name="Comma 2 2 3 6 8" xfId="8044" xr:uid="{00000000-0005-0000-0000-0000691F0000}"/>
    <cellStyle name="Comma 2 2 3 6 9" xfId="8045" xr:uid="{00000000-0005-0000-0000-00006A1F0000}"/>
    <cellStyle name="Comma 2 2 3 7" xfId="8046" xr:uid="{00000000-0005-0000-0000-00006B1F0000}"/>
    <cellStyle name="Comma 2 2 3 7 10" xfId="8047" xr:uid="{00000000-0005-0000-0000-00006C1F0000}"/>
    <cellStyle name="Comma 2 2 3 7 11" xfId="8048" xr:uid="{00000000-0005-0000-0000-00006D1F0000}"/>
    <cellStyle name="Comma 2 2 3 7 2" xfId="8049" xr:uid="{00000000-0005-0000-0000-00006E1F0000}"/>
    <cellStyle name="Comma 2 2 3 7 2 2" xfId="8050" xr:uid="{00000000-0005-0000-0000-00006F1F0000}"/>
    <cellStyle name="Comma 2 2 3 7 2 2 2" xfId="8051" xr:uid="{00000000-0005-0000-0000-0000701F0000}"/>
    <cellStyle name="Comma 2 2 3 7 2 2 2 2" xfId="8052" xr:uid="{00000000-0005-0000-0000-0000711F0000}"/>
    <cellStyle name="Comma 2 2 3 7 2 2 2 3" xfId="8053" xr:uid="{00000000-0005-0000-0000-0000721F0000}"/>
    <cellStyle name="Comma 2 2 3 7 2 2 3" xfId="8054" xr:uid="{00000000-0005-0000-0000-0000731F0000}"/>
    <cellStyle name="Comma 2 2 3 7 2 2 4" xfId="8055" xr:uid="{00000000-0005-0000-0000-0000741F0000}"/>
    <cellStyle name="Comma 2 2 3 7 2 2 5" xfId="8056" xr:uid="{00000000-0005-0000-0000-0000751F0000}"/>
    <cellStyle name="Comma 2 2 3 7 2 2 6" xfId="8057" xr:uid="{00000000-0005-0000-0000-0000761F0000}"/>
    <cellStyle name="Comma 2 2 3 7 2 3" xfId="8058" xr:uid="{00000000-0005-0000-0000-0000771F0000}"/>
    <cellStyle name="Comma 2 2 3 7 2 3 2" xfId="8059" xr:uid="{00000000-0005-0000-0000-0000781F0000}"/>
    <cellStyle name="Comma 2 2 3 7 2 3 2 2" xfId="8060" xr:uid="{00000000-0005-0000-0000-0000791F0000}"/>
    <cellStyle name="Comma 2 2 3 7 2 3 3" xfId="8061" xr:uid="{00000000-0005-0000-0000-00007A1F0000}"/>
    <cellStyle name="Comma 2 2 3 7 2 3 4" xfId="8062" xr:uid="{00000000-0005-0000-0000-00007B1F0000}"/>
    <cellStyle name="Comma 2 2 3 7 2 3 5" xfId="8063" xr:uid="{00000000-0005-0000-0000-00007C1F0000}"/>
    <cellStyle name="Comma 2 2 3 7 2 4" xfId="8064" xr:uid="{00000000-0005-0000-0000-00007D1F0000}"/>
    <cellStyle name="Comma 2 2 3 7 2 4 2" xfId="8065" xr:uid="{00000000-0005-0000-0000-00007E1F0000}"/>
    <cellStyle name="Comma 2 2 3 7 2 4 3" xfId="8066" xr:uid="{00000000-0005-0000-0000-00007F1F0000}"/>
    <cellStyle name="Comma 2 2 3 7 2 4 4" xfId="8067" xr:uid="{00000000-0005-0000-0000-0000801F0000}"/>
    <cellStyle name="Comma 2 2 3 7 2 5" xfId="8068" xr:uid="{00000000-0005-0000-0000-0000811F0000}"/>
    <cellStyle name="Comma 2 2 3 7 2 5 2" xfId="8069" xr:uid="{00000000-0005-0000-0000-0000821F0000}"/>
    <cellStyle name="Comma 2 2 3 7 2 6" xfId="8070" xr:uid="{00000000-0005-0000-0000-0000831F0000}"/>
    <cellStyle name="Comma 2 2 3 7 2 7" xfId="8071" xr:uid="{00000000-0005-0000-0000-0000841F0000}"/>
    <cellStyle name="Comma 2 2 3 7 2 8" xfId="8072" xr:uid="{00000000-0005-0000-0000-0000851F0000}"/>
    <cellStyle name="Comma 2 2 3 7 2 9" xfId="8073" xr:uid="{00000000-0005-0000-0000-0000861F0000}"/>
    <cellStyle name="Comma 2 2 3 7 3" xfId="8074" xr:uid="{00000000-0005-0000-0000-0000871F0000}"/>
    <cellStyle name="Comma 2 2 3 7 3 2" xfId="8075" xr:uid="{00000000-0005-0000-0000-0000881F0000}"/>
    <cellStyle name="Comma 2 2 3 7 3 2 2" xfId="8076" xr:uid="{00000000-0005-0000-0000-0000891F0000}"/>
    <cellStyle name="Comma 2 2 3 7 3 2 2 2" xfId="8077" xr:uid="{00000000-0005-0000-0000-00008A1F0000}"/>
    <cellStyle name="Comma 2 2 3 7 3 2 2 3" xfId="8078" xr:uid="{00000000-0005-0000-0000-00008B1F0000}"/>
    <cellStyle name="Comma 2 2 3 7 3 2 3" xfId="8079" xr:uid="{00000000-0005-0000-0000-00008C1F0000}"/>
    <cellStyle name="Comma 2 2 3 7 3 2 4" xfId="8080" xr:uid="{00000000-0005-0000-0000-00008D1F0000}"/>
    <cellStyle name="Comma 2 2 3 7 3 2 5" xfId="8081" xr:uid="{00000000-0005-0000-0000-00008E1F0000}"/>
    <cellStyle name="Comma 2 2 3 7 3 2 6" xfId="8082" xr:uid="{00000000-0005-0000-0000-00008F1F0000}"/>
    <cellStyle name="Comma 2 2 3 7 3 3" xfId="8083" xr:uid="{00000000-0005-0000-0000-0000901F0000}"/>
    <cellStyle name="Comma 2 2 3 7 3 3 2" xfId="8084" xr:uid="{00000000-0005-0000-0000-0000911F0000}"/>
    <cellStyle name="Comma 2 2 3 7 3 3 2 2" xfId="8085" xr:uid="{00000000-0005-0000-0000-0000921F0000}"/>
    <cellStyle name="Comma 2 2 3 7 3 3 3" xfId="8086" xr:uid="{00000000-0005-0000-0000-0000931F0000}"/>
    <cellStyle name="Comma 2 2 3 7 3 3 4" xfId="8087" xr:uid="{00000000-0005-0000-0000-0000941F0000}"/>
    <cellStyle name="Comma 2 2 3 7 3 3 5" xfId="8088" xr:uid="{00000000-0005-0000-0000-0000951F0000}"/>
    <cellStyle name="Comma 2 2 3 7 3 4" xfId="8089" xr:uid="{00000000-0005-0000-0000-0000961F0000}"/>
    <cellStyle name="Comma 2 2 3 7 3 4 2" xfId="8090" xr:uid="{00000000-0005-0000-0000-0000971F0000}"/>
    <cellStyle name="Comma 2 2 3 7 3 4 3" xfId="8091" xr:uid="{00000000-0005-0000-0000-0000981F0000}"/>
    <cellStyle name="Comma 2 2 3 7 3 4 4" xfId="8092" xr:uid="{00000000-0005-0000-0000-0000991F0000}"/>
    <cellStyle name="Comma 2 2 3 7 3 5" xfId="8093" xr:uid="{00000000-0005-0000-0000-00009A1F0000}"/>
    <cellStyle name="Comma 2 2 3 7 3 5 2" xfId="8094" xr:uid="{00000000-0005-0000-0000-00009B1F0000}"/>
    <cellStyle name="Comma 2 2 3 7 3 6" xfId="8095" xr:uid="{00000000-0005-0000-0000-00009C1F0000}"/>
    <cellStyle name="Comma 2 2 3 7 3 7" xfId="8096" xr:uid="{00000000-0005-0000-0000-00009D1F0000}"/>
    <cellStyle name="Comma 2 2 3 7 3 8" xfId="8097" xr:uid="{00000000-0005-0000-0000-00009E1F0000}"/>
    <cellStyle name="Comma 2 2 3 7 3 9" xfId="8098" xr:uid="{00000000-0005-0000-0000-00009F1F0000}"/>
    <cellStyle name="Comma 2 2 3 7 4" xfId="8099" xr:uid="{00000000-0005-0000-0000-0000A01F0000}"/>
    <cellStyle name="Comma 2 2 3 7 4 2" xfId="8100" xr:uid="{00000000-0005-0000-0000-0000A11F0000}"/>
    <cellStyle name="Comma 2 2 3 7 4 2 2" xfId="8101" xr:uid="{00000000-0005-0000-0000-0000A21F0000}"/>
    <cellStyle name="Comma 2 2 3 7 4 2 3" xfId="8102" xr:uid="{00000000-0005-0000-0000-0000A31F0000}"/>
    <cellStyle name="Comma 2 2 3 7 4 3" xfId="8103" xr:uid="{00000000-0005-0000-0000-0000A41F0000}"/>
    <cellStyle name="Comma 2 2 3 7 4 4" xfId="8104" xr:uid="{00000000-0005-0000-0000-0000A51F0000}"/>
    <cellStyle name="Comma 2 2 3 7 4 5" xfId="8105" xr:uid="{00000000-0005-0000-0000-0000A61F0000}"/>
    <cellStyle name="Comma 2 2 3 7 4 6" xfId="8106" xr:uid="{00000000-0005-0000-0000-0000A71F0000}"/>
    <cellStyle name="Comma 2 2 3 7 5" xfId="8107" xr:uid="{00000000-0005-0000-0000-0000A81F0000}"/>
    <cellStyle name="Comma 2 2 3 7 5 2" xfId="8108" xr:uid="{00000000-0005-0000-0000-0000A91F0000}"/>
    <cellStyle name="Comma 2 2 3 7 5 2 2" xfId="8109" xr:uid="{00000000-0005-0000-0000-0000AA1F0000}"/>
    <cellStyle name="Comma 2 2 3 7 5 3" xfId="8110" xr:uid="{00000000-0005-0000-0000-0000AB1F0000}"/>
    <cellStyle name="Comma 2 2 3 7 5 4" xfId="8111" xr:uid="{00000000-0005-0000-0000-0000AC1F0000}"/>
    <cellStyle name="Comma 2 2 3 7 5 5" xfId="8112" xr:uid="{00000000-0005-0000-0000-0000AD1F0000}"/>
    <cellStyle name="Comma 2 2 3 7 6" xfId="8113" xr:uid="{00000000-0005-0000-0000-0000AE1F0000}"/>
    <cellStyle name="Comma 2 2 3 7 6 2" xfId="8114" xr:uid="{00000000-0005-0000-0000-0000AF1F0000}"/>
    <cellStyle name="Comma 2 2 3 7 6 3" xfId="8115" xr:uid="{00000000-0005-0000-0000-0000B01F0000}"/>
    <cellStyle name="Comma 2 2 3 7 6 4" xfId="8116" xr:uid="{00000000-0005-0000-0000-0000B11F0000}"/>
    <cellStyle name="Comma 2 2 3 7 7" xfId="8117" xr:uid="{00000000-0005-0000-0000-0000B21F0000}"/>
    <cellStyle name="Comma 2 2 3 7 7 2" xfId="8118" xr:uid="{00000000-0005-0000-0000-0000B31F0000}"/>
    <cellStyle name="Comma 2 2 3 7 8" xfId="8119" xr:uid="{00000000-0005-0000-0000-0000B41F0000}"/>
    <cellStyle name="Comma 2 2 3 7 9" xfId="8120" xr:uid="{00000000-0005-0000-0000-0000B51F0000}"/>
    <cellStyle name="Comma 2 2 3 8" xfId="8121" xr:uid="{00000000-0005-0000-0000-0000B61F0000}"/>
    <cellStyle name="Comma 2 2 3 8 10" xfId="8122" xr:uid="{00000000-0005-0000-0000-0000B71F0000}"/>
    <cellStyle name="Comma 2 2 3 8 2" xfId="8123" xr:uid="{00000000-0005-0000-0000-0000B81F0000}"/>
    <cellStyle name="Comma 2 2 3 8 2 2" xfId="8124" xr:uid="{00000000-0005-0000-0000-0000B91F0000}"/>
    <cellStyle name="Comma 2 2 3 8 2 2 2" xfId="8125" xr:uid="{00000000-0005-0000-0000-0000BA1F0000}"/>
    <cellStyle name="Comma 2 2 3 8 2 2 3" xfId="8126" xr:uid="{00000000-0005-0000-0000-0000BB1F0000}"/>
    <cellStyle name="Comma 2 2 3 8 2 3" xfId="8127" xr:uid="{00000000-0005-0000-0000-0000BC1F0000}"/>
    <cellStyle name="Comma 2 2 3 8 2 4" xfId="8128" xr:uid="{00000000-0005-0000-0000-0000BD1F0000}"/>
    <cellStyle name="Comma 2 2 3 8 2 5" xfId="8129" xr:uid="{00000000-0005-0000-0000-0000BE1F0000}"/>
    <cellStyle name="Comma 2 2 3 8 2 6" xfId="8130" xr:uid="{00000000-0005-0000-0000-0000BF1F0000}"/>
    <cellStyle name="Comma 2 2 3 8 3" xfId="8131" xr:uid="{00000000-0005-0000-0000-0000C01F0000}"/>
    <cellStyle name="Comma 2 2 3 8 3 2" xfId="8132" xr:uid="{00000000-0005-0000-0000-0000C11F0000}"/>
    <cellStyle name="Comma 2 2 3 8 3 2 2" xfId="8133" xr:uid="{00000000-0005-0000-0000-0000C21F0000}"/>
    <cellStyle name="Comma 2 2 3 8 3 2 3" xfId="8134" xr:uid="{00000000-0005-0000-0000-0000C31F0000}"/>
    <cellStyle name="Comma 2 2 3 8 3 3" xfId="8135" xr:uid="{00000000-0005-0000-0000-0000C41F0000}"/>
    <cellStyle name="Comma 2 2 3 8 3 4" xfId="8136" xr:uid="{00000000-0005-0000-0000-0000C51F0000}"/>
    <cellStyle name="Comma 2 2 3 8 3 5" xfId="8137" xr:uid="{00000000-0005-0000-0000-0000C61F0000}"/>
    <cellStyle name="Comma 2 2 3 8 3 6" xfId="8138" xr:uid="{00000000-0005-0000-0000-0000C71F0000}"/>
    <cellStyle name="Comma 2 2 3 8 4" xfId="8139" xr:uid="{00000000-0005-0000-0000-0000C81F0000}"/>
    <cellStyle name="Comma 2 2 3 8 4 2" xfId="8140" xr:uid="{00000000-0005-0000-0000-0000C91F0000}"/>
    <cellStyle name="Comma 2 2 3 8 4 2 2" xfId="8141" xr:uid="{00000000-0005-0000-0000-0000CA1F0000}"/>
    <cellStyle name="Comma 2 2 3 8 4 3" xfId="8142" xr:uid="{00000000-0005-0000-0000-0000CB1F0000}"/>
    <cellStyle name="Comma 2 2 3 8 4 4" xfId="8143" xr:uid="{00000000-0005-0000-0000-0000CC1F0000}"/>
    <cellStyle name="Comma 2 2 3 8 4 5" xfId="8144" xr:uid="{00000000-0005-0000-0000-0000CD1F0000}"/>
    <cellStyle name="Comma 2 2 3 8 5" xfId="8145" xr:uid="{00000000-0005-0000-0000-0000CE1F0000}"/>
    <cellStyle name="Comma 2 2 3 8 5 2" xfId="8146" xr:uid="{00000000-0005-0000-0000-0000CF1F0000}"/>
    <cellStyle name="Comma 2 2 3 8 5 3" xfId="8147" xr:uid="{00000000-0005-0000-0000-0000D01F0000}"/>
    <cellStyle name="Comma 2 2 3 8 5 4" xfId="8148" xr:uid="{00000000-0005-0000-0000-0000D11F0000}"/>
    <cellStyle name="Comma 2 2 3 8 6" xfId="8149" xr:uid="{00000000-0005-0000-0000-0000D21F0000}"/>
    <cellStyle name="Comma 2 2 3 8 6 2" xfId="8150" xr:uid="{00000000-0005-0000-0000-0000D31F0000}"/>
    <cellStyle name="Comma 2 2 3 8 7" xfId="8151" xr:uid="{00000000-0005-0000-0000-0000D41F0000}"/>
    <cellStyle name="Comma 2 2 3 8 8" xfId="8152" xr:uid="{00000000-0005-0000-0000-0000D51F0000}"/>
    <cellStyle name="Comma 2 2 3 8 9" xfId="8153" xr:uid="{00000000-0005-0000-0000-0000D61F0000}"/>
    <cellStyle name="Comma 2 2 3 9" xfId="8154" xr:uid="{00000000-0005-0000-0000-0000D71F0000}"/>
    <cellStyle name="Comma 2 2 3 9 10" xfId="8155" xr:uid="{00000000-0005-0000-0000-0000D81F0000}"/>
    <cellStyle name="Comma 2 2 3 9 2" xfId="8156" xr:uid="{00000000-0005-0000-0000-0000D91F0000}"/>
    <cellStyle name="Comma 2 2 3 9 2 2" xfId="8157" xr:uid="{00000000-0005-0000-0000-0000DA1F0000}"/>
    <cellStyle name="Comma 2 2 3 9 2 2 2" xfId="8158" xr:uid="{00000000-0005-0000-0000-0000DB1F0000}"/>
    <cellStyle name="Comma 2 2 3 9 2 2 3" xfId="8159" xr:uid="{00000000-0005-0000-0000-0000DC1F0000}"/>
    <cellStyle name="Comma 2 2 3 9 2 3" xfId="8160" xr:uid="{00000000-0005-0000-0000-0000DD1F0000}"/>
    <cellStyle name="Comma 2 2 3 9 2 4" xfId="8161" xr:uid="{00000000-0005-0000-0000-0000DE1F0000}"/>
    <cellStyle name="Comma 2 2 3 9 2 5" xfId="8162" xr:uid="{00000000-0005-0000-0000-0000DF1F0000}"/>
    <cellStyle name="Comma 2 2 3 9 2 6" xfId="8163" xr:uid="{00000000-0005-0000-0000-0000E01F0000}"/>
    <cellStyle name="Comma 2 2 3 9 3" xfId="8164" xr:uid="{00000000-0005-0000-0000-0000E11F0000}"/>
    <cellStyle name="Comma 2 2 3 9 3 2" xfId="8165" xr:uid="{00000000-0005-0000-0000-0000E21F0000}"/>
    <cellStyle name="Comma 2 2 3 9 3 2 2" xfId="8166" xr:uid="{00000000-0005-0000-0000-0000E31F0000}"/>
    <cellStyle name="Comma 2 2 3 9 3 2 3" xfId="8167" xr:uid="{00000000-0005-0000-0000-0000E41F0000}"/>
    <cellStyle name="Comma 2 2 3 9 3 3" xfId="8168" xr:uid="{00000000-0005-0000-0000-0000E51F0000}"/>
    <cellStyle name="Comma 2 2 3 9 3 4" xfId="8169" xr:uid="{00000000-0005-0000-0000-0000E61F0000}"/>
    <cellStyle name="Comma 2 2 3 9 3 5" xfId="8170" xr:uid="{00000000-0005-0000-0000-0000E71F0000}"/>
    <cellStyle name="Comma 2 2 3 9 3 6" xfId="8171" xr:uid="{00000000-0005-0000-0000-0000E81F0000}"/>
    <cellStyle name="Comma 2 2 3 9 4" xfId="8172" xr:uid="{00000000-0005-0000-0000-0000E91F0000}"/>
    <cellStyle name="Comma 2 2 3 9 4 2" xfId="8173" xr:uid="{00000000-0005-0000-0000-0000EA1F0000}"/>
    <cellStyle name="Comma 2 2 3 9 4 2 2" xfId="8174" xr:uid="{00000000-0005-0000-0000-0000EB1F0000}"/>
    <cellStyle name="Comma 2 2 3 9 4 3" xfId="8175" xr:uid="{00000000-0005-0000-0000-0000EC1F0000}"/>
    <cellStyle name="Comma 2 2 3 9 4 4" xfId="8176" xr:uid="{00000000-0005-0000-0000-0000ED1F0000}"/>
    <cellStyle name="Comma 2 2 3 9 4 5" xfId="8177" xr:uid="{00000000-0005-0000-0000-0000EE1F0000}"/>
    <cellStyle name="Comma 2 2 3 9 5" xfId="8178" xr:uid="{00000000-0005-0000-0000-0000EF1F0000}"/>
    <cellStyle name="Comma 2 2 3 9 5 2" xfId="8179" xr:uid="{00000000-0005-0000-0000-0000F01F0000}"/>
    <cellStyle name="Comma 2 2 3 9 5 3" xfId="8180" xr:uid="{00000000-0005-0000-0000-0000F11F0000}"/>
    <cellStyle name="Comma 2 2 3 9 5 4" xfId="8181" xr:uid="{00000000-0005-0000-0000-0000F21F0000}"/>
    <cellStyle name="Comma 2 2 3 9 6" xfId="8182" xr:uid="{00000000-0005-0000-0000-0000F31F0000}"/>
    <cellStyle name="Comma 2 2 3 9 6 2" xfId="8183" xr:uid="{00000000-0005-0000-0000-0000F41F0000}"/>
    <cellStyle name="Comma 2 2 3 9 7" xfId="8184" xr:uid="{00000000-0005-0000-0000-0000F51F0000}"/>
    <cellStyle name="Comma 2 2 3 9 8" xfId="8185" xr:uid="{00000000-0005-0000-0000-0000F61F0000}"/>
    <cellStyle name="Comma 2 2 3 9 9" xfId="8186" xr:uid="{00000000-0005-0000-0000-0000F71F0000}"/>
    <cellStyle name="Comma 2 2 30" xfId="8187" xr:uid="{00000000-0005-0000-0000-0000F81F0000}"/>
    <cellStyle name="Comma 2 2 30 2" xfId="8188" xr:uid="{00000000-0005-0000-0000-0000F91F0000}"/>
    <cellStyle name="Comma 2 2 30 2 2" xfId="8189" xr:uid="{00000000-0005-0000-0000-0000FA1F0000}"/>
    <cellStyle name="Comma 2 2 30 2 2 2" xfId="8190" xr:uid="{00000000-0005-0000-0000-0000FB1F0000}"/>
    <cellStyle name="Comma 2 2 30 2 2 3" xfId="8191" xr:uid="{00000000-0005-0000-0000-0000FC1F0000}"/>
    <cellStyle name="Comma 2 2 30 2 3" xfId="8192" xr:uid="{00000000-0005-0000-0000-0000FD1F0000}"/>
    <cellStyle name="Comma 2 2 30 2 4" xfId="8193" xr:uid="{00000000-0005-0000-0000-0000FE1F0000}"/>
    <cellStyle name="Comma 2 2 30 2 5" xfId="8194" xr:uid="{00000000-0005-0000-0000-0000FF1F0000}"/>
    <cellStyle name="Comma 2 2 30 2 6" xfId="8195" xr:uid="{00000000-0005-0000-0000-000000200000}"/>
    <cellStyle name="Comma 2 2 30 3" xfId="8196" xr:uid="{00000000-0005-0000-0000-000001200000}"/>
    <cellStyle name="Comma 2 2 30 3 2" xfId="8197" xr:uid="{00000000-0005-0000-0000-000002200000}"/>
    <cellStyle name="Comma 2 2 30 3 2 2" xfId="8198" xr:uid="{00000000-0005-0000-0000-000003200000}"/>
    <cellStyle name="Comma 2 2 30 3 3" xfId="8199" xr:uid="{00000000-0005-0000-0000-000004200000}"/>
    <cellStyle name="Comma 2 2 30 3 4" xfId="8200" xr:uid="{00000000-0005-0000-0000-000005200000}"/>
    <cellStyle name="Comma 2 2 30 3 5" xfId="8201" xr:uid="{00000000-0005-0000-0000-000006200000}"/>
    <cellStyle name="Comma 2 2 30 4" xfId="8202" xr:uid="{00000000-0005-0000-0000-000007200000}"/>
    <cellStyle name="Comma 2 2 30 4 2" xfId="8203" xr:uid="{00000000-0005-0000-0000-000008200000}"/>
    <cellStyle name="Comma 2 2 30 4 3" xfId="8204" xr:uid="{00000000-0005-0000-0000-000009200000}"/>
    <cellStyle name="Comma 2 2 30 4 4" xfId="8205" xr:uid="{00000000-0005-0000-0000-00000A200000}"/>
    <cellStyle name="Comma 2 2 30 5" xfId="8206" xr:uid="{00000000-0005-0000-0000-00000B200000}"/>
    <cellStyle name="Comma 2 2 30 5 2" xfId="8207" xr:uid="{00000000-0005-0000-0000-00000C200000}"/>
    <cellStyle name="Comma 2 2 30 6" xfId="8208" xr:uid="{00000000-0005-0000-0000-00000D200000}"/>
    <cellStyle name="Comma 2 2 30 7" xfId="8209" xr:uid="{00000000-0005-0000-0000-00000E200000}"/>
    <cellStyle name="Comma 2 2 30 8" xfId="8210" xr:uid="{00000000-0005-0000-0000-00000F200000}"/>
    <cellStyle name="Comma 2 2 30 9" xfId="8211" xr:uid="{00000000-0005-0000-0000-000010200000}"/>
    <cellStyle name="Comma 2 2 31" xfId="8212" xr:uid="{00000000-0005-0000-0000-000011200000}"/>
    <cellStyle name="Comma 2 2 31 2" xfId="8213" xr:uid="{00000000-0005-0000-0000-000012200000}"/>
    <cellStyle name="Comma 2 2 31 2 2" xfId="8214" xr:uid="{00000000-0005-0000-0000-000013200000}"/>
    <cellStyle name="Comma 2 2 31 2 3" xfId="8215" xr:uid="{00000000-0005-0000-0000-000014200000}"/>
    <cellStyle name="Comma 2 2 31 3" xfId="8216" xr:uid="{00000000-0005-0000-0000-000015200000}"/>
    <cellStyle name="Comma 2 2 31 4" xfId="8217" xr:uid="{00000000-0005-0000-0000-000016200000}"/>
    <cellStyle name="Comma 2 2 31 5" xfId="8218" xr:uid="{00000000-0005-0000-0000-000017200000}"/>
    <cellStyle name="Comma 2 2 31 6" xfId="8219" xr:uid="{00000000-0005-0000-0000-000018200000}"/>
    <cellStyle name="Comma 2 2 32" xfId="8220" xr:uid="{00000000-0005-0000-0000-000019200000}"/>
    <cellStyle name="Comma 2 2 32 2" xfId="8221" xr:uid="{00000000-0005-0000-0000-00001A200000}"/>
    <cellStyle name="Comma 2 2 32 2 2" xfId="8222" xr:uid="{00000000-0005-0000-0000-00001B200000}"/>
    <cellStyle name="Comma 2 2 32 3" xfId="8223" xr:uid="{00000000-0005-0000-0000-00001C200000}"/>
    <cellStyle name="Comma 2 2 32 4" xfId="8224" xr:uid="{00000000-0005-0000-0000-00001D200000}"/>
    <cellStyle name="Comma 2 2 32 5" xfId="8225" xr:uid="{00000000-0005-0000-0000-00001E200000}"/>
    <cellStyle name="Comma 2 2 32 6" xfId="8226" xr:uid="{00000000-0005-0000-0000-00001F200000}"/>
    <cellStyle name="Comma 2 2 33" xfId="8227" xr:uid="{00000000-0005-0000-0000-000020200000}"/>
    <cellStyle name="Comma 2 2 33 2" xfId="8228" xr:uid="{00000000-0005-0000-0000-000021200000}"/>
    <cellStyle name="Comma 2 2 33 2 2" xfId="8229" xr:uid="{00000000-0005-0000-0000-000022200000}"/>
    <cellStyle name="Comma 2 2 33 3" xfId="8230" xr:uid="{00000000-0005-0000-0000-000023200000}"/>
    <cellStyle name="Comma 2 2 33 4" xfId="8231" xr:uid="{00000000-0005-0000-0000-000024200000}"/>
    <cellStyle name="Comma 2 2 33 5" xfId="8232" xr:uid="{00000000-0005-0000-0000-000025200000}"/>
    <cellStyle name="Comma 2 2 33 6" xfId="8233" xr:uid="{00000000-0005-0000-0000-000026200000}"/>
    <cellStyle name="Comma 2 2 34" xfId="8234" xr:uid="{00000000-0005-0000-0000-000027200000}"/>
    <cellStyle name="Comma 2 2 34 2" xfId="8235" xr:uid="{00000000-0005-0000-0000-000028200000}"/>
    <cellStyle name="Comma 2 2 34 3" xfId="8236" xr:uid="{00000000-0005-0000-0000-000029200000}"/>
    <cellStyle name="Comma 2 2 34 4" xfId="8237" xr:uid="{00000000-0005-0000-0000-00002A200000}"/>
    <cellStyle name="Comma 2 2 35" xfId="8238" xr:uid="{00000000-0005-0000-0000-00002B200000}"/>
    <cellStyle name="Comma 2 2 35 2" xfId="8239" xr:uid="{00000000-0005-0000-0000-00002C200000}"/>
    <cellStyle name="Comma 2 2 35 3" xfId="8240" xr:uid="{00000000-0005-0000-0000-00002D200000}"/>
    <cellStyle name="Comma 2 2 36" xfId="8241" xr:uid="{00000000-0005-0000-0000-00002E200000}"/>
    <cellStyle name="Comma 2 2 36 2" xfId="8242" xr:uid="{00000000-0005-0000-0000-00002F200000}"/>
    <cellStyle name="Comma 2 2 36 3" xfId="8243" xr:uid="{00000000-0005-0000-0000-000030200000}"/>
    <cellStyle name="Comma 2 2 37" xfId="8244" xr:uid="{00000000-0005-0000-0000-000031200000}"/>
    <cellStyle name="Comma 2 2 38" xfId="8245" xr:uid="{00000000-0005-0000-0000-000032200000}"/>
    <cellStyle name="Comma 2 2 39" xfId="8246" xr:uid="{00000000-0005-0000-0000-000033200000}"/>
    <cellStyle name="Comma 2 2 4" xfId="8247" xr:uid="{00000000-0005-0000-0000-000034200000}"/>
    <cellStyle name="Comma 2 2 4 10" xfId="8248" xr:uid="{00000000-0005-0000-0000-000035200000}"/>
    <cellStyle name="Comma 2 2 4 11" xfId="8249" xr:uid="{00000000-0005-0000-0000-000036200000}"/>
    <cellStyle name="Comma 2 2 4 2" xfId="8250" xr:uid="{00000000-0005-0000-0000-000037200000}"/>
    <cellStyle name="Comma 2 2 4 2 2" xfId="8251" xr:uid="{00000000-0005-0000-0000-000038200000}"/>
    <cellStyle name="Comma 2 2 4 2 2 2" xfId="8252" xr:uid="{00000000-0005-0000-0000-000039200000}"/>
    <cellStyle name="Comma 2 2 4 2 2 2 2" xfId="8253" xr:uid="{00000000-0005-0000-0000-00003A200000}"/>
    <cellStyle name="Comma 2 2 4 2 2 2 3" xfId="8254" xr:uid="{00000000-0005-0000-0000-00003B200000}"/>
    <cellStyle name="Comma 2 2 4 2 2 3" xfId="8255" xr:uid="{00000000-0005-0000-0000-00003C200000}"/>
    <cellStyle name="Comma 2 2 4 2 2 4" xfId="8256" xr:uid="{00000000-0005-0000-0000-00003D200000}"/>
    <cellStyle name="Comma 2 2 4 2 2 5" xfId="8257" xr:uid="{00000000-0005-0000-0000-00003E200000}"/>
    <cellStyle name="Comma 2 2 4 2 2 6" xfId="8258" xr:uid="{00000000-0005-0000-0000-00003F200000}"/>
    <cellStyle name="Comma 2 2 4 2 3" xfId="8259" xr:uid="{00000000-0005-0000-0000-000040200000}"/>
    <cellStyle name="Comma 2 2 4 2 3 2" xfId="8260" xr:uid="{00000000-0005-0000-0000-000041200000}"/>
    <cellStyle name="Comma 2 2 4 2 3 2 2" xfId="8261" xr:uid="{00000000-0005-0000-0000-000042200000}"/>
    <cellStyle name="Comma 2 2 4 2 3 3" xfId="8262" xr:uid="{00000000-0005-0000-0000-000043200000}"/>
    <cellStyle name="Comma 2 2 4 2 3 4" xfId="8263" xr:uid="{00000000-0005-0000-0000-000044200000}"/>
    <cellStyle name="Comma 2 2 4 2 3 5" xfId="8264" xr:uid="{00000000-0005-0000-0000-000045200000}"/>
    <cellStyle name="Comma 2 2 4 2 4" xfId="8265" xr:uid="{00000000-0005-0000-0000-000046200000}"/>
    <cellStyle name="Comma 2 2 4 2 4 2" xfId="8266" xr:uid="{00000000-0005-0000-0000-000047200000}"/>
    <cellStyle name="Comma 2 2 4 2 4 3" xfId="8267" xr:uid="{00000000-0005-0000-0000-000048200000}"/>
    <cellStyle name="Comma 2 2 4 2 4 4" xfId="8268" xr:uid="{00000000-0005-0000-0000-000049200000}"/>
    <cellStyle name="Comma 2 2 4 2 5" xfId="8269" xr:uid="{00000000-0005-0000-0000-00004A200000}"/>
    <cellStyle name="Comma 2 2 4 2 5 2" xfId="8270" xr:uid="{00000000-0005-0000-0000-00004B200000}"/>
    <cellStyle name="Comma 2 2 4 2 6" xfId="8271" xr:uid="{00000000-0005-0000-0000-00004C200000}"/>
    <cellStyle name="Comma 2 2 4 2 7" xfId="8272" xr:uid="{00000000-0005-0000-0000-00004D200000}"/>
    <cellStyle name="Comma 2 2 4 2 8" xfId="8273" xr:uid="{00000000-0005-0000-0000-00004E200000}"/>
    <cellStyle name="Comma 2 2 4 2 9" xfId="8274" xr:uid="{00000000-0005-0000-0000-00004F200000}"/>
    <cellStyle name="Comma 2 2 4 3" xfId="8275" xr:uid="{00000000-0005-0000-0000-000050200000}"/>
    <cellStyle name="Comma 2 2 4 3 2" xfId="8276" xr:uid="{00000000-0005-0000-0000-000051200000}"/>
    <cellStyle name="Comma 2 2 4 3 2 2" xfId="8277" xr:uid="{00000000-0005-0000-0000-000052200000}"/>
    <cellStyle name="Comma 2 2 4 3 2 2 2" xfId="8278" xr:uid="{00000000-0005-0000-0000-000053200000}"/>
    <cellStyle name="Comma 2 2 4 3 2 2 3" xfId="8279" xr:uid="{00000000-0005-0000-0000-000054200000}"/>
    <cellStyle name="Comma 2 2 4 3 2 3" xfId="8280" xr:uid="{00000000-0005-0000-0000-000055200000}"/>
    <cellStyle name="Comma 2 2 4 3 2 4" xfId="8281" xr:uid="{00000000-0005-0000-0000-000056200000}"/>
    <cellStyle name="Comma 2 2 4 3 2 5" xfId="8282" xr:uid="{00000000-0005-0000-0000-000057200000}"/>
    <cellStyle name="Comma 2 2 4 3 2 6" xfId="8283" xr:uid="{00000000-0005-0000-0000-000058200000}"/>
    <cellStyle name="Comma 2 2 4 3 3" xfId="8284" xr:uid="{00000000-0005-0000-0000-000059200000}"/>
    <cellStyle name="Comma 2 2 4 3 3 2" xfId="8285" xr:uid="{00000000-0005-0000-0000-00005A200000}"/>
    <cellStyle name="Comma 2 2 4 3 3 2 2" xfId="8286" xr:uid="{00000000-0005-0000-0000-00005B200000}"/>
    <cellStyle name="Comma 2 2 4 3 3 3" xfId="8287" xr:uid="{00000000-0005-0000-0000-00005C200000}"/>
    <cellStyle name="Comma 2 2 4 3 3 4" xfId="8288" xr:uid="{00000000-0005-0000-0000-00005D200000}"/>
    <cellStyle name="Comma 2 2 4 3 3 5" xfId="8289" xr:uid="{00000000-0005-0000-0000-00005E200000}"/>
    <cellStyle name="Comma 2 2 4 3 4" xfId="8290" xr:uid="{00000000-0005-0000-0000-00005F200000}"/>
    <cellStyle name="Comma 2 2 4 3 4 2" xfId="8291" xr:uid="{00000000-0005-0000-0000-000060200000}"/>
    <cellStyle name="Comma 2 2 4 3 4 3" xfId="8292" xr:uid="{00000000-0005-0000-0000-000061200000}"/>
    <cellStyle name="Comma 2 2 4 3 4 4" xfId="8293" xr:uid="{00000000-0005-0000-0000-000062200000}"/>
    <cellStyle name="Comma 2 2 4 3 5" xfId="8294" xr:uid="{00000000-0005-0000-0000-000063200000}"/>
    <cellStyle name="Comma 2 2 4 3 5 2" xfId="8295" xr:uid="{00000000-0005-0000-0000-000064200000}"/>
    <cellStyle name="Comma 2 2 4 3 6" xfId="8296" xr:uid="{00000000-0005-0000-0000-000065200000}"/>
    <cellStyle name="Comma 2 2 4 3 7" xfId="8297" xr:uid="{00000000-0005-0000-0000-000066200000}"/>
    <cellStyle name="Comma 2 2 4 3 8" xfId="8298" xr:uid="{00000000-0005-0000-0000-000067200000}"/>
    <cellStyle name="Comma 2 2 4 3 9" xfId="8299" xr:uid="{00000000-0005-0000-0000-000068200000}"/>
    <cellStyle name="Comma 2 2 4 4" xfId="8300" xr:uid="{00000000-0005-0000-0000-000069200000}"/>
    <cellStyle name="Comma 2 2 4 4 2" xfId="8301" xr:uid="{00000000-0005-0000-0000-00006A200000}"/>
    <cellStyle name="Comma 2 2 4 4 2 2" xfId="8302" xr:uid="{00000000-0005-0000-0000-00006B200000}"/>
    <cellStyle name="Comma 2 2 4 4 2 3" xfId="8303" xr:uid="{00000000-0005-0000-0000-00006C200000}"/>
    <cellStyle name="Comma 2 2 4 4 3" xfId="8304" xr:uid="{00000000-0005-0000-0000-00006D200000}"/>
    <cellStyle name="Comma 2 2 4 4 4" xfId="8305" xr:uid="{00000000-0005-0000-0000-00006E200000}"/>
    <cellStyle name="Comma 2 2 4 4 5" xfId="8306" xr:uid="{00000000-0005-0000-0000-00006F200000}"/>
    <cellStyle name="Comma 2 2 4 4 6" xfId="8307" xr:uid="{00000000-0005-0000-0000-000070200000}"/>
    <cellStyle name="Comma 2 2 4 5" xfId="8308" xr:uid="{00000000-0005-0000-0000-000071200000}"/>
    <cellStyle name="Comma 2 2 4 5 2" xfId="8309" xr:uid="{00000000-0005-0000-0000-000072200000}"/>
    <cellStyle name="Comma 2 2 4 5 2 2" xfId="8310" xr:uid="{00000000-0005-0000-0000-000073200000}"/>
    <cellStyle name="Comma 2 2 4 5 3" xfId="8311" xr:uid="{00000000-0005-0000-0000-000074200000}"/>
    <cellStyle name="Comma 2 2 4 5 4" xfId="8312" xr:uid="{00000000-0005-0000-0000-000075200000}"/>
    <cellStyle name="Comma 2 2 4 5 5" xfId="8313" xr:uid="{00000000-0005-0000-0000-000076200000}"/>
    <cellStyle name="Comma 2 2 4 6" xfId="8314" xr:uid="{00000000-0005-0000-0000-000077200000}"/>
    <cellStyle name="Comma 2 2 4 6 2" xfId="8315" xr:uid="{00000000-0005-0000-0000-000078200000}"/>
    <cellStyle name="Comma 2 2 4 6 3" xfId="8316" xr:uid="{00000000-0005-0000-0000-000079200000}"/>
    <cellStyle name="Comma 2 2 4 6 4" xfId="8317" xr:uid="{00000000-0005-0000-0000-00007A200000}"/>
    <cellStyle name="Comma 2 2 4 7" xfId="8318" xr:uid="{00000000-0005-0000-0000-00007B200000}"/>
    <cellStyle name="Comma 2 2 4 7 2" xfId="8319" xr:uid="{00000000-0005-0000-0000-00007C200000}"/>
    <cellStyle name="Comma 2 2 4 8" xfId="8320" xr:uid="{00000000-0005-0000-0000-00007D200000}"/>
    <cellStyle name="Comma 2 2 4 9" xfId="8321" xr:uid="{00000000-0005-0000-0000-00007E200000}"/>
    <cellStyle name="Comma 2 2 40" xfId="8322" xr:uid="{00000000-0005-0000-0000-00007F200000}"/>
    <cellStyle name="Comma 2 2 41" xfId="8323" xr:uid="{00000000-0005-0000-0000-000080200000}"/>
    <cellStyle name="Comma 2 2 42" xfId="8324" xr:uid="{00000000-0005-0000-0000-000081200000}"/>
    <cellStyle name="Comma 2 2 43" xfId="8325" xr:uid="{00000000-0005-0000-0000-000082200000}"/>
    <cellStyle name="Comma 2 2 44" xfId="8326" xr:uid="{00000000-0005-0000-0000-000083200000}"/>
    <cellStyle name="Comma 2 2 45" xfId="8327" xr:uid="{00000000-0005-0000-0000-000084200000}"/>
    <cellStyle name="Comma 2 2 46" xfId="8328" xr:uid="{00000000-0005-0000-0000-000085200000}"/>
    <cellStyle name="Comma 2 2 47" xfId="8329" xr:uid="{00000000-0005-0000-0000-000086200000}"/>
    <cellStyle name="Comma 2 2 48" xfId="8330" xr:uid="{00000000-0005-0000-0000-000087200000}"/>
    <cellStyle name="Comma 2 2 49" xfId="8331" xr:uid="{00000000-0005-0000-0000-000088200000}"/>
    <cellStyle name="Comma 2 2 5" xfId="8332" xr:uid="{00000000-0005-0000-0000-000089200000}"/>
    <cellStyle name="Comma 2 2 5 10" xfId="8333" xr:uid="{00000000-0005-0000-0000-00008A200000}"/>
    <cellStyle name="Comma 2 2 5 11" xfId="8334" xr:uid="{00000000-0005-0000-0000-00008B200000}"/>
    <cellStyle name="Comma 2 2 5 2" xfId="8335" xr:uid="{00000000-0005-0000-0000-00008C200000}"/>
    <cellStyle name="Comma 2 2 5 2 2" xfId="8336" xr:uid="{00000000-0005-0000-0000-00008D200000}"/>
    <cellStyle name="Comma 2 2 5 2 2 2" xfId="8337" xr:uid="{00000000-0005-0000-0000-00008E200000}"/>
    <cellStyle name="Comma 2 2 5 2 2 2 2" xfId="8338" xr:uid="{00000000-0005-0000-0000-00008F200000}"/>
    <cellStyle name="Comma 2 2 5 2 2 2 3" xfId="8339" xr:uid="{00000000-0005-0000-0000-000090200000}"/>
    <cellStyle name="Comma 2 2 5 2 2 3" xfId="8340" xr:uid="{00000000-0005-0000-0000-000091200000}"/>
    <cellStyle name="Comma 2 2 5 2 2 4" xfId="8341" xr:uid="{00000000-0005-0000-0000-000092200000}"/>
    <cellStyle name="Comma 2 2 5 2 2 5" xfId="8342" xr:uid="{00000000-0005-0000-0000-000093200000}"/>
    <cellStyle name="Comma 2 2 5 2 2 6" xfId="8343" xr:uid="{00000000-0005-0000-0000-000094200000}"/>
    <cellStyle name="Comma 2 2 5 2 3" xfId="8344" xr:uid="{00000000-0005-0000-0000-000095200000}"/>
    <cellStyle name="Comma 2 2 5 2 3 2" xfId="8345" xr:uid="{00000000-0005-0000-0000-000096200000}"/>
    <cellStyle name="Comma 2 2 5 2 3 2 2" xfId="8346" xr:uid="{00000000-0005-0000-0000-000097200000}"/>
    <cellStyle name="Comma 2 2 5 2 3 3" xfId="8347" xr:uid="{00000000-0005-0000-0000-000098200000}"/>
    <cellStyle name="Comma 2 2 5 2 3 4" xfId="8348" xr:uid="{00000000-0005-0000-0000-000099200000}"/>
    <cellStyle name="Comma 2 2 5 2 3 5" xfId="8349" xr:uid="{00000000-0005-0000-0000-00009A200000}"/>
    <cellStyle name="Comma 2 2 5 2 4" xfId="8350" xr:uid="{00000000-0005-0000-0000-00009B200000}"/>
    <cellStyle name="Comma 2 2 5 2 4 2" xfId="8351" xr:uid="{00000000-0005-0000-0000-00009C200000}"/>
    <cellStyle name="Comma 2 2 5 2 4 3" xfId="8352" xr:uid="{00000000-0005-0000-0000-00009D200000}"/>
    <cellStyle name="Comma 2 2 5 2 4 4" xfId="8353" xr:uid="{00000000-0005-0000-0000-00009E200000}"/>
    <cellStyle name="Comma 2 2 5 2 5" xfId="8354" xr:uid="{00000000-0005-0000-0000-00009F200000}"/>
    <cellStyle name="Comma 2 2 5 2 5 2" xfId="8355" xr:uid="{00000000-0005-0000-0000-0000A0200000}"/>
    <cellStyle name="Comma 2 2 5 2 6" xfId="8356" xr:uid="{00000000-0005-0000-0000-0000A1200000}"/>
    <cellStyle name="Comma 2 2 5 2 7" xfId="8357" xr:uid="{00000000-0005-0000-0000-0000A2200000}"/>
    <cellStyle name="Comma 2 2 5 2 8" xfId="8358" xr:uid="{00000000-0005-0000-0000-0000A3200000}"/>
    <cellStyle name="Comma 2 2 5 2 9" xfId="8359" xr:uid="{00000000-0005-0000-0000-0000A4200000}"/>
    <cellStyle name="Comma 2 2 5 3" xfId="8360" xr:uid="{00000000-0005-0000-0000-0000A5200000}"/>
    <cellStyle name="Comma 2 2 5 3 2" xfId="8361" xr:uid="{00000000-0005-0000-0000-0000A6200000}"/>
    <cellStyle name="Comma 2 2 5 3 2 2" xfId="8362" xr:uid="{00000000-0005-0000-0000-0000A7200000}"/>
    <cellStyle name="Comma 2 2 5 3 2 2 2" xfId="8363" xr:uid="{00000000-0005-0000-0000-0000A8200000}"/>
    <cellStyle name="Comma 2 2 5 3 2 2 3" xfId="8364" xr:uid="{00000000-0005-0000-0000-0000A9200000}"/>
    <cellStyle name="Comma 2 2 5 3 2 3" xfId="8365" xr:uid="{00000000-0005-0000-0000-0000AA200000}"/>
    <cellStyle name="Comma 2 2 5 3 2 4" xfId="8366" xr:uid="{00000000-0005-0000-0000-0000AB200000}"/>
    <cellStyle name="Comma 2 2 5 3 2 5" xfId="8367" xr:uid="{00000000-0005-0000-0000-0000AC200000}"/>
    <cellStyle name="Comma 2 2 5 3 2 6" xfId="8368" xr:uid="{00000000-0005-0000-0000-0000AD200000}"/>
    <cellStyle name="Comma 2 2 5 3 3" xfId="8369" xr:uid="{00000000-0005-0000-0000-0000AE200000}"/>
    <cellStyle name="Comma 2 2 5 3 3 2" xfId="8370" xr:uid="{00000000-0005-0000-0000-0000AF200000}"/>
    <cellStyle name="Comma 2 2 5 3 3 2 2" xfId="8371" xr:uid="{00000000-0005-0000-0000-0000B0200000}"/>
    <cellStyle name="Comma 2 2 5 3 3 3" xfId="8372" xr:uid="{00000000-0005-0000-0000-0000B1200000}"/>
    <cellStyle name="Comma 2 2 5 3 3 4" xfId="8373" xr:uid="{00000000-0005-0000-0000-0000B2200000}"/>
    <cellStyle name="Comma 2 2 5 3 3 5" xfId="8374" xr:uid="{00000000-0005-0000-0000-0000B3200000}"/>
    <cellStyle name="Comma 2 2 5 3 4" xfId="8375" xr:uid="{00000000-0005-0000-0000-0000B4200000}"/>
    <cellStyle name="Comma 2 2 5 3 4 2" xfId="8376" xr:uid="{00000000-0005-0000-0000-0000B5200000}"/>
    <cellStyle name="Comma 2 2 5 3 4 3" xfId="8377" xr:uid="{00000000-0005-0000-0000-0000B6200000}"/>
    <cellStyle name="Comma 2 2 5 3 4 4" xfId="8378" xr:uid="{00000000-0005-0000-0000-0000B7200000}"/>
    <cellStyle name="Comma 2 2 5 3 5" xfId="8379" xr:uid="{00000000-0005-0000-0000-0000B8200000}"/>
    <cellStyle name="Comma 2 2 5 3 5 2" xfId="8380" xr:uid="{00000000-0005-0000-0000-0000B9200000}"/>
    <cellStyle name="Comma 2 2 5 3 6" xfId="8381" xr:uid="{00000000-0005-0000-0000-0000BA200000}"/>
    <cellStyle name="Comma 2 2 5 3 7" xfId="8382" xr:uid="{00000000-0005-0000-0000-0000BB200000}"/>
    <cellStyle name="Comma 2 2 5 3 8" xfId="8383" xr:uid="{00000000-0005-0000-0000-0000BC200000}"/>
    <cellStyle name="Comma 2 2 5 3 9" xfId="8384" xr:uid="{00000000-0005-0000-0000-0000BD200000}"/>
    <cellStyle name="Comma 2 2 5 4" xfId="8385" xr:uid="{00000000-0005-0000-0000-0000BE200000}"/>
    <cellStyle name="Comma 2 2 5 4 2" xfId="8386" xr:uid="{00000000-0005-0000-0000-0000BF200000}"/>
    <cellStyle name="Comma 2 2 5 4 2 2" xfId="8387" xr:uid="{00000000-0005-0000-0000-0000C0200000}"/>
    <cellStyle name="Comma 2 2 5 4 2 3" xfId="8388" xr:uid="{00000000-0005-0000-0000-0000C1200000}"/>
    <cellStyle name="Comma 2 2 5 4 3" xfId="8389" xr:uid="{00000000-0005-0000-0000-0000C2200000}"/>
    <cellStyle name="Comma 2 2 5 4 4" xfId="8390" xr:uid="{00000000-0005-0000-0000-0000C3200000}"/>
    <cellStyle name="Comma 2 2 5 4 5" xfId="8391" xr:uid="{00000000-0005-0000-0000-0000C4200000}"/>
    <cellStyle name="Comma 2 2 5 4 6" xfId="8392" xr:uid="{00000000-0005-0000-0000-0000C5200000}"/>
    <cellStyle name="Comma 2 2 5 5" xfId="8393" xr:uid="{00000000-0005-0000-0000-0000C6200000}"/>
    <cellStyle name="Comma 2 2 5 5 2" xfId="8394" xr:uid="{00000000-0005-0000-0000-0000C7200000}"/>
    <cellStyle name="Comma 2 2 5 5 2 2" xfId="8395" xr:uid="{00000000-0005-0000-0000-0000C8200000}"/>
    <cellStyle name="Comma 2 2 5 5 3" xfId="8396" xr:uid="{00000000-0005-0000-0000-0000C9200000}"/>
    <cellStyle name="Comma 2 2 5 5 4" xfId="8397" xr:uid="{00000000-0005-0000-0000-0000CA200000}"/>
    <cellStyle name="Comma 2 2 5 5 5" xfId="8398" xr:uid="{00000000-0005-0000-0000-0000CB200000}"/>
    <cellStyle name="Comma 2 2 5 6" xfId="8399" xr:uid="{00000000-0005-0000-0000-0000CC200000}"/>
    <cellStyle name="Comma 2 2 5 6 2" xfId="8400" xr:uid="{00000000-0005-0000-0000-0000CD200000}"/>
    <cellStyle name="Comma 2 2 5 6 3" xfId="8401" xr:uid="{00000000-0005-0000-0000-0000CE200000}"/>
    <cellStyle name="Comma 2 2 5 6 4" xfId="8402" xr:uid="{00000000-0005-0000-0000-0000CF200000}"/>
    <cellStyle name="Comma 2 2 5 7" xfId="8403" xr:uid="{00000000-0005-0000-0000-0000D0200000}"/>
    <cellStyle name="Comma 2 2 5 7 2" xfId="8404" xr:uid="{00000000-0005-0000-0000-0000D1200000}"/>
    <cellStyle name="Comma 2 2 5 8" xfId="8405" xr:uid="{00000000-0005-0000-0000-0000D2200000}"/>
    <cellStyle name="Comma 2 2 5 9" xfId="8406" xr:uid="{00000000-0005-0000-0000-0000D3200000}"/>
    <cellStyle name="Comma 2 2 50" xfId="8407" xr:uid="{00000000-0005-0000-0000-0000D4200000}"/>
    <cellStyle name="Comma 2 2 51" xfId="8408" xr:uid="{00000000-0005-0000-0000-0000D5200000}"/>
    <cellStyle name="Comma 2 2 52" xfId="8409" xr:uid="{00000000-0005-0000-0000-0000D6200000}"/>
    <cellStyle name="Comma 2 2 53" xfId="8410" xr:uid="{00000000-0005-0000-0000-0000D7200000}"/>
    <cellStyle name="Comma 2 2 54" xfId="8411" xr:uid="{00000000-0005-0000-0000-0000D8200000}"/>
    <cellStyle name="Comma 2 2 55" xfId="8412" xr:uid="{00000000-0005-0000-0000-0000D9200000}"/>
    <cellStyle name="Comma 2 2 6" xfId="8413" xr:uid="{00000000-0005-0000-0000-0000DA200000}"/>
    <cellStyle name="Comma 2 2 6 10" xfId="8414" xr:uid="{00000000-0005-0000-0000-0000DB200000}"/>
    <cellStyle name="Comma 2 2 6 11" xfId="8415" xr:uid="{00000000-0005-0000-0000-0000DC200000}"/>
    <cellStyle name="Comma 2 2 6 2" xfId="8416" xr:uid="{00000000-0005-0000-0000-0000DD200000}"/>
    <cellStyle name="Comma 2 2 6 2 2" xfId="8417" xr:uid="{00000000-0005-0000-0000-0000DE200000}"/>
    <cellStyle name="Comma 2 2 6 2 2 2" xfId="8418" xr:uid="{00000000-0005-0000-0000-0000DF200000}"/>
    <cellStyle name="Comma 2 2 6 2 2 2 2" xfId="8419" xr:uid="{00000000-0005-0000-0000-0000E0200000}"/>
    <cellStyle name="Comma 2 2 6 2 2 2 3" xfId="8420" xr:uid="{00000000-0005-0000-0000-0000E1200000}"/>
    <cellStyle name="Comma 2 2 6 2 2 3" xfId="8421" xr:uid="{00000000-0005-0000-0000-0000E2200000}"/>
    <cellStyle name="Comma 2 2 6 2 2 4" xfId="8422" xr:uid="{00000000-0005-0000-0000-0000E3200000}"/>
    <cellStyle name="Comma 2 2 6 2 2 5" xfId="8423" xr:uid="{00000000-0005-0000-0000-0000E4200000}"/>
    <cellStyle name="Comma 2 2 6 2 2 6" xfId="8424" xr:uid="{00000000-0005-0000-0000-0000E5200000}"/>
    <cellStyle name="Comma 2 2 6 2 3" xfId="8425" xr:uid="{00000000-0005-0000-0000-0000E6200000}"/>
    <cellStyle name="Comma 2 2 6 2 3 2" xfId="8426" xr:uid="{00000000-0005-0000-0000-0000E7200000}"/>
    <cellStyle name="Comma 2 2 6 2 3 2 2" xfId="8427" xr:uid="{00000000-0005-0000-0000-0000E8200000}"/>
    <cellStyle name="Comma 2 2 6 2 3 3" xfId="8428" xr:uid="{00000000-0005-0000-0000-0000E9200000}"/>
    <cellStyle name="Comma 2 2 6 2 3 4" xfId="8429" xr:uid="{00000000-0005-0000-0000-0000EA200000}"/>
    <cellStyle name="Comma 2 2 6 2 3 5" xfId="8430" xr:uid="{00000000-0005-0000-0000-0000EB200000}"/>
    <cellStyle name="Comma 2 2 6 2 4" xfId="8431" xr:uid="{00000000-0005-0000-0000-0000EC200000}"/>
    <cellStyle name="Comma 2 2 6 2 4 2" xfId="8432" xr:uid="{00000000-0005-0000-0000-0000ED200000}"/>
    <cellStyle name="Comma 2 2 6 2 4 3" xfId="8433" xr:uid="{00000000-0005-0000-0000-0000EE200000}"/>
    <cellStyle name="Comma 2 2 6 2 4 4" xfId="8434" xr:uid="{00000000-0005-0000-0000-0000EF200000}"/>
    <cellStyle name="Comma 2 2 6 2 5" xfId="8435" xr:uid="{00000000-0005-0000-0000-0000F0200000}"/>
    <cellStyle name="Comma 2 2 6 2 5 2" xfId="8436" xr:uid="{00000000-0005-0000-0000-0000F1200000}"/>
    <cellStyle name="Comma 2 2 6 2 6" xfId="8437" xr:uid="{00000000-0005-0000-0000-0000F2200000}"/>
    <cellStyle name="Comma 2 2 6 2 7" xfId="8438" xr:uid="{00000000-0005-0000-0000-0000F3200000}"/>
    <cellStyle name="Comma 2 2 6 2 8" xfId="8439" xr:uid="{00000000-0005-0000-0000-0000F4200000}"/>
    <cellStyle name="Comma 2 2 6 2 9" xfId="8440" xr:uid="{00000000-0005-0000-0000-0000F5200000}"/>
    <cellStyle name="Comma 2 2 6 3" xfId="8441" xr:uid="{00000000-0005-0000-0000-0000F6200000}"/>
    <cellStyle name="Comma 2 2 6 3 2" xfId="8442" xr:uid="{00000000-0005-0000-0000-0000F7200000}"/>
    <cellStyle name="Comma 2 2 6 3 2 2" xfId="8443" xr:uid="{00000000-0005-0000-0000-0000F8200000}"/>
    <cellStyle name="Comma 2 2 6 3 2 2 2" xfId="8444" xr:uid="{00000000-0005-0000-0000-0000F9200000}"/>
    <cellStyle name="Comma 2 2 6 3 2 2 3" xfId="8445" xr:uid="{00000000-0005-0000-0000-0000FA200000}"/>
    <cellStyle name="Comma 2 2 6 3 2 3" xfId="8446" xr:uid="{00000000-0005-0000-0000-0000FB200000}"/>
    <cellStyle name="Comma 2 2 6 3 2 4" xfId="8447" xr:uid="{00000000-0005-0000-0000-0000FC200000}"/>
    <cellStyle name="Comma 2 2 6 3 2 5" xfId="8448" xr:uid="{00000000-0005-0000-0000-0000FD200000}"/>
    <cellStyle name="Comma 2 2 6 3 2 6" xfId="8449" xr:uid="{00000000-0005-0000-0000-0000FE200000}"/>
    <cellStyle name="Comma 2 2 6 3 3" xfId="8450" xr:uid="{00000000-0005-0000-0000-0000FF200000}"/>
    <cellStyle name="Comma 2 2 6 3 3 2" xfId="8451" xr:uid="{00000000-0005-0000-0000-000000210000}"/>
    <cellStyle name="Comma 2 2 6 3 3 2 2" xfId="8452" xr:uid="{00000000-0005-0000-0000-000001210000}"/>
    <cellStyle name="Comma 2 2 6 3 3 3" xfId="8453" xr:uid="{00000000-0005-0000-0000-000002210000}"/>
    <cellStyle name="Comma 2 2 6 3 3 4" xfId="8454" xr:uid="{00000000-0005-0000-0000-000003210000}"/>
    <cellStyle name="Comma 2 2 6 3 3 5" xfId="8455" xr:uid="{00000000-0005-0000-0000-000004210000}"/>
    <cellStyle name="Comma 2 2 6 3 4" xfId="8456" xr:uid="{00000000-0005-0000-0000-000005210000}"/>
    <cellStyle name="Comma 2 2 6 3 4 2" xfId="8457" xr:uid="{00000000-0005-0000-0000-000006210000}"/>
    <cellStyle name="Comma 2 2 6 3 4 3" xfId="8458" xr:uid="{00000000-0005-0000-0000-000007210000}"/>
    <cellStyle name="Comma 2 2 6 3 4 4" xfId="8459" xr:uid="{00000000-0005-0000-0000-000008210000}"/>
    <cellStyle name="Comma 2 2 6 3 5" xfId="8460" xr:uid="{00000000-0005-0000-0000-000009210000}"/>
    <cellStyle name="Comma 2 2 6 3 5 2" xfId="8461" xr:uid="{00000000-0005-0000-0000-00000A210000}"/>
    <cellStyle name="Comma 2 2 6 3 6" xfId="8462" xr:uid="{00000000-0005-0000-0000-00000B210000}"/>
    <cellStyle name="Comma 2 2 6 3 7" xfId="8463" xr:uid="{00000000-0005-0000-0000-00000C210000}"/>
    <cellStyle name="Comma 2 2 6 3 8" xfId="8464" xr:uid="{00000000-0005-0000-0000-00000D210000}"/>
    <cellStyle name="Comma 2 2 6 3 9" xfId="8465" xr:uid="{00000000-0005-0000-0000-00000E210000}"/>
    <cellStyle name="Comma 2 2 6 4" xfId="8466" xr:uid="{00000000-0005-0000-0000-00000F210000}"/>
    <cellStyle name="Comma 2 2 6 4 2" xfId="8467" xr:uid="{00000000-0005-0000-0000-000010210000}"/>
    <cellStyle name="Comma 2 2 6 4 2 2" xfId="8468" xr:uid="{00000000-0005-0000-0000-000011210000}"/>
    <cellStyle name="Comma 2 2 6 4 2 3" xfId="8469" xr:uid="{00000000-0005-0000-0000-000012210000}"/>
    <cellStyle name="Comma 2 2 6 4 3" xfId="8470" xr:uid="{00000000-0005-0000-0000-000013210000}"/>
    <cellStyle name="Comma 2 2 6 4 4" xfId="8471" xr:uid="{00000000-0005-0000-0000-000014210000}"/>
    <cellStyle name="Comma 2 2 6 4 5" xfId="8472" xr:uid="{00000000-0005-0000-0000-000015210000}"/>
    <cellStyle name="Comma 2 2 6 4 6" xfId="8473" xr:uid="{00000000-0005-0000-0000-000016210000}"/>
    <cellStyle name="Comma 2 2 6 5" xfId="8474" xr:uid="{00000000-0005-0000-0000-000017210000}"/>
    <cellStyle name="Comma 2 2 6 5 2" xfId="8475" xr:uid="{00000000-0005-0000-0000-000018210000}"/>
    <cellStyle name="Comma 2 2 6 5 2 2" xfId="8476" xr:uid="{00000000-0005-0000-0000-000019210000}"/>
    <cellStyle name="Comma 2 2 6 5 3" xfId="8477" xr:uid="{00000000-0005-0000-0000-00001A210000}"/>
    <cellStyle name="Comma 2 2 6 5 4" xfId="8478" xr:uid="{00000000-0005-0000-0000-00001B210000}"/>
    <cellStyle name="Comma 2 2 6 5 5" xfId="8479" xr:uid="{00000000-0005-0000-0000-00001C210000}"/>
    <cellStyle name="Comma 2 2 6 6" xfId="8480" xr:uid="{00000000-0005-0000-0000-00001D210000}"/>
    <cellStyle name="Comma 2 2 6 6 2" xfId="8481" xr:uid="{00000000-0005-0000-0000-00001E210000}"/>
    <cellStyle name="Comma 2 2 6 6 3" xfId="8482" xr:uid="{00000000-0005-0000-0000-00001F210000}"/>
    <cellStyle name="Comma 2 2 6 6 4" xfId="8483" xr:uid="{00000000-0005-0000-0000-000020210000}"/>
    <cellStyle name="Comma 2 2 6 7" xfId="8484" xr:uid="{00000000-0005-0000-0000-000021210000}"/>
    <cellStyle name="Comma 2 2 6 7 2" xfId="8485" xr:uid="{00000000-0005-0000-0000-000022210000}"/>
    <cellStyle name="Comma 2 2 6 8" xfId="8486" xr:uid="{00000000-0005-0000-0000-000023210000}"/>
    <cellStyle name="Comma 2 2 6 9" xfId="8487" xr:uid="{00000000-0005-0000-0000-000024210000}"/>
    <cellStyle name="Comma 2 2 7" xfId="8488" xr:uid="{00000000-0005-0000-0000-000025210000}"/>
    <cellStyle name="Comma 2 2 7 10" xfId="8489" xr:uid="{00000000-0005-0000-0000-000026210000}"/>
    <cellStyle name="Comma 2 2 7 11" xfId="8490" xr:uid="{00000000-0005-0000-0000-000027210000}"/>
    <cellStyle name="Comma 2 2 7 2" xfId="8491" xr:uid="{00000000-0005-0000-0000-000028210000}"/>
    <cellStyle name="Comma 2 2 7 2 2" xfId="8492" xr:uid="{00000000-0005-0000-0000-000029210000}"/>
    <cellStyle name="Comma 2 2 7 2 2 2" xfId="8493" xr:uid="{00000000-0005-0000-0000-00002A210000}"/>
    <cellStyle name="Comma 2 2 7 2 2 2 2" xfId="8494" xr:uid="{00000000-0005-0000-0000-00002B210000}"/>
    <cellStyle name="Comma 2 2 7 2 2 2 3" xfId="8495" xr:uid="{00000000-0005-0000-0000-00002C210000}"/>
    <cellStyle name="Comma 2 2 7 2 2 3" xfId="8496" xr:uid="{00000000-0005-0000-0000-00002D210000}"/>
    <cellStyle name="Comma 2 2 7 2 2 4" xfId="8497" xr:uid="{00000000-0005-0000-0000-00002E210000}"/>
    <cellStyle name="Comma 2 2 7 2 2 5" xfId="8498" xr:uid="{00000000-0005-0000-0000-00002F210000}"/>
    <cellStyle name="Comma 2 2 7 2 2 6" xfId="8499" xr:uid="{00000000-0005-0000-0000-000030210000}"/>
    <cellStyle name="Comma 2 2 7 2 3" xfId="8500" xr:uid="{00000000-0005-0000-0000-000031210000}"/>
    <cellStyle name="Comma 2 2 7 2 3 2" xfId="8501" xr:uid="{00000000-0005-0000-0000-000032210000}"/>
    <cellStyle name="Comma 2 2 7 2 3 2 2" xfId="8502" xr:uid="{00000000-0005-0000-0000-000033210000}"/>
    <cellStyle name="Comma 2 2 7 2 3 3" xfId="8503" xr:uid="{00000000-0005-0000-0000-000034210000}"/>
    <cellStyle name="Comma 2 2 7 2 3 4" xfId="8504" xr:uid="{00000000-0005-0000-0000-000035210000}"/>
    <cellStyle name="Comma 2 2 7 2 3 5" xfId="8505" xr:uid="{00000000-0005-0000-0000-000036210000}"/>
    <cellStyle name="Comma 2 2 7 2 4" xfId="8506" xr:uid="{00000000-0005-0000-0000-000037210000}"/>
    <cellStyle name="Comma 2 2 7 2 4 2" xfId="8507" xr:uid="{00000000-0005-0000-0000-000038210000}"/>
    <cellStyle name="Comma 2 2 7 2 4 3" xfId="8508" xr:uid="{00000000-0005-0000-0000-000039210000}"/>
    <cellStyle name="Comma 2 2 7 2 4 4" xfId="8509" xr:uid="{00000000-0005-0000-0000-00003A210000}"/>
    <cellStyle name="Comma 2 2 7 2 5" xfId="8510" xr:uid="{00000000-0005-0000-0000-00003B210000}"/>
    <cellStyle name="Comma 2 2 7 2 5 2" xfId="8511" xr:uid="{00000000-0005-0000-0000-00003C210000}"/>
    <cellStyle name="Comma 2 2 7 2 6" xfId="8512" xr:uid="{00000000-0005-0000-0000-00003D210000}"/>
    <cellStyle name="Comma 2 2 7 2 7" xfId="8513" xr:uid="{00000000-0005-0000-0000-00003E210000}"/>
    <cellStyle name="Comma 2 2 7 2 8" xfId="8514" xr:uid="{00000000-0005-0000-0000-00003F210000}"/>
    <cellStyle name="Comma 2 2 7 2 9" xfId="8515" xr:uid="{00000000-0005-0000-0000-000040210000}"/>
    <cellStyle name="Comma 2 2 7 3" xfId="8516" xr:uid="{00000000-0005-0000-0000-000041210000}"/>
    <cellStyle name="Comma 2 2 7 3 2" xfId="8517" xr:uid="{00000000-0005-0000-0000-000042210000}"/>
    <cellStyle name="Comma 2 2 7 3 2 2" xfId="8518" xr:uid="{00000000-0005-0000-0000-000043210000}"/>
    <cellStyle name="Comma 2 2 7 3 2 2 2" xfId="8519" xr:uid="{00000000-0005-0000-0000-000044210000}"/>
    <cellStyle name="Comma 2 2 7 3 2 2 3" xfId="8520" xr:uid="{00000000-0005-0000-0000-000045210000}"/>
    <cellStyle name="Comma 2 2 7 3 2 3" xfId="8521" xr:uid="{00000000-0005-0000-0000-000046210000}"/>
    <cellStyle name="Comma 2 2 7 3 2 4" xfId="8522" xr:uid="{00000000-0005-0000-0000-000047210000}"/>
    <cellStyle name="Comma 2 2 7 3 2 5" xfId="8523" xr:uid="{00000000-0005-0000-0000-000048210000}"/>
    <cellStyle name="Comma 2 2 7 3 2 6" xfId="8524" xr:uid="{00000000-0005-0000-0000-000049210000}"/>
    <cellStyle name="Comma 2 2 7 3 3" xfId="8525" xr:uid="{00000000-0005-0000-0000-00004A210000}"/>
    <cellStyle name="Comma 2 2 7 3 3 2" xfId="8526" xr:uid="{00000000-0005-0000-0000-00004B210000}"/>
    <cellStyle name="Comma 2 2 7 3 3 2 2" xfId="8527" xr:uid="{00000000-0005-0000-0000-00004C210000}"/>
    <cellStyle name="Comma 2 2 7 3 3 3" xfId="8528" xr:uid="{00000000-0005-0000-0000-00004D210000}"/>
    <cellStyle name="Comma 2 2 7 3 3 4" xfId="8529" xr:uid="{00000000-0005-0000-0000-00004E210000}"/>
    <cellStyle name="Comma 2 2 7 3 3 5" xfId="8530" xr:uid="{00000000-0005-0000-0000-00004F210000}"/>
    <cellStyle name="Comma 2 2 7 3 4" xfId="8531" xr:uid="{00000000-0005-0000-0000-000050210000}"/>
    <cellStyle name="Comma 2 2 7 3 4 2" xfId="8532" xr:uid="{00000000-0005-0000-0000-000051210000}"/>
    <cellStyle name="Comma 2 2 7 3 4 3" xfId="8533" xr:uid="{00000000-0005-0000-0000-000052210000}"/>
    <cellStyle name="Comma 2 2 7 3 4 4" xfId="8534" xr:uid="{00000000-0005-0000-0000-000053210000}"/>
    <cellStyle name="Comma 2 2 7 3 5" xfId="8535" xr:uid="{00000000-0005-0000-0000-000054210000}"/>
    <cellStyle name="Comma 2 2 7 3 5 2" xfId="8536" xr:uid="{00000000-0005-0000-0000-000055210000}"/>
    <cellStyle name="Comma 2 2 7 3 6" xfId="8537" xr:uid="{00000000-0005-0000-0000-000056210000}"/>
    <cellStyle name="Comma 2 2 7 3 7" xfId="8538" xr:uid="{00000000-0005-0000-0000-000057210000}"/>
    <cellStyle name="Comma 2 2 7 3 8" xfId="8539" xr:uid="{00000000-0005-0000-0000-000058210000}"/>
    <cellStyle name="Comma 2 2 7 3 9" xfId="8540" xr:uid="{00000000-0005-0000-0000-000059210000}"/>
    <cellStyle name="Comma 2 2 7 4" xfId="8541" xr:uid="{00000000-0005-0000-0000-00005A210000}"/>
    <cellStyle name="Comma 2 2 7 4 2" xfId="8542" xr:uid="{00000000-0005-0000-0000-00005B210000}"/>
    <cellStyle name="Comma 2 2 7 4 2 2" xfId="8543" xr:uid="{00000000-0005-0000-0000-00005C210000}"/>
    <cellStyle name="Comma 2 2 7 4 2 3" xfId="8544" xr:uid="{00000000-0005-0000-0000-00005D210000}"/>
    <cellStyle name="Comma 2 2 7 4 3" xfId="8545" xr:uid="{00000000-0005-0000-0000-00005E210000}"/>
    <cellStyle name="Comma 2 2 7 4 4" xfId="8546" xr:uid="{00000000-0005-0000-0000-00005F210000}"/>
    <cellStyle name="Comma 2 2 7 4 5" xfId="8547" xr:uid="{00000000-0005-0000-0000-000060210000}"/>
    <cellStyle name="Comma 2 2 7 4 6" xfId="8548" xr:uid="{00000000-0005-0000-0000-000061210000}"/>
    <cellStyle name="Comma 2 2 7 5" xfId="8549" xr:uid="{00000000-0005-0000-0000-000062210000}"/>
    <cellStyle name="Comma 2 2 7 5 2" xfId="8550" xr:uid="{00000000-0005-0000-0000-000063210000}"/>
    <cellStyle name="Comma 2 2 7 5 2 2" xfId="8551" xr:uid="{00000000-0005-0000-0000-000064210000}"/>
    <cellStyle name="Comma 2 2 7 5 3" xfId="8552" xr:uid="{00000000-0005-0000-0000-000065210000}"/>
    <cellStyle name="Comma 2 2 7 5 4" xfId="8553" xr:uid="{00000000-0005-0000-0000-000066210000}"/>
    <cellStyle name="Comma 2 2 7 5 5" xfId="8554" xr:uid="{00000000-0005-0000-0000-000067210000}"/>
    <cellStyle name="Comma 2 2 7 6" xfId="8555" xr:uid="{00000000-0005-0000-0000-000068210000}"/>
    <cellStyle name="Comma 2 2 7 6 2" xfId="8556" xr:uid="{00000000-0005-0000-0000-000069210000}"/>
    <cellStyle name="Comma 2 2 7 6 3" xfId="8557" xr:uid="{00000000-0005-0000-0000-00006A210000}"/>
    <cellStyle name="Comma 2 2 7 6 4" xfId="8558" xr:uid="{00000000-0005-0000-0000-00006B210000}"/>
    <cellStyle name="Comma 2 2 7 7" xfId="8559" xr:uid="{00000000-0005-0000-0000-00006C210000}"/>
    <cellStyle name="Comma 2 2 7 7 2" xfId="8560" xr:uid="{00000000-0005-0000-0000-00006D210000}"/>
    <cellStyle name="Comma 2 2 7 8" xfId="8561" xr:uid="{00000000-0005-0000-0000-00006E210000}"/>
    <cellStyle name="Comma 2 2 7 9" xfId="8562" xr:uid="{00000000-0005-0000-0000-00006F210000}"/>
    <cellStyle name="Comma 2 2 8" xfId="8563" xr:uid="{00000000-0005-0000-0000-000070210000}"/>
    <cellStyle name="Comma 2 2 8 10" xfId="8564" xr:uid="{00000000-0005-0000-0000-000071210000}"/>
    <cellStyle name="Comma 2 2 8 11" xfId="8565" xr:uid="{00000000-0005-0000-0000-000072210000}"/>
    <cellStyle name="Comma 2 2 8 2" xfId="8566" xr:uid="{00000000-0005-0000-0000-000073210000}"/>
    <cellStyle name="Comma 2 2 8 2 2" xfId="8567" xr:uid="{00000000-0005-0000-0000-000074210000}"/>
    <cellStyle name="Comma 2 2 8 2 2 2" xfId="8568" xr:uid="{00000000-0005-0000-0000-000075210000}"/>
    <cellStyle name="Comma 2 2 8 2 2 2 2" xfId="8569" xr:uid="{00000000-0005-0000-0000-000076210000}"/>
    <cellStyle name="Comma 2 2 8 2 2 2 3" xfId="8570" xr:uid="{00000000-0005-0000-0000-000077210000}"/>
    <cellStyle name="Comma 2 2 8 2 2 3" xfId="8571" xr:uid="{00000000-0005-0000-0000-000078210000}"/>
    <cellStyle name="Comma 2 2 8 2 2 4" xfId="8572" xr:uid="{00000000-0005-0000-0000-000079210000}"/>
    <cellStyle name="Comma 2 2 8 2 2 5" xfId="8573" xr:uid="{00000000-0005-0000-0000-00007A210000}"/>
    <cellStyle name="Comma 2 2 8 2 2 6" xfId="8574" xr:uid="{00000000-0005-0000-0000-00007B210000}"/>
    <cellStyle name="Comma 2 2 8 2 3" xfId="8575" xr:uid="{00000000-0005-0000-0000-00007C210000}"/>
    <cellStyle name="Comma 2 2 8 2 3 2" xfId="8576" xr:uid="{00000000-0005-0000-0000-00007D210000}"/>
    <cellStyle name="Comma 2 2 8 2 3 2 2" xfId="8577" xr:uid="{00000000-0005-0000-0000-00007E210000}"/>
    <cellStyle name="Comma 2 2 8 2 3 3" xfId="8578" xr:uid="{00000000-0005-0000-0000-00007F210000}"/>
    <cellStyle name="Comma 2 2 8 2 3 4" xfId="8579" xr:uid="{00000000-0005-0000-0000-000080210000}"/>
    <cellStyle name="Comma 2 2 8 2 3 5" xfId="8580" xr:uid="{00000000-0005-0000-0000-000081210000}"/>
    <cellStyle name="Comma 2 2 8 2 4" xfId="8581" xr:uid="{00000000-0005-0000-0000-000082210000}"/>
    <cellStyle name="Comma 2 2 8 2 4 2" xfId="8582" xr:uid="{00000000-0005-0000-0000-000083210000}"/>
    <cellStyle name="Comma 2 2 8 2 4 3" xfId="8583" xr:uid="{00000000-0005-0000-0000-000084210000}"/>
    <cellStyle name="Comma 2 2 8 2 4 4" xfId="8584" xr:uid="{00000000-0005-0000-0000-000085210000}"/>
    <cellStyle name="Comma 2 2 8 2 5" xfId="8585" xr:uid="{00000000-0005-0000-0000-000086210000}"/>
    <cellStyle name="Comma 2 2 8 2 5 2" xfId="8586" xr:uid="{00000000-0005-0000-0000-000087210000}"/>
    <cellStyle name="Comma 2 2 8 2 6" xfId="8587" xr:uid="{00000000-0005-0000-0000-000088210000}"/>
    <cellStyle name="Comma 2 2 8 2 7" xfId="8588" xr:uid="{00000000-0005-0000-0000-000089210000}"/>
    <cellStyle name="Comma 2 2 8 2 8" xfId="8589" xr:uid="{00000000-0005-0000-0000-00008A210000}"/>
    <cellStyle name="Comma 2 2 8 2 9" xfId="8590" xr:uid="{00000000-0005-0000-0000-00008B210000}"/>
    <cellStyle name="Comma 2 2 8 3" xfId="8591" xr:uid="{00000000-0005-0000-0000-00008C210000}"/>
    <cellStyle name="Comma 2 2 8 3 2" xfId="8592" xr:uid="{00000000-0005-0000-0000-00008D210000}"/>
    <cellStyle name="Comma 2 2 8 3 2 2" xfId="8593" xr:uid="{00000000-0005-0000-0000-00008E210000}"/>
    <cellStyle name="Comma 2 2 8 3 2 2 2" xfId="8594" xr:uid="{00000000-0005-0000-0000-00008F210000}"/>
    <cellStyle name="Comma 2 2 8 3 2 2 3" xfId="8595" xr:uid="{00000000-0005-0000-0000-000090210000}"/>
    <cellStyle name="Comma 2 2 8 3 2 3" xfId="8596" xr:uid="{00000000-0005-0000-0000-000091210000}"/>
    <cellStyle name="Comma 2 2 8 3 2 4" xfId="8597" xr:uid="{00000000-0005-0000-0000-000092210000}"/>
    <cellStyle name="Comma 2 2 8 3 2 5" xfId="8598" xr:uid="{00000000-0005-0000-0000-000093210000}"/>
    <cellStyle name="Comma 2 2 8 3 2 6" xfId="8599" xr:uid="{00000000-0005-0000-0000-000094210000}"/>
    <cellStyle name="Comma 2 2 8 3 3" xfId="8600" xr:uid="{00000000-0005-0000-0000-000095210000}"/>
    <cellStyle name="Comma 2 2 8 3 3 2" xfId="8601" xr:uid="{00000000-0005-0000-0000-000096210000}"/>
    <cellStyle name="Comma 2 2 8 3 3 2 2" xfId="8602" xr:uid="{00000000-0005-0000-0000-000097210000}"/>
    <cellStyle name="Comma 2 2 8 3 3 3" xfId="8603" xr:uid="{00000000-0005-0000-0000-000098210000}"/>
    <cellStyle name="Comma 2 2 8 3 3 4" xfId="8604" xr:uid="{00000000-0005-0000-0000-000099210000}"/>
    <cellStyle name="Comma 2 2 8 3 3 5" xfId="8605" xr:uid="{00000000-0005-0000-0000-00009A210000}"/>
    <cellStyle name="Comma 2 2 8 3 4" xfId="8606" xr:uid="{00000000-0005-0000-0000-00009B210000}"/>
    <cellStyle name="Comma 2 2 8 3 4 2" xfId="8607" xr:uid="{00000000-0005-0000-0000-00009C210000}"/>
    <cellStyle name="Comma 2 2 8 3 4 3" xfId="8608" xr:uid="{00000000-0005-0000-0000-00009D210000}"/>
    <cellStyle name="Comma 2 2 8 3 4 4" xfId="8609" xr:uid="{00000000-0005-0000-0000-00009E210000}"/>
    <cellStyle name="Comma 2 2 8 3 5" xfId="8610" xr:uid="{00000000-0005-0000-0000-00009F210000}"/>
    <cellStyle name="Comma 2 2 8 3 5 2" xfId="8611" xr:uid="{00000000-0005-0000-0000-0000A0210000}"/>
    <cellStyle name="Comma 2 2 8 3 6" xfId="8612" xr:uid="{00000000-0005-0000-0000-0000A1210000}"/>
    <cellStyle name="Comma 2 2 8 3 7" xfId="8613" xr:uid="{00000000-0005-0000-0000-0000A2210000}"/>
    <cellStyle name="Comma 2 2 8 3 8" xfId="8614" xr:uid="{00000000-0005-0000-0000-0000A3210000}"/>
    <cellStyle name="Comma 2 2 8 3 9" xfId="8615" xr:uid="{00000000-0005-0000-0000-0000A4210000}"/>
    <cellStyle name="Comma 2 2 8 4" xfId="8616" xr:uid="{00000000-0005-0000-0000-0000A5210000}"/>
    <cellStyle name="Comma 2 2 8 4 2" xfId="8617" xr:uid="{00000000-0005-0000-0000-0000A6210000}"/>
    <cellStyle name="Comma 2 2 8 4 2 2" xfId="8618" xr:uid="{00000000-0005-0000-0000-0000A7210000}"/>
    <cellStyle name="Comma 2 2 8 4 2 3" xfId="8619" xr:uid="{00000000-0005-0000-0000-0000A8210000}"/>
    <cellStyle name="Comma 2 2 8 4 3" xfId="8620" xr:uid="{00000000-0005-0000-0000-0000A9210000}"/>
    <cellStyle name="Comma 2 2 8 4 4" xfId="8621" xr:uid="{00000000-0005-0000-0000-0000AA210000}"/>
    <cellStyle name="Comma 2 2 8 4 5" xfId="8622" xr:uid="{00000000-0005-0000-0000-0000AB210000}"/>
    <cellStyle name="Comma 2 2 8 4 6" xfId="8623" xr:uid="{00000000-0005-0000-0000-0000AC210000}"/>
    <cellStyle name="Comma 2 2 8 5" xfId="8624" xr:uid="{00000000-0005-0000-0000-0000AD210000}"/>
    <cellStyle name="Comma 2 2 8 5 2" xfId="8625" xr:uid="{00000000-0005-0000-0000-0000AE210000}"/>
    <cellStyle name="Comma 2 2 8 5 2 2" xfId="8626" xr:uid="{00000000-0005-0000-0000-0000AF210000}"/>
    <cellStyle name="Comma 2 2 8 5 3" xfId="8627" xr:uid="{00000000-0005-0000-0000-0000B0210000}"/>
    <cellStyle name="Comma 2 2 8 5 4" xfId="8628" xr:uid="{00000000-0005-0000-0000-0000B1210000}"/>
    <cellStyle name="Comma 2 2 8 5 5" xfId="8629" xr:uid="{00000000-0005-0000-0000-0000B2210000}"/>
    <cellStyle name="Comma 2 2 8 6" xfId="8630" xr:uid="{00000000-0005-0000-0000-0000B3210000}"/>
    <cellStyle name="Comma 2 2 8 6 2" xfId="8631" xr:uid="{00000000-0005-0000-0000-0000B4210000}"/>
    <cellStyle name="Comma 2 2 8 6 3" xfId="8632" xr:uid="{00000000-0005-0000-0000-0000B5210000}"/>
    <cellStyle name="Comma 2 2 8 6 4" xfId="8633" xr:uid="{00000000-0005-0000-0000-0000B6210000}"/>
    <cellStyle name="Comma 2 2 8 7" xfId="8634" xr:uid="{00000000-0005-0000-0000-0000B7210000}"/>
    <cellStyle name="Comma 2 2 8 7 2" xfId="8635" xr:uid="{00000000-0005-0000-0000-0000B8210000}"/>
    <cellStyle name="Comma 2 2 8 8" xfId="8636" xr:uid="{00000000-0005-0000-0000-0000B9210000}"/>
    <cellStyle name="Comma 2 2 8 9" xfId="8637" xr:uid="{00000000-0005-0000-0000-0000BA210000}"/>
    <cellStyle name="Comma 2 2 9" xfId="8638" xr:uid="{00000000-0005-0000-0000-0000BB210000}"/>
    <cellStyle name="Comma 2 2 9 10" xfId="8639" xr:uid="{00000000-0005-0000-0000-0000BC210000}"/>
    <cellStyle name="Comma 2 2 9 11" xfId="8640" xr:uid="{00000000-0005-0000-0000-0000BD210000}"/>
    <cellStyle name="Comma 2 2 9 2" xfId="8641" xr:uid="{00000000-0005-0000-0000-0000BE210000}"/>
    <cellStyle name="Comma 2 2 9 2 2" xfId="8642" xr:uid="{00000000-0005-0000-0000-0000BF210000}"/>
    <cellStyle name="Comma 2 2 9 2 2 2" xfId="8643" xr:uid="{00000000-0005-0000-0000-0000C0210000}"/>
    <cellStyle name="Comma 2 2 9 2 2 2 2" xfId="8644" xr:uid="{00000000-0005-0000-0000-0000C1210000}"/>
    <cellStyle name="Comma 2 2 9 2 2 2 3" xfId="8645" xr:uid="{00000000-0005-0000-0000-0000C2210000}"/>
    <cellStyle name="Comma 2 2 9 2 2 3" xfId="8646" xr:uid="{00000000-0005-0000-0000-0000C3210000}"/>
    <cellStyle name="Comma 2 2 9 2 2 4" xfId="8647" xr:uid="{00000000-0005-0000-0000-0000C4210000}"/>
    <cellStyle name="Comma 2 2 9 2 2 5" xfId="8648" xr:uid="{00000000-0005-0000-0000-0000C5210000}"/>
    <cellStyle name="Comma 2 2 9 2 2 6" xfId="8649" xr:uid="{00000000-0005-0000-0000-0000C6210000}"/>
    <cellStyle name="Comma 2 2 9 2 3" xfId="8650" xr:uid="{00000000-0005-0000-0000-0000C7210000}"/>
    <cellStyle name="Comma 2 2 9 2 3 2" xfId="8651" xr:uid="{00000000-0005-0000-0000-0000C8210000}"/>
    <cellStyle name="Comma 2 2 9 2 3 2 2" xfId="8652" xr:uid="{00000000-0005-0000-0000-0000C9210000}"/>
    <cellStyle name="Comma 2 2 9 2 3 3" xfId="8653" xr:uid="{00000000-0005-0000-0000-0000CA210000}"/>
    <cellStyle name="Comma 2 2 9 2 3 4" xfId="8654" xr:uid="{00000000-0005-0000-0000-0000CB210000}"/>
    <cellStyle name="Comma 2 2 9 2 3 5" xfId="8655" xr:uid="{00000000-0005-0000-0000-0000CC210000}"/>
    <cellStyle name="Comma 2 2 9 2 4" xfId="8656" xr:uid="{00000000-0005-0000-0000-0000CD210000}"/>
    <cellStyle name="Comma 2 2 9 2 4 2" xfId="8657" xr:uid="{00000000-0005-0000-0000-0000CE210000}"/>
    <cellStyle name="Comma 2 2 9 2 4 3" xfId="8658" xr:uid="{00000000-0005-0000-0000-0000CF210000}"/>
    <cellStyle name="Comma 2 2 9 2 4 4" xfId="8659" xr:uid="{00000000-0005-0000-0000-0000D0210000}"/>
    <cellStyle name="Comma 2 2 9 2 5" xfId="8660" xr:uid="{00000000-0005-0000-0000-0000D1210000}"/>
    <cellStyle name="Comma 2 2 9 2 5 2" xfId="8661" xr:uid="{00000000-0005-0000-0000-0000D2210000}"/>
    <cellStyle name="Comma 2 2 9 2 6" xfId="8662" xr:uid="{00000000-0005-0000-0000-0000D3210000}"/>
    <cellStyle name="Comma 2 2 9 2 7" xfId="8663" xr:uid="{00000000-0005-0000-0000-0000D4210000}"/>
    <cellStyle name="Comma 2 2 9 2 8" xfId="8664" xr:uid="{00000000-0005-0000-0000-0000D5210000}"/>
    <cellStyle name="Comma 2 2 9 2 9" xfId="8665" xr:uid="{00000000-0005-0000-0000-0000D6210000}"/>
    <cellStyle name="Comma 2 2 9 3" xfId="8666" xr:uid="{00000000-0005-0000-0000-0000D7210000}"/>
    <cellStyle name="Comma 2 2 9 3 2" xfId="8667" xr:uid="{00000000-0005-0000-0000-0000D8210000}"/>
    <cellStyle name="Comma 2 2 9 3 2 2" xfId="8668" xr:uid="{00000000-0005-0000-0000-0000D9210000}"/>
    <cellStyle name="Comma 2 2 9 3 2 2 2" xfId="8669" xr:uid="{00000000-0005-0000-0000-0000DA210000}"/>
    <cellStyle name="Comma 2 2 9 3 2 2 3" xfId="8670" xr:uid="{00000000-0005-0000-0000-0000DB210000}"/>
    <cellStyle name="Comma 2 2 9 3 2 3" xfId="8671" xr:uid="{00000000-0005-0000-0000-0000DC210000}"/>
    <cellStyle name="Comma 2 2 9 3 2 4" xfId="8672" xr:uid="{00000000-0005-0000-0000-0000DD210000}"/>
    <cellStyle name="Comma 2 2 9 3 2 5" xfId="8673" xr:uid="{00000000-0005-0000-0000-0000DE210000}"/>
    <cellStyle name="Comma 2 2 9 3 2 6" xfId="8674" xr:uid="{00000000-0005-0000-0000-0000DF210000}"/>
    <cellStyle name="Comma 2 2 9 3 3" xfId="8675" xr:uid="{00000000-0005-0000-0000-0000E0210000}"/>
    <cellStyle name="Comma 2 2 9 3 3 2" xfId="8676" xr:uid="{00000000-0005-0000-0000-0000E1210000}"/>
    <cellStyle name="Comma 2 2 9 3 3 2 2" xfId="8677" xr:uid="{00000000-0005-0000-0000-0000E2210000}"/>
    <cellStyle name="Comma 2 2 9 3 3 3" xfId="8678" xr:uid="{00000000-0005-0000-0000-0000E3210000}"/>
    <cellStyle name="Comma 2 2 9 3 3 4" xfId="8679" xr:uid="{00000000-0005-0000-0000-0000E4210000}"/>
    <cellStyle name="Comma 2 2 9 3 3 5" xfId="8680" xr:uid="{00000000-0005-0000-0000-0000E5210000}"/>
    <cellStyle name="Comma 2 2 9 3 4" xfId="8681" xr:uid="{00000000-0005-0000-0000-0000E6210000}"/>
    <cellStyle name="Comma 2 2 9 3 4 2" xfId="8682" xr:uid="{00000000-0005-0000-0000-0000E7210000}"/>
    <cellStyle name="Comma 2 2 9 3 4 3" xfId="8683" xr:uid="{00000000-0005-0000-0000-0000E8210000}"/>
    <cellStyle name="Comma 2 2 9 3 4 4" xfId="8684" xr:uid="{00000000-0005-0000-0000-0000E9210000}"/>
    <cellStyle name="Comma 2 2 9 3 5" xfId="8685" xr:uid="{00000000-0005-0000-0000-0000EA210000}"/>
    <cellStyle name="Comma 2 2 9 3 5 2" xfId="8686" xr:uid="{00000000-0005-0000-0000-0000EB210000}"/>
    <cellStyle name="Comma 2 2 9 3 6" xfId="8687" xr:uid="{00000000-0005-0000-0000-0000EC210000}"/>
    <cellStyle name="Comma 2 2 9 3 7" xfId="8688" xr:uid="{00000000-0005-0000-0000-0000ED210000}"/>
    <cellStyle name="Comma 2 2 9 3 8" xfId="8689" xr:uid="{00000000-0005-0000-0000-0000EE210000}"/>
    <cellStyle name="Comma 2 2 9 3 9" xfId="8690" xr:uid="{00000000-0005-0000-0000-0000EF210000}"/>
    <cellStyle name="Comma 2 2 9 4" xfId="8691" xr:uid="{00000000-0005-0000-0000-0000F0210000}"/>
    <cellStyle name="Comma 2 2 9 4 2" xfId="8692" xr:uid="{00000000-0005-0000-0000-0000F1210000}"/>
    <cellStyle name="Comma 2 2 9 4 2 2" xfId="8693" xr:uid="{00000000-0005-0000-0000-0000F2210000}"/>
    <cellStyle name="Comma 2 2 9 4 2 3" xfId="8694" xr:uid="{00000000-0005-0000-0000-0000F3210000}"/>
    <cellStyle name="Comma 2 2 9 4 3" xfId="8695" xr:uid="{00000000-0005-0000-0000-0000F4210000}"/>
    <cellStyle name="Comma 2 2 9 4 4" xfId="8696" xr:uid="{00000000-0005-0000-0000-0000F5210000}"/>
    <cellStyle name="Comma 2 2 9 4 5" xfId="8697" xr:uid="{00000000-0005-0000-0000-0000F6210000}"/>
    <cellStyle name="Comma 2 2 9 4 6" xfId="8698" xr:uid="{00000000-0005-0000-0000-0000F7210000}"/>
    <cellStyle name="Comma 2 2 9 5" xfId="8699" xr:uid="{00000000-0005-0000-0000-0000F8210000}"/>
    <cellStyle name="Comma 2 2 9 5 2" xfId="8700" xr:uid="{00000000-0005-0000-0000-0000F9210000}"/>
    <cellStyle name="Comma 2 2 9 5 2 2" xfId="8701" xr:uid="{00000000-0005-0000-0000-0000FA210000}"/>
    <cellStyle name="Comma 2 2 9 5 3" xfId="8702" xr:uid="{00000000-0005-0000-0000-0000FB210000}"/>
    <cellStyle name="Comma 2 2 9 5 4" xfId="8703" xr:uid="{00000000-0005-0000-0000-0000FC210000}"/>
    <cellStyle name="Comma 2 2 9 5 5" xfId="8704" xr:uid="{00000000-0005-0000-0000-0000FD210000}"/>
    <cellStyle name="Comma 2 2 9 6" xfId="8705" xr:uid="{00000000-0005-0000-0000-0000FE210000}"/>
    <cellStyle name="Comma 2 2 9 6 2" xfId="8706" xr:uid="{00000000-0005-0000-0000-0000FF210000}"/>
    <cellStyle name="Comma 2 2 9 6 3" xfId="8707" xr:uid="{00000000-0005-0000-0000-000000220000}"/>
    <cellStyle name="Comma 2 2 9 6 4" xfId="8708" xr:uid="{00000000-0005-0000-0000-000001220000}"/>
    <cellStyle name="Comma 2 2 9 7" xfId="8709" xr:uid="{00000000-0005-0000-0000-000002220000}"/>
    <cellStyle name="Comma 2 2 9 7 2" xfId="8710" xr:uid="{00000000-0005-0000-0000-000003220000}"/>
    <cellStyle name="Comma 2 2 9 8" xfId="8711" xr:uid="{00000000-0005-0000-0000-000004220000}"/>
    <cellStyle name="Comma 2 2 9 9" xfId="8712" xr:uid="{00000000-0005-0000-0000-000005220000}"/>
    <cellStyle name="Comma 2 20" xfId="8713" xr:uid="{00000000-0005-0000-0000-000006220000}"/>
    <cellStyle name="Comma 2 20 10" xfId="8714" xr:uid="{00000000-0005-0000-0000-000007220000}"/>
    <cellStyle name="Comma 2 20 2" xfId="8715" xr:uid="{00000000-0005-0000-0000-000008220000}"/>
    <cellStyle name="Comma 2 20 2 2" xfId="8716" xr:uid="{00000000-0005-0000-0000-000009220000}"/>
    <cellStyle name="Comma 2 20 2 2 2" xfId="8717" xr:uid="{00000000-0005-0000-0000-00000A220000}"/>
    <cellStyle name="Comma 2 20 2 2 3" xfId="8718" xr:uid="{00000000-0005-0000-0000-00000B220000}"/>
    <cellStyle name="Comma 2 20 2 3" xfId="8719" xr:uid="{00000000-0005-0000-0000-00000C220000}"/>
    <cellStyle name="Comma 2 20 2 4" xfId="8720" xr:uid="{00000000-0005-0000-0000-00000D220000}"/>
    <cellStyle name="Comma 2 20 2 5" xfId="8721" xr:uid="{00000000-0005-0000-0000-00000E220000}"/>
    <cellStyle name="Comma 2 20 2 6" xfId="8722" xr:uid="{00000000-0005-0000-0000-00000F220000}"/>
    <cellStyle name="Comma 2 20 3" xfId="8723" xr:uid="{00000000-0005-0000-0000-000010220000}"/>
    <cellStyle name="Comma 2 20 3 2" xfId="8724" xr:uid="{00000000-0005-0000-0000-000011220000}"/>
    <cellStyle name="Comma 2 20 3 2 2" xfId="8725" xr:uid="{00000000-0005-0000-0000-000012220000}"/>
    <cellStyle name="Comma 2 20 3 2 3" xfId="8726" xr:uid="{00000000-0005-0000-0000-000013220000}"/>
    <cellStyle name="Comma 2 20 3 3" xfId="8727" xr:uid="{00000000-0005-0000-0000-000014220000}"/>
    <cellStyle name="Comma 2 20 3 4" xfId="8728" xr:uid="{00000000-0005-0000-0000-000015220000}"/>
    <cellStyle name="Comma 2 20 3 5" xfId="8729" xr:uid="{00000000-0005-0000-0000-000016220000}"/>
    <cellStyle name="Comma 2 20 3 6" xfId="8730" xr:uid="{00000000-0005-0000-0000-000017220000}"/>
    <cellStyle name="Comma 2 20 4" xfId="8731" xr:uid="{00000000-0005-0000-0000-000018220000}"/>
    <cellStyle name="Comma 2 20 4 2" xfId="8732" xr:uid="{00000000-0005-0000-0000-000019220000}"/>
    <cellStyle name="Comma 2 20 4 2 2" xfId="8733" xr:uid="{00000000-0005-0000-0000-00001A220000}"/>
    <cellStyle name="Comma 2 20 4 3" xfId="8734" xr:uid="{00000000-0005-0000-0000-00001B220000}"/>
    <cellStyle name="Comma 2 20 4 4" xfId="8735" xr:uid="{00000000-0005-0000-0000-00001C220000}"/>
    <cellStyle name="Comma 2 20 4 5" xfId="8736" xr:uid="{00000000-0005-0000-0000-00001D220000}"/>
    <cellStyle name="Comma 2 20 4 6" xfId="8737" xr:uid="{00000000-0005-0000-0000-00001E220000}"/>
    <cellStyle name="Comma 2 20 5" xfId="8738" xr:uid="{00000000-0005-0000-0000-00001F220000}"/>
    <cellStyle name="Comma 2 20 5 2" xfId="8739" xr:uid="{00000000-0005-0000-0000-000020220000}"/>
    <cellStyle name="Comma 2 20 5 3" xfId="8740" xr:uid="{00000000-0005-0000-0000-000021220000}"/>
    <cellStyle name="Comma 2 20 5 4" xfId="8741" xr:uid="{00000000-0005-0000-0000-000022220000}"/>
    <cellStyle name="Comma 2 20 5 5" xfId="8742" xr:uid="{00000000-0005-0000-0000-000023220000}"/>
    <cellStyle name="Comma 2 20 6" xfId="8743" xr:uid="{00000000-0005-0000-0000-000024220000}"/>
    <cellStyle name="Comma 2 20 6 2" xfId="8744" xr:uid="{00000000-0005-0000-0000-000025220000}"/>
    <cellStyle name="Comma 2 20 6 3" xfId="8745" xr:uid="{00000000-0005-0000-0000-000026220000}"/>
    <cellStyle name="Comma 2 20 7" xfId="8746" xr:uid="{00000000-0005-0000-0000-000027220000}"/>
    <cellStyle name="Comma 2 20 7 2" xfId="8747" xr:uid="{00000000-0005-0000-0000-000028220000}"/>
    <cellStyle name="Comma 2 20 8" xfId="8748" xr:uid="{00000000-0005-0000-0000-000029220000}"/>
    <cellStyle name="Comma 2 20 9" xfId="8749" xr:uid="{00000000-0005-0000-0000-00002A220000}"/>
    <cellStyle name="Comma 2 21" xfId="8750" xr:uid="{00000000-0005-0000-0000-00002B220000}"/>
    <cellStyle name="Comma 2 21 10" xfId="8751" xr:uid="{00000000-0005-0000-0000-00002C220000}"/>
    <cellStyle name="Comma 2 21 2" xfId="8752" xr:uid="{00000000-0005-0000-0000-00002D220000}"/>
    <cellStyle name="Comma 2 21 2 2" xfId="8753" xr:uid="{00000000-0005-0000-0000-00002E220000}"/>
    <cellStyle name="Comma 2 21 2 2 2" xfId="8754" xr:uid="{00000000-0005-0000-0000-00002F220000}"/>
    <cellStyle name="Comma 2 21 2 2 3" xfId="8755" xr:uid="{00000000-0005-0000-0000-000030220000}"/>
    <cellStyle name="Comma 2 21 2 3" xfId="8756" xr:uid="{00000000-0005-0000-0000-000031220000}"/>
    <cellStyle name="Comma 2 21 2 4" xfId="8757" xr:uid="{00000000-0005-0000-0000-000032220000}"/>
    <cellStyle name="Comma 2 21 2 5" xfId="8758" xr:uid="{00000000-0005-0000-0000-000033220000}"/>
    <cellStyle name="Comma 2 21 2 6" xfId="8759" xr:uid="{00000000-0005-0000-0000-000034220000}"/>
    <cellStyle name="Comma 2 21 3" xfId="8760" xr:uid="{00000000-0005-0000-0000-000035220000}"/>
    <cellStyle name="Comma 2 21 3 2" xfId="8761" xr:uid="{00000000-0005-0000-0000-000036220000}"/>
    <cellStyle name="Comma 2 21 3 2 2" xfId="8762" xr:uid="{00000000-0005-0000-0000-000037220000}"/>
    <cellStyle name="Comma 2 21 3 2 3" xfId="8763" xr:uid="{00000000-0005-0000-0000-000038220000}"/>
    <cellStyle name="Comma 2 21 3 3" xfId="8764" xr:uid="{00000000-0005-0000-0000-000039220000}"/>
    <cellStyle name="Comma 2 21 3 4" xfId="8765" xr:uid="{00000000-0005-0000-0000-00003A220000}"/>
    <cellStyle name="Comma 2 21 3 5" xfId="8766" xr:uid="{00000000-0005-0000-0000-00003B220000}"/>
    <cellStyle name="Comma 2 21 3 6" xfId="8767" xr:uid="{00000000-0005-0000-0000-00003C220000}"/>
    <cellStyle name="Comma 2 21 4" xfId="8768" xr:uid="{00000000-0005-0000-0000-00003D220000}"/>
    <cellStyle name="Comma 2 21 4 2" xfId="8769" xr:uid="{00000000-0005-0000-0000-00003E220000}"/>
    <cellStyle name="Comma 2 21 4 2 2" xfId="8770" xr:uid="{00000000-0005-0000-0000-00003F220000}"/>
    <cellStyle name="Comma 2 21 4 3" xfId="8771" xr:uid="{00000000-0005-0000-0000-000040220000}"/>
    <cellStyle name="Comma 2 21 4 4" xfId="8772" xr:uid="{00000000-0005-0000-0000-000041220000}"/>
    <cellStyle name="Comma 2 21 4 5" xfId="8773" xr:uid="{00000000-0005-0000-0000-000042220000}"/>
    <cellStyle name="Comma 2 21 4 6" xfId="8774" xr:uid="{00000000-0005-0000-0000-000043220000}"/>
    <cellStyle name="Comma 2 21 5" xfId="8775" xr:uid="{00000000-0005-0000-0000-000044220000}"/>
    <cellStyle name="Comma 2 21 5 2" xfId="8776" xr:uid="{00000000-0005-0000-0000-000045220000}"/>
    <cellStyle name="Comma 2 21 5 3" xfId="8777" xr:uid="{00000000-0005-0000-0000-000046220000}"/>
    <cellStyle name="Comma 2 21 5 4" xfId="8778" xr:uid="{00000000-0005-0000-0000-000047220000}"/>
    <cellStyle name="Comma 2 21 5 5" xfId="8779" xr:uid="{00000000-0005-0000-0000-000048220000}"/>
    <cellStyle name="Comma 2 21 6" xfId="8780" xr:uid="{00000000-0005-0000-0000-000049220000}"/>
    <cellStyle name="Comma 2 21 6 2" xfId="8781" xr:uid="{00000000-0005-0000-0000-00004A220000}"/>
    <cellStyle name="Comma 2 21 6 3" xfId="8782" xr:uid="{00000000-0005-0000-0000-00004B220000}"/>
    <cellStyle name="Comma 2 21 7" xfId="8783" xr:uid="{00000000-0005-0000-0000-00004C220000}"/>
    <cellStyle name="Comma 2 21 7 2" xfId="8784" xr:uid="{00000000-0005-0000-0000-00004D220000}"/>
    <cellStyle name="Comma 2 21 8" xfId="8785" xr:uid="{00000000-0005-0000-0000-00004E220000}"/>
    <cellStyle name="Comma 2 21 9" xfId="8786" xr:uid="{00000000-0005-0000-0000-00004F220000}"/>
    <cellStyle name="Comma 2 22" xfId="8787" xr:uid="{00000000-0005-0000-0000-000050220000}"/>
    <cellStyle name="Comma 2 22 10" xfId="8788" xr:uid="{00000000-0005-0000-0000-000051220000}"/>
    <cellStyle name="Comma 2 22 2" xfId="8789" xr:uid="{00000000-0005-0000-0000-000052220000}"/>
    <cellStyle name="Comma 2 22 2 2" xfId="8790" xr:uid="{00000000-0005-0000-0000-000053220000}"/>
    <cellStyle name="Comma 2 22 2 2 2" xfId="8791" xr:uid="{00000000-0005-0000-0000-000054220000}"/>
    <cellStyle name="Comma 2 22 2 2 3" xfId="8792" xr:uid="{00000000-0005-0000-0000-000055220000}"/>
    <cellStyle name="Comma 2 22 2 3" xfId="8793" xr:uid="{00000000-0005-0000-0000-000056220000}"/>
    <cellStyle name="Comma 2 22 2 4" xfId="8794" xr:uid="{00000000-0005-0000-0000-000057220000}"/>
    <cellStyle name="Comma 2 22 2 5" xfId="8795" xr:uid="{00000000-0005-0000-0000-000058220000}"/>
    <cellStyle name="Comma 2 22 2 6" xfId="8796" xr:uid="{00000000-0005-0000-0000-000059220000}"/>
    <cellStyle name="Comma 2 22 3" xfId="8797" xr:uid="{00000000-0005-0000-0000-00005A220000}"/>
    <cellStyle name="Comma 2 22 3 2" xfId="8798" xr:uid="{00000000-0005-0000-0000-00005B220000}"/>
    <cellStyle name="Comma 2 22 3 2 2" xfId="8799" xr:uid="{00000000-0005-0000-0000-00005C220000}"/>
    <cellStyle name="Comma 2 22 3 2 3" xfId="8800" xr:uid="{00000000-0005-0000-0000-00005D220000}"/>
    <cellStyle name="Comma 2 22 3 3" xfId="8801" xr:uid="{00000000-0005-0000-0000-00005E220000}"/>
    <cellStyle name="Comma 2 22 3 4" xfId="8802" xr:uid="{00000000-0005-0000-0000-00005F220000}"/>
    <cellStyle name="Comma 2 22 3 5" xfId="8803" xr:uid="{00000000-0005-0000-0000-000060220000}"/>
    <cellStyle name="Comma 2 22 3 6" xfId="8804" xr:uid="{00000000-0005-0000-0000-000061220000}"/>
    <cellStyle name="Comma 2 22 4" xfId="8805" xr:uid="{00000000-0005-0000-0000-000062220000}"/>
    <cellStyle name="Comma 2 22 4 2" xfId="8806" xr:uid="{00000000-0005-0000-0000-000063220000}"/>
    <cellStyle name="Comma 2 22 4 2 2" xfId="8807" xr:uid="{00000000-0005-0000-0000-000064220000}"/>
    <cellStyle name="Comma 2 22 4 3" xfId="8808" xr:uid="{00000000-0005-0000-0000-000065220000}"/>
    <cellStyle name="Comma 2 22 4 4" xfId="8809" xr:uid="{00000000-0005-0000-0000-000066220000}"/>
    <cellStyle name="Comma 2 22 4 5" xfId="8810" xr:uid="{00000000-0005-0000-0000-000067220000}"/>
    <cellStyle name="Comma 2 22 4 6" xfId="8811" xr:uid="{00000000-0005-0000-0000-000068220000}"/>
    <cellStyle name="Comma 2 22 5" xfId="8812" xr:uid="{00000000-0005-0000-0000-000069220000}"/>
    <cellStyle name="Comma 2 22 5 2" xfId="8813" xr:uid="{00000000-0005-0000-0000-00006A220000}"/>
    <cellStyle name="Comma 2 22 5 3" xfId="8814" xr:uid="{00000000-0005-0000-0000-00006B220000}"/>
    <cellStyle name="Comma 2 22 5 4" xfId="8815" xr:uid="{00000000-0005-0000-0000-00006C220000}"/>
    <cellStyle name="Comma 2 22 5 5" xfId="8816" xr:uid="{00000000-0005-0000-0000-00006D220000}"/>
    <cellStyle name="Comma 2 22 6" xfId="8817" xr:uid="{00000000-0005-0000-0000-00006E220000}"/>
    <cellStyle name="Comma 2 22 6 2" xfId="8818" xr:uid="{00000000-0005-0000-0000-00006F220000}"/>
    <cellStyle name="Comma 2 22 6 3" xfId="8819" xr:uid="{00000000-0005-0000-0000-000070220000}"/>
    <cellStyle name="Comma 2 22 7" xfId="8820" xr:uid="{00000000-0005-0000-0000-000071220000}"/>
    <cellStyle name="Comma 2 22 7 2" xfId="8821" xr:uid="{00000000-0005-0000-0000-000072220000}"/>
    <cellStyle name="Comma 2 22 8" xfId="8822" xr:uid="{00000000-0005-0000-0000-000073220000}"/>
    <cellStyle name="Comma 2 22 9" xfId="8823" xr:uid="{00000000-0005-0000-0000-000074220000}"/>
    <cellStyle name="Comma 2 23" xfId="8824" xr:uid="{00000000-0005-0000-0000-000075220000}"/>
    <cellStyle name="Comma 2 23 10" xfId="8825" xr:uid="{00000000-0005-0000-0000-000076220000}"/>
    <cellStyle name="Comma 2 23 2" xfId="8826" xr:uid="{00000000-0005-0000-0000-000077220000}"/>
    <cellStyle name="Comma 2 23 2 2" xfId="8827" xr:uid="{00000000-0005-0000-0000-000078220000}"/>
    <cellStyle name="Comma 2 23 2 2 2" xfId="8828" xr:uid="{00000000-0005-0000-0000-000079220000}"/>
    <cellStyle name="Comma 2 23 2 2 3" xfId="8829" xr:uid="{00000000-0005-0000-0000-00007A220000}"/>
    <cellStyle name="Comma 2 23 2 3" xfId="8830" xr:uid="{00000000-0005-0000-0000-00007B220000}"/>
    <cellStyle name="Comma 2 23 2 4" xfId="8831" xr:uid="{00000000-0005-0000-0000-00007C220000}"/>
    <cellStyle name="Comma 2 23 2 5" xfId="8832" xr:uid="{00000000-0005-0000-0000-00007D220000}"/>
    <cellStyle name="Comma 2 23 2 6" xfId="8833" xr:uid="{00000000-0005-0000-0000-00007E220000}"/>
    <cellStyle name="Comma 2 23 3" xfId="8834" xr:uid="{00000000-0005-0000-0000-00007F220000}"/>
    <cellStyle name="Comma 2 23 3 2" xfId="8835" xr:uid="{00000000-0005-0000-0000-000080220000}"/>
    <cellStyle name="Comma 2 23 3 2 2" xfId="8836" xr:uid="{00000000-0005-0000-0000-000081220000}"/>
    <cellStyle name="Comma 2 23 3 2 3" xfId="8837" xr:uid="{00000000-0005-0000-0000-000082220000}"/>
    <cellStyle name="Comma 2 23 3 3" xfId="8838" xr:uid="{00000000-0005-0000-0000-000083220000}"/>
    <cellStyle name="Comma 2 23 3 4" xfId="8839" xr:uid="{00000000-0005-0000-0000-000084220000}"/>
    <cellStyle name="Comma 2 23 3 5" xfId="8840" xr:uid="{00000000-0005-0000-0000-000085220000}"/>
    <cellStyle name="Comma 2 23 3 6" xfId="8841" xr:uid="{00000000-0005-0000-0000-000086220000}"/>
    <cellStyle name="Comma 2 23 4" xfId="8842" xr:uid="{00000000-0005-0000-0000-000087220000}"/>
    <cellStyle name="Comma 2 23 4 2" xfId="8843" xr:uid="{00000000-0005-0000-0000-000088220000}"/>
    <cellStyle name="Comma 2 23 4 2 2" xfId="8844" xr:uid="{00000000-0005-0000-0000-000089220000}"/>
    <cellStyle name="Comma 2 23 4 3" xfId="8845" xr:uid="{00000000-0005-0000-0000-00008A220000}"/>
    <cellStyle name="Comma 2 23 4 4" xfId="8846" xr:uid="{00000000-0005-0000-0000-00008B220000}"/>
    <cellStyle name="Comma 2 23 4 5" xfId="8847" xr:uid="{00000000-0005-0000-0000-00008C220000}"/>
    <cellStyle name="Comma 2 23 4 6" xfId="8848" xr:uid="{00000000-0005-0000-0000-00008D220000}"/>
    <cellStyle name="Comma 2 23 5" xfId="8849" xr:uid="{00000000-0005-0000-0000-00008E220000}"/>
    <cellStyle name="Comma 2 23 5 2" xfId="8850" xr:uid="{00000000-0005-0000-0000-00008F220000}"/>
    <cellStyle name="Comma 2 23 5 3" xfId="8851" xr:uid="{00000000-0005-0000-0000-000090220000}"/>
    <cellStyle name="Comma 2 23 5 4" xfId="8852" xr:uid="{00000000-0005-0000-0000-000091220000}"/>
    <cellStyle name="Comma 2 23 5 5" xfId="8853" xr:uid="{00000000-0005-0000-0000-000092220000}"/>
    <cellStyle name="Comma 2 23 6" xfId="8854" xr:uid="{00000000-0005-0000-0000-000093220000}"/>
    <cellStyle name="Comma 2 23 6 2" xfId="8855" xr:uid="{00000000-0005-0000-0000-000094220000}"/>
    <cellStyle name="Comma 2 23 6 3" xfId="8856" xr:uid="{00000000-0005-0000-0000-000095220000}"/>
    <cellStyle name="Comma 2 23 7" xfId="8857" xr:uid="{00000000-0005-0000-0000-000096220000}"/>
    <cellStyle name="Comma 2 23 7 2" xfId="8858" xr:uid="{00000000-0005-0000-0000-000097220000}"/>
    <cellStyle name="Comma 2 23 8" xfId="8859" xr:uid="{00000000-0005-0000-0000-000098220000}"/>
    <cellStyle name="Comma 2 23 9" xfId="8860" xr:uid="{00000000-0005-0000-0000-000099220000}"/>
    <cellStyle name="Comma 2 24" xfId="8861" xr:uid="{00000000-0005-0000-0000-00009A220000}"/>
    <cellStyle name="Comma 2 24 10" xfId="8862" xr:uid="{00000000-0005-0000-0000-00009B220000}"/>
    <cellStyle name="Comma 2 24 2" xfId="8863" xr:uid="{00000000-0005-0000-0000-00009C220000}"/>
    <cellStyle name="Comma 2 24 2 2" xfId="8864" xr:uid="{00000000-0005-0000-0000-00009D220000}"/>
    <cellStyle name="Comma 2 24 2 2 2" xfId="8865" xr:uid="{00000000-0005-0000-0000-00009E220000}"/>
    <cellStyle name="Comma 2 24 2 2 3" xfId="8866" xr:uid="{00000000-0005-0000-0000-00009F220000}"/>
    <cellStyle name="Comma 2 24 2 3" xfId="8867" xr:uid="{00000000-0005-0000-0000-0000A0220000}"/>
    <cellStyle name="Comma 2 24 2 4" xfId="8868" xr:uid="{00000000-0005-0000-0000-0000A1220000}"/>
    <cellStyle name="Comma 2 24 2 5" xfId="8869" xr:uid="{00000000-0005-0000-0000-0000A2220000}"/>
    <cellStyle name="Comma 2 24 2 6" xfId="8870" xr:uid="{00000000-0005-0000-0000-0000A3220000}"/>
    <cellStyle name="Comma 2 24 3" xfId="8871" xr:uid="{00000000-0005-0000-0000-0000A4220000}"/>
    <cellStyle name="Comma 2 24 3 2" xfId="8872" xr:uid="{00000000-0005-0000-0000-0000A5220000}"/>
    <cellStyle name="Comma 2 24 3 2 2" xfId="8873" xr:uid="{00000000-0005-0000-0000-0000A6220000}"/>
    <cellStyle name="Comma 2 24 3 2 3" xfId="8874" xr:uid="{00000000-0005-0000-0000-0000A7220000}"/>
    <cellStyle name="Comma 2 24 3 3" xfId="8875" xr:uid="{00000000-0005-0000-0000-0000A8220000}"/>
    <cellStyle name="Comma 2 24 3 4" xfId="8876" xr:uid="{00000000-0005-0000-0000-0000A9220000}"/>
    <cellStyle name="Comma 2 24 3 5" xfId="8877" xr:uid="{00000000-0005-0000-0000-0000AA220000}"/>
    <cellStyle name="Comma 2 24 3 6" xfId="8878" xr:uid="{00000000-0005-0000-0000-0000AB220000}"/>
    <cellStyle name="Comma 2 24 4" xfId="8879" xr:uid="{00000000-0005-0000-0000-0000AC220000}"/>
    <cellStyle name="Comma 2 24 4 2" xfId="8880" xr:uid="{00000000-0005-0000-0000-0000AD220000}"/>
    <cellStyle name="Comma 2 24 4 2 2" xfId="8881" xr:uid="{00000000-0005-0000-0000-0000AE220000}"/>
    <cellStyle name="Comma 2 24 4 3" xfId="8882" xr:uid="{00000000-0005-0000-0000-0000AF220000}"/>
    <cellStyle name="Comma 2 24 4 4" xfId="8883" xr:uid="{00000000-0005-0000-0000-0000B0220000}"/>
    <cellStyle name="Comma 2 24 4 5" xfId="8884" xr:uid="{00000000-0005-0000-0000-0000B1220000}"/>
    <cellStyle name="Comma 2 24 4 6" xfId="8885" xr:uid="{00000000-0005-0000-0000-0000B2220000}"/>
    <cellStyle name="Comma 2 24 5" xfId="8886" xr:uid="{00000000-0005-0000-0000-0000B3220000}"/>
    <cellStyle name="Comma 2 24 5 2" xfId="8887" xr:uid="{00000000-0005-0000-0000-0000B4220000}"/>
    <cellStyle name="Comma 2 24 5 3" xfId="8888" xr:uid="{00000000-0005-0000-0000-0000B5220000}"/>
    <cellStyle name="Comma 2 24 5 4" xfId="8889" xr:uid="{00000000-0005-0000-0000-0000B6220000}"/>
    <cellStyle name="Comma 2 24 5 5" xfId="8890" xr:uid="{00000000-0005-0000-0000-0000B7220000}"/>
    <cellStyle name="Comma 2 24 6" xfId="8891" xr:uid="{00000000-0005-0000-0000-0000B8220000}"/>
    <cellStyle name="Comma 2 24 6 2" xfId="8892" xr:uid="{00000000-0005-0000-0000-0000B9220000}"/>
    <cellStyle name="Comma 2 24 6 3" xfId="8893" xr:uid="{00000000-0005-0000-0000-0000BA220000}"/>
    <cellStyle name="Comma 2 24 7" xfId="8894" xr:uid="{00000000-0005-0000-0000-0000BB220000}"/>
    <cellStyle name="Comma 2 24 7 2" xfId="8895" xr:uid="{00000000-0005-0000-0000-0000BC220000}"/>
    <cellStyle name="Comma 2 24 8" xfId="8896" xr:uid="{00000000-0005-0000-0000-0000BD220000}"/>
    <cellStyle name="Comma 2 24 9" xfId="8897" xr:uid="{00000000-0005-0000-0000-0000BE220000}"/>
    <cellStyle name="Comma 2 25" xfId="8898" xr:uid="{00000000-0005-0000-0000-0000BF220000}"/>
    <cellStyle name="Comma 2 25 10" xfId="8899" xr:uid="{00000000-0005-0000-0000-0000C0220000}"/>
    <cellStyle name="Comma 2 25 2" xfId="8900" xr:uid="{00000000-0005-0000-0000-0000C1220000}"/>
    <cellStyle name="Comma 2 25 2 2" xfId="8901" xr:uid="{00000000-0005-0000-0000-0000C2220000}"/>
    <cellStyle name="Comma 2 25 2 2 2" xfId="8902" xr:uid="{00000000-0005-0000-0000-0000C3220000}"/>
    <cellStyle name="Comma 2 25 2 2 3" xfId="8903" xr:uid="{00000000-0005-0000-0000-0000C4220000}"/>
    <cellStyle name="Comma 2 25 2 3" xfId="8904" xr:uid="{00000000-0005-0000-0000-0000C5220000}"/>
    <cellStyle name="Comma 2 25 2 4" xfId="8905" xr:uid="{00000000-0005-0000-0000-0000C6220000}"/>
    <cellStyle name="Comma 2 25 2 5" xfId="8906" xr:uid="{00000000-0005-0000-0000-0000C7220000}"/>
    <cellStyle name="Comma 2 25 2 6" xfId="8907" xr:uid="{00000000-0005-0000-0000-0000C8220000}"/>
    <cellStyle name="Comma 2 25 3" xfId="8908" xr:uid="{00000000-0005-0000-0000-0000C9220000}"/>
    <cellStyle name="Comma 2 25 3 2" xfId="8909" xr:uid="{00000000-0005-0000-0000-0000CA220000}"/>
    <cellStyle name="Comma 2 25 3 2 2" xfId="8910" xr:uid="{00000000-0005-0000-0000-0000CB220000}"/>
    <cellStyle name="Comma 2 25 3 2 3" xfId="8911" xr:uid="{00000000-0005-0000-0000-0000CC220000}"/>
    <cellStyle name="Comma 2 25 3 3" xfId="8912" xr:uid="{00000000-0005-0000-0000-0000CD220000}"/>
    <cellStyle name="Comma 2 25 3 4" xfId="8913" xr:uid="{00000000-0005-0000-0000-0000CE220000}"/>
    <cellStyle name="Comma 2 25 3 5" xfId="8914" xr:uid="{00000000-0005-0000-0000-0000CF220000}"/>
    <cellStyle name="Comma 2 25 3 6" xfId="8915" xr:uid="{00000000-0005-0000-0000-0000D0220000}"/>
    <cellStyle name="Comma 2 25 4" xfId="8916" xr:uid="{00000000-0005-0000-0000-0000D1220000}"/>
    <cellStyle name="Comma 2 25 4 2" xfId="8917" xr:uid="{00000000-0005-0000-0000-0000D2220000}"/>
    <cellStyle name="Comma 2 25 4 2 2" xfId="8918" xr:uid="{00000000-0005-0000-0000-0000D3220000}"/>
    <cellStyle name="Comma 2 25 4 3" xfId="8919" xr:uid="{00000000-0005-0000-0000-0000D4220000}"/>
    <cellStyle name="Comma 2 25 4 4" xfId="8920" xr:uid="{00000000-0005-0000-0000-0000D5220000}"/>
    <cellStyle name="Comma 2 25 4 5" xfId="8921" xr:uid="{00000000-0005-0000-0000-0000D6220000}"/>
    <cellStyle name="Comma 2 25 4 6" xfId="8922" xr:uid="{00000000-0005-0000-0000-0000D7220000}"/>
    <cellStyle name="Comma 2 25 5" xfId="8923" xr:uid="{00000000-0005-0000-0000-0000D8220000}"/>
    <cellStyle name="Comma 2 25 5 2" xfId="8924" xr:uid="{00000000-0005-0000-0000-0000D9220000}"/>
    <cellStyle name="Comma 2 25 5 3" xfId="8925" xr:uid="{00000000-0005-0000-0000-0000DA220000}"/>
    <cellStyle name="Comma 2 25 5 4" xfId="8926" xr:uid="{00000000-0005-0000-0000-0000DB220000}"/>
    <cellStyle name="Comma 2 25 5 5" xfId="8927" xr:uid="{00000000-0005-0000-0000-0000DC220000}"/>
    <cellStyle name="Comma 2 25 6" xfId="8928" xr:uid="{00000000-0005-0000-0000-0000DD220000}"/>
    <cellStyle name="Comma 2 25 6 2" xfId="8929" xr:uid="{00000000-0005-0000-0000-0000DE220000}"/>
    <cellStyle name="Comma 2 25 6 3" xfId="8930" xr:uid="{00000000-0005-0000-0000-0000DF220000}"/>
    <cellStyle name="Comma 2 25 7" xfId="8931" xr:uid="{00000000-0005-0000-0000-0000E0220000}"/>
    <cellStyle name="Comma 2 25 7 2" xfId="8932" xr:uid="{00000000-0005-0000-0000-0000E1220000}"/>
    <cellStyle name="Comma 2 25 8" xfId="8933" xr:uid="{00000000-0005-0000-0000-0000E2220000}"/>
    <cellStyle name="Comma 2 25 9" xfId="8934" xr:uid="{00000000-0005-0000-0000-0000E3220000}"/>
    <cellStyle name="Comma 2 26" xfId="8935" xr:uid="{00000000-0005-0000-0000-0000E4220000}"/>
    <cellStyle name="Comma 2 26 10" xfId="8936" xr:uid="{00000000-0005-0000-0000-0000E5220000}"/>
    <cellStyle name="Comma 2 26 2" xfId="8937" xr:uid="{00000000-0005-0000-0000-0000E6220000}"/>
    <cellStyle name="Comma 2 26 2 2" xfId="8938" xr:uid="{00000000-0005-0000-0000-0000E7220000}"/>
    <cellStyle name="Comma 2 26 2 2 2" xfId="8939" xr:uid="{00000000-0005-0000-0000-0000E8220000}"/>
    <cellStyle name="Comma 2 26 2 2 3" xfId="8940" xr:uid="{00000000-0005-0000-0000-0000E9220000}"/>
    <cellStyle name="Comma 2 26 2 3" xfId="8941" xr:uid="{00000000-0005-0000-0000-0000EA220000}"/>
    <cellStyle name="Comma 2 26 2 4" xfId="8942" xr:uid="{00000000-0005-0000-0000-0000EB220000}"/>
    <cellStyle name="Comma 2 26 2 5" xfId="8943" xr:uid="{00000000-0005-0000-0000-0000EC220000}"/>
    <cellStyle name="Comma 2 26 2 6" xfId="8944" xr:uid="{00000000-0005-0000-0000-0000ED220000}"/>
    <cellStyle name="Comma 2 26 3" xfId="8945" xr:uid="{00000000-0005-0000-0000-0000EE220000}"/>
    <cellStyle name="Comma 2 26 3 2" xfId="8946" xr:uid="{00000000-0005-0000-0000-0000EF220000}"/>
    <cellStyle name="Comma 2 26 3 2 2" xfId="8947" xr:uid="{00000000-0005-0000-0000-0000F0220000}"/>
    <cellStyle name="Comma 2 26 3 2 3" xfId="8948" xr:uid="{00000000-0005-0000-0000-0000F1220000}"/>
    <cellStyle name="Comma 2 26 3 3" xfId="8949" xr:uid="{00000000-0005-0000-0000-0000F2220000}"/>
    <cellStyle name="Comma 2 26 3 4" xfId="8950" xr:uid="{00000000-0005-0000-0000-0000F3220000}"/>
    <cellStyle name="Comma 2 26 3 5" xfId="8951" xr:uid="{00000000-0005-0000-0000-0000F4220000}"/>
    <cellStyle name="Comma 2 26 3 6" xfId="8952" xr:uid="{00000000-0005-0000-0000-0000F5220000}"/>
    <cellStyle name="Comma 2 26 4" xfId="8953" xr:uid="{00000000-0005-0000-0000-0000F6220000}"/>
    <cellStyle name="Comma 2 26 4 2" xfId="8954" xr:uid="{00000000-0005-0000-0000-0000F7220000}"/>
    <cellStyle name="Comma 2 26 4 2 2" xfId="8955" xr:uid="{00000000-0005-0000-0000-0000F8220000}"/>
    <cellStyle name="Comma 2 26 4 3" xfId="8956" xr:uid="{00000000-0005-0000-0000-0000F9220000}"/>
    <cellStyle name="Comma 2 26 4 4" xfId="8957" xr:uid="{00000000-0005-0000-0000-0000FA220000}"/>
    <cellStyle name="Comma 2 26 4 5" xfId="8958" xr:uid="{00000000-0005-0000-0000-0000FB220000}"/>
    <cellStyle name="Comma 2 26 4 6" xfId="8959" xr:uid="{00000000-0005-0000-0000-0000FC220000}"/>
    <cellStyle name="Comma 2 26 5" xfId="8960" xr:uid="{00000000-0005-0000-0000-0000FD220000}"/>
    <cellStyle name="Comma 2 26 5 2" xfId="8961" xr:uid="{00000000-0005-0000-0000-0000FE220000}"/>
    <cellStyle name="Comma 2 26 5 3" xfId="8962" xr:uid="{00000000-0005-0000-0000-0000FF220000}"/>
    <cellStyle name="Comma 2 26 5 4" xfId="8963" xr:uid="{00000000-0005-0000-0000-000000230000}"/>
    <cellStyle name="Comma 2 26 5 5" xfId="8964" xr:uid="{00000000-0005-0000-0000-000001230000}"/>
    <cellStyle name="Comma 2 26 6" xfId="8965" xr:uid="{00000000-0005-0000-0000-000002230000}"/>
    <cellStyle name="Comma 2 26 6 2" xfId="8966" xr:uid="{00000000-0005-0000-0000-000003230000}"/>
    <cellStyle name="Comma 2 26 6 3" xfId="8967" xr:uid="{00000000-0005-0000-0000-000004230000}"/>
    <cellStyle name="Comma 2 26 7" xfId="8968" xr:uid="{00000000-0005-0000-0000-000005230000}"/>
    <cellStyle name="Comma 2 26 7 2" xfId="8969" xr:uid="{00000000-0005-0000-0000-000006230000}"/>
    <cellStyle name="Comma 2 26 8" xfId="8970" xr:uid="{00000000-0005-0000-0000-000007230000}"/>
    <cellStyle name="Comma 2 26 9" xfId="8971" xr:uid="{00000000-0005-0000-0000-000008230000}"/>
    <cellStyle name="Comma 2 27" xfId="8972" xr:uid="{00000000-0005-0000-0000-000009230000}"/>
    <cellStyle name="Comma 2 27 10" xfId="8973" xr:uid="{00000000-0005-0000-0000-00000A230000}"/>
    <cellStyle name="Comma 2 27 2" xfId="8974" xr:uid="{00000000-0005-0000-0000-00000B230000}"/>
    <cellStyle name="Comma 2 27 2 2" xfId="8975" xr:uid="{00000000-0005-0000-0000-00000C230000}"/>
    <cellStyle name="Comma 2 27 2 2 2" xfId="8976" xr:uid="{00000000-0005-0000-0000-00000D230000}"/>
    <cellStyle name="Comma 2 27 2 2 3" xfId="8977" xr:uid="{00000000-0005-0000-0000-00000E230000}"/>
    <cellStyle name="Comma 2 27 2 3" xfId="8978" xr:uid="{00000000-0005-0000-0000-00000F230000}"/>
    <cellStyle name="Comma 2 27 2 4" xfId="8979" xr:uid="{00000000-0005-0000-0000-000010230000}"/>
    <cellStyle name="Comma 2 27 2 5" xfId="8980" xr:uid="{00000000-0005-0000-0000-000011230000}"/>
    <cellStyle name="Comma 2 27 2 6" xfId="8981" xr:uid="{00000000-0005-0000-0000-000012230000}"/>
    <cellStyle name="Comma 2 27 3" xfId="8982" xr:uid="{00000000-0005-0000-0000-000013230000}"/>
    <cellStyle name="Comma 2 27 3 2" xfId="8983" xr:uid="{00000000-0005-0000-0000-000014230000}"/>
    <cellStyle name="Comma 2 27 3 2 2" xfId="8984" xr:uid="{00000000-0005-0000-0000-000015230000}"/>
    <cellStyle name="Comma 2 27 3 2 3" xfId="8985" xr:uid="{00000000-0005-0000-0000-000016230000}"/>
    <cellStyle name="Comma 2 27 3 3" xfId="8986" xr:uid="{00000000-0005-0000-0000-000017230000}"/>
    <cellStyle name="Comma 2 27 3 4" xfId="8987" xr:uid="{00000000-0005-0000-0000-000018230000}"/>
    <cellStyle name="Comma 2 27 3 5" xfId="8988" xr:uid="{00000000-0005-0000-0000-000019230000}"/>
    <cellStyle name="Comma 2 27 3 6" xfId="8989" xr:uid="{00000000-0005-0000-0000-00001A230000}"/>
    <cellStyle name="Comma 2 27 4" xfId="8990" xr:uid="{00000000-0005-0000-0000-00001B230000}"/>
    <cellStyle name="Comma 2 27 4 2" xfId="8991" xr:uid="{00000000-0005-0000-0000-00001C230000}"/>
    <cellStyle name="Comma 2 27 4 2 2" xfId="8992" xr:uid="{00000000-0005-0000-0000-00001D230000}"/>
    <cellStyle name="Comma 2 27 4 3" xfId="8993" xr:uid="{00000000-0005-0000-0000-00001E230000}"/>
    <cellStyle name="Comma 2 27 4 4" xfId="8994" xr:uid="{00000000-0005-0000-0000-00001F230000}"/>
    <cellStyle name="Comma 2 27 4 5" xfId="8995" xr:uid="{00000000-0005-0000-0000-000020230000}"/>
    <cellStyle name="Comma 2 27 4 6" xfId="8996" xr:uid="{00000000-0005-0000-0000-000021230000}"/>
    <cellStyle name="Comma 2 27 5" xfId="8997" xr:uid="{00000000-0005-0000-0000-000022230000}"/>
    <cellStyle name="Comma 2 27 5 2" xfId="8998" xr:uid="{00000000-0005-0000-0000-000023230000}"/>
    <cellStyle name="Comma 2 27 5 3" xfId="8999" xr:uid="{00000000-0005-0000-0000-000024230000}"/>
    <cellStyle name="Comma 2 27 5 4" xfId="9000" xr:uid="{00000000-0005-0000-0000-000025230000}"/>
    <cellStyle name="Comma 2 27 5 5" xfId="9001" xr:uid="{00000000-0005-0000-0000-000026230000}"/>
    <cellStyle name="Comma 2 27 6" xfId="9002" xr:uid="{00000000-0005-0000-0000-000027230000}"/>
    <cellStyle name="Comma 2 27 6 2" xfId="9003" xr:uid="{00000000-0005-0000-0000-000028230000}"/>
    <cellStyle name="Comma 2 27 6 3" xfId="9004" xr:uid="{00000000-0005-0000-0000-000029230000}"/>
    <cellStyle name="Comma 2 27 7" xfId="9005" xr:uid="{00000000-0005-0000-0000-00002A230000}"/>
    <cellStyle name="Comma 2 27 7 2" xfId="9006" xr:uid="{00000000-0005-0000-0000-00002B230000}"/>
    <cellStyle name="Comma 2 27 8" xfId="9007" xr:uid="{00000000-0005-0000-0000-00002C230000}"/>
    <cellStyle name="Comma 2 27 9" xfId="9008" xr:uid="{00000000-0005-0000-0000-00002D230000}"/>
    <cellStyle name="Comma 2 28" xfId="9009" xr:uid="{00000000-0005-0000-0000-00002E230000}"/>
    <cellStyle name="Comma 2 28 10" xfId="9010" xr:uid="{00000000-0005-0000-0000-00002F230000}"/>
    <cellStyle name="Comma 2 28 2" xfId="9011" xr:uid="{00000000-0005-0000-0000-000030230000}"/>
    <cellStyle name="Comma 2 28 2 2" xfId="9012" xr:uid="{00000000-0005-0000-0000-000031230000}"/>
    <cellStyle name="Comma 2 28 2 2 2" xfId="9013" xr:uid="{00000000-0005-0000-0000-000032230000}"/>
    <cellStyle name="Comma 2 28 2 2 3" xfId="9014" xr:uid="{00000000-0005-0000-0000-000033230000}"/>
    <cellStyle name="Comma 2 28 2 3" xfId="9015" xr:uid="{00000000-0005-0000-0000-000034230000}"/>
    <cellStyle name="Comma 2 28 2 4" xfId="9016" xr:uid="{00000000-0005-0000-0000-000035230000}"/>
    <cellStyle name="Comma 2 28 2 5" xfId="9017" xr:uid="{00000000-0005-0000-0000-000036230000}"/>
    <cellStyle name="Comma 2 28 2 6" xfId="9018" xr:uid="{00000000-0005-0000-0000-000037230000}"/>
    <cellStyle name="Comma 2 28 3" xfId="9019" xr:uid="{00000000-0005-0000-0000-000038230000}"/>
    <cellStyle name="Comma 2 28 3 2" xfId="9020" xr:uid="{00000000-0005-0000-0000-000039230000}"/>
    <cellStyle name="Comma 2 28 3 2 2" xfId="9021" xr:uid="{00000000-0005-0000-0000-00003A230000}"/>
    <cellStyle name="Comma 2 28 3 2 3" xfId="9022" xr:uid="{00000000-0005-0000-0000-00003B230000}"/>
    <cellStyle name="Comma 2 28 3 3" xfId="9023" xr:uid="{00000000-0005-0000-0000-00003C230000}"/>
    <cellStyle name="Comma 2 28 3 4" xfId="9024" xr:uid="{00000000-0005-0000-0000-00003D230000}"/>
    <cellStyle name="Comma 2 28 3 5" xfId="9025" xr:uid="{00000000-0005-0000-0000-00003E230000}"/>
    <cellStyle name="Comma 2 28 3 6" xfId="9026" xr:uid="{00000000-0005-0000-0000-00003F230000}"/>
    <cellStyle name="Comma 2 28 4" xfId="9027" xr:uid="{00000000-0005-0000-0000-000040230000}"/>
    <cellStyle name="Comma 2 28 4 2" xfId="9028" xr:uid="{00000000-0005-0000-0000-000041230000}"/>
    <cellStyle name="Comma 2 28 4 2 2" xfId="9029" xr:uid="{00000000-0005-0000-0000-000042230000}"/>
    <cellStyle name="Comma 2 28 4 3" xfId="9030" xr:uid="{00000000-0005-0000-0000-000043230000}"/>
    <cellStyle name="Comma 2 28 4 4" xfId="9031" xr:uid="{00000000-0005-0000-0000-000044230000}"/>
    <cellStyle name="Comma 2 28 4 5" xfId="9032" xr:uid="{00000000-0005-0000-0000-000045230000}"/>
    <cellStyle name="Comma 2 28 4 6" xfId="9033" xr:uid="{00000000-0005-0000-0000-000046230000}"/>
    <cellStyle name="Comma 2 28 5" xfId="9034" xr:uid="{00000000-0005-0000-0000-000047230000}"/>
    <cellStyle name="Comma 2 28 5 2" xfId="9035" xr:uid="{00000000-0005-0000-0000-000048230000}"/>
    <cellStyle name="Comma 2 28 5 3" xfId="9036" xr:uid="{00000000-0005-0000-0000-000049230000}"/>
    <cellStyle name="Comma 2 28 5 4" xfId="9037" xr:uid="{00000000-0005-0000-0000-00004A230000}"/>
    <cellStyle name="Comma 2 28 5 5" xfId="9038" xr:uid="{00000000-0005-0000-0000-00004B230000}"/>
    <cellStyle name="Comma 2 28 6" xfId="9039" xr:uid="{00000000-0005-0000-0000-00004C230000}"/>
    <cellStyle name="Comma 2 28 6 2" xfId="9040" xr:uid="{00000000-0005-0000-0000-00004D230000}"/>
    <cellStyle name="Comma 2 28 6 3" xfId="9041" xr:uid="{00000000-0005-0000-0000-00004E230000}"/>
    <cellStyle name="Comma 2 28 7" xfId="9042" xr:uid="{00000000-0005-0000-0000-00004F230000}"/>
    <cellStyle name="Comma 2 28 7 2" xfId="9043" xr:uid="{00000000-0005-0000-0000-000050230000}"/>
    <cellStyle name="Comma 2 28 8" xfId="9044" xr:uid="{00000000-0005-0000-0000-000051230000}"/>
    <cellStyle name="Comma 2 28 9" xfId="9045" xr:uid="{00000000-0005-0000-0000-000052230000}"/>
    <cellStyle name="Comma 2 29" xfId="9046" xr:uid="{00000000-0005-0000-0000-000053230000}"/>
    <cellStyle name="Comma 2 29 10" xfId="9047" xr:uid="{00000000-0005-0000-0000-000054230000}"/>
    <cellStyle name="Comma 2 29 2" xfId="9048" xr:uid="{00000000-0005-0000-0000-000055230000}"/>
    <cellStyle name="Comma 2 29 2 2" xfId="9049" xr:uid="{00000000-0005-0000-0000-000056230000}"/>
    <cellStyle name="Comma 2 29 2 2 2" xfId="9050" xr:uid="{00000000-0005-0000-0000-000057230000}"/>
    <cellStyle name="Comma 2 29 2 2 3" xfId="9051" xr:uid="{00000000-0005-0000-0000-000058230000}"/>
    <cellStyle name="Comma 2 29 2 3" xfId="9052" xr:uid="{00000000-0005-0000-0000-000059230000}"/>
    <cellStyle name="Comma 2 29 2 4" xfId="9053" xr:uid="{00000000-0005-0000-0000-00005A230000}"/>
    <cellStyle name="Comma 2 29 2 5" xfId="9054" xr:uid="{00000000-0005-0000-0000-00005B230000}"/>
    <cellStyle name="Comma 2 29 2 6" xfId="9055" xr:uid="{00000000-0005-0000-0000-00005C230000}"/>
    <cellStyle name="Comma 2 29 3" xfId="9056" xr:uid="{00000000-0005-0000-0000-00005D230000}"/>
    <cellStyle name="Comma 2 29 3 2" xfId="9057" xr:uid="{00000000-0005-0000-0000-00005E230000}"/>
    <cellStyle name="Comma 2 29 3 2 2" xfId="9058" xr:uid="{00000000-0005-0000-0000-00005F230000}"/>
    <cellStyle name="Comma 2 29 3 2 3" xfId="9059" xr:uid="{00000000-0005-0000-0000-000060230000}"/>
    <cellStyle name="Comma 2 29 3 3" xfId="9060" xr:uid="{00000000-0005-0000-0000-000061230000}"/>
    <cellStyle name="Comma 2 29 3 4" xfId="9061" xr:uid="{00000000-0005-0000-0000-000062230000}"/>
    <cellStyle name="Comma 2 29 3 5" xfId="9062" xr:uid="{00000000-0005-0000-0000-000063230000}"/>
    <cellStyle name="Comma 2 29 3 6" xfId="9063" xr:uid="{00000000-0005-0000-0000-000064230000}"/>
    <cellStyle name="Comma 2 29 4" xfId="9064" xr:uid="{00000000-0005-0000-0000-000065230000}"/>
    <cellStyle name="Comma 2 29 4 2" xfId="9065" xr:uid="{00000000-0005-0000-0000-000066230000}"/>
    <cellStyle name="Comma 2 29 4 2 2" xfId="9066" xr:uid="{00000000-0005-0000-0000-000067230000}"/>
    <cellStyle name="Comma 2 29 4 3" xfId="9067" xr:uid="{00000000-0005-0000-0000-000068230000}"/>
    <cellStyle name="Comma 2 29 4 4" xfId="9068" xr:uid="{00000000-0005-0000-0000-000069230000}"/>
    <cellStyle name="Comma 2 29 4 5" xfId="9069" xr:uid="{00000000-0005-0000-0000-00006A230000}"/>
    <cellStyle name="Comma 2 29 4 6" xfId="9070" xr:uid="{00000000-0005-0000-0000-00006B230000}"/>
    <cellStyle name="Comma 2 29 5" xfId="9071" xr:uid="{00000000-0005-0000-0000-00006C230000}"/>
    <cellStyle name="Comma 2 29 5 2" xfId="9072" xr:uid="{00000000-0005-0000-0000-00006D230000}"/>
    <cellStyle name="Comma 2 29 5 3" xfId="9073" xr:uid="{00000000-0005-0000-0000-00006E230000}"/>
    <cellStyle name="Comma 2 29 5 4" xfId="9074" xr:uid="{00000000-0005-0000-0000-00006F230000}"/>
    <cellStyle name="Comma 2 29 5 5" xfId="9075" xr:uid="{00000000-0005-0000-0000-000070230000}"/>
    <cellStyle name="Comma 2 29 6" xfId="9076" xr:uid="{00000000-0005-0000-0000-000071230000}"/>
    <cellStyle name="Comma 2 29 6 2" xfId="9077" xr:uid="{00000000-0005-0000-0000-000072230000}"/>
    <cellStyle name="Comma 2 29 6 3" xfId="9078" xr:uid="{00000000-0005-0000-0000-000073230000}"/>
    <cellStyle name="Comma 2 29 7" xfId="9079" xr:uid="{00000000-0005-0000-0000-000074230000}"/>
    <cellStyle name="Comma 2 29 7 2" xfId="9080" xr:uid="{00000000-0005-0000-0000-000075230000}"/>
    <cellStyle name="Comma 2 29 8" xfId="9081" xr:uid="{00000000-0005-0000-0000-000076230000}"/>
    <cellStyle name="Comma 2 29 9" xfId="9082" xr:uid="{00000000-0005-0000-0000-000077230000}"/>
    <cellStyle name="Comma 2 3" xfId="9083" xr:uid="{00000000-0005-0000-0000-000078230000}"/>
    <cellStyle name="Comma 2 3 10" xfId="9084" xr:uid="{00000000-0005-0000-0000-000079230000}"/>
    <cellStyle name="Comma 2 3 10 10" xfId="9085" xr:uid="{00000000-0005-0000-0000-00007A230000}"/>
    <cellStyle name="Comma 2 3 10 2" xfId="9086" xr:uid="{00000000-0005-0000-0000-00007B230000}"/>
    <cellStyle name="Comma 2 3 10 2 2" xfId="9087" xr:uid="{00000000-0005-0000-0000-00007C230000}"/>
    <cellStyle name="Comma 2 3 10 2 2 2" xfId="9088" xr:uid="{00000000-0005-0000-0000-00007D230000}"/>
    <cellStyle name="Comma 2 3 10 2 2 3" xfId="9089" xr:uid="{00000000-0005-0000-0000-00007E230000}"/>
    <cellStyle name="Comma 2 3 10 2 3" xfId="9090" xr:uid="{00000000-0005-0000-0000-00007F230000}"/>
    <cellStyle name="Comma 2 3 10 2 4" xfId="9091" xr:uid="{00000000-0005-0000-0000-000080230000}"/>
    <cellStyle name="Comma 2 3 10 2 5" xfId="9092" xr:uid="{00000000-0005-0000-0000-000081230000}"/>
    <cellStyle name="Comma 2 3 10 2 6" xfId="9093" xr:uid="{00000000-0005-0000-0000-000082230000}"/>
    <cellStyle name="Comma 2 3 10 3" xfId="9094" xr:uid="{00000000-0005-0000-0000-000083230000}"/>
    <cellStyle name="Comma 2 3 10 3 2" xfId="9095" xr:uid="{00000000-0005-0000-0000-000084230000}"/>
    <cellStyle name="Comma 2 3 10 3 2 2" xfId="9096" xr:uid="{00000000-0005-0000-0000-000085230000}"/>
    <cellStyle name="Comma 2 3 10 3 2 3" xfId="9097" xr:uid="{00000000-0005-0000-0000-000086230000}"/>
    <cellStyle name="Comma 2 3 10 3 3" xfId="9098" xr:uid="{00000000-0005-0000-0000-000087230000}"/>
    <cellStyle name="Comma 2 3 10 3 4" xfId="9099" xr:uid="{00000000-0005-0000-0000-000088230000}"/>
    <cellStyle name="Comma 2 3 10 3 5" xfId="9100" xr:uid="{00000000-0005-0000-0000-000089230000}"/>
    <cellStyle name="Comma 2 3 10 3 6" xfId="9101" xr:uid="{00000000-0005-0000-0000-00008A230000}"/>
    <cellStyle name="Comma 2 3 10 4" xfId="9102" xr:uid="{00000000-0005-0000-0000-00008B230000}"/>
    <cellStyle name="Comma 2 3 10 4 2" xfId="9103" xr:uid="{00000000-0005-0000-0000-00008C230000}"/>
    <cellStyle name="Comma 2 3 10 4 2 2" xfId="9104" xr:uid="{00000000-0005-0000-0000-00008D230000}"/>
    <cellStyle name="Comma 2 3 10 4 3" xfId="9105" xr:uid="{00000000-0005-0000-0000-00008E230000}"/>
    <cellStyle name="Comma 2 3 10 4 4" xfId="9106" xr:uid="{00000000-0005-0000-0000-00008F230000}"/>
    <cellStyle name="Comma 2 3 10 4 5" xfId="9107" xr:uid="{00000000-0005-0000-0000-000090230000}"/>
    <cellStyle name="Comma 2 3 10 5" xfId="9108" xr:uid="{00000000-0005-0000-0000-000091230000}"/>
    <cellStyle name="Comma 2 3 10 5 2" xfId="9109" xr:uid="{00000000-0005-0000-0000-000092230000}"/>
    <cellStyle name="Comma 2 3 10 5 3" xfId="9110" xr:uid="{00000000-0005-0000-0000-000093230000}"/>
    <cellStyle name="Comma 2 3 10 5 4" xfId="9111" xr:uid="{00000000-0005-0000-0000-000094230000}"/>
    <cellStyle name="Comma 2 3 10 6" xfId="9112" xr:uid="{00000000-0005-0000-0000-000095230000}"/>
    <cellStyle name="Comma 2 3 10 6 2" xfId="9113" xr:uid="{00000000-0005-0000-0000-000096230000}"/>
    <cellStyle name="Comma 2 3 10 7" xfId="9114" xr:uid="{00000000-0005-0000-0000-000097230000}"/>
    <cellStyle name="Comma 2 3 10 8" xfId="9115" xr:uid="{00000000-0005-0000-0000-000098230000}"/>
    <cellStyle name="Comma 2 3 10 9" xfId="9116" xr:uid="{00000000-0005-0000-0000-000099230000}"/>
    <cellStyle name="Comma 2 3 11" xfId="9117" xr:uid="{00000000-0005-0000-0000-00009A230000}"/>
    <cellStyle name="Comma 2 3 11 10" xfId="9118" xr:uid="{00000000-0005-0000-0000-00009B230000}"/>
    <cellStyle name="Comma 2 3 11 2" xfId="9119" xr:uid="{00000000-0005-0000-0000-00009C230000}"/>
    <cellStyle name="Comma 2 3 11 2 2" xfId="9120" xr:uid="{00000000-0005-0000-0000-00009D230000}"/>
    <cellStyle name="Comma 2 3 11 2 2 2" xfId="9121" xr:uid="{00000000-0005-0000-0000-00009E230000}"/>
    <cellStyle name="Comma 2 3 11 2 2 3" xfId="9122" xr:uid="{00000000-0005-0000-0000-00009F230000}"/>
    <cellStyle name="Comma 2 3 11 2 3" xfId="9123" xr:uid="{00000000-0005-0000-0000-0000A0230000}"/>
    <cellStyle name="Comma 2 3 11 2 4" xfId="9124" xr:uid="{00000000-0005-0000-0000-0000A1230000}"/>
    <cellStyle name="Comma 2 3 11 2 5" xfId="9125" xr:uid="{00000000-0005-0000-0000-0000A2230000}"/>
    <cellStyle name="Comma 2 3 11 2 6" xfId="9126" xr:uid="{00000000-0005-0000-0000-0000A3230000}"/>
    <cellStyle name="Comma 2 3 11 3" xfId="9127" xr:uid="{00000000-0005-0000-0000-0000A4230000}"/>
    <cellStyle name="Comma 2 3 11 3 2" xfId="9128" xr:uid="{00000000-0005-0000-0000-0000A5230000}"/>
    <cellStyle name="Comma 2 3 11 3 2 2" xfId="9129" xr:uid="{00000000-0005-0000-0000-0000A6230000}"/>
    <cellStyle name="Comma 2 3 11 3 2 3" xfId="9130" xr:uid="{00000000-0005-0000-0000-0000A7230000}"/>
    <cellStyle name="Comma 2 3 11 3 3" xfId="9131" xr:uid="{00000000-0005-0000-0000-0000A8230000}"/>
    <cellStyle name="Comma 2 3 11 3 4" xfId="9132" xr:uid="{00000000-0005-0000-0000-0000A9230000}"/>
    <cellStyle name="Comma 2 3 11 3 5" xfId="9133" xr:uid="{00000000-0005-0000-0000-0000AA230000}"/>
    <cellStyle name="Comma 2 3 11 3 6" xfId="9134" xr:uid="{00000000-0005-0000-0000-0000AB230000}"/>
    <cellStyle name="Comma 2 3 11 4" xfId="9135" xr:uid="{00000000-0005-0000-0000-0000AC230000}"/>
    <cellStyle name="Comma 2 3 11 4 2" xfId="9136" xr:uid="{00000000-0005-0000-0000-0000AD230000}"/>
    <cellStyle name="Comma 2 3 11 4 2 2" xfId="9137" xr:uid="{00000000-0005-0000-0000-0000AE230000}"/>
    <cellStyle name="Comma 2 3 11 4 3" xfId="9138" xr:uid="{00000000-0005-0000-0000-0000AF230000}"/>
    <cellStyle name="Comma 2 3 11 4 4" xfId="9139" xr:uid="{00000000-0005-0000-0000-0000B0230000}"/>
    <cellStyle name="Comma 2 3 11 4 5" xfId="9140" xr:uid="{00000000-0005-0000-0000-0000B1230000}"/>
    <cellStyle name="Comma 2 3 11 5" xfId="9141" xr:uid="{00000000-0005-0000-0000-0000B2230000}"/>
    <cellStyle name="Comma 2 3 11 5 2" xfId="9142" xr:uid="{00000000-0005-0000-0000-0000B3230000}"/>
    <cellStyle name="Comma 2 3 11 5 3" xfId="9143" xr:uid="{00000000-0005-0000-0000-0000B4230000}"/>
    <cellStyle name="Comma 2 3 11 5 4" xfId="9144" xr:uid="{00000000-0005-0000-0000-0000B5230000}"/>
    <cellStyle name="Comma 2 3 11 6" xfId="9145" xr:uid="{00000000-0005-0000-0000-0000B6230000}"/>
    <cellStyle name="Comma 2 3 11 6 2" xfId="9146" xr:uid="{00000000-0005-0000-0000-0000B7230000}"/>
    <cellStyle name="Comma 2 3 11 7" xfId="9147" xr:uid="{00000000-0005-0000-0000-0000B8230000}"/>
    <cellStyle name="Comma 2 3 11 8" xfId="9148" xr:uid="{00000000-0005-0000-0000-0000B9230000}"/>
    <cellStyle name="Comma 2 3 11 9" xfId="9149" xr:uid="{00000000-0005-0000-0000-0000BA230000}"/>
    <cellStyle name="Comma 2 3 12" xfId="9150" xr:uid="{00000000-0005-0000-0000-0000BB230000}"/>
    <cellStyle name="Comma 2 3 12 10" xfId="9151" xr:uid="{00000000-0005-0000-0000-0000BC230000}"/>
    <cellStyle name="Comma 2 3 12 2" xfId="9152" xr:uid="{00000000-0005-0000-0000-0000BD230000}"/>
    <cellStyle name="Comma 2 3 12 2 2" xfId="9153" xr:uid="{00000000-0005-0000-0000-0000BE230000}"/>
    <cellStyle name="Comma 2 3 12 2 2 2" xfId="9154" xr:uid="{00000000-0005-0000-0000-0000BF230000}"/>
    <cellStyle name="Comma 2 3 12 2 2 3" xfId="9155" xr:uid="{00000000-0005-0000-0000-0000C0230000}"/>
    <cellStyle name="Comma 2 3 12 2 3" xfId="9156" xr:uid="{00000000-0005-0000-0000-0000C1230000}"/>
    <cellStyle name="Comma 2 3 12 2 4" xfId="9157" xr:uid="{00000000-0005-0000-0000-0000C2230000}"/>
    <cellStyle name="Comma 2 3 12 2 5" xfId="9158" xr:uid="{00000000-0005-0000-0000-0000C3230000}"/>
    <cellStyle name="Comma 2 3 12 2 6" xfId="9159" xr:uid="{00000000-0005-0000-0000-0000C4230000}"/>
    <cellStyle name="Comma 2 3 12 3" xfId="9160" xr:uid="{00000000-0005-0000-0000-0000C5230000}"/>
    <cellStyle name="Comma 2 3 12 3 2" xfId="9161" xr:uid="{00000000-0005-0000-0000-0000C6230000}"/>
    <cellStyle name="Comma 2 3 12 3 2 2" xfId="9162" xr:uid="{00000000-0005-0000-0000-0000C7230000}"/>
    <cellStyle name="Comma 2 3 12 3 2 3" xfId="9163" xr:uid="{00000000-0005-0000-0000-0000C8230000}"/>
    <cellStyle name="Comma 2 3 12 3 3" xfId="9164" xr:uid="{00000000-0005-0000-0000-0000C9230000}"/>
    <cellStyle name="Comma 2 3 12 3 4" xfId="9165" xr:uid="{00000000-0005-0000-0000-0000CA230000}"/>
    <cellStyle name="Comma 2 3 12 3 5" xfId="9166" xr:uid="{00000000-0005-0000-0000-0000CB230000}"/>
    <cellStyle name="Comma 2 3 12 3 6" xfId="9167" xr:uid="{00000000-0005-0000-0000-0000CC230000}"/>
    <cellStyle name="Comma 2 3 12 4" xfId="9168" xr:uid="{00000000-0005-0000-0000-0000CD230000}"/>
    <cellStyle name="Comma 2 3 12 4 2" xfId="9169" xr:uid="{00000000-0005-0000-0000-0000CE230000}"/>
    <cellStyle name="Comma 2 3 12 4 2 2" xfId="9170" xr:uid="{00000000-0005-0000-0000-0000CF230000}"/>
    <cellStyle name="Comma 2 3 12 4 3" xfId="9171" xr:uid="{00000000-0005-0000-0000-0000D0230000}"/>
    <cellStyle name="Comma 2 3 12 4 4" xfId="9172" xr:uid="{00000000-0005-0000-0000-0000D1230000}"/>
    <cellStyle name="Comma 2 3 12 4 5" xfId="9173" xr:uid="{00000000-0005-0000-0000-0000D2230000}"/>
    <cellStyle name="Comma 2 3 12 5" xfId="9174" xr:uid="{00000000-0005-0000-0000-0000D3230000}"/>
    <cellStyle name="Comma 2 3 12 5 2" xfId="9175" xr:uid="{00000000-0005-0000-0000-0000D4230000}"/>
    <cellStyle name="Comma 2 3 12 5 3" xfId="9176" xr:uid="{00000000-0005-0000-0000-0000D5230000}"/>
    <cellStyle name="Comma 2 3 12 5 4" xfId="9177" xr:uid="{00000000-0005-0000-0000-0000D6230000}"/>
    <cellStyle name="Comma 2 3 12 6" xfId="9178" xr:uid="{00000000-0005-0000-0000-0000D7230000}"/>
    <cellStyle name="Comma 2 3 12 6 2" xfId="9179" xr:uid="{00000000-0005-0000-0000-0000D8230000}"/>
    <cellStyle name="Comma 2 3 12 7" xfId="9180" xr:uid="{00000000-0005-0000-0000-0000D9230000}"/>
    <cellStyle name="Comma 2 3 12 8" xfId="9181" xr:uid="{00000000-0005-0000-0000-0000DA230000}"/>
    <cellStyle name="Comma 2 3 12 9" xfId="9182" xr:uid="{00000000-0005-0000-0000-0000DB230000}"/>
    <cellStyle name="Comma 2 3 13" xfId="9183" xr:uid="{00000000-0005-0000-0000-0000DC230000}"/>
    <cellStyle name="Comma 2 3 13 10" xfId="9184" xr:uid="{00000000-0005-0000-0000-0000DD230000}"/>
    <cellStyle name="Comma 2 3 13 2" xfId="9185" xr:uid="{00000000-0005-0000-0000-0000DE230000}"/>
    <cellStyle name="Comma 2 3 13 2 2" xfId="9186" xr:uid="{00000000-0005-0000-0000-0000DF230000}"/>
    <cellStyle name="Comma 2 3 13 2 2 2" xfId="9187" xr:uid="{00000000-0005-0000-0000-0000E0230000}"/>
    <cellStyle name="Comma 2 3 13 2 2 3" xfId="9188" xr:uid="{00000000-0005-0000-0000-0000E1230000}"/>
    <cellStyle name="Comma 2 3 13 2 3" xfId="9189" xr:uid="{00000000-0005-0000-0000-0000E2230000}"/>
    <cellStyle name="Comma 2 3 13 2 4" xfId="9190" xr:uid="{00000000-0005-0000-0000-0000E3230000}"/>
    <cellStyle name="Comma 2 3 13 2 5" xfId="9191" xr:uid="{00000000-0005-0000-0000-0000E4230000}"/>
    <cellStyle name="Comma 2 3 13 2 6" xfId="9192" xr:uid="{00000000-0005-0000-0000-0000E5230000}"/>
    <cellStyle name="Comma 2 3 13 3" xfId="9193" xr:uid="{00000000-0005-0000-0000-0000E6230000}"/>
    <cellStyle name="Comma 2 3 13 3 2" xfId="9194" xr:uid="{00000000-0005-0000-0000-0000E7230000}"/>
    <cellStyle name="Comma 2 3 13 3 2 2" xfId="9195" xr:uid="{00000000-0005-0000-0000-0000E8230000}"/>
    <cellStyle name="Comma 2 3 13 3 2 3" xfId="9196" xr:uid="{00000000-0005-0000-0000-0000E9230000}"/>
    <cellStyle name="Comma 2 3 13 3 3" xfId="9197" xr:uid="{00000000-0005-0000-0000-0000EA230000}"/>
    <cellStyle name="Comma 2 3 13 3 4" xfId="9198" xr:uid="{00000000-0005-0000-0000-0000EB230000}"/>
    <cellStyle name="Comma 2 3 13 3 5" xfId="9199" xr:uid="{00000000-0005-0000-0000-0000EC230000}"/>
    <cellStyle name="Comma 2 3 13 3 6" xfId="9200" xr:uid="{00000000-0005-0000-0000-0000ED230000}"/>
    <cellStyle name="Comma 2 3 13 4" xfId="9201" xr:uid="{00000000-0005-0000-0000-0000EE230000}"/>
    <cellStyle name="Comma 2 3 13 4 2" xfId="9202" xr:uid="{00000000-0005-0000-0000-0000EF230000}"/>
    <cellStyle name="Comma 2 3 13 4 2 2" xfId="9203" xr:uid="{00000000-0005-0000-0000-0000F0230000}"/>
    <cellStyle name="Comma 2 3 13 4 3" xfId="9204" xr:uid="{00000000-0005-0000-0000-0000F1230000}"/>
    <cellStyle name="Comma 2 3 13 4 4" xfId="9205" xr:uid="{00000000-0005-0000-0000-0000F2230000}"/>
    <cellStyle name="Comma 2 3 13 4 5" xfId="9206" xr:uid="{00000000-0005-0000-0000-0000F3230000}"/>
    <cellStyle name="Comma 2 3 13 5" xfId="9207" xr:uid="{00000000-0005-0000-0000-0000F4230000}"/>
    <cellStyle name="Comma 2 3 13 5 2" xfId="9208" xr:uid="{00000000-0005-0000-0000-0000F5230000}"/>
    <cellStyle name="Comma 2 3 13 5 3" xfId="9209" xr:uid="{00000000-0005-0000-0000-0000F6230000}"/>
    <cellStyle name="Comma 2 3 13 5 4" xfId="9210" xr:uid="{00000000-0005-0000-0000-0000F7230000}"/>
    <cellStyle name="Comma 2 3 13 6" xfId="9211" xr:uid="{00000000-0005-0000-0000-0000F8230000}"/>
    <cellStyle name="Comma 2 3 13 6 2" xfId="9212" xr:uid="{00000000-0005-0000-0000-0000F9230000}"/>
    <cellStyle name="Comma 2 3 13 7" xfId="9213" xr:uid="{00000000-0005-0000-0000-0000FA230000}"/>
    <cellStyle name="Comma 2 3 13 8" xfId="9214" xr:uid="{00000000-0005-0000-0000-0000FB230000}"/>
    <cellStyle name="Comma 2 3 13 9" xfId="9215" xr:uid="{00000000-0005-0000-0000-0000FC230000}"/>
    <cellStyle name="Comma 2 3 14" xfId="9216" xr:uid="{00000000-0005-0000-0000-0000FD230000}"/>
    <cellStyle name="Comma 2 3 14 10" xfId="9217" xr:uid="{00000000-0005-0000-0000-0000FE230000}"/>
    <cellStyle name="Comma 2 3 14 2" xfId="9218" xr:uid="{00000000-0005-0000-0000-0000FF230000}"/>
    <cellStyle name="Comma 2 3 14 2 2" xfId="9219" xr:uid="{00000000-0005-0000-0000-000000240000}"/>
    <cellStyle name="Comma 2 3 14 2 2 2" xfId="9220" xr:uid="{00000000-0005-0000-0000-000001240000}"/>
    <cellStyle name="Comma 2 3 14 2 2 3" xfId="9221" xr:uid="{00000000-0005-0000-0000-000002240000}"/>
    <cellStyle name="Comma 2 3 14 2 3" xfId="9222" xr:uid="{00000000-0005-0000-0000-000003240000}"/>
    <cellStyle name="Comma 2 3 14 2 4" xfId="9223" xr:uid="{00000000-0005-0000-0000-000004240000}"/>
    <cellStyle name="Comma 2 3 14 2 5" xfId="9224" xr:uid="{00000000-0005-0000-0000-000005240000}"/>
    <cellStyle name="Comma 2 3 14 2 6" xfId="9225" xr:uid="{00000000-0005-0000-0000-000006240000}"/>
    <cellStyle name="Comma 2 3 14 3" xfId="9226" xr:uid="{00000000-0005-0000-0000-000007240000}"/>
    <cellStyle name="Comma 2 3 14 3 2" xfId="9227" xr:uid="{00000000-0005-0000-0000-000008240000}"/>
    <cellStyle name="Comma 2 3 14 3 2 2" xfId="9228" xr:uid="{00000000-0005-0000-0000-000009240000}"/>
    <cellStyle name="Comma 2 3 14 3 2 3" xfId="9229" xr:uid="{00000000-0005-0000-0000-00000A240000}"/>
    <cellStyle name="Comma 2 3 14 3 3" xfId="9230" xr:uid="{00000000-0005-0000-0000-00000B240000}"/>
    <cellStyle name="Comma 2 3 14 3 4" xfId="9231" xr:uid="{00000000-0005-0000-0000-00000C240000}"/>
    <cellStyle name="Comma 2 3 14 3 5" xfId="9232" xr:uid="{00000000-0005-0000-0000-00000D240000}"/>
    <cellStyle name="Comma 2 3 14 3 6" xfId="9233" xr:uid="{00000000-0005-0000-0000-00000E240000}"/>
    <cellStyle name="Comma 2 3 14 4" xfId="9234" xr:uid="{00000000-0005-0000-0000-00000F240000}"/>
    <cellStyle name="Comma 2 3 14 4 2" xfId="9235" xr:uid="{00000000-0005-0000-0000-000010240000}"/>
    <cellStyle name="Comma 2 3 14 4 2 2" xfId="9236" xr:uid="{00000000-0005-0000-0000-000011240000}"/>
    <cellStyle name="Comma 2 3 14 4 3" xfId="9237" xr:uid="{00000000-0005-0000-0000-000012240000}"/>
    <cellStyle name="Comma 2 3 14 4 4" xfId="9238" xr:uid="{00000000-0005-0000-0000-000013240000}"/>
    <cellStyle name="Comma 2 3 14 4 5" xfId="9239" xr:uid="{00000000-0005-0000-0000-000014240000}"/>
    <cellStyle name="Comma 2 3 14 5" xfId="9240" xr:uid="{00000000-0005-0000-0000-000015240000}"/>
    <cellStyle name="Comma 2 3 14 5 2" xfId="9241" xr:uid="{00000000-0005-0000-0000-000016240000}"/>
    <cellStyle name="Comma 2 3 14 5 3" xfId="9242" xr:uid="{00000000-0005-0000-0000-000017240000}"/>
    <cellStyle name="Comma 2 3 14 5 4" xfId="9243" xr:uid="{00000000-0005-0000-0000-000018240000}"/>
    <cellStyle name="Comma 2 3 14 6" xfId="9244" xr:uid="{00000000-0005-0000-0000-000019240000}"/>
    <cellStyle name="Comma 2 3 14 6 2" xfId="9245" xr:uid="{00000000-0005-0000-0000-00001A240000}"/>
    <cellStyle name="Comma 2 3 14 7" xfId="9246" xr:uid="{00000000-0005-0000-0000-00001B240000}"/>
    <cellStyle name="Comma 2 3 14 8" xfId="9247" xr:uid="{00000000-0005-0000-0000-00001C240000}"/>
    <cellStyle name="Comma 2 3 14 9" xfId="9248" xr:uid="{00000000-0005-0000-0000-00001D240000}"/>
    <cellStyle name="Comma 2 3 15" xfId="9249" xr:uid="{00000000-0005-0000-0000-00001E240000}"/>
    <cellStyle name="Comma 2 3 15 10" xfId="9250" xr:uid="{00000000-0005-0000-0000-00001F240000}"/>
    <cellStyle name="Comma 2 3 15 2" xfId="9251" xr:uid="{00000000-0005-0000-0000-000020240000}"/>
    <cellStyle name="Comma 2 3 15 2 2" xfId="9252" xr:uid="{00000000-0005-0000-0000-000021240000}"/>
    <cellStyle name="Comma 2 3 15 2 2 2" xfId="9253" xr:uid="{00000000-0005-0000-0000-000022240000}"/>
    <cellStyle name="Comma 2 3 15 2 2 3" xfId="9254" xr:uid="{00000000-0005-0000-0000-000023240000}"/>
    <cellStyle name="Comma 2 3 15 2 3" xfId="9255" xr:uid="{00000000-0005-0000-0000-000024240000}"/>
    <cellStyle name="Comma 2 3 15 2 4" xfId="9256" xr:uid="{00000000-0005-0000-0000-000025240000}"/>
    <cellStyle name="Comma 2 3 15 2 5" xfId="9257" xr:uid="{00000000-0005-0000-0000-000026240000}"/>
    <cellStyle name="Comma 2 3 15 2 6" xfId="9258" xr:uid="{00000000-0005-0000-0000-000027240000}"/>
    <cellStyle name="Comma 2 3 15 3" xfId="9259" xr:uid="{00000000-0005-0000-0000-000028240000}"/>
    <cellStyle name="Comma 2 3 15 3 2" xfId="9260" xr:uid="{00000000-0005-0000-0000-000029240000}"/>
    <cellStyle name="Comma 2 3 15 3 2 2" xfId="9261" xr:uid="{00000000-0005-0000-0000-00002A240000}"/>
    <cellStyle name="Comma 2 3 15 3 2 3" xfId="9262" xr:uid="{00000000-0005-0000-0000-00002B240000}"/>
    <cellStyle name="Comma 2 3 15 3 3" xfId="9263" xr:uid="{00000000-0005-0000-0000-00002C240000}"/>
    <cellStyle name="Comma 2 3 15 3 4" xfId="9264" xr:uid="{00000000-0005-0000-0000-00002D240000}"/>
    <cellStyle name="Comma 2 3 15 3 5" xfId="9265" xr:uid="{00000000-0005-0000-0000-00002E240000}"/>
    <cellStyle name="Comma 2 3 15 3 6" xfId="9266" xr:uid="{00000000-0005-0000-0000-00002F240000}"/>
    <cellStyle name="Comma 2 3 15 4" xfId="9267" xr:uid="{00000000-0005-0000-0000-000030240000}"/>
    <cellStyle name="Comma 2 3 15 4 2" xfId="9268" xr:uid="{00000000-0005-0000-0000-000031240000}"/>
    <cellStyle name="Comma 2 3 15 4 2 2" xfId="9269" xr:uid="{00000000-0005-0000-0000-000032240000}"/>
    <cellStyle name="Comma 2 3 15 4 3" xfId="9270" xr:uid="{00000000-0005-0000-0000-000033240000}"/>
    <cellStyle name="Comma 2 3 15 4 4" xfId="9271" xr:uid="{00000000-0005-0000-0000-000034240000}"/>
    <cellStyle name="Comma 2 3 15 4 5" xfId="9272" xr:uid="{00000000-0005-0000-0000-000035240000}"/>
    <cellStyle name="Comma 2 3 15 5" xfId="9273" xr:uid="{00000000-0005-0000-0000-000036240000}"/>
    <cellStyle name="Comma 2 3 15 5 2" xfId="9274" xr:uid="{00000000-0005-0000-0000-000037240000}"/>
    <cellStyle name="Comma 2 3 15 5 3" xfId="9275" xr:uid="{00000000-0005-0000-0000-000038240000}"/>
    <cellStyle name="Comma 2 3 15 5 4" xfId="9276" xr:uid="{00000000-0005-0000-0000-000039240000}"/>
    <cellStyle name="Comma 2 3 15 6" xfId="9277" xr:uid="{00000000-0005-0000-0000-00003A240000}"/>
    <cellStyle name="Comma 2 3 15 6 2" xfId="9278" xr:uid="{00000000-0005-0000-0000-00003B240000}"/>
    <cellStyle name="Comma 2 3 15 7" xfId="9279" xr:uid="{00000000-0005-0000-0000-00003C240000}"/>
    <cellStyle name="Comma 2 3 15 8" xfId="9280" xr:uid="{00000000-0005-0000-0000-00003D240000}"/>
    <cellStyle name="Comma 2 3 15 9" xfId="9281" xr:uid="{00000000-0005-0000-0000-00003E240000}"/>
    <cellStyle name="Comma 2 3 16" xfId="9282" xr:uid="{00000000-0005-0000-0000-00003F240000}"/>
    <cellStyle name="Comma 2 3 16 10" xfId="9283" xr:uid="{00000000-0005-0000-0000-000040240000}"/>
    <cellStyle name="Comma 2 3 16 2" xfId="9284" xr:uid="{00000000-0005-0000-0000-000041240000}"/>
    <cellStyle name="Comma 2 3 16 2 2" xfId="9285" xr:uid="{00000000-0005-0000-0000-000042240000}"/>
    <cellStyle name="Comma 2 3 16 2 2 2" xfId="9286" xr:uid="{00000000-0005-0000-0000-000043240000}"/>
    <cellStyle name="Comma 2 3 16 2 2 3" xfId="9287" xr:uid="{00000000-0005-0000-0000-000044240000}"/>
    <cellStyle name="Comma 2 3 16 2 3" xfId="9288" xr:uid="{00000000-0005-0000-0000-000045240000}"/>
    <cellStyle name="Comma 2 3 16 2 4" xfId="9289" xr:uid="{00000000-0005-0000-0000-000046240000}"/>
    <cellStyle name="Comma 2 3 16 2 5" xfId="9290" xr:uid="{00000000-0005-0000-0000-000047240000}"/>
    <cellStyle name="Comma 2 3 16 2 6" xfId="9291" xr:uid="{00000000-0005-0000-0000-000048240000}"/>
    <cellStyle name="Comma 2 3 16 3" xfId="9292" xr:uid="{00000000-0005-0000-0000-000049240000}"/>
    <cellStyle name="Comma 2 3 16 3 2" xfId="9293" xr:uid="{00000000-0005-0000-0000-00004A240000}"/>
    <cellStyle name="Comma 2 3 16 3 2 2" xfId="9294" xr:uid="{00000000-0005-0000-0000-00004B240000}"/>
    <cellStyle name="Comma 2 3 16 3 2 3" xfId="9295" xr:uid="{00000000-0005-0000-0000-00004C240000}"/>
    <cellStyle name="Comma 2 3 16 3 3" xfId="9296" xr:uid="{00000000-0005-0000-0000-00004D240000}"/>
    <cellStyle name="Comma 2 3 16 3 4" xfId="9297" xr:uid="{00000000-0005-0000-0000-00004E240000}"/>
    <cellStyle name="Comma 2 3 16 3 5" xfId="9298" xr:uid="{00000000-0005-0000-0000-00004F240000}"/>
    <cellStyle name="Comma 2 3 16 3 6" xfId="9299" xr:uid="{00000000-0005-0000-0000-000050240000}"/>
    <cellStyle name="Comma 2 3 16 4" xfId="9300" xr:uid="{00000000-0005-0000-0000-000051240000}"/>
    <cellStyle name="Comma 2 3 16 4 2" xfId="9301" xr:uid="{00000000-0005-0000-0000-000052240000}"/>
    <cellStyle name="Comma 2 3 16 4 2 2" xfId="9302" xr:uid="{00000000-0005-0000-0000-000053240000}"/>
    <cellStyle name="Comma 2 3 16 4 3" xfId="9303" xr:uid="{00000000-0005-0000-0000-000054240000}"/>
    <cellStyle name="Comma 2 3 16 4 4" xfId="9304" xr:uid="{00000000-0005-0000-0000-000055240000}"/>
    <cellStyle name="Comma 2 3 16 4 5" xfId="9305" xr:uid="{00000000-0005-0000-0000-000056240000}"/>
    <cellStyle name="Comma 2 3 16 5" xfId="9306" xr:uid="{00000000-0005-0000-0000-000057240000}"/>
    <cellStyle name="Comma 2 3 16 5 2" xfId="9307" xr:uid="{00000000-0005-0000-0000-000058240000}"/>
    <cellStyle name="Comma 2 3 16 5 3" xfId="9308" xr:uid="{00000000-0005-0000-0000-000059240000}"/>
    <cellStyle name="Comma 2 3 16 5 4" xfId="9309" xr:uid="{00000000-0005-0000-0000-00005A240000}"/>
    <cellStyle name="Comma 2 3 16 6" xfId="9310" xr:uid="{00000000-0005-0000-0000-00005B240000}"/>
    <cellStyle name="Comma 2 3 16 6 2" xfId="9311" xr:uid="{00000000-0005-0000-0000-00005C240000}"/>
    <cellStyle name="Comma 2 3 16 7" xfId="9312" xr:uid="{00000000-0005-0000-0000-00005D240000}"/>
    <cellStyle name="Comma 2 3 16 8" xfId="9313" xr:uid="{00000000-0005-0000-0000-00005E240000}"/>
    <cellStyle name="Comma 2 3 16 9" xfId="9314" xr:uid="{00000000-0005-0000-0000-00005F240000}"/>
    <cellStyle name="Comma 2 3 17" xfId="9315" xr:uid="{00000000-0005-0000-0000-000060240000}"/>
    <cellStyle name="Comma 2 3 17 10" xfId="9316" xr:uid="{00000000-0005-0000-0000-000061240000}"/>
    <cellStyle name="Comma 2 3 17 2" xfId="9317" xr:uid="{00000000-0005-0000-0000-000062240000}"/>
    <cellStyle name="Comma 2 3 17 2 2" xfId="9318" xr:uid="{00000000-0005-0000-0000-000063240000}"/>
    <cellStyle name="Comma 2 3 17 2 2 2" xfId="9319" xr:uid="{00000000-0005-0000-0000-000064240000}"/>
    <cellStyle name="Comma 2 3 17 2 2 3" xfId="9320" xr:uid="{00000000-0005-0000-0000-000065240000}"/>
    <cellStyle name="Comma 2 3 17 2 3" xfId="9321" xr:uid="{00000000-0005-0000-0000-000066240000}"/>
    <cellStyle name="Comma 2 3 17 2 4" xfId="9322" xr:uid="{00000000-0005-0000-0000-000067240000}"/>
    <cellStyle name="Comma 2 3 17 2 5" xfId="9323" xr:uid="{00000000-0005-0000-0000-000068240000}"/>
    <cellStyle name="Comma 2 3 17 2 6" xfId="9324" xr:uid="{00000000-0005-0000-0000-000069240000}"/>
    <cellStyle name="Comma 2 3 17 3" xfId="9325" xr:uid="{00000000-0005-0000-0000-00006A240000}"/>
    <cellStyle name="Comma 2 3 17 3 2" xfId="9326" xr:uid="{00000000-0005-0000-0000-00006B240000}"/>
    <cellStyle name="Comma 2 3 17 3 2 2" xfId="9327" xr:uid="{00000000-0005-0000-0000-00006C240000}"/>
    <cellStyle name="Comma 2 3 17 3 2 3" xfId="9328" xr:uid="{00000000-0005-0000-0000-00006D240000}"/>
    <cellStyle name="Comma 2 3 17 3 3" xfId="9329" xr:uid="{00000000-0005-0000-0000-00006E240000}"/>
    <cellStyle name="Comma 2 3 17 3 4" xfId="9330" xr:uid="{00000000-0005-0000-0000-00006F240000}"/>
    <cellStyle name="Comma 2 3 17 3 5" xfId="9331" xr:uid="{00000000-0005-0000-0000-000070240000}"/>
    <cellStyle name="Comma 2 3 17 3 6" xfId="9332" xr:uid="{00000000-0005-0000-0000-000071240000}"/>
    <cellStyle name="Comma 2 3 17 4" xfId="9333" xr:uid="{00000000-0005-0000-0000-000072240000}"/>
    <cellStyle name="Comma 2 3 17 4 2" xfId="9334" xr:uid="{00000000-0005-0000-0000-000073240000}"/>
    <cellStyle name="Comma 2 3 17 4 2 2" xfId="9335" xr:uid="{00000000-0005-0000-0000-000074240000}"/>
    <cellStyle name="Comma 2 3 17 4 3" xfId="9336" xr:uid="{00000000-0005-0000-0000-000075240000}"/>
    <cellStyle name="Comma 2 3 17 4 4" xfId="9337" xr:uid="{00000000-0005-0000-0000-000076240000}"/>
    <cellStyle name="Comma 2 3 17 4 5" xfId="9338" xr:uid="{00000000-0005-0000-0000-000077240000}"/>
    <cellStyle name="Comma 2 3 17 5" xfId="9339" xr:uid="{00000000-0005-0000-0000-000078240000}"/>
    <cellStyle name="Comma 2 3 17 5 2" xfId="9340" xr:uid="{00000000-0005-0000-0000-000079240000}"/>
    <cellStyle name="Comma 2 3 17 5 3" xfId="9341" xr:uid="{00000000-0005-0000-0000-00007A240000}"/>
    <cellStyle name="Comma 2 3 17 5 4" xfId="9342" xr:uid="{00000000-0005-0000-0000-00007B240000}"/>
    <cellStyle name="Comma 2 3 17 6" xfId="9343" xr:uid="{00000000-0005-0000-0000-00007C240000}"/>
    <cellStyle name="Comma 2 3 17 6 2" xfId="9344" xr:uid="{00000000-0005-0000-0000-00007D240000}"/>
    <cellStyle name="Comma 2 3 17 7" xfId="9345" xr:uid="{00000000-0005-0000-0000-00007E240000}"/>
    <cellStyle name="Comma 2 3 17 8" xfId="9346" xr:uid="{00000000-0005-0000-0000-00007F240000}"/>
    <cellStyle name="Comma 2 3 17 9" xfId="9347" xr:uid="{00000000-0005-0000-0000-000080240000}"/>
    <cellStyle name="Comma 2 3 18" xfId="9348" xr:uid="{00000000-0005-0000-0000-000081240000}"/>
    <cellStyle name="Comma 2 3 18 10" xfId="9349" xr:uid="{00000000-0005-0000-0000-000082240000}"/>
    <cellStyle name="Comma 2 3 18 2" xfId="9350" xr:uid="{00000000-0005-0000-0000-000083240000}"/>
    <cellStyle name="Comma 2 3 18 2 2" xfId="9351" xr:uid="{00000000-0005-0000-0000-000084240000}"/>
    <cellStyle name="Comma 2 3 18 2 2 2" xfId="9352" xr:uid="{00000000-0005-0000-0000-000085240000}"/>
    <cellStyle name="Comma 2 3 18 2 2 3" xfId="9353" xr:uid="{00000000-0005-0000-0000-000086240000}"/>
    <cellStyle name="Comma 2 3 18 2 3" xfId="9354" xr:uid="{00000000-0005-0000-0000-000087240000}"/>
    <cellStyle name="Comma 2 3 18 2 4" xfId="9355" xr:uid="{00000000-0005-0000-0000-000088240000}"/>
    <cellStyle name="Comma 2 3 18 2 5" xfId="9356" xr:uid="{00000000-0005-0000-0000-000089240000}"/>
    <cellStyle name="Comma 2 3 18 2 6" xfId="9357" xr:uid="{00000000-0005-0000-0000-00008A240000}"/>
    <cellStyle name="Comma 2 3 18 3" xfId="9358" xr:uid="{00000000-0005-0000-0000-00008B240000}"/>
    <cellStyle name="Comma 2 3 18 3 2" xfId="9359" xr:uid="{00000000-0005-0000-0000-00008C240000}"/>
    <cellStyle name="Comma 2 3 18 3 2 2" xfId="9360" xr:uid="{00000000-0005-0000-0000-00008D240000}"/>
    <cellStyle name="Comma 2 3 18 3 2 3" xfId="9361" xr:uid="{00000000-0005-0000-0000-00008E240000}"/>
    <cellStyle name="Comma 2 3 18 3 3" xfId="9362" xr:uid="{00000000-0005-0000-0000-00008F240000}"/>
    <cellStyle name="Comma 2 3 18 3 4" xfId="9363" xr:uid="{00000000-0005-0000-0000-000090240000}"/>
    <cellStyle name="Comma 2 3 18 3 5" xfId="9364" xr:uid="{00000000-0005-0000-0000-000091240000}"/>
    <cellStyle name="Comma 2 3 18 3 6" xfId="9365" xr:uid="{00000000-0005-0000-0000-000092240000}"/>
    <cellStyle name="Comma 2 3 18 4" xfId="9366" xr:uid="{00000000-0005-0000-0000-000093240000}"/>
    <cellStyle name="Comma 2 3 18 4 2" xfId="9367" xr:uid="{00000000-0005-0000-0000-000094240000}"/>
    <cellStyle name="Comma 2 3 18 4 2 2" xfId="9368" xr:uid="{00000000-0005-0000-0000-000095240000}"/>
    <cellStyle name="Comma 2 3 18 4 3" xfId="9369" xr:uid="{00000000-0005-0000-0000-000096240000}"/>
    <cellStyle name="Comma 2 3 18 4 4" xfId="9370" xr:uid="{00000000-0005-0000-0000-000097240000}"/>
    <cellStyle name="Comma 2 3 18 4 5" xfId="9371" xr:uid="{00000000-0005-0000-0000-000098240000}"/>
    <cellStyle name="Comma 2 3 18 5" xfId="9372" xr:uid="{00000000-0005-0000-0000-000099240000}"/>
    <cellStyle name="Comma 2 3 18 5 2" xfId="9373" xr:uid="{00000000-0005-0000-0000-00009A240000}"/>
    <cellStyle name="Comma 2 3 18 5 3" xfId="9374" xr:uid="{00000000-0005-0000-0000-00009B240000}"/>
    <cellStyle name="Comma 2 3 18 5 4" xfId="9375" xr:uid="{00000000-0005-0000-0000-00009C240000}"/>
    <cellStyle name="Comma 2 3 18 6" xfId="9376" xr:uid="{00000000-0005-0000-0000-00009D240000}"/>
    <cellStyle name="Comma 2 3 18 6 2" xfId="9377" xr:uid="{00000000-0005-0000-0000-00009E240000}"/>
    <cellStyle name="Comma 2 3 18 7" xfId="9378" xr:uid="{00000000-0005-0000-0000-00009F240000}"/>
    <cellStyle name="Comma 2 3 18 8" xfId="9379" xr:uid="{00000000-0005-0000-0000-0000A0240000}"/>
    <cellStyle name="Comma 2 3 18 9" xfId="9380" xr:uid="{00000000-0005-0000-0000-0000A1240000}"/>
    <cellStyle name="Comma 2 3 19" xfId="9381" xr:uid="{00000000-0005-0000-0000-0000A2240000}"/>
    <cellStyle name="Comma 2 3 19 10" xfId="9382" xr:uid="{00000000-0005-0000-0000-0000A3240000}"/>
    <cellStyle name="Comma 2 3 19 2" xfId="9383" xr:uid="{00000000-0005-0000-0000-0000A4240000}"/>
    <cellStyle name="Comma 2 3 19 2 2" xfId="9384" xr:uid="{00000000-0005-0000-0000-0000A5240000}"/>
    <cellStyle name="Comma 2 3 19 2 2 2" xfId="9385" xr:uid="{00000000-0005-0000-0000-0000A6240000}"/>
    <cellStyle name="Comma 2 3 19 2 2 3" xfId="9386" xr:uid="{00000000-0005-0000-0000-0000A7240000}"/>
    <cellStyle name="Comma 2 3 19 2 3" xfId="9387" xr:uid="{00000000-0005-0000-0000-0000A8240000}"/>
    <cellStyle name="Comma 2 3 19 2 4" xfId="9388" xr:uid="{00000000-0005-0000-0000-0000A9240000}"/>
    <cellStyle name="Comma 2 3 19 2 5" xfId="9389" xr:uid="{00000000-0005-0000-0000-0000AA240000}"/>
    <cellStyle name="Comma 2 3 19 2 6" xfId="9390" xr:uid="{00000000-0005-0000-0000-0000AB240000}"/>
    <cellStyle name="Comma 2 3 19 3" xfId="9391" xr:uid="{00000000-0005-0000-0000-0000AC240000}"/>
    <cellStyle name="Comma 2 3 19 3 2" xfId="9392" xr:uid="{00000000-0005-0000-0000-0000AD240000}"/>
    <cellStyle name="Comma 2 3 19 3 2 2" xfId="9393" xr:uid="{00000000-0005-0000-0000-0000AE240000}"/>
    <cellStyle name="Comma 2 3 19 3 2 3" xfId="9394" xr:uid="{00000000-0005-0000-0000-0000AF240000}"/>
    <cellStyle name="Comma 2 3 19 3 3" xfId="9395" xr:uid="{00000000-0005-0000-0000-0000B0240000}"/>
    <cellStyle name="Comma 2 3 19 3 4" xfId="9396" xr:uid="{00000000-0005-0000-0000-0000B1240000}"/>
    <cellStyle name="Comma 2 3 19 3 5" xfId="9397" xr:uid="{00000000-0005-0000-0000-0000B2240000}"/>
    <cellStyle name="Comma 2 3 19 3 6" xfId="9398" xr:uid="{00000000-0005-0000-0000-0000B3240000}"/>
    <cellStyle name="Comma 2 3 19 4" xfId="9399" xr:uid="{00000000-0005-0000-0000-0000B4240000}"/>
    <cellStyle name="Comma 2 3 19 4 2" xfId="9400" xr:uid="{00000000-0005-0000-0000-0000B5240000}"/>
    <cellStyle name="Comma 2 3 19 4 2 2" xfId="9401" xr:uid="{00000000-0005-0000-0000-0000B6240000}"/>
    <cellStyle name="Comma 2 3 19 4 3" xfId="9402" xr:uid="{00000000-0005-0000-0000-0000B7240000}"/>
    <cellStyle name="Comma 2 3 19 4 4" xfId="9403" xr:uid="{00000000-0005-0000-0000-0000B8240000}"/>
    <cellStyle name="Comma 2 3 19 4 5" xfId="9404" xr:uid="{00000000-0005-0000-0000-0000B9240000}"/>
    <cellStyle name="Comma 2 3 19 5" xfId="9405" xr:uid="{00000000-0005-0000-0000-0000BA240000}"/>
    <cellStyle name="Comma 2 3 19 5 2" xfId="9406" xr:uid="{00000000-0005-0000-0000-0000BB240000}"/>
    <cellStyle name="Comma 2 3 19 5 3" xfId="9407" xr:uid="{00000000-0005-0000-0000-0000BC240000}"/>
    <cellStyle name="Comma 2 3 19 5 4" xfId="9408" xr:uid="{00000000-0005-0000-0000-0000BD240000}"/>
    <cellStyle name="Comma 2 3 19 6" xfId="9409" xr:uid="{00000000-0005-0000-0000-0000BE240000}"/>
    <cellStyle name="Comma 2 3 19 6 2" xfId="9410" xr:uid="{00000000-0005-0000-0000-0000BF240000}"/>
    <cellStyle name="Comma 2 3 19 7" xfId="9411" xr:uid="{00000000-0005-0000-0000-0000C0240000}"/>
    <cellStyle name="Comma 2 3 19 8" xfId="9412" xr:uid="{00000000-0005-0000-0000-0000C1240000}"/>
    <cellStyle name="Comma 2 3 19 9" xfId="9413" xr:uid="{00000000-0005-0000-0000-0000C2240000}"/>
    <cellStyle name="Comma 2 3 2" xfId="9414" xr:uid="{00000000-0005-0000-0000-0000C3240000}"/>
    <cellStyle name="Comma 2 3 2 10" xfId="9415" xr:uid="{00000000-0005-0000-0000-0000C4240000}"/>
    <cellStyle name="Comma 2 3 2 10 10" xfId="9416" xr:uid="{00000000-0005-0000-0000-0000C5240000}"/>
    <cellStyle name="Comma 2 3 2 10 2" xfId="9417" xr:uid="{00000000-0005-0000-0000-0000C6240000}"/>
    <cellStyle name="Comma 2 3 2 10 2 2" xfId="9418" xr:uid="{00000000-0005-0000-0000-0000C7240000}"/>
    <cellStyle name="Comma 2 3 2 10 2 2 2" xfId="9419" xr:uid="{00000000-0005-0000-0000-0000C8240000}"/>
    <cellStyle name="Comma 2 3 2 10 2 2 3" xfId="9420" xr:uid="{00000000-0005-0000-0000-0000C9240000}"/>
    <cellStyle name="Comma 2 3 2 10 2 3" xfId="9421" xr:uid="{00000000-0005-0000-0000-0000CA240000}"/>
    <cellStyle name="Comma 2 3 2 10 2 4" xfId="9422" xr:uid="{00000000-0005-0000-0000-0000CB240000}"/>
    <cellStyle name="Comma 2 3 2 10 2 5" xfId="9423" xr:uid="{00000000-0005-0000-0000-0000CC240000}"/>
    <cellStyle name="Comma 2 3 2 10 2 6" xfId="9424" xr:uid="{00000000-0005-0000-0000-0000CD240000}"/>
    <cellStyle name="Comma 2 3 2 10 3" xfId="9425" xr:uid="{00000000-0005-0000-0000-0000CE240000}"/>
    <cellStyle name="Comma 2 3 2 10 3 2" xfId="9426" xr:uid="{00000000-0005-0000-0000-0000CF240000}"/>
    <cellStyle name="Comma 2 3 2 10 3 2 2" xfId="9427" xr:uid="{00000000-0005-0000-0000-0000D0240000}"/>
    <cellStyle name="Comma 2 3 2 10 3 2 3" xfId="9428" xr:uid="{00000000-0005-0000-0000-0000D1240000}"/>
    <cellStyle name="Comma 2 3 2 10 3 3" xfId="9429" xr:uid="{00000000-0005-0000-0000-0000D2240000}"/>
    <cellStyle name="Comma 2 3 2 10 3 4" xfId="9430" xr:uid="{00000000-0005-0000-0000-0000D3240000}"/>
    <cellStyle name="Comma 2 3 2 10 3 5" xfId="9431" xr:uid="{00000000-0005-0000-0000-0000D4240000}"/>
    <cellStyle name="Comma 2 3 2 10 3 6" xfId="9432" xr:uid="{00000000-0005-0000-0000-0000D5240000}"/>
    <cellStyle name="Comma 2 3 2 10 4" xfId="9433" xr:uid="{00000000-0005-0000-0000-0000D6240000}"/>
    <cellStyle name="Comma 2 3 2 10 4 2" xfId="9434" xr:uid="{00000000-0005-0000-0000-0000D7240000}"/>
    <cellStyle name="Comma 2 3 2 10 4 2 2" xfId="9435" xr:uid="{00000000-0005-0000-0000-0000D8240000}"/>
    <cellStyle name="Comma 2 3 2 10 4 3" xfId="9436" xr:uid="{00000000-0005-0000-0000-0000D9240000}"/>
    <cellStyle name="Comma 2 3 2 10 4 4" xfId="9437" xr:uid="{00000000-0005-0000-0000-0000DA240000}"/>
    <cellStyle name="Comma 2 3 2 10 4 5" xfId="9438" xr:uid="{00000000-0005-0000-0000-0000DB240000}"/>
    <cellStyle name="Comma 2 3 2 10 5" xfId="9439" xr:uid="{00000000-0005-0000-0000-0000DC240000}"/>
    <cellStyle name="Comma 2 3 2 10 5 2" xfId="9440" xr:uid="{00000000-0005-0000-0000-0000DD240000}"/>
    <cellStyle name="Comma 2 3 2 10 5 3" xfId="9441" xr:uid="{00000000-0005-0000-0000-0000DE240000}"/>
    <cellStyle name="Comma 2 3 2 10 5 4" xfId="9442" xr:uid="{00000000-0005-0000-0000-0000DF240000}"/>
    <cellStyle name="Comma 2 3 2 10 6" xfId="9443" xr:uid="{00000000-0005-0000-0000-0000E0240000}"/>
    <cellStyle name="Comma 2 3 2 10 6 2" xfId="9444" xr:uid="{00000000-0005-0000-0000-0000E1240000}"/>
    <cellStyle name="Comma 2 3 2 10 7" xfId="9445" xr:uid="{00000000-0005-0000-0000-0000E2240000}"/>
    <cellStyle name="Comma 2 3 2 10 8" xfId="9446" xr:uid="{00000000-0005-0000-0000-0000E3240000}"/>
    <cellStyle name="Comma 2 3 2 10 9" xfId="9447" xr:uid="{00000000-0005-0000-0000-0000E4240000}"/>
    <cellStyle name="Comma 2 3 2 11" xfId="9448" xr:uid="{00000000-0005-0000-0000-0000E5240000}"/>
    <cellStyle name="Comma 2 3 2 11 10" xfId="9449" xr:uid="{00000000-0005-0000-0000-0000E6240000}"/>
    <cellStyle name="Comma 2 3 2 11 2" xfId="9450" xr:uid="{00000000-0005-0000-0000-0000E7240000}"/>
    <cellStyle name="Comma 2 3 2 11 2 2" xfId="9451" xr:uid="{00000000-0005-0000-0000-0000E8240000}"/>
    <cellStyle name="Comma 2 3 2 11 2 2 2" xfId="9452" xr:uid="{00000000-0005-0000-0000-0000E9240000}"/>
    <cellStyle name="Comma 2 3 2 11 2 2 3" xfId="9453" xr:uid="{00000000-0005-0000-0000-0000EA240000}"/>
    <cellStyle name="Comma 2 3 2 11 2 3" xfId="9454" xr:uid="{00000000-0005-0000-0000-0000EB240000}"/>
    <cellStyle name="Comma 2 3 2 11 2 4" xfId="9455" xr:uid="{00000000-0005-0000-0000-0000EC240000}"/>
    <cellStyle name="Comma 2 3 2 11 2 5" xfId="9456" xr:uid="{00000000-0005-0000-0000-0000ED240000}"/>
    <cellStyle name="Comma 2 3 2 11 2 6" xfId="9457" xr:uid="{00000000-0005-0000-0000-0000EE240000}"/>
    <cellStyle name="Comma 2 3 2 11 3" xfId="9458" xr:uid="{00000000-0005-0000-0000-0000EF240000}"/>
    <cellStyle name="Comma 2 3 2 11 3 2" xfId="9459" xr:uid="{00000000-0005-0000-0000-0000F0240000}"/>
    <cellStyle name="Comma 2 3 2 11 3 2 2" xfId="9460" xr:uid="{00000000-0005-0000-0000-0000F1240000}"/>
    <cellStyle name="Comma 2 3 2 11 3 2 3" xfId="9461" xr:uid="{00000000-0005-0000-0000-0000F2240000}"/>
    <cellStyle name="Comma 2 3 2 11 3 3" xfId="9462" xr:uid="{00000000-0005-0000-0000-0000F3240000}"/>
    <cellStyle name="Comma 2 3 2 11 3 4" xfId="9463" xr:uid="{00000000-0005-0000-0000-0000F4240000}"/>
    <cellStyle name="Comma 2 3 2 11 3 5" xfId="9464" xr:uid="{00000000-0005-0000-0000-0000F5240000}"/>
    <cellStyle name="Comma 2 3 2 11 3 6" xfId="9465" xr:uid="{00000000-0005-0000-0000-0000F6240000}"/>
    <cellStyle name="Comma 2 3 2 11 4" xfId="9466" xr:uid="{00000000-0005-0000-0000-0000F7240000}"/>
    <cellStyle name="Comma 2 3 2 11 4 2" xfId="9467" xr:uid="{00000000-0005-0000-0000-0000F8240000}"/>
    <cellStyle name="Comma 2 3 2 11 4 2 2" xfId="9468" xr:uid="{00000000-0005-0000-0000-0000F9240000}"/>
    <cellStyle name="Comma 2 3 2 11 4 3" xfId="9469" xr:uid="{00000000-0005-0000-0000-0000FA240000}"/>
    <cellStyle name="Comma 2 3 2 11 4 4" xfId="9470" xr:uid="{00000000-0005-0000-0000-0000FB240000}"/>
    <cellStyle name="Comma 2 3 2 11 4 5" xfId="9471" xr:uid="{00000000-0005-0000-0000-0000FC240000}"/>
    <cellStyle name="Comma 2 3 2 11 5" xfId="9472" xr:uid="{00000000-0005-0000-0000-0000FD240000}"/>
    <cellStyle name="Comma 2 3 2 11 5 2" xfId="9473" xr:uid="{00000000-0005-0000-0000-0000FE240000}"/>
    <cellStyle name="Comma 2 3 2 11 5 3" xfId="9474" xr:uid="{00000000-0005-0000-0000-0000FF240000}"/>
    <cellStyle name="Comma 2 3 2 11 5 4" xfId="9475" xr:uid="{00000000-0005-0000-0000-000000250000}"/>
    <cellStyle name="Comma 2 3 2 11 6" xfId="9476" xr:uid="{00000000-0005-0000-0000-000001250000}"/>
    <cellStyle name="Comma 2 3 2 11 6 2" xfId="9477" xr:uid="{00000000-0005-0000-0000-000002250000}"/>
    <cellStyle name="Comma 2 3 2 11 7" xfId="9478" xr:uid="{00000000-0005-0000-0000-000003250000}"/>
    <cellStyle name="Comma 2 3 2 11 8" xfId="9479" xr:uid="{00000000-0005-0000-0000-000004250000}"/>
    <cellStyle name="Comma 2 3 2 11 9" xfId="9480" xr:uid="{00000000-0005-0000-0000-000005250000}"/>
    <cellStyle name="Comma 2 3 2 12" xfId="9481" xr:uid="{00000000-0005-0000-0000-000006250000}"/>
    <cellStyle name="Comma 2 3 2 12 10" xfId="9482" xr:uid="{00000000-0005-0000-0000-000007250000}"/>
    <cellStyle name="Comma 2 3 2 12 2" xfId="9483" xr:uid="{00000000-0005-0000-0000-000008250000}"/>
    <cellStyle name="Comma 2 3 2 12 2 2" xfId="9484" xr:uid="{00000000-0005-0000-0000-000009250000}"/>
    <cellStyle name="Comma 2 3 2 12 2 2 2" xfId="9485" xr:uid="{00000000-0005-0000-0000-00000A250000}"/>
    <cellStyle name="Comma 2 3 2 12 2 2 3" xfId="9486" xr:uid="{00000000-0005-0000-0000-00000B250000}"/>
    <cellStyle name="Comma 2 3 2 12 2 3" xfId="9487" xr:uid="{00000000-0005-0000-0000-00000C250000}"/>
    <cellStyle name="Comma 2 3 2 12 2 4" xfId="9488" xr:uid="{00000000-0005-0000-0000-00000D250000}"/>
    <cellStyle name="Comma 2 3 2 12 2 5" xfId="9489" xr:uid="{00000000-0005-0000-0000-00000E250000}"/>
    <cellStyle name="Comma 2 3 2 12 2 6" xfId="9490" xr:uid="{00000000-0005-0000-0000-00000F250000}"/>
    <cellStyle name="Comma 2 3 2 12 3" xfId="9491" xr:uid="{00000000-0005-0000-0000-000010250000}"/>
    <cellStyle name="Comma 2 3 2 12 3 2" xfId="9492" xr:uid="{00000000-0005-0000-0000-000011250000}"/>
    <cellStyle name="Comma 2 3 2 12 3 2 2" xfId="9493" xr:uid="{00000000-0005-0000-0000-000012250000}"/>
    <cellStyle name="Comma 2 3 2 12 3 2 3" xfId="9494" xr:uid="{00000000-0005-0000-0000-000013250000}"/>
    <cellStyle name="Comma 2 3 2 12 3 3" xfId="9495" xr:uid="{00000000-0005-0000-0000-000014250000}"/>
    <cellStyle name="Comma 2 3 2 12 3 4" xfId="9496" xr:uid="{00000000-0005-0000-0000-000015250000}"/>
    <cellStyle name="Comma 2 3 2 12 3 5" xfId="9497" xr:uid="{00000000-0005-0000-0000-000016250000}"/>
    <cellStyle name="Comma 2 3 2 12 3 6" xfId="9498" xr:uid="{00000000-0005-0000-0000-000017250000}"/>
    <cellStyle name="Comma 2 3 2 12 4" xfId="9499" xr:uid="{00000000-0005-0000-0000-000018250000}"/>
    <cellStyle name="Comma 2 3 2 12 4 2" xfId="9500" xr:uid="{00000000-0005-0000-0000-000019250000}"/>
    <cellStyle name="Comma 2 3 2 12 4 2 2" xfId="9501" xr:uid="{00000000-0005-0000-0000-00001A250000}"/>
    <cellStyle name="Comma 2 3 2 12 4 3" xfId="9502" xr:uid="{00000000-0005-0000-0000-00001B250000}"/>
    <cellStyle name="Comma 2 3 2 12 4 4" xfId="9503" xr:uid="{00000000-0005-0000-0000-00001C250000}"/>
    <cellStyle name="Comma 2 3 2 12 4 5" xfId="9504" xr:uid="{00000000-0005-0000-0000-00001D250000}"/>
    <cellStyle name="Comma 2 3 2 12 5" xfId="9505" xr:uid="{00000000-0005-0000-0000-00001E250000}"/>
    <cellStyle name="Comma 2 3 2 12 5 2" xfId="9506" xr:uid="{00000000-0005-0000-0000-00001F250000}"/>
    <cellStyle name="Comma 2 3 2 12 5 3" xfId="9507" xr:uid="{00000000-0005-0000-0000-000020250000}"/>
    <cellStyle name="Comma 2 3 2 12 5 4" xfId="9508" xr:uid="{00000000-0005-0000-0000-000021250000}"/>
    <cellStyle name="Comma 2 3 2 12 6" xfId="9509" xr:uid="{00000000-0005-0000-0000-000022250000}"/>
    <cellStyle name="Comma 2 3 2 12 6 2" xfId="9510" xr:uid="{00000000-0005-0000-0000-000023250000}"/>
    <cellStyle name="Comma 2 3 2 12 7" xfId="9511" xr:uid="{00000000-0005-0000-0000-000024250000}"/>
    <cellStyle name="Comma 2 3 2 12 8" xfId="9512" xr:uid="{00000000-0005-0000-0000-000025250000}"/>
    <cellStyle name="Comma 2 3 2 12 9" xfId="9513" xr:uid="{00000000-0005-0000-0000-000026250000}"/>
    <cellStyle name="Comma 2 3 2 13" xfId="9514" xr:uid="{00000000-0005-0000-0000-000027250000}"/>
    <cellStyle name="Comma 2 3 2 13 2" xfId="9515" xr:uid="{00000000-0005-0000-0000-000028250000}"/>
    <cellStyle name="Comma 2 3 2 13 2 2" xfId="9516" xr:uid="{00000000-0005-0000-0000-000029250000}"/>
    <cellStyle name="Comma 2 3 2 13 2 2 2" xfId="9517" xr:uid="{00000000-0005-0000-0000-00002A250000}"/>
    <cellStyle name="Comma 2 3 2 13 2 2 3" xfId="9518" xr:uid="{00000000-0005-0000-0000-00002B250000}"/>
    <cellStyle name="Comma 2 3 2 13 2 3" xfId="9519" xr:uid="{00000000-0005-0000-0000-00002C250000}"/>
    <cellStyle name="Comma 2 3 2 13 2 4" xfId="9520" xr:uid="{00000000-0005-0000-0000-00002D250000}"/>
    <cellStyle name="Comma 2 3 2 13 2 5" xfId="9521" xr:uid="{00000000-0005-0000-0000-00002E250000}"/>
    <cellStyle name="Comma 2 3 2 13 2 6" xfId="9522" xr:uid="{00000000-0005-0000-0000-00002F250000}"/>
    <cellStyle name="Comma 2 3 2 13 3" xfId="9523" xr:uid="{00000000-0005-0000-0000-000030250000}"/>
    <cellStyle name="Comma 2 3 2 13 3 2" xfId="9524" xr:uid="{00000000-0005-0000-0000-000031250000}"/>
    <cellStyle name="Comma 2 3 2 13 3 2 2" xfId="9525" xr:uid="{00000000-0005-0000-0000-000032250000}"/>
    <cellStyle name="Comma 2 3 2 13 3 3" xfId="9526" xr:uid="{00000000-0005-0000-0000-000033250000}"/>
    <cellStyle name="Comma 2 3 2 13 3 4" xfId="9527" xr:uid="{00000000-0005-0000-0000-000034250000}"/>
    <cellStyle name="Comma 2 3 2 13 3 5" xfId="9528" xr:uid="{00000000-0005-0000-0000-000035250000}"/>
    <cellStyle name="Comma 2 3 2 13 4" xfId="9529" xr:uid="{00000000-0005-0000-0000-000036250000}"/>
    <cellStyle name="Comma 2 3 2 13 4 2" xfId="9530" xr:uid="{00000000-0005-0000-0000-000037250000}"/>
    <cellStyle name="Comma 2 3 2 13 4 3" xfId="9531" xr:uid="{00000000-0005-0000-0000-000038250000}"/>
    <cellStyle name="Comma 2 3 2 13 4 4" xfId="9532" xr:uid="{00000000-0005-0000-0000-000039250000}"/>
    <cellStyle name="Comma 2 3 2 13 5" xfId="9533" xr:uid="{00000000-0005-0000-0000-00003A250000}"/>
    <cellStyle name="Comma 2 3 2 13 5 2" xfId="9534" xr:uid="{00000000-0005-0000-0000-00003B250000}"/>
    <cellStyle name="Comma 2 3 2 13 6" xfId="9535" xr:uid="{00000000-0005-0000-0000-00003C250000}"/>
    <cellStyle name="Comma 2 3 2 13 7" xfId="9536" xr:uid="{00000000-0005-0000-0000-00003D250000}"/>
    <cellStyle name="Comma 2 3 2 13 8" xfId="9537" xr:uid="{00000000-0005-0000-0000-00003E250000}"/>
    <cellStyle name="Comma 2 3 2 13 9" xfId="9538" xr:uid="{00000000-0005-0000-0000-00003F250000}"/>
    <cellStyle name="Comma 2 3 2 14" xfId="9539" xr:uid="{00000000-0005-0000-0000-000040250000}"/>
    <cellStyle name="Comma 2 3 2 14 2" xfId="9540" xr:uid="{00000000-0005-0000-0000-000041250000}"/>
    <cellStyle name="Comma 2 3 2 14 2 2" xfId="9541" xr:uid="{00000000-0005-0000-0000-000042250000}"/>
    <cellStyle name="Comma 2 3 2 14 2 2 2" xfId="9542" xr:uid="{00000000-0005-0000-0000-000043250000}"/>
    <cellStyle name="Comma 2 3 2 14 2 2 3" xfId="9543" xr:uid="{00000000-0005-0000-0000-000044250000}"/>
    <cellStyle name="Comma 2 3 2 14 2 3" xfId="9544" xr:uid="{00000000-0005-0000-0000-000045250000}"/>
    <cellStyle name="Comma 2 3 2 14 2 4" xfId="9545" xr:uid="{00000000-0005-0000-0000-000046250000}"/>
    <cellStyle name="Comma 2 3 2 14 2 5" xfId="9546" xr:uid="{00000000-0005-0000-0000-000047250000}"/>
    <cellStyle name="Comma 2 3 2 14 2 6" xfId="9547" xr:uid="{00000000-0005-0000-0000-000048250000}"/>
    <cellStyle name="Comma 2 3 2 14 3" xfId="9548" xr:uid="{00000000-0005-0000-0000-000049250000}"/>
    <cellStyle name="Comma 2 3 2 14 3 2" xfId="9549" xr:uid="{00000000-0005-0000-0000-00004A250000}"/>
    <cellStyle name="Comma 2 3 2 14 3 2 2" xfId="9550" xr:uid="{00000000-0005-0000-0000-00004B250000}"/>
    <cellStyle name="Comma 2 3 2 14 3 3" xfId="9551" xr:uid="{00000000-0005-0000-0000-00004C250000}"/>
    <cellStyle name="Comma 2 3 2 14 3 4" xfId="9552" xr:uid="{00000000-0005-0000-0000-00004D250000}"/>
    <cellStyle name="Comma 2 3 2 14 3 5" xfId="9553" xr:uid="{00000000-0005-0000-0000-00004E250000}"/>
    <cellStyle name="Comma 2 3 2 14 4" xfId="9554" xr:uid="{00000000-0005-0000-0000-00004F250000}"/>
    <cellStyle name="Comma 2 3 2 14 4 2" xfId="9555" xr:uid="{00000000-0005-0000-0000-000050250000}"/>
    <cellStyle name="Comma 2 3 2 14 4 3" xfId="9556" xr:uid="{00000000-0005-0000-0000-000051250000}"/>
    <cellStyle name="Comma 2 3 2 14 4 4" xfId="9557" xr:uid="{00000000-0005-0000-0000-000052250000}"/>
    <cellStyle name="Comma 2 3 2 14 5" xfId="9558" xr:uid="{00000000-0005-0000-0000-000053250000}"/>
    <cellStyle name="Comma 2 3 2 14 5 2" xfId="9559" xr:uid="{00000000-0005-0000-0000-000054250000}"/>
    <cellStyle name="Comma 2 3 2 14 6" xfId="9560" xr:uid="{00000000-0005-0000-0000-000055250000}"/>
    <cellStyle name="Comma 2 3 2 14 7" xfId="9561" xr:uid="{00000000-0005-0000-0000-000056250000}"/>
    <cellStyle name="Comma 2 3 2 14 8" xfId="9562" xr:uid="{00000000-0005-0000-0000-000057250000}"/>
    <cellStyle name="Comma 2 3 2 14 9" xfId="9563" xr:uid="{00000000-0005-0000-0000-000058250000}"/>
    <cellStyle name="Comma 2 3 2 15" xfId="9564" xr:uid="{00000000-0005-0000-0000-000059250000}"/>
    <cellStyle name="Comma 2 3 2 15 2" xfId="9565" xr:uid="{00000000-0005-0000-0000-00005A250000}"/>
    <cellStyle name="Comma 2 3 2 15 2 2" xfId="9566" xr:uid="{00000000-0005-0000-0000-00005B250000}"/>
    <cellStyle name="Comma 2 3 2 15 2 3" xfId="9567" xr:uid="{00000000-0005-0000-0000-00005C250000}"/>
    <cellStyle name="Comma 2 3 2 15 3" xfId="9568" xr:uid="{00000000-0005-0000-0000-00005D250000}"/>
    <cellStyle name="Comma 2 3 2 15 4" xfId="9569" xr:uid="{00000000-0005-0000-0000-00005E250000}"/>
    <cellStyle name="Comma 2 3 2 15 5" xfId="9570" xr:uid="{00000000-0005-0000-0000-00005F250000}"/>
    <cellStyle name="Comma 2 3 2 15 6" xfId="9571" xr:uid="{00000000-0005-0000-0000-000060250000}"/>
    <cellStyle name="Comma 2 3 2 16" xfId="9572" xr:uid="{00000000-0005-0000-0000-000061250000}"/>
    <cellStyle name="Comma 2 3 2 16 2" xfId="9573" xr:uid="{00000000-0005-0000-0000-000062250000}"/>
    <cellStyle name="Comma 2 3 2 16 2 2" xfId="9574" xr:uid="{00000000-0005-0000-0000-000063250000}"/>
    <cellStyle name="Comma 2 3 2 16 3" xfId="9575" xr:uid="{00000000-0005-0000-0000-000064250000}"/>
    <cellStyle name="Comma 2 3 2 16 4" xfId="9576" xr:uid="{00000000-0005-0000-0000-000065250000}"/>
    <cellStyle name="Comma 2 3 2 16 5" xfId="9577" xr:uid="{00000000-0005-0000-0000-000066250000}"/>
    <cellStyle name="Comma 2 3 2 17" xfId="9578" xr:uid="{00000000-0005-0000-0000-000067250000}"/>
    <cellStyle name="Comma 2 3 2 17 2" xfId="9579" xr:uid="{00000000-0005-0000-0000-000068250000}"/>
    <cellStyle name="Comma 2 3 2 17 2 2" xfId="9580" xr:uid="{00000000-0005-0000-0000-000069250000}"/>
    <cellStyle name="Comma 2 3 2 17 3" xfId="9581" xr:uid="{00000000-0005-0000-0000-00006A250000}"/>
    <cellStyle name="Comma 2 3 2 17 4" xfId="9582" xr:uid="{00000000-0005-0000-0000-00006B250000}"/>
    <cellStyle name="Comma 2 3 2 17 5" xfId="9583" xr:uid="{00000000-0005-0000-0000-00006C250000}"/>
    <cellStyle name="Comma 2 3 2 18" xfId="9584" xr:uid="{00000000-0005-0000-0000-00006D250000}"/>
    <cellStyle name="Comma 2 3 2 18 2" xfId="9585" xr:uid="{00000000-0005-0000-0000-00006E250000}"/>
    <cellStyle name="Comma 2 3 2 19" xfId="9586" xr:uid="{00000000-0005-0000-0000-00006F250000}"/>
    <cellStyle name="Comma 2 3 2 2" xfId="9587" xr:uid="{00000000-0005-0000-0000-000070250000}"/>
    <cellStyle name="Comma 2 3 2 2 10" xfId="9588" xr:uid="{00000000-0005-0000-0000-000071250000}"/>
    <cellStyle name="Comma 2 3 2 2 11" xfId="9589" xr:uid="{00000000-0005-0000-0000-000072250000}"/>
    <cellStyle name="Comma 2 3 2 2 2" xfId="9590" xr:uid="{00000000-0005-0000-0000-000073250000}"/>
    <cellStyle name="Comma 2 3 2 2 2 2" xfId="9591" xr:uid="{00000000-0005-0000-0000-000074250000}"/>
    <cellStyle name="Comma 2 3 2 2 2 2 2" xfId="9592" xr:uid="{00000000-0005-0000-0000-000075250000}"/>
    <cellStyle name="Comma 2 3 2 2 2 2 2 2" xfId="9593" xr:uid="{00000000-0005-0000-0000-000076250000}"/>
    <cellStyle name="Comma 2 3 2 2 2 2 2 3" xfId="9594" xr:uid="{00000000-0005-0000-0000-000077250000}"/>
    <cellStyle name="Comma 2 3 2 2 2 2 3" xfId="9595" xr:uid="{00000000-0005-0000-0000-000078250000}"/>
    <cellStyle name="Comma 2 3 2 2 2 2 4" xfId="9596" xr:uid="{00000000-0005-0000-0000-000079250000}"/>
    <cellStyle name="Comma 2 3 2 2 2 2 5" xfId="9597" xr:uid="{00000000-0005-0000-0000-00007A250000}"/>
    <cellStyle name="Comma 2 3 2 2 2 2 6" xfId="9598" xr:uid="{00000000-0005-0000-0000-00007B250000}"/>
    <cellStyle name="Comma 2 3 2 2 2 3" xfId="9599" xr:uid="{00000000-0005-0000-0000-00007C250000}"/>
    <cellStyle name="Comma 2 3 2 2 2 3 2" xfId="9600" xr:uid="{00000000-0005-0000-0000-00007D250000}"/>
    <cellStyle name="Comma 2 3 2 2 2 3 2 2" xfId="9601" xr:uid="{00000000-0005-0000-0000-00007E250000}"/>
    <cellStyle name="Comma 2 3 2 2 2 3 3" xfId="9602" xr:uid="{00000000-0005-0000-0000-00007F250000}"/>
    <cellStyle name="Comma 2 3 2 2 2 3 4" xfId="9603" xr:uid="{00000000-0005-0000-0000-000080250000}"/>
    <cellStyle name="Comma 2 3 2 2 2 3 5" xfId="9604" xr:uid="{00000000-0005-0000-0000-000081250000}"/>
    <cellStyle name="Comma 2 3 2 2 2 4" xfId="9605" xr:uid="{00000000-0005-0000-0000-000082250000}"/>
    <cellStyle name="Comma 2 3 2 2 2 4 2" xfId="9606" xr:uid="{00000000-0005-0000-0000-000083250000}"/>
    <cellStyle name="Comma 2 3 2 2 2 4 3" xfId="9607" xr:uid="{00000000-0005-0000-0000-000084250000}"/>
    <cellStyle name="Comma 2 3 2 2 2 4 4" xfId="9608" xr:uid="{00000000-0005-0000-0000-000085250000}"/>
    <cellStyle name="Comma 2 3 2 2 2 5" xfId="9609" xr:uid="{00000000-0005-0000-0000-000086250000}"/>
    <cellStyle name="Comma 2 3 2 2 2 5 2" xfId="9610" xr:uid="{00000000-0005-0000-0000-000087250000}"/>
    <cellStyle name="Comma 2 3 2 2 2 6" xfId="9611" xr:uid="{00000000-0005-0000-0000-000088250000}"/>
    <cellStyle name="Comma 2 3 2 2 2 7" xfId="9612" xr:uid="{00000000-0005-0000-0000-000089250000}"/>
    <cellStyle name="Comma 2 3 2 2 2 8" xfId="9613" xr:uid="{00000000-0005-0000-0000-00008A250000}"/>
    <cellStyle name="Comma 2 3 2 2 2 9" xfId="9614" xr:uid="{00000000-0005-0000-0000-00008B250000}"/>
    <cellStyle name="Comma 2 3 2 2 3" xfId="9615" xr:uid="{00000000-0005-0000-0000-00008C250000}"/>
    <cellStyle name="Comma 2 3 2 2 3 2" xfId="9616" xr:uid="{00000000-0005-0000-0000-00008D250000}"/>
    <cellStyle name="Comma 2 3 2 2 3 2 2" xfId="9617" xr:uid="{00000000-0005-0000-0000-00008E250000}"/>
    <cellStyle name="Comma 2 3 2 2 3 2 2 2" xfId="9618" xr:uid="{00000000-0005-0000-0000-00008F250000}"/>
    <cellStyle name="Comma 2 3 2 2 3 2 2 3" xfId="9619" xr:uid="{00000000-0005-0000-0000-000090250000}"/>
    <cellStyle name="Comma 2 3 2 2 3 2 3" xfId="9620" xr:uid="{00000000-0005-0000-0000-000091250000}"/>
    <cellStyle name="Comma 2 3 2 2 3 2 4" xfId="9621" xr:uid="{00000000-0005-0000-0000-000092250000}"/>
    <cellStyle name="Comma 2 3 2 2 3 2 5" xfId="9622" xr:uid="{00000000-0005-0000-0000-000093250000}"/>
    <cellStyle name="Comma 2 3 2 2 3 2 6" xfId="9623" xr:uid="{00000000-0005-0000-0000-000094250000}"/>
    <cellStyle name="Comma 2 3 2 2 3 3" xfId="9624" xr:uid="{00000000-0005-0000-0000-000095250000}"/>
    <cellStyle name="Comma 2 3 2 2 3 3 2" xfId="9625" xr:uid="{00000000-0005-0000-0000-000096250000}"/>
    <cellStyle name="Comma 2 3 2 2 3 3 2 2" xfId="9626" xr:uid="{00000000-0005-0000-0000-000097250000}"/>
    <cellStyle name="Comma 2 3 2 2 3 3 3" xfId="9627" xr:uid="{00000000-0005-0000-0000-000098250000}"/>
    <cellStyle name="Comma 2 3 2 2 3 3 4" xfId="9628" xr:uid="{00000000-0005-0000-0000-000099250000}"/>
    <cellStyle name="Comma 2 3 2 2 3 3 5" xfId="9629" xr:uid="{00000000-0005-0000-0000-00009A250000}"/>
    <cellStyle name="Comma 2 3 2 2 3 4" xfId="9630" xr:uid="{00000000-0005-0000-0000-00009B250000}"/>
    <cellStyle name="Comma 2 3 2 2 3 4 2" xfId="9631" xr:uid="{00000000-0005-0000-0000-00009C250000}"/>
    <cellStyle name="Comma 2 3 2 2 3 4 3" xfId="9632" xr:uid="{00000000-0005-0000-0000-00009D250000}"/>
    <cellStyle name="Comma 2 3 2 2 3 4 4" xfId="9633" xr:uid="{00000000-0005-0000-0000-00009E250000}"/>
    <cellStyle name="Comma 2 3 2 2 3 5" xfId="9634" xr:uid="{00000000-0005-0000-0000-00009F250000}"/>
    <cellStyle name="Comma 2 3 2 2 3 5 2" xfId="9635" xr:uid="{00000000-0005-0000-0000-0000A0250000}"/>
    <cellStyle name="Comma 2 3 2 2 3 6" xfId="9636" xr:uid="{00000000-0005-0000-0000-0000A1250000}"/>
    <cellStyle name="Comma 2 3 2 2 3 7" xfId="9637" xr:uid="{00000000-0005-0000-0000-0000A2250000}"/>
    <cellStyle name="Comma 2 3 2 2 3 8" xfId="9638" xr:uid="{00000000-0005-0000-0000-0000A3250000}"/>
    <cellStyle name="Comma 2 3 2 2 3 9" xfId="9639" xr:uid="{00000000-0005-0000-0000-0000A4250000}"/>
    <cellStyle name="Comma 2 3 2 2 4" xfId="9640" xr:uid="{00000000-0005-0000-0000-0000A5250000}"/>
    <cellStyle name="Comma 2 3 2 2 4 2" xfId="9641" xr:uid="{00000000-0005-0000-0000-0000A6250000}"/>
    <cellStyle name="Comma 2 3 2 2 4 2 2" xfId="9642" xr:uid="{00000000-0005-0000-0000-0000A7250000}"/>
    <cellStyle name="Comma 2 3 2 2 4 2 3" xfId="9643" xr:uid="{00000000-0005-0000-0000-0000A8250000}"/>
    <cellStyle name="Comma 2 3 2 2 4 3" xfId="9644" xr:uid="{00000000-0005-0000-0000-0000A9250000}"/>
    <cellStyle name="Comma 2 3 2 2 4 4" xfId="9645" xr:uid="{00000000-0005-0000-0000-0000AA250000}"/>
    <cellStyle name="Comma 2 3 2 2 4 5" xfId="9646" xr:uid="{00000000-0005-0000-0000-0000AB250000}"/>
    <cellStyle name="Comma 2 3 2 2 4 6" xfId="9647" xr:uid="{00000000-0005-0000-0000-0000AC250000}"/>
    <cellStyle name="Comma 2 3 2 2 5" xfId="9648" xr:uid="{00000000-0005-0000-0000-0000AD250000}"/>
    <cellStyle name="Comma 2 3 2 2 5 2" xfId="9649" xr:uid="{00000000-0005-0000-0000-0000AE250000}"/>
    <cellStyle name="Comma 2 3 2 2 5 2 2" xfId="9650" xr:uid="{00000000-0005-0000-0000-0000AF250000}"/>
    <cellStyle name="Comma 2 3 2 2 5 3" xfId="9651" xr:uid="{00000000-0005-0000-0000-0000B0250000}"/>
    <cellStyle name="Comma 2 3 2 2 5 4" xfId="9652" xr:uid="{00000000-0005-0000-0000-0000B1250000}"/>
    <cellStyle name="Comma 2 3 2 2 5 5" xfId="9653" xr:uid="{00000000-0005-0000-0000-0000B2250000}"/>
    <cellStyle name="Comma 2 3 2 2 6" xfId="9654" xr:uid="{00000000-0005-0000-0000-0000B3250000}"/>
    <cellStyle name="Comma 2 3 2 2 6 2" xfId="9655" xr:uid="{00000000-0005-0000-0000-0000B4250000}"/>
    <cellStyle name="Comma 2 3 2 2 6 3" xfId="9656" xr:uid="{00000000-0005-0000-0000-0000B5250000}"/>
    <cellStyle name="Comma 2 3 2 2 6 4" xfId="9657" xr:uid="{00000000-0005-0000-0000-0000B6250000}"/>
    <cellStyle name="Comma 2 3 2 2 7" xfId="9658" xr:uid="{00000000-0005-0000-0000-0000B7250000}"/>
    <cellStyle name="Comma 2 3 2 2 7 2" xfId="9659" xr:uid="{00000000-0005-0000-0000-0000B8250000}"/>
    <cellStyle name="Comma 2 3 2 2 8" xfId="9660" xr:uid="{00000000-0005-0000-0000-0000B9250000}"/>
    <cellStyle name="Comma 2 3 2 2 9" xfId="9661" xr:uid="{00000000-0005-0000-0000-0000BA250000}"/>
    <cellStyle name="Comma 2 3 2 20" xfId="9662" xr:uid="{00000000-0005-0000-0000-0000BB250000}"/>
    <cellStyle name="Comma 2 3 2 21" xfId="9663" xr:uid="{00000000-0005-0000-0000-0000BC250000}"/>
    <cellStyle name="Comma 2 3 2 22" xfId="9664" xr:uid="{00000000-0005-0000-0000-0000BD250000}"/>
    <cellStyle name="Comma 2 3 2 3" xfId="9665" xr:uid="{00000000-0005-0000-0000-0000BE250000}"/>
    <cellStyle name="Comma 2 3 2 3 10" xfId="9666" xr:uid="{00000000-0005-0000-0000-0000BF250000}"/>
    <cellStyle name="Comma 2 3 2 3 11" xfId="9667" xr:uid="{00000000-0005-0000-0000-0000C0250000}"/>
    <cellStyle name="Comma 2 3 2 3 2" xfId="9668" xr:uid="{00000000-0005-0000-0000-0000C1250000}"/>
    <cellStyle name="Comma 2 3 2 3 2 2" xfId="9669" xr:uid="{00000000-0005-0000-0000-0000C2250000}"/>
    <cellStyle name="Comma 2 3 2 3 2 2 2" xfId="9670" xr:uid="{00000000-0005-0000-0000-0000C3250000}"/>
    <cellStyle name="Comma 2 3 2 3 2 2 2 2" xfId="9671" xr:uid="{00000000-0005-0000-0000-0000C4250000}"/>
    <cellStyle name="Comma 2 3 2 3 2 2 2 3" xfId="9672" xr:uid="{00000000-0005-0000-0000-0000C5250000}"/>
    <cellStyle name="Comma 2 3 2 3 2 2 3" xfId="9673" xr:uid="{00000000-0005-0000-0000-0000C6250000}"/>
    <cellStyle name="Comma 2 3 2 3 2 2 4" xfId="9674" xr:uid="{00000000-0005-0000-0000-0000C7250000}"/>
    <cellStyle name="Comma 2 3 2 3 2 2 5" xfId="9675" xr:uid="{00000000-0005-0000-0000-0000C8250000}"/>
    <cellStyle name="Comma 2 3 2 3 2 2 6" xfId="9676" xr:uid="{00000000-0005-0000-0000-0000C9250000}"/>
    <cellStyle name="Comma 2 3 2 3 2 3" xfId="9677" xr:uid="{00000000-0005-0000-0000-0000CA250000}"/>
    <cellStyle name="Comma 2 3 2 3 2 3 2" xfId="9678" xr:uid="{00000000-0005-0000-0000-0000CB250000}"/>
    <cellStyle name="Comma 2 3 2 3 2 3 2 2" xfId="9679" xr:uid="{00000000-0005-0000-0000-0000CC250000}"/>
    <cellStyle name="Comma 2 3 2 3 2 3 3" xfId="9680" xr:uid="{00000000-0005-0000-0000-0000CD250000}"/>
    <cellStyle name="Comma 2 3 2 3 2 3 4" xfId="9681" xr:uid="{00000000-0005-0000-0000-0000CE250000}"/>
    <cellStyle name="Comma 2 3 2 3 2 3 5" xfId="9682" xr:uid="{00000000-0005-0000-0000-0000CF250000}"/>
    <cellStyle name="Comma 2 3 2 3 2 4" xfId="9683" xr:uid="{00000000-0005-0000-0000-0000D0250000}"/>
    <cellStyle name="Comma 2 3 2 3 2 4 2" xfId="9684" xr:uid="{00000000-0005-0000-0000-0000D1250000}"/>
    <cellStyle name="Comma 2 3 2 3 2 4 3" xfId="9685" xr:uid="{00000000-0005-0000-0000-0000D2250000}"/>
    <cellStyle name="Comma 2 3 2 3 2 4 4" xfId="9686" xr:uid="{00000000-0005-0000-0000-0000D3250000}"/>
    <cellStyle name="Comma 2 3 2 3 2 5" xfId="9687" xr:uid="{00000000-0005-0000-0000-0000D4250000}"/>
    <cellStyle name="Comma 2 3 2 3 2 5 2" xfId="9688" xr:uid="{00000000-0005-0000-0000-0000D5250000}"/>
    <cellStyle name="Comma 2 3 2 3 2 6" xfId="9689" xr:uid="{00000000-0005-0000-0000-0000D6250000}"/>
    <cellStyle name="Comma 2 3 2 3 2 7" xfId="9690" xr:uid="{00000000-0005-0000-0000-0000D7250000}"/>
    <cellStyle name="Comma 2 3 2 3 2 8" xfId="9691" xr:uid="{00000000-0005-0000-0000-0000D8250000}"/>
    <cellStyle name="Comma 2 3 2 3 2 9" xfId="9692" xr:uid="{00000000-0005-0000-0000-0000D9250000}"/>
    <cellStyle name="Comma 2 3 2 3 3" xfId="9693" xr:uid="{00000000-0005-0000-0000-0000DA250000}"/>
    <cellStyle name="Comma 2 3 2 3 3 2" xfId="9694" xr:uid="{00000000-0005-0000-0000-0000DB250000}"/>
    <cellStyle name="Comma 2 3 2 3 3 2 2" xfId="9695" xr:uid="{00000000-0005-0000-0000-0000DC250000}"/>
    <cellStyle name="Comma 2 3 2 3 3 2 2 2" xfId="9696" xr:uid="{00000000-0005-0000-0000-0000DD250000}"/>
    <cellStyle name="Comma 2 3 2 3 3 2 2 3" xfId="9697" xr:uid="{00000000-0005-0000-0000-0000DE250000}"/>
    <cellStyle name="Comma 2 3 2 3 3 2 3" xfId="9698" xr:uid="{00000000-0005-0000-0000-0000DF250000}"/>
    <cellStyle name="Comma 2 3 2 3 3 2 4" xfId="9699" xr:uid="{00000000-0005-0000-0000-0000E0250000}"/>
    <cellStyle name="Comma 2 3 2 3 3 2 5" xfId="9700" xr:uid="{00000000-0005-0000-0000-0000E1250000}"/>
    <cellStyle name="Comma 2 3 2 3 3 2 6" xfId="9701" xr:uid="{00000000-0005-0000-0000-0000E2250000}"/>
    <cellStyle name="Comma 2 3 2 3 3 3" xfId="9702" xr:uid="{00000000-0005-0000-0000-0000E3250000}"/>
    <cellStyle name="Comma 2 3 2 3 3 3 2" xfId="9703" xr:uid="{00000000-0005-0000-0000-0000E4250000}"/>
    <cellStyle name="Comma 2 3 2 3 3 3 2 2" xfId="9704" xr:uid="{00000000-0005-0000-0000-0000E5250000}"/>
    <cellStyle name="Comma 2 3 2 3 3 3 3" xfId="9705" xr:uid="{00000000-0005-0000-0000-0000E6250000}"/>
    <cellStyle name="Comma 2 3 2 3 3 3 4" xfId="9706" xr:uid="{00000000-0005-0000-0000-0000E7250000}"/>
    <cellStyle name="Comma 2 3 2 3 3 3 5" xfId="9707" xr:uid="{00000000-0005-0000-0000-0000E8250000}"/>
    <cellStyle name="Comma 2 3 2 3 3 4" xfId="9708" xr:uid="{00000000-0005-0000-0000-0000E9250000}"/>
    <cellStyle name="Comma 2 3 2 3 3 4 2" xfId="9709" xr:uid="{00000000-0005-0000-0000-0000EA250000}"/>
    <cellStyle name="Comma 2 3 2 3 3 4 3" xfId="9710" xr:uid="{00000000-0005-0000-0000-0000EB250000}"/>
    <cellStyle name="Comma 2 3 2 3 3 4 4" xfId="9711" xr:uid="{00000000-0005-0000-0000-0000EC250000}"/>
    <cellStyle name="Comma 2 3 2 3 3 5" xfId="9712" xr:uid="{00000000-0005-0000-0000-0000ED250000}"/>
    <cellStyle name="Comma 2 3 2 3 3 5 2" xfId="9713" xr:uid="{00000000-0005-0000-0000-0000EE250000}"/>
    <cellStyle name="Comma 2 3 2 3 3 6" xfId="9714" xr:uid="{00000000-0005-0000-0000-0000EF250000}"/>
    <cellStyle name="Comma 2 3 2 3 3 7" xfId="9715" xr:uid="{00000000-0005-0000-0000-0000F0250000}"/>
    <cellStyle name="Comma 2 3 2 3 3 8" xfId="9716" xr:uid="{00000000-0005-0000-0000-0000F1250000}"/>
    <cellStyle name="Comma 2 3 2 3 3 9" xfId="9717" xr:uid="{00000000-0005-0000-0000-0000F2250000}"/>
    <cellStyle name="Comma 2 3 2 3 4" xfId="9718" xr:uid="{00000000-0005-0000-0000-0000F3250000}"/>
    <cellStyle name="Comma 2 3 2 3 4 2" xfId="9719" xr:uid="{00000000-0005-0000-0000-0000F4250000}"/>
    <cellStyle name="Comma 2 3 2 3 4 2 2" xfId="9720" xr:uid="{00000000-0005-0000-0000-0000F5250000}"/>
    <cellStyle name="Comma 2 3 2 3 4 2 3" xfId="9721" xr:uid="{00000000-0005-0000-0000-0000F6250000}"/>
    <cellStyle name="Comma 2 3 2 3 4 3" xfId="9722" xr:uid="{00000000-0005-0000-0000-0000F7250000}"/>
    <cellStyle name="Comma 2 3 2 3 4 4" xfId="9723" xr:uid="{00000000-0005-0000-0000-0000F8250000}"/>
    <cellStyle name="Comma 2 3 2 3 4 5" xfId="9724" xr:uid="{00000000-0005-0000-0000-0000F9250000}"/>
    <cellStyle name="Comma 2 3 2 3 4 6" xfId="9725" xr:uid="{00000000-0005-0000-0000-0000FA250000}"/>
    <cellStyle name="Comma 2 3 2 3 5" xfId="9726" xr:uid="{00000000-0005-0000-0000-0000FB250000}"/>
    <cellStyle name="Comma 2 3 2 3 5 2" xfId="9727" xr:uid="{00000000-0005-0000-0000-0000FC250000}"/>
    <cellStyle name="Comma 2 3 2 3 5 2 2" xfId="9728" xr:uid="{00000000-0005-0000-0000-0000FD250000}"/>
    <cellStyle name="Comma 2 3 2 3 5 3" xfId="9729" xr:uid="{00000000-0005-0000-0000-0000FE250000}"/>
    <cellStyle name="Comma 2 3 2 3 5 4" xfId="9730" xr:uid="{00000000-0005-0000-0000-0000FF250000}"/>
    <cellStyle name="Comma 2 3 2 3 5 5" xfId="9731" xr:uid="{00000000-0005-0000-0000-000000260000}"/>
    <cellStyle name="Comma 2 3 2 3 6" xfId="9732" xr:uid="{00000000-0005-0000-0000-000001260000}"/>
    <cellStyle name="Comma 2 3 2 3 6 2" xfId="9733" xr:uid="{00000000-0005-0000-0000-000002260000}"/>
    <cellStyle name="Comma 2 3 2 3 6 3" xfId="9734" xr:uid="{00000000-0005-0000-0000-000003260000}"/>
    <cellStyle name="Comma 2 3 2 3 6 4" xfId="9735" xr:uid="{00000000-0005-0000-0000-000004260000}"/>
    <cellStyle name="Comma 2 3 2 3 7" xfId="9736" xr:uid="{00000000-0005-0000-0000-000005260000}"/>
    <cellStyle name="Comma 2 3 2 3 7 2" xfId="9737" xr:uid="{00000000-0005-0000-0000-000006260000}"/>
    <cellStyle name="Comma 2 3 2 3 8" xfId="9738" xr:uid="{00000000-0005-0000-0000-000007260000}"/>
    <cellStyle name="Comma 2 3 2 3 9" xfId="9739" xr:uid="{00000000-0005-0000-0000-000008260000}"/>
    <cellStyle name="Comma 2 3 2 4" xfId="9740" xr:uid="{00000000-0005-0000-0000-000009260000}"/>
    <cellStyle name="Comma 2 3 2 4 10" xfId="9741" xr:uid="{00000000-0005-0000-0000-00000A260000}"/>
    <cellStyle name="Comma 2 3 2 4 11" xfId="9742" xr:uid="{00000000-0005-0000-0000-00000B260000}"/>
    <cellStyle name="Comma 2 3 2 4 2" xfId="9743" xr:uid="{00000000-0005-0000-0000-00000C260000}"/>
    <cellStyle name="Comma 2 3 2 4 2 2" xfId="9744" xr:uid="{00000000-0005-0000-0000-00000D260000}"/>
    <cellStyle name="Comma 2 3 2 4 2 2 2" xfId="9745" xr:uid="{00000000-0005-0000-0000-00000E260000}"/>
    <cellStyle name="Comma 2 3 2 4 2 2 2 2" xfId="9746" xr:uid="{00000000-0005-0000-0000-00000F260000}"/>
    <cellStyle name="Comma 2 3 2 4 2 2 2 3" xfId="9747" xr:uid="{00000000-0005-0000-0000-000010260000}"/>
    <cellStyle name="Comma 2 3 2 4 2 2 3" xfId="9748" xr:uid="{00000000-0005-0000-0000-000011260000}"/>
    <cellStyle name="Comma 2 3 2 4 2 2 4" xfId="9749" xr:uid="{00000000-0005-0000-0000-000012260000}"/>
    <cellStyle name="Comma 2 3 2 4 2 2 5" xfId="9750" xr:uid="{00000000-0005-0000-0000-000013260000}"/>
    <cellStyle name="Comma 2 3 2 4 2 2 6" xfId="9751" xr:uid="{00000000-0005-0000-0000-000014260000}"/>
    <cellStyle name="Comma 2 3 2 4 2 3" xfId="9752" xr:uid="{00000000-0005-0000-0000-000015260000}"/>
    <cellStyle name="Comma 2 3 2 4 2 3 2" xfId="9753" xr:uid="{00000000-0005-0000-0000-000016260000}"/>
    <cellStyle name="Comma 2 3 2 4 2 3 2 2" xfId="9754" xr:uid="{00000000-0005-0000-0000-000017260000}"/>
    <cellStyle name="Comma 2 3 2 4 2 3 3" xfId="9755" xr:uid="{00000000-0005-0000-0000-000018260000}"/>
    <cellStyle name="Comma 2 3 2 4 2 3 4" xfId="9756" xr:uid="{00000000-0005-0000-0000-000019260000}"/>
    <cellStyle name="Comma 2 3 2 4 2 3 5" xfId="9757" xr:uid="{00000000-0005-0000-0000-00001A260000}"/>
    <cellStyle name="Comma 2 3 2 4 2 4" xfId="9758" xr:uid="{00000000-0005-0000-0000-00001B260000}"/>
    <cellStyle name="Comma 2 3 2 4 2 4 2" xfId="9759" xr:uid="{00000000-0005-0000-0000-00001C260000}"/>
    <cellStyle name="Comma 2 3 2 4 2 4 3" xfId="9760" xr:uid="{00000000-0005-0000-0000-00001D260000}"/>
    <cellStyle name="Comma 2 3 2 4 2 4 4" xfId="9761" xr:uid="{00000000-0005-0000-0000-00001E260000}"/>
    <cellStyle name="Comma 2 3 2 4 2 5" xfId="9762" xr:uid="{00000000-0005-0000-0000-00001F260000}"/>
    <cellStyle name="Comma 2 3 2 4 2 5 2" xfId="9763" xr:uid="{00000000-0005-0000-0000-000020260000}"/>
    <cellStyle name="Comma 2 3 2 4 2 6" xfId="9764" xr:uid="{00000000-0005-0000-0000-000021260000}"/>
    <cellStyle name="Comma 2 3 2 4 2 7" xfId="9765" xr:uid="{00000000-0005-0000-0000-000022260000}"/>
    <cellStyle name="Comma 2 3 2 4 2 8" xfId="9766" xr:uid="{00000000-0005-0000-0000-000023260000}"/>
    <cellStyle name="Comma 2 3 2 4 2 9" xfId="9767" xr:uid="{00000000-0005-0000-0000-000024260000}"/>
    <cellStyle name="Comma 2 3 2 4 3" xfId="9768" xr:uid="{00000000-0005-0000-0000-000025260000}"/>
    <cellStyle name="Comma 2 3 2 4 3 2" xfId="9769" xr:uid="{00000000-0005-0000-0000-000026260000}"/>
    <cellStyle name="Comma 2 3 2 4 3 2 2" xfId="9770" xr:uid="{00000000-0005-0000-0000-000027260000}"/>
    <cellStyle name="Comma 2 3 2 4 3 2 2 2" xfId="9771" xr:uid="{00000000-0005-0000-0000-000028260000}"/>
    <cellStyle name="Comma 2 3 2 4 3 2 2 3" xfId="9772" xr:uid="{00000000-0005-0000-0000-000029260000}"/>
    <cellStyle name="Comma 2 3 2 4 3 2 3" xfId="9773" xr:uid="{00000000-0005-0000-0000-00002A260000}"/>
    <cellStyle name="Comma 2 3 2 4 3 2 4" xfId="9774" xr:uid="{00000000-0005-0000-0000-00002B260000}"/>
    <cellStyle name="Comma 2 3 2 4 3 2 5" xfId="9775" xr:uid="{00000000-0005-0000-0000-00002C260000}"/>
    <cellStyle name="Comma 2 3 2 4 3 2 6" xfId="9776" xr:uid="{00000000-0005-0000-0000-00002D260000}"/>
    <cellStyle name="Comma 2 3 2 4 3 3" xfId="9777" xr:uid="{00000000-0005-0000-0000-00002E260000}"/>
    <cellStyle name="Comma 2 3 2 4 3 3 2" xfId="9778" xr:uid="{00000000-0005-0000-0000-00002F260000}"/>
    <cellStyle name="Comma 2 3 2 4 3 3 2 2" xfId="9779" xr:uid="{00000000-0005-0000-0000-000030260000}"/>
    <cellStyle name="Comma 2 3 2 4 3 3 3" xfId="9780" xr:uid="{00000000-0005-0000-0000-000031260000}"/>
    <cellStyle name="Comma 2 3 2 4 3 3 4" xfId="9781" xr:uid="{00000000-0005-0000-0000-000032260000}"/>
    <cellStyle name="Comma 2 3 2 4 3 3 5" xfId="9782" xr:uid="{00000000-0005-0000-0000-000033260000}"/>
    <cellStyle name="Comma 2 3 2 4 3 4" xfId="9783" xr:uid="{00000000-0005-0000-0000-000034260000}"/>
    <cellStyle name="Comma 2 3 2 4 3 4 2" xfId="9784" xr:uid="{00000000-0005-0000-0000-000035260000}"/>
    <cellStyle name="Comma 2 3 2 4 3 4 3" xfId="9785" xr:uid="{00000000-0005-0000-0000-000036260000}"/>
    <cellStyle name="Comma 2 3 2 4 3 4 4" xfId="9786" xr:uid="{00000000-0005-0000-0000-000037260000}"/>
    <cellStyle name="Comma 2 3 2 4 3 5" xfId="9787" xr:uid="{00000000-0005-0000-0000-000038260000}"/>
    <cellStyle name="Comma 2 3 2 4 3 5 2" xfId="9788" xr:uid="{00000000-0005-0000-0000-000039260000}"/>
    <cellStyle name="Comma 2 3 2 4 3 6" xfId="9789" xr:uid="{00000000-0005-0000-0000-00003A260000}"/>
    <cellStyle name="Comma 2 3 2 4 3 7" xfId="9790" xr:uid="{00000000-0005-0000-0000-00003B260000}"/>
    <cellStyle name="Comma 2 3 2 4 3 8" xfId="9791" xr:uid="{00000000-0005-0000-0000-00003C260000}"/>
    <cellStyle name="Comma 2 3 2 4 3 9" xfId="9792" xr:uid="{00000000-0005-0000-0000-00003D260000}"/>
    <cellStyle name="Comma 2 3 2 4 4" xfId="9793" xr:uid="{00000000-0005-0000-0000-00003E260000}"/>
    <cellStyle name="Comma 2 3 2 4 4 2" xfId="9794" xr:uid="{00000000-0005-0000-0000-00003F260000}"/>
    <cellStyle name="Comma 2 3 2 4 4 2 2" xfId="9795" xr:uid="{00000000-0005-0000-0000-000040260000}"/>
    <cellStyle name="Comma 2 3 2 4 4 2 3" xfId="9796" xr:uid="{00000000-0005-0000-0000-000041260000}"/>
    <cellStyle name="Comma 2 3 2 4 4 3" xfId="9797" xr:uid="{00000000-0005-0000-0000-000042260000}"/>
    <cellStyle name="Comma 2 3 2 4 4 4" xfId="9798" xr:uid="{00000000-0005-0000-0000-000043260000}"/>
    <cellStyle name="Comma 2 3 2 4 4 5" xfId="9799" xr:uid="{00000000-0005-0000-0000-000044260000}"/>
    <cellStyle name="Comma 2 3 2 4 4 6" xfId="9800" xr:uid="{00000000-0005-0000-0000-000045260000}"/>
    <cellStyle name="Comma 2 3 2 4 5" xfId="9801" xr:uid="{00000000-0005-0000-0000-000046260000}"/>
    <cellStyle name="Comma 2 3 2 4 5 2" xfId="9802" xr:uid="{00000000-0005-0000-0000-000047260000}"/>
    <cellStyle name="Comma 2 3 2 4 5 2 2" xfId="9803" xr:uid="{00000000-0005-0000-0000-000048260000}"/>
    <cellStyle name="Comma 2 3 2 4 5 3" xfId="9804" xr:uid="{00000000-0005-0000-0000-000049260000}"/>
    <cellStyle name="Comma 2 3 2 4 5 4" xfId="9805" xr:uid="{00000000-0005-0000-0000-00004A260000}"/>
    <cellStyle name="Comma 2 3 2 4 5 5" xfId="9806" xr:uid="{00000000-0005-0000-0000-00004B260000}"/>
    <cellStyle name="Comma 2 3 2 4 6" xfId="9807" xr:uid="{00000000-0005-0000-0000-00004C260000}"/>
    <cellStyle name="Comma 2 3 2 4 6 2" xfId="9808" xr:uid="{00000000-0005-0000-0000-00004D260000}"/>
    <cellStyle name="Comma 2 3 2 4 6 3" xfId="9809" xr:uid="{00000000-0005-0000-0000-00004E260000}"/>
    <cellStyle name="Comma 2 3 2 4 6 4" xfId="9810" xr:uid="{00000000-0005-0000-0000-00004F260000}"/>
    <cellStyle name="Comma 2 3 2 4 7" xfId="9811" xr:uid="{00000000-0005-0000-0000-000050260000}"/>
    <cellStyle name="Comma 2 3 2 4 7 2" xfId="9812" xr:uid="{00000000-0005-0000-0000-000051260000}"/>
    <cellStyle name="Comma 2 3 2 4 8" xfId="9813" xr:uid="{00000000-0005-0000-0000-000052260000}"/>
    <cellStyle name="Comma 2 3 2 4 9" xfId="9814" xr:uid="{00000000-0005-0000-0000-000053260000}"/>
    <cellStyle name="Comma 2 3 2 5" xfId="9815" xr:uid="{00000000-0005-0000-0000-000054260000}"/>
    <cellStyle name="Comma 2 3 2 5 10" xfId="9816" xr:uid="{00000000-0005-0000-0000-000055260000}"/>
    <cellStyle name="Comma 2 3 2 5 11" xfId="9817" xr:uid="{00000000-0005-0000-0000-000056260000}"/>
    <cellStyle name="Comma 2 3 2 5 2" xfId="9818" xr:uid="{00000000-0005-0000-0000-000057260000}"/>
    <cellStyle name="Comma 2 3 2 5 2 2" xfId="9819" xr:uid="{00000000-0005-0000-0000-000058260000}"/>
    <cellStyle name="Comma 2 3 2 5 2 2 2" xfId="9820" xr:uid="{00000000-0005-0000-0000-000059260000}"/>
    <cellStyle name="Comma 2 3 2 5 2 2 2 2" xfId="9821" xr:uid="{00000000-0005-0000-0000-00005A260000}"/>
    <cellStyle name="Comma 2 3 2 5 2 2 2 3" xfId="9822" xr:uid="{00000000-0005-0000-0000-00005B260000}"/>
    <cellStyle name="Comma 2 3 2 5 2 2 3" xfId="9823" xr:uid="{00000000-0005-0000-0000-00005C260000}"/>
    <cellStyle name="Comma 2 3 2 5 2 2 4" xfId="9824" xr:uid="{00000000-0005-0000-0000-00005D260000}"/>
    <cellStyle name="Comma 2 3 2 5 2 2 5" xfId="9825" xr:uid="{00000000-0005-0000-0000-00005E260000}"/>
    <cellStyle name="Comma 2 3 2 5 2 2 6" xfId="9826" xr:uid="{00000000-0005-0000-0000-00005F260000}"/>
    <cellStyle name="Comma 2 3 2 5 2 3" xfId="9827" xr:uid="{00000000-0005-0000-0000-000060260000}"/>
    <cellStyle name="Comma 2 3 2 5 2 3 2" xfId="9828" xr:uid="{00000000-0005-0000-0000-000061260000}"/>
    <cellStyle name="Comma 2 3 2 5 2 3 2 2" xfId="9829" xr:uid="{00000000-0005-0000-0000-000062260000}"/>
    <cellStyle name="Comma 2 3 2 5 2 3 3" xfId="9830" xr:uid="{00000000-0005-0000-0000-000063260000}"/>
    <cellStyle name="Comma 2 3 2 5 2 3 4" xfId="9831" xr:uid="{00000000-0005-0000-0000-000064260000}"/>
    <cellStyle name="Comma 2 3 2 5 2 3 5" xfId="9832" xr:uid="{00000000-0005-0000-0000-000065260000}"/>
    <cellStyle name="Comma 2 3 2 5 2 4" xfId="9833" xr:uid="{00000000-0005-0000-0000-000066260000}"/>
    <cellStyle name="Comma 2 3 2 5 2 4 2" xfId="9834" xr:uid="{00000000-0005-0000-0000-000067260000}"/>
    <cellStyle name="Comma 2 3 2 5 2 4 3" xfId="9835" xr:uid="{00000000-0005-0000-0000-000068260000}"/>
    <cellStyle name="Comma 2 3 2 5 2 4 4" xfId="9836" xr:uid="{00000000-0005-0000-0000-000069260000}"/>
    <cellStyle name="Comma 2 3 2 5 2 5" xfId="9837" xr:uid="{00000000-0005-0000-0000-00006A260000}"/>
    <cellStyle name="Comma 2 3 2 5 2 5 2" xfId="9838" xr:uid="{00000000-0005-0000-0000-00006B260000}"/>
    <cellStyle name="Comma 2 3 2 5 2 6" xfId="9839" xr:uid="{00000000-0005-0000-0000-00006C260000}"/>
    <cellStyle name="Comma 2 3 2 5 2 7" xfId="9840" xr:uid="{00000000-0005-0000-0000-00006D260000}"/>
    <cellStyle name="Comma 2 3 2 5 2 8" xfId="9841" xr:uid="{00000000-0005-0000-0000-00006E260000}"/>
    <cellStyle name="Comma 2 3 2 5 2 9" xfId="9842" xr:uid="{00000000-0005-0000-0000-00006F260000}"/>
    <cellStyle name="Comma 2 3 2 5 3" xfId="9843" xr:uid="{00000000-0005-0000-0000-000070260000}"/>
    <cellStyle name="Comma 2 3 2 5 3 2" xfId="9844" xr:uid="{00000000-0005-0000-0000-000071260000}"/>
    <cellStyle name="Comma 2 3 2 5 3 2 2" xfId="9845" xr:uid="{00000000-0005-0000-0000-000072260000}"/>
    <cellStyle name="Comma 2 3 2 5 3 2 2 2" xfId="9846" xr:uid="{00000000-0005-0000-0000-000073260000}"/>
    <cellStyle name="Comma 2 3 2 5 3 2 2 3" xfId="9847" xr:uid="{00000000-0005-0000-0000-000074260000}"/>
    <cellStyle name="Comma 2 3 2 5 3 2 3" xfId="9848" xr:uid="{00000000-0005-0000-0000-000075260000}"/>
    <cellStyle name="Comma 2 3 2 5 3 2 4" xfId="9849" xr:uid="{00000000-0005-0000-0000-000076260000}"/>
    <cellStyle name="Comma 2 3 2 5 3 2 5" xfId="9850" xr:uid="{00000000-0005-0000-0000-000077260000}"/>
    <cellStyle name="Comma 2 3 2 5 3 2 6" xfId="9851" xr:uid="{00000000-0005-0000-0000-000078260000}"/>
    <cellStyle name="Comma 2 3 2 5 3 3" xfId="9852" xr:uid="{00000000-0005-0000-0000-000079260000}"/>
    <cellStyle name="Comma 2 3 2 5 3 3 2" xfId="9853" xr:uid="{00000000-0005-0000-0000-00007A260000}"/>
    <cellStyle name="Comma 2 3 2 5 3 3 2 2" xfId="9854" xr:uid="{00000000-0005-0000-0000-00007B260000}"/>
    <cellStyle name="Comma 2 3 2 5 3 3 3" xfId="9855" xr:uid="{00000000-0005-0000-0000-00007C260000}"/>
    <cellStyle name="Comma 2 3 2 5 3 3 4" xfId="9856" xr:uid="{00000000-0005-0000-0000-00007D260000}"/>
    <cellStyle name="Comma 2 3 2 5 3 3 5" xfId="9857" xr:uid="{00000000-0005-0000-0000-00007E260000}"/>
    <cellStyle name="Comma 2 3 2 5 3 4" xfId="9858" xr:uid="{00000000-0005-0000-0000-00007F260000}"/>
    <cellStyle name="Comma 2 3 2 5 3 4 2" xfId="9859" xr:uid="{00000000-0005-0000-0000-000080260000}"/>
    <cellStyle name="Comma 2 3 2 5 3 4 3" xfId="9860" xr:uid="{00000000-0005-0000-0000-000081260000}"/>
    <cellStyle name="Comma 2 3 2 5 3 4 4" xfId="9861" xr:uid="{00000000-0005-0000-0000-000082260000}"/>
    <cellStyle name="Comma 2 3 2 5 3 5" xfId="9862" xr:uid="{00000000-0005-0000-0000-000083260000}"/>
    <cellStyle name="Comma 2 3 2 5 3 5 2" xfId="9863" xr:uid="{00000000-0005-0000-0000-000084260000}"/>
    <cellStyle name="Comma 2 3 2 5 3 6" xfId="9864" xr:uid="{00000000-0005-0000-0000-000085260000}"/>
    <cellStyle name="Comma 2 3 2 5 3 7" xfId="9865" xr:uid="{00000000-0005-0000-0000-000086260000}"/>
    <cellStyle name="Comma 2 3 2 5 3 8" xfId="9866" xr:uid="{00000000-0005-0000-0000-000087260000}"/>
    <cellStyle name="Comma 2 3 2 5 3 9" xfId="9867" xr:uid="{00000000-0005-0000-0000-000088260000}"/>
    <cellStyle name="Comma 2 3 2 5 4" xfId="9868" xr:uid="{00000000-0005-0000-0000-000089260000}"/>
    <cellStyle name="Comma 2 3 2 5 4 2" xfId="9869" xr:uid="{00000000-0005-0000-0000-00008A260000}"/>
    <cellStyle name="Comma 2 3 2 5 4 2 2" xfId="9870" xr:uid="{00000000-0005-0000-0000-00008B260000}"/>
    <cellStyle name="Comma 2 3 2 5 4 2 3" xfId="9871" xr:uid="{00000000-0005-0000-0000-00008C260000}"/>
    <cellStyle name="Comma 2 3 2 5 4 3" xfId="9872" xr:uid="{00000000-0005-0000-0000-00008D260000}"/>
    <cellStyle name="Comma 2 3 2 5 4 4" xfId="9873" xr:uid="{00000000-0005-0000-0000-00008E260000}"/>
    <cellStyle name="Comma 2 3 2 5 4 5" xfId="9874" xr:uid="{00000000-0005-0000-0000-00008F260000}"/>
    <cellStyle name="Comma 2 3 2 5 4 6" xfId="9875" xr:uid="{00000000-0005-0000-0000-000090260000}"/>
    <cellStyle name="Comma 2 3 2 5 5" xfId="9876" xr:uid="{00000000-0005-0000-0000-000091260000}"/>
    <cellStyle name="Comma 2 3 2 5 5 2" xfId="9877" xr:uid="{00000000-0005-0000-0000-000092260000}"/>
    <cellStyle name="Comma 2 3 2 5 5 2 2" xfId="9878" xr:uid="{00000000-0005-0000-0000-000093260000}"/>
    <cellStyle name="Comma 2 3 2 5 5 3" xfId="9879" xr:uid="{00000000-0005-0000-0000-000094260000}"/>
    <cellStyle name="Comma 2 3 2 5 5 4" xfId="9880" xr:uid="{00000000-0005-0000-0000-000095260000}"/>
    <cellStyle name="Comma 2 3 2 5 5 5" xfId="9881" xr:uid="{00000000-0005-0000-0000-000096260000}"/>
    <cellStyle name="Comma 2 3 2 5 6" xfId="9882" xr:uid="{00000000-0005-0000-0000-000097260000}"/>
    <cellStyle name="Comma 2 3 2 5 6 2" xfId="9883" xr:uid="{00000000-0005-0000-0000-000098260000}"/>
    <cellStyle name="Comma 2 3 2 5 6 3" xfId="9884" xr:uid="{00000000-0005-0000-0000-000099260000}"/>
    <cellStyle name="Comma 2 3 2 5 6 4" xfId="9885" xr:uid="{00000000-0005-0000-0000-00009A260000}"/>
    <cellStyle name="Comma 2 3 2 5 7" xfId="9886" xr:uid="{00000000-0005-0000-0000-00009B260000}"/>
    <cellStyle name="Comma 2 3 2 5 7 2" xfId="9887" xr:uid="{00000000-0005-0000-0000-00009C260000}"/>
    <cellStyle name="Comma 2 3 2 5 8" xfId="9888" xr:uid="{00000000-0005-0000-0000-00009D260000}"/>
    <cellStyle name="Comma 2 3 2 5 9" xfId="9889" xr:uid="{00000000-0005-0000-0000-00009E260000}"/>
    <cellStyle name="Comma 2 3 2 6" xfId="9890" xr:uid="{00000000-0005-0000-0000-00009F260000}"/>
    <cellStyle name="Comma 2 3 2 6 10" xfId="9891" xr:uid="{00000000-0005-0000-0000-0000A0260000}"/>
    <cellStyle name="Comma 2 3 2 6 11" xfId="9892" xr:uid="{00000000-0005-0000-0000-0000A1260000}"/>
    <cellStyle name="Comma 2 3 2 6 2" xfId="9893" xr:uid="{00000000-0005-0000-0000-0000A2260000}"/>
    <cellStyle name="Comma 2 3 2 6 2 2" xfId="9894" xr:uid="{00000000-0005-0000-0000-0000A3260000}"/>
    <cellStyle name="Comma 2 3 2 6 2 2 2" xfId="9895" xr:uid="{00000000-0005-0000-0000-0000A4260000}"/>
    <cellStyle name="Comma 2 3 2 6 2 2 2 2" xfId="9896" xr:uid="{00000000-0005-0000-0000-0000A5260000}"/>
    <cellStyle name="Comma 2 3 2 6 2 2 2 3" xfId="9897" xr:uid="{00000000-0005-0000-0000-0000A6260000}"/>
    <cellStyle name="Comma 2 3 2 6 2 2 3" xfId="9898" xr:uid="{00000000-0005-0000-0000-0000A7260000}"/>
    <cellStyle name="Comma 2 3 2 6 2 2 4" xfId="9899" xr:uid="{00000000-0005-0000-0000-0000A8260000}"/>
    <cellStyle name="Comma 2 3 2 6 2 2 5" xfId="9900" xr:uid="{00000000-0005-0000-0000-0000A9260000}"/>
    <cellStyle name="Comma 2 3 2 6 2 2 6" xfId="9901" xr:uid="{00000000-0005-0000-0000-0000AA260000}"/>
    <cellStyle name="Comma 2 3 2 6 2 3" xfId="9902" xr:uid="{00000000-0005-0000-0000-0000AB260000}"/>
    <cellStyle name="Comma 2 3 2 6 2 3 2" xfId="9903" xr:uid="{00000000-0005-0000-0000-0000AC260000}"/>
    <cellStyle name="Comma 2 3 2 6 2 3 2 2" xfId="9904" xr:uid="{00000000-0005-0000-0000-0000AD260000}"/>
    <cellStyle name="Comma 2 3 2 6 2 3 3" xfId="9905" xr:uid="{00000000-0005-0000-0000-0000AE260000}"/>
    <cellStyle name="Comma 2 3 2 6 2 3 4" xfId="9906" xr:uid="{00000000-0005-0000-0000-0000AF260000}"/>
    <cellStyle name="Comma 2 3 2 6 2 3 5" xfId="9907" xr:uid="{00000000-0005-0000-0000-0000B0260000}"/>
    <cellStyle name="Comma 2 3 2 6 2 4" xfId="9908" xr:uid="{00000000-0005-0000-0000-0000B1260000}"/>
    <cellStyle name="Comma 2 3 2 6 2 4 2" xfId="9909" xr:uid="{00000000-0005-0000-0000-0000B2260000}"/>
    <cellStyle name="Comma 2 3 2 6 2 4 3" xfId="9910" xr:uid="{00000000-0005-0000-0000-0000B3260000}"/>
    <cellStyle name="Comma 2 3 2 6 2 4 4" xfId="9911" xr:uid="{00000000-0005-0000-0000-0000B4260000}"/>
    <cellStyle name="Comma 2 3 2 6 2 5" xfId="9912" xr:uid="{00000000-0005-0000-0000-0000B5260000}"/>
    <cellStyle name="Comma 2 3 2 6 2 5 2" xfId="9913" xr:uid="{00000000-0005-0000-0000-0000B6260000}"/>
    <cellStyle name="Comma 2 3 2 6 2 6" xfId="9914" xr:uid="{00000000-0005-0000-0000-0000B7260000}"/>
    <cellStyle name="Comma 2 3 2 6 2 7" xfId="9915" xr:uid="{00000000-0005-0000-0000-0000B8260000}"/>
    <cellStyle name="Comma 2 3 2 6 2 8" xfId="9916" xr:uid="{00000000-0005-0000-0000-0000B9260000}"/>
    <cellStyle name="Comma 2 3 2 6 2 9" xfId="9917" xr:uid="{00000000-0005-0000-0000-0000BA260000}"/>
    <cellStyle name="Comma 2 3 2 6 3" xfId="9918" xr:uid="{00000000-0005-0000-0000-0000BB260000}"/>
    <cellStyle name="Comma 2 3 2 6 3 2" xfId="9919" xr:uid="{00000000-0005-0000-0000-0000BC260000}"/>
    <cellStyle name="Comma 2 3 2 6 3 2 2" xfId="9920" xr:uid="{00000000-0005-0000-0000-0000BD260000}"/>
    <cellStyle name="Comma 2 3 2 6 3 2 2 2" xfId="9921" xr:uid="{00000000-0005-0000-0000-0000BE260000}"/>
    <cellStyle name="Comma 2 3 2 6 3 2 2 3" xfId="9922" xr:uid="{00000000-0005-0000-0000-0000BF260000}"/>
    <cellStyle name="Comma 2 3 2 6 3 2 3" xfId="9923" xr:uid="{00000000-0005-0000-0000-0000C0260000}"/>
    <cellStyle name="Comma 2 3 2 6 3 2 4" xfId="9924" xr:uid="{00000000-0005-0000-0000-0000C1260000}"/>
    <cellStyle name="Comma 2 3 2 6 3 2 5" xfId="9925" xr:uid="{00000000-0005-0000-0000-0000C2260000}"/>
    <cellStyle name="Comma 2 3 2 6 3 2 6" xfId="9926" xr:uid="{00000000-0005-0000-0000-0000C3260000}"/>
    <cellStyle name="Comma 2 3 2 6 3 3" xfId="9927" xr:uid="{00000000-0005-0000-0000-0000C4260000}"/>
    <cellStyle name="Comma 2 3 2 6 3 3 2" xfId="9928" xr:uid="{00000000-0005-0000-0000-0000C5260000}"/>
    <cellStyle name="Comma 2 3 2 6 3 3 2 2" xfId="9929" xr:uid="{00000000-0005-0000-0000-0000C6260000}"/>
    <cellStyle name="Comma 2 3 2 6 3 3 3" xfId="9930" xr:uid="{00000000-0005-0000-0000-0000C7260000}"/>
    <cellStyle name="Comma 2 3 2 6 3 3 4" xfId="9931" xr:uid="{00000000-0005-0000-0000-0000C8260000}"/>
    <cellStyle name="Comma 2 3 2 6 3 3 5" xfId="9932" xr:uid="{00000000-0005-0000-0000-0000C9260000}"/>
    <cellStyle name="Comma 2 3 2 6 3 4" xfId="9933" xr:uid="{00000000-0005-0000-0000-0000CA260000}"/>
    <cellStyle name="Comma 2 3 2 6 3 4 2" xfId="9934" xr:uid="{00000000-0005-0000-0000-0000CB260000}"/>
    <cellStyle name="Comma 2 3 2 6 3 4 3" xfId="9935" xr:uid="{00000000-0005-0000-0000-0000CC260000}"/>
    <cellStyle name="Comma 2 3 2 6 3 4 4" xfId="9936" xr:uid="{00000000-0005-0000-0000-0000CD260000}"/>
    <cellStyle name="Comma 2 3 2 6 3 5" xfId="9937" xr:uid="{00000000-0005-0000-0000-0000CE260000}"/>
    <cellStyle name="Comma 2 3 2 6 3 5 2" xfId="9938" xr:uid="{00000000-0005-0000-0000-0000CF260000}"/>
    <cellStyle name="Comma 2 3 2 6 3 6" xfId="9939" xr:uid="{00000000-0005-0000-0000-0000D0260000}"/>
    <cellStyle name="Comma 2 3 2 6 3 7" xfId="9940" xr:uid="{00000000-0005-0000-0000-0000D1260000}"/>
    <cellStyle name="Comma 2 3 2 6 3 8" xfId="9941" xr:uid="{00000000-0005-0000-0000-0000D2260000}"/>
    <cellStyle name="Comma 2 3 2 6 3 9" xfId="9942" xr:uid="{00000000-0005-0000-0000-0000D3260000}"/>
    <cellStyle name="Comma 2 3 2 6 4" xfId="9943" xr:uid="{00000000-0005-0000-0000-0000D4260000}"/>
    <cellStyle name="Comma 2 3 2 6 4 2" xfId="9944" xr:uid="{00000000-0005-0000-0000-0000D5260000}"/>
    <cellStyle name="Comma 2 3 2 6 4 2 2" xfId="9945" xr:uid="{00000000-0005-0000-0000-0000D6260000}"/>
    <cellStyle name="Comma 2 3 2 6 4 2 3" xfId="9946" xr:uid="{00000000-0005-0000-0000-0000D7260000}"/>
    <cellStyle name="Comma 2 3 2 6 4 3" xfId="9947" xr:uid="{00000000-0005-0000-0000-0000D8260000}"/>
    <cellStyle name="Comma 2 3 2 6 4 4" xfId="9948" xr:uid="{00000000-0005-0000-0000-0000D9260000}"/>
    <cellStyle name="Comma 2 3 2 6 4 5" xfId="9949" xr:uid="{00000000-0005-0000-0000-0000DA260000}"/>
    <cellStyle name="Comma 2 3 2 6 4 6" xfId="9950" xr:uid="{00000000-0005-0000-0000-0000DB260000}"/>
    <cellStyle name="Comma 2 3 2 6 5" xfId="9951" xr:uid="{00000000-0005-0000-0000-0000DC260000}"/>
    <cellStyle name="Comma 2 3 2 6 5 2" xfId="9952" xr:uid="{00000000-0005-0000-0000-0000DD260000}"/>
    <cellStyle name="Comma 2 3 2 6 5 2 2" xfId="9953" xr:uid="{00000000-0005-0000-0000-0000DE260000}"/>
    <cellStyle name="Comma 2 3 2 6 5 3" xfId="9954" xr:uid="{00000000-0005-0000-0000-0000DF260000}"/>
    <cellStyle name="Comma 2 3 2 6 5 4" xfId="9955" xr:uid="{00000000-0005-0000-0000-0000E0260000}"/>
    <cellStyle name="Comma 2 3 2 6 5 5" xfId="9956" xr:uid="{00000000-0005-0000-0000-0000E1260000}"/>
    <cellStyle name="Comma 2 3 2 6 6" xfId="9957" xr:uid="{00000000-0005-0000-0000-0000E2260000}"/>
    <cellStyle name="Comma 2 3 2 6 6 2" xfId="9958" xr:uid="{00000000-0005-0000-0000-0000E3260000}"/>
    <cellStyle name="Comma 2 3 2 6 6 3" xfId="9959" xr:uid="{00000000-0005-0000-0000-0000E4260000}"/>
    <cellStyle name="Comma 2 3 2 6 6 4" xfId="9960" xr:uid="{00000000-0005-0000-0000-0000E5260000}"/>
    <cellStyle name="Comma 2 3 2 6 7" xfId="9961" xr:uid="{00000000-0005-0000-0000-0000E6260000}"/>
    <cellStyle name="Comma 2 3 2 6 7 2" xfId="9962" xr:uid="{00000000-0005-0000-0000-0000E7260000}"/>
    <cellStyle name="Comma 2 3 2 6 8" xfId="9963" xr:uid="{00000000-0005-0000-0000-0000E8260000}"/>
    <cellStyle name="Comma 2 3 2 6 9" xfId="9964" xr:uid="{00000000-0005-0000-0000-0000E9260000}"/>
    <cellStyle name="Comma 2 3 2 7" xfId="9965" xr:uid="{00000000-0005-0000-0000-0000EA260000}"/>
    <cellStyle name="Comma 2 3 2 7 10" xfId="9966" xr:uid="{00000000-0005-0000-0000-0000EB260000}"/>
    <cellStyle name="Comma 2 3 2 7 11" xfId="9967" xr:uid="{00000000-0005-0000-0000-0000EC260000}"/>
    <cellStyle name="Comma 2 3 2 7 2" xfId="9968" xr:uid="{00000000-0005-0000-0000-0000ED260000}"/>
    <cellStyle name="Comma 2 3 2 7 2 2" xfId="9969" xr:uid="{00000000-0005-0000-0000-0000EE260000}"/>
    <cellStyle name="Comma 2 3 2 7 2 2 2" xfId="9970" xr:uid="{00000000-0005-0000-0000-0000EF260000}"/>
    <cellStyle name="Comma 2 3 2 7 2 2 2 2" xfId="9971" xr:uid="{00000000-0005-0000-0000-0000F0260000}"/>
    <cellStyle name="Comma 2 3 2 7 2 2 2 3" xfId="9972" xr:uid="{00000000-0005-0000-0000-0000F1260000}"/>
    <cellStyle name="Comma 2 3 2 7 2 2 3" xfId="9973" xr:uid="{00000000-0005-0000-0000-0000F2260000}"/>
    <cellStyle name="Comma 2 3 2 7 2 2 4" xfId="9974" xr:uid="{00000000-0005-0000-0000-0000F3260000}"/>
    <cellStyle name="Comma 2 3 2 7 2 2 5" xfId="9975" xr:uid="{00000000-0005-0000-0000-0000F4260000}"/>
    <cellStyle name="Comma 2 3 2 7 2 2 6" xfId="9976" xr:uid="{00000000-0005-0000-0000-0000F5260000}"/>
    <cellStyle name="Comma 2 3 2 7 2 3" xfId="9977" xr:uid="{00000000-0005-0000-0000-0000F6260000}"/>
    <cellStyle name="Comma 2 3 2 7 2 3 2" xfId="9978" xr:uid="{00000000-0005-0000-0000-0000F7260000}"/>
    <cellStyle name="Comma 2 3 2 7 2 3 2 2" xfId="9979" xr:uid="{00000000-0005-0000-0000-0000F8260000}"/>
    <cellStyle name="Comma 2 3 2 7 2 3 3" xfId="9980" xr:uid="{00000000-0005-0000-0000-0000F9260000}"/>
    <cellStyle name="Comma 2 3 2 7 2 3 4" xfId="9981" xr:uid="{00000000-0005-0000-0000-0000FA260000}"/>
    <cellStyle name="Comma 2 3 2 7 2 3 5" xfId="9982" xr:uid="{00000000-0005-0000-0000-0000FB260000}"/>
    <cellStyle name="Comma 2 3 2 7 2 4" xfId="9983" xr:uid="{00000000-0005-0000-0000-0000FC260000}"/>
    <cellStyle name="Comma 2 3 2 7 2 4 2" xfId="9984" xr:uid="{00000000-0005-0000-0000-0000FD260000}"/>
    <cellStyle name="Comma 2 3 2 7 2 4 3" xfId="9985" xr:uid="{00000000-0005-0000-0000-0000FE260000}"/>
    <cellStyle name="Comma 2 3 2 7 2 4 4" xfId="9986" xr:uid="{00000000-0005-0000-0000-0000FF260000}"/>
    <cellStyle name="Comma 2 3 2 7 2 5" xfId="9987" xr:uid="{00000000-0005-0000-0000-000000270000}"/>
    <cellStyle name="Comma 2 3 2 7 2 5 2" xfId="9988" xr:uid="{00000000-0005-0000-0000-000001270000}"/>
    <cellStyle name="Comma 2 3 2 7 2 6" xfId="9989" xr:uid="{00000000-0005-0000-0000-000002270000}"/>
    <cellStyle name="Comma 2 3 2 7 2 7" xfId="9990" xr:uid="{00000000-0005-0000-0000-000003270000}"/>
    <cellStyle name="Comma 2 3 2 7 2 8" xfId="9991" xr:uid="{00000000-0005-0000-0000-000004270000}"/>
    <cellStyle name="Comma 2 3 2 7 2 9" xfId="9992" xr:uid="{00000000-0005-0000-0000-000005270000}"/>
    <cellStyle name="Comma 2 3 2 7 3" xfId="9993" xr:uid="{00000000-0005-0000-0000-000006270000}"/>
    <cellStyle name="Comma 2 3 2 7 3 2" xfId="9994" xr:uid="{00000000-0005-0000-0000-000007270000}"/>
    <cellStyle name="Comma 2 3 2 7 3 2 2" xfId="9995" xr:uid="{00000000-0005-0000-0000-000008270000}"/>
    <cellStyle name="Comma 2 3 2 7 3 2 2 2" xfId="9996" xr:uid="{00000000-0005-0000-0000-000009270000}"/>
    <cellStyle name="Comma 2 3 2 7 3 2 2 3" xfId="9997" xr:uid="{00000000-0005-0000-0000-00000A270000}"/>
    <cellStyle name="Comma 2 3 2 7 3 2 3" xfId="9998" xr:uid="{00000000-0005-0000-0000-00000B270000}"/>
    <cellStyle name="Comma 2 3 2 7 3 2 4" xfId="9999" xr:uid="{00000000-0005-0000-0000-00000C270000}"/>
    <cellStyle name="Comma 2 3 2 7 3 2 5" xfId="10000" xr:uid="{00000000-0005-0000-0000-00000D270000}"/>
    <cellStyle name="Comma 2 3 2 7 3 2 6" xfId="10001" xr:uid="{00000000-0005-0000-0000-00000E270000}"/>
    <cellStyle name="Comma 2 3 2 7 3 3" xfId="10002" xr:uid="{00000000-0005-0000-0000-00000F270000}"/>
    <cellStyle name="Comma 2 3 2 7 3 3 2" xfId="10003" xr:uid="{00000000-0005-0000-0000-000010270000}"/>
    <cellStyle name="Comma 2 3 2 7 3 3 2 2" xfId="10004" xr:uid="{00000000-0005-0000-0000-000011270000}"/>
    <cellStyle name="Comma 2 3 2 7 3 3 3" xfId="10005" xr:uid="{00000000-0005-0000-0000-000012270000}"/>
    <cellStyle name="Comma 2 3 2 7 3 3 4" xfId="10006" xr:uid="{00000000-0005-0000-0000-000013270000}"/>
    <cellStyle name="Comma 2 3 2 7 3 3 5" xfId="10007" xr:uid="{00000000-0005-0000-0000-000014270000}"/>
    <cellStyle name="Comma 2 3 2 7 3 4" xfId="10008" xr:uid="{00000000-0005-0000-0000-000015270000}"/>
    <cellStyle name="Comma 2 3 2 7 3 4 2" xfId="10009" xr:uid="{00000000-0005-0000-0000-000016270000}"/>
    <cellStyle name="Comma 2 3 2 7 3 4 3" xfId="10010" xr:uid="{00000000-0005-0000-0000-000017270000}"/>
    <cellStyle name="Comma 2 3 2 7 3 4 4" xfId="10011" xr:uid="{00000000-0005-0000-0000-000018270000}"/>
    <cellStyle name="Comma 2 3 2 7 3 5" xfId="10012" xr:uid="{00000000-0005-0000-0000-000019270000}"/>
    <cellStyle name="Comma 2 3 2 7 3 5 2" xfId="10013" xr:uid="{00000000-0005-0000-0000-00001A270000}"/>
    <cellStyle name="Comma 2 3 2 7 3 6" xfId="10014" xr:uid="{00000000-0005-0000-0000-00001B270000}"/>
    <cellStyle name="Comma 2 3 2 7 3 7" xfId="10015" xr:uid="{00000000-0005-0000-0000-00001C270000}"/>
    <cellStyle name="Comma 2 3 2 7 3 8" xfId="10016" xr:uid="{00000000-0005-0000-0000-00001D270000}"/>
    <cellStyle name="Comma 2 3 2 7 3 9" xfId="10017" xr:uid="{00000000-0005-0000-0000-00001E270000}"/>
    <cellStyle name="Comma 2 3 2 7 4" xfId="10018" xr:uid="{00000000-0005-0000-0000-00001F270000}"/>
    <cellStyle name="Comma 2 3 2 7 4 2" xfId="10019" xr:uid="{00000000-0005-0000-0000-000020270000}"/>
    <cellStyle name="Comma 2 3 2 7 4 2 2" xfId="10020" xr:uid="{00000000-0005-0000-0000-000021270000}"/>
    <cellStyle name="Comma 2 3 2 7 4 2 3" xfId="10021" xr:uid="{00000000-0005-0000-0000-000022270000}"/>
    <cellStyle name="Comma 2 3 2 7 4 3" xfId="10022" xr:uid="{00000000-0005-0000-0000-000023270000}"/>
    <cellStyle name="Comma 2 3 2 7 4 4" xfId="10023" xr:uid="{00000000-0005-0000-0000-000024270000}"/>
    <cellStyle name="Comma 2 3 2 7 4 5" xfId="10024" xr:uid="{00000000-0005-0000-0000-000025270000}"/>
    <cellStyle name="Comma 2 3 2 7 4 6" xfId="10025" xr:uid="{00000000-0005-0000-0000-000026270000}"/>
    <cellStyle name="Comma 2 3 2 7 5" xfId="10026" xr:uid="{00000000-0005-0000-0000-000027270000}"/>
    <cellStyle name="Comma 2 3 2 7 5 2" xfId="10027" xr:uid="{00000000-0005-0000-0000-000028270000}"/>
    <cellStyle name="Comma 2 3 2 7 5 2 2" xfId="10028" xr:uid="{00000000-0005-0000-0000-000029270000}"/>
    <cellStyle name="Comma 2 3 2 7 5 3" xfId="10029" xr:uid="{00000000-0005-0000-0000-00002A270000}"/>
    <cellStyle name="Comma 2 3 2 7 5 4" xfId="10030" xr:uid="{00000000-0005-0000-0000-00002B270000}"/>
    <cellStyle name="Comma 2 3 2 7 5 5" xfId="10031" xr:uid="{00000000-0005-0000-0000-00002C270000}"/>
    <cellStyle name="Comma 2 3 2 7 6" xfId="10032" xr:uid="{00000000-0005-0000-0000-00002D270000}"/>
    <cellStyle name="Comma 2 3 2 7 6 2" xfId="10033" xr:uid="{00000000-0005-0000-0000-00002E270000}"/>
    <cellStyle name="Comma 2 3 2 7 6 3" xfId="10034" xr:uid="{00000000-0005-0000-0000-00002F270000}"/>
    <cellStyle name="Comma 2 3 2 7 6 4" xfId="10035" xr:uid="{00000000-0005-0000-0000-000030270000}"/>
    <cellStyle name="Comma 2 3 2 7 7" xfId="10036" xr:uid="{00000000-0005-0000-0000-000031270000}"/>
    <cellStyle name="Comma 2 3 2 7 7 2" xfId="10037" xr:uid="{00000000-0005-0000-0000-000032270000}"/>
    <cellStyle name="Comma 2 3 2 7 8" xfId="10038" xr:uid="{00000000-0005-0000-0000-000033270000}"/>
    <cellStyle name="Comma 2 3 2 7 9" xfId="10039" xr:uid="{00000000-0005-0000-0000-000034270000}"/>
    <cellStyle name="Comma 2 3 2 8" xfId="10040" xr:uid="{00000000-0005-0000-0000-000035270000}"/>
    <cellStyle name="Comma 2 3 2 8 10" xfId="10041" xr:uid="{00000000-0005-0000-0000-000036270000}"/>
    <cellStyle name="Comma 2 3 2 8 2" xfId="10042" xr:uid="{00000000-0005-0000-0000-000037270000}"/>
    <cellStyle name="Comma 2 3 2 8 2 2" xfId="10043" xr:uid="{00000000-0005-0000-0000-000038270000}"/>
    <cellStyle name="Comma 2 3 2 8 2 2 2" xfId="10044" xr:uid="{00000000-0005-0000-0000-000039270000}"/>
    <cellStyle name="Comma 2 3 2 8 2 2 3" xfId="10045" xr:uid="{00000000-0005-0000-0000-00003A270000}"/>
    <cellStyle name="Comma 2 3 2 8 2 3" xfId="10046" xr:uid="{00000000-0005-0000-0000-00003B270000}"/>
    <cellStyle name="Comma 2 3 2 8 2 4" xfId="10047" xr:uid="{00000000-0005-0000-0000-00003C270000}"/>
    <cellStyle name="Comma 2 3 2 8 2 5" xfId="10048" xr:uid="{00000000-0005-0000-0000-00003D270000}"/>
    <cellStyle name="Comma 2 3 2 8 2 6" xfId="10049" xr:uid="{00000000-0005-0000-0000-00003E270000}"/>
    <cellStyle name="Comma 2 3 2 8 3" xfId="10050" xr:uid="{00000000-0005-0000-0000-00003F270000}"/>
    <cellStyle name="Comma 2 3 2 8 3 2" xfId="10051" xr:uid="{00000000-0005-0000-0000-000040270000}"/>
    <cellStyle name="Comma 2 3 2 8 3 2 2" xfId="10052" xr:uid="{00000000-0005-0000-0000-000041270000}"/>
    <cellStyle name="Comma 2 3 2 8 3 2 3" xfId="10053" xr:uid="{00000000-0005-0000-0000-000042270000}"/>
    <cellStyle name="Comma 2 3 2 8 3 3" xfId="10054" xr:uid="{00000000-0005-0000-0000-000043270000}"/>
    <cellStyle name="Comma 2 3 2 8 3 4" xfId="10055" xr:uid="{00000000-0005-0000-0000-000044270000}"/>
    <cellStyle name="Comma 2 3 2 8 3 5" xfId="10056" xr:uid="{00000000-0005-0000-0000-000045270000}"/>
    <cellStyle name="Comma 2 3 2 8 3 6" xfId="10057" xr:uid="{00000000-0005-0000-0000-000046270000}"/>
    <cellStyle name="Comma 2 3 2 8 4" xfId="10058" xr:uid="{00000000-0005-0000-0000-000047270000}"/>
    <cellStyle name="Comma 2 3 2 8 4 2" xfId="10059" xr:uid="{00000000-0005-0000-0000-000048270000}"/>
    <cellStyle name="Comma 2 3 2 8 4 2 2" xfId="10060" xr:uid="{00000000-0005-0000-0000-000049270000}"/>
    <cellStyle name="Comma 2 3 2 8 4 3" xfId="10061" xr:uid="{00000000-0005-0000-0000-00004A270000}"/>
    <cellStyle name="Comma 2 3 2 8 4 4" xfId="10062" xr:uid="{00000000-0005-0000-0000-00004B270000}"/>
    <cellStyle name="Comma 2 3 2 8 4 5" xfId="10063" xr:uid="{00000000-0005-0000-0000-00004C270000}"/>
    <cellStyle name="Comma 2 3 2 8 5" xfId="10064" xr:uid="{00000000-0005-0000-0000-00004D270000}"/>
    <cellStyle name="Comma 2 3 2 8 5 2" xfId="10065" xr:uid="{00000000-0005-0000-0000-00004E270000}"/>
    <cellStyle name="Comma 2 3 2 8 5 3" xfId="10066" xr:uid="{00000000-0005-0000-0000-00004F270000}"/>
    <cellStyle name="Comma 2 3 2 8 5 4" xfId="10067" xr:uid="{00000000-0005-0000-0000-000050270000}"/>
    <cellStyle name="Comma 2 3 2 8 6" xfId="10068" xr:uid="{00000000-0005-0000-0000-000051270000}"/>
    <cellStyle name="Comma 2 3 2 8 6 2" xfId="10069" xr:uid="{00000000-0005-0000-0000-000052270000}"/>
    <cellStyle name="Comma 2 3 2 8 7" xfId="10070" xr:uid="{00000000-0005-0000-0000-000053270000}"/>
    <cellStyle name="Comma 2 3 2 8 8" xfId="10071" xr:uid="{00000000-0005-0000-0000-000054270000}"/>
    <cellStyle name="Comma 2 3 2 8 9" xfId="10072" xr:uid="{00000000-0005-0000-0000-000055270000}"/>
    <cellStyle name="Comma 2 3 2 9" xfId="10073" xr:uid="{00000000-0005-0000-0000-000056270000}"/>
    <cellStyle name="Comma 2 3 2 9 10" xfId="10074" xr:uid="{00000000-0005-0000-0000-000057270000}"/>
    <cellStyle name="Comma 2 3 2 9 2" xfId="10075" xr:uid="{00000000-0005-0000-0000-000058270000}"/>
    <cellStyle name="Comma 2 3 2 9 2 2" xfId="10076" xr:uid="{00000000-0005-0000-0000-000059270000}"/>
    <cellStyle name="Comma 2 3 2 9 2 2 2" xfId="10077" xr:uid="{00000000-0005-0000-0000-00005A270000}"/>
    <cellStyle name="Comma 2 3 2 9 2 2 3" xfId="10078" xr:uid="{00000000-0005-0000-0000-00005B270000}"/>
    <cellStyle name="Comma 2 3 2 9 2 3" xfId="10079" xr:uid="{00000000-0005-0000-0000-00005C270000}"/>
    <cellStyle name="Comma 2 3 2 9 2 4" xfId="10080" xr:uid="{00000000-0005-0000-0000-00005D270000}"/>
    <cellStyle name="Comma 2 3 2 9 2 5" xfId="10081" xr:uid="{00000000-0005-0000-0000-00005E270000}"/>
    <cellStyle name="Comma 2 3 2 9 2 6" xfId="10082" xr:uid="{00000000-0005-0000-0000-00005F270000}"/>
    <cellStyle name="Comma 2 3 2 9 3" xfId="10083" xr:uid="{00000000-0005-0000-0000-000060270000}"/>
    <cellStyle name="Comma 2 3 2 9 3 2" xfId="10084" xr:uid="{00000000-0005-0000-0000-000061270000}"/>
    <cellStyle name="Comma 2 3 2 9 3 2 2" xfId="10085" xr:uid="{00000000-0005-0000-0000-000062270000}"/>
    <cellStyle name="Comma 2 3 2 9 3 2 3" xfId="10086" xr:uid="{00000000-0005-0000-0000-000063270000}"/>
    <cellStyle name="Comma 2 3 2 9 3 3" xfId="10087" xr:uid="{00000000-0005-0000-0000-000064270000}"/>
    <cellStyle name="Comma 2 3 2 9 3 4" xfId="10088" xr:uid="{00000000-0005-0000-0000-000065270000}"/>
    <cellStyle name="Comma 2 3 2 9 3 5" xfId="10089" xr:uid="{00000000-0005-0000-0000-000066270000}"/>
    <cellStyle name="Comma 2 3 2 9 3 6" xfId="10090" xr:uid="{00000000-0005-0000-0000-000067270000}"/>
    <cellStyle name="Comma 2 3 2 9 4" xfId="10091" xr:uid="{00000000-0005-0000-0000-000068270000}"/>
    <cellStyle name="Comma 2 3 2 9 4 2" xfId="10092" xr:uid="{00000000-0005-0000-0000-000069270000}"/>
    <cellStyle name="Comma 2 3 2 9 4 2 2" xfId="10093" xr:uid="{00000000-0005-0000-0000-00006A270000}"/>
    <cellStyle name="Comma 2 3 2 9 4 3" xfId="10094" xr:uid="{00000000-0005-0000-0000-00006B270000}"/>
    <cellStyle name="Comma 2 3 2 9 4 4" xfId="10095" xr:uid="{00000000-0005-0000-0000-00006C270000}"/>
    <cellStyle name="Comma 2 3 2 9 4 5" xfId="10096" xr:uid="{00000000-0005-0000-0000-00006D270000}"/>
    <cellStyle name="Comma 2 3 2 9 5" xfId="10097" xr:uid="{00000000-0005-0000-0000-00006E270000}"/>
    <cellStyle name="Comma 2 3 2 9 5 2" xfId="10098" xr:uid="{00000000-0005-0000-0000-00006F270000}"/>
    <cellStyle name="Comma 2 3 2 9 5 3" xfId="10099" xr:uid="{00000000-0005-0000-0000-000070270000}"/>
    <cellStyle name="Comma 2 3 2 9 5 4" xfId="10100" xr:uid="{00000000-0005-0000-0000-000071270000}"/>
    <cellStyle name="Comma 2 3 2 9 6" xfId="10101" xr:uid="{00000000-0005-0000-0000-000072270000}"/>
    <cellStyle name="Comma 2 3 2 9 6 2" xfId="10102" xr:uid="{00000000-0005-0000-0000-000073270000}"/>
    <cellStyle name="Comma 2 3 2 9 7" xfId="10103" xr:uid="{00000000-0005-0000-0000-000074270000}"/>
    <cellStyle name="Comma 2 3 2 9 8" xfId="10104" xr:uid="{00000000-0005-0000-0000-000075270000}"/>
    <cellStyle name="Comma 2 3 2 9 9" xfId="10105" xr:uid="{00000000-0005-0000-0000-000076270000}"/>
    <cellStyle name="Comma 2 3 20" xfId="10106" xr:uid="{00000000-0005-0000-0000-000077270000}"/>
    <cellStyle name="Comma 2 3 20 10" xfId="10107" xr:uid="{00000000-0005-0000-0000-000078270000}"/>
    <cellStyle name="Comma 2 3 20 2" xfId="10108" xr:uid="{00000000-0005-0000-0000-000079270000}"/>
    <cellStyle name="Comma 2 3 20 2 2" xfId="10109" xr:uid="{00000000-0005-0000-0000-00007A270000}"/>
    <cellStyle name="Comma 2 3 20 2 2 2" xfId="10110" xr:uid="{00000000-0005-0000-0000-00007B270000}"/>
    <cellStyle name="Comma 2 3 20 2 2 3" xfId="10111" xr:uid="{00000000-0005-0000-0000-00007C270000}"/>
    <cellStyle name="Comma 2 3 20 2 3" xfId="10112" xr:uid="{00000000-0005-0000-0000-00007D270000}"/>
    <cellStyle name="Comma 2 3 20 2 4" xfId="10113" xr:uid="{00000000-0005-0000-0000-00007E270000}"/>
    <cellStyle name="Comma 2 3 20 2 5" xfId="10114" xr:uid="{00000000-0005-0000-0000-00007F270000}"/>
    <cellStyle name="Comma 2 3 20 2 6" xfId="10115" xr:uid="{00000000-0005-0000-0000-000080270000}"/>
    <cellStyle name="Comma 2 3 20 3" xfId="10116" xr:uid="{00000000-0005-0000-0000-000081270000}"/>
    <cellStyle name="Comma 2 3 20 3 2" xfId="10117" xr:uid="{00000000-0005-0000-0000-000082270000}"/>
    <cellStyle name="Comma 2 3 20 3 2 2" xfId="10118" xr:uid="{00000000-0005-0000-0000-000083270000}"/>
    <cellStyle name="Comma 2 3 20 3 2 3" xfId="10119" xr:uid="{00000000-0005-0000-0000-000084270000}"/>
    <cellStyle name="Comma 2 3 20 3 3" xfId="10120" xr:uid="{00000000-0005-0000-0000-000085270000}"/>
    <cellStyle name="Comma 2 3 20 3 4" xfId="10121" xr:uid="{00000000-0005-0000-0000-000086270000}"/>
    <cellStyle name="Comma 2 3 20 3 5" xfId="10122" xr:uid="{00000000-0005-0000-0000-000087270000}"/>
    <cellStyle name="Comma 2 3 20 3 6" xfId="10123" xr:uid="{00000000-0005-0000-0000-000088270000}"/>
    <cellStyle name="Comma 2 3 20 4" xfId="10124" xr:uid="{00000000-0005-0000-0000-000089270000}"/>
    <cellStyle name="Comma 2 3 20 4 2" xfId="10125" xr:uid="{00000000-0005-0000-0000-00008A270000}"/>
    <cellStyle name="Comma 2 3 20 4 2 2" xfId="10126" xr:uid="{00000000-0005-0000-0000-00008B270000}"/>
    <cellStyle name="Comma 2 3 20 4 3" xfId="10127" xr:uid="{00000000-0005-0000-0000-00008C270000}"/>
    <cellStyle name="Comma 2 3 20 4 4" xfId="10128" xr:uid="{00000000-0005-0000-0000-00008D270000}"/>
    <cellStyle name="Comma 2 3 20 4 5" xfId="10129" xr:uid="{00000000-0005-0000-0000-00008E270000}"/>
    <cellStyle name="Comma 2 3 20 5" xfId="10130" xr:uid="{00000000-0005-0000-0000-00008F270000}"/>
    <cellStyle name="Comma 2 3 20 5 2" xfId="10131" xr:uid="{00000000-0005-0000-0000-000090270000}"/>
    <cellStyle name="Comma 2 3 20 5 3" xfId="10132" xr:uid="{00000000-0005-0000-0000-000091270000}"/>
    <cellStyle name="Comma 2 3 20 5 4" xfId="10133" xr:uid="{00000000-0005-0000-0000-000092270000}"/>
    <cellStyle name="Comma 2 3 20 6" xfId="10134" xr:uid="{00000000-0005-0000-0000-000093270000}"/>
    <cellStyle name="Comma 2 3 20 6 2" xfId="10135" xr:uid="{00000000-0005-0000-0000-000094270000}"/>
    <cellStyle name="Comma 2 3 20 7" xfId="10136" xr:uid="{00000000-0005-0000-0000-000095270000}"/>
    <cellStyle name="Comma 2 3 20 8" xfId="10137" xr:uid="{00000000-0005-0000-0000-000096270000}"/>
    <cellStyle name="Comma 2 3 20 9" xfId="10138" xr:uid="{00000000-0005-0000-0000-000097270000}"/>
    <cellStyle name="Comma 2 3 21" xfId="10139" xr:uid="{00000000-0005-0000-0000-000098270000}"/>
    <cellStyle name="Comma 2 3 21 10" xfId="10140" xr:uid="{00000000-0005-0000-0000-000099270000}"/>
    <cellStyle name="Comma 2 3 21 2" xfId="10141" xr:uid="{00000000-0005-0000-0000-00009A270000}"/>
    <cellStyle name="Comma 2 3 21 2 2" xfId="10142" xr:uid="{00000000-0005-0000-0000-00009B270000}"/>
    <cellStyle name="Comma 2 3 21 2 2 2" xfId="10143" xr:uid="{00000000-0005-0000-0000-00009C270000}"/>
    <cellStyle name="Comma 2 3 21 2 2 3" xfId="10144" xr:uid="{00000000-0005-0000-0000-00009D270000}"/>
    <cellStyle name="Comma 2 3 21 2 3" xfId="10145" xr:uid="{00000000-0005-0000-0000-00009E270000}"/>
    <cellStyle name="Comma 2 3 21 2 4" xfId="10146" xr:uid="{00000000-0005-0000-0000-00009F270000}"/>
    <cellStyle name="Comma 2 3 21 2 5" xfId="10147" xr:uid="{00000000-0005-0000-0000-0000A0270000}"/>
    <cellStyle name="Comma 2 3 21 2 6" xfId="10148" xr:uid="{00000000-0005-0000-0000-0000A1270000}"/>
    <cellStyle name="Comma 2 3 21 3" xfId="10149" xr:uid="{00000000-0005-0000-0000-0000A2270000}"/>
    <cellStyle name="Comma 2 3 21 3 2" xfId="10150" xr:uid="{00000000-0005-0000-0000-0000A3270000}"/>
    <cellStyle name="Comma 2 3 21 3 2 2" xfId="10151" xr:uid="{00000000-0005-0000-0000-0000A4270000}"/>
    <cellStyle name="Comma 2 3 21 3 2 3" xfId="10152" xr:uid="{00000000-0005-0000-0000-0000A5270000}"/>
    <cellStyle name="Comma 2 3 21 3 3" xfId="10153" xr:uid="{00000000-0005-0000-0000-0000A6270000}"/>
    <cellStyle name="Comma 2 3 21 3 4" xfId="10154" xr:uid="{00000000-0005-0000-0000-0000A7270000}"/>
    <cellStyle name="Comma 2 3 21 3 5" xfId="10155" xr:uid="{00000000-0005-0000-0000-0000A8270000}"/>
    <cellStyle name="Comma 2 3 21 3 6" xfId="10156" xr:uid="{00000000-0005-0000-0000-0000A9270000}"/>
    <cellStyle name="Comma 2 3 21 4" xfId="10157" xr:uid="{00000000-0005-0000-0000-0000AA270000}"/>
    <cellStyle name="Comma 2 3 21 4 2" xfId="10158" xr:uid="{00000000-0005-0000-0000-0000AB270000}"/>
    <cellStyle name="Comma 2 3 21 4 2 2" xfId="10159" xr:uid="{00000000-0005-0000-0000-0000AC270000}"/>
    <cellStyle name="Comma 2 3 21 4 3" xfId="10160" xr:uid="{00000000-0005-0000-0000-0000AD270000}"/>
    <cellStyle name="Comma 2 3 21 4 4" xfId="10161" xr:uid="{00000000-0005-0000-0000-0000AE270000}"/>
    <cellStyle name="Comma 2 3 21 4 5" xfId="10162" xr:uid="{00000000-0005-0000-0000-0000AF270000}"/>
    <cellStyle name="Comma 2 3 21 5" xfId="10163" xr:uid="{00000000-0005-0000-0000-0000B0270000}"/>
    <cellStyle name="Comma 2 3 21 5 2" xfId="10164" xr:uid="{00000000-0005-0000-0000-0000B1270000}"/>
    <cellStyle name="Comma 2 3 21 5 3" xfId="10165" xr:uid="{00000000-0005-0000-0000-0000B2270000}"/>
    <cellStyle name="Comma 2 3 21 5 4" xfId="10166" xr:uid="{00000000-0005-0000-0000-0000B3270000}"/>
    <cellStyle name="Comma 2 3 21 6" xfId="10167" xr:uid="{00000000-0005-0000-0000-0000B4270000}"/>
    <cellStyle name="Comma 2 3 21 6 2" xfId="10168" xr:uid="{00000000-0005-0000-0000-0000B5270000}"/>
    <cellStyle name="Comma 2 3 21 7" xfId="10169" xr:uid="{00000000-0005-0000-0000-0000B6270000}"/>
    <cellStyle name="Comma 2 3 21 8" xfId="10170" xr:uid="{00000000-0005-0000-0000-0000B7270000}"/>
    <cellStyle name="Comma 2 3 21 9" xfId="10171" xr:uid="{00000000-0005-0000-0000-0000B8270000}"/>
    <cellStyle name="Comma 2 3 22" xfId="10172" xr:uid="{00000000-0005-0000-0000-0000B9270000}"/>
    <cellStyle name="Comma 2 3 22 10" xfId="10173" xr:uid="{00000000-0005-0000-0000-0000BA270000}"/>
    <cellStyle name="Comma 2 3 22 2" xfId="10174" xr:uid="{00000000-0005-0000-0000-0000BB270000}"/>
    <cellStyle name="Comma 2 3 22 2 2" xfId="10175" xr:uid="{00000000-0005-0000-0000-0000BC270000}"/>
    <cellStyle name="Comma 2 3 22 2 2 2" xfId="10176" xr:uid="{00000000-0005-0000-0000-0000BD270000}"/>
    <cellStyle name="Comma 2 3 22 2 2 3" xfId="10177" xr:uid="{00000000-0005-0000-0000-0000BE270000}"/>
    <cellStyle name="Comma 2 3 22 2 3" xfId="10178" xr:uid="{00000000-0005-0000-0000-0000BF270000}"/>
    <cellStyle name="Comma 2 3 22 2 4" xfId="10179" xr:uid="{00000000-0005-0000-0000-0000C0270000}"/>
    <cellStyle name="Comma 2 3 22 2 5" xfId="10180" xr:uid="{00000000-0005-0000-0000-0000C1270000}"/>
    <cellStyle name="Comma 2 3 22 2 6" xfId="10181" xr:uid="{00000000-0005-0000-0000-0000C2270000}"/>
    <cellStyle name="Comma 2 3 22 3" xfId="10182" xr:uid="{00000000-0005-0000-0000-0000C3270000}"/>
    <cellStyle name="Comma 2 3 22 3 2" xfId="10183" xr:uid="{00000000-0005-0000-0000-0000C4270000}"/>
    <cellStyle name="Comma 2 3 22 3 2 2" xfId="10184" xr:uid="{00000000-0005-0000-0000-0000C5270000}"/>
    <cellStyle name="Comma 2 3 22 3 2 3" xfId="10185" xr:uid="{00000000-0005-0000-0000-0000C6270000}"/>
    <cellStyle name="Comma 2 3 22 3 3" xfId="10186" xr:uid="{00000000-0005-0000-0000-0000C7270000}"/>
    <cellStyle name="Comma 2 3 22 3 4" xfId="10187" xr:uid="{00000000-0005-0000-0000-0000C8270000}"/>
    <cellStyle name="Comma 2 3 22 3 5" xfId="10188" xr:uid="{00000000-0005-0000-0000-0000C9270000}"/>
    <cellStyle name="Comma 2 3 22 3 6" xfId="10189" xr:uid="{00000000-0005-0000-0000-0000CA270000}"/>
    <cellStyle name="Comma 2 3 22 4" xfId="10190" xr:uid="{00000000-0005-0000-0000-0000CB270000}"/>
    <cellStyle name="Comma 2 3 22 4 2" xfId="10191" xr:uid="{00000000-0005-0000-0000-0000CC270000}"/>
    <cellStyle name="Comma 2 3 22 4 2 2" xfId="10192" xr:uid="{00000000-0005-0000-0000-0000CD270000}"/>
    <cellStyle name="Comma 2 3 22 4 3" xfId="10193" xr:uid="{00000000-0005-0000-0000-0000CE270000}"/>
    <cellStyle name="Comma 2 3 22 4 4" xfId="10194" xr:uid="{00000000-0005-0000-0000-0000CF270000}"/>
    <cellStyle name="Comma 2 3 22 4 5" xfId="10195" xr:uid="{00000000-0005-0000-0000-0000D0270000}"/>
    <cellStyle name="Comma 2 3 22 5" xfId="10196" xr:uid="{00000000-0005-0000-0000-0000D1270000}"/>
    <cellStyle name="Comma 2 3 22 5 2" xfId="10197" xr:uid="{00000000-0005-0000-0000-0000D2270000}"/>
    <cellStyle name="Comma 2 3 22 5 3" xfId="10198" xr:uid="{00000000-0005-0000-0000-0000D3270000}"/>
    <cellStyle name="Comma 2 3 22 5 4" xfId="10199" xr:uid="{00000000-0005-0000-0000-0000D4270000}"/>
    <cellStyle name="Comma 2 3 22 6" xfId="10200" xr:uid="{00000000-0005-0000-0000-0000D5270000}"/>
    <cellStyle name="Comma 2 3 22 6 2" xfId="10201" xr:uid="{00000000-0005-0000-0000-0000D6270000}"/>
    <cellStyle name="Comma 2 3 22 7" xfId="10202" xr:uid="{00000000-0005-0000-0000-0000D7270000}"/>
    <cellStyle name="Comma 2 3 22 8" xfId="10203" xr:uid="{00000000-0005-0000-0000-0000D8270000}"/>
    <cellStyle name="Comma 2 3 22 9" xfId="10204" xr:uid="{00000000-0005-0000-0000-0000D9270000}"/>
    <cellStyle name="Comma 2 3 23" xfId="10205" xr:uid="{00000000-0005-0000-0000-0000DA270000}"/>
    <cellStyle name="Comma 2 3 23 10" xfId="10206" xr:uid="{00000000-0005-0000-0000-0000DB270000}"/>
    <cellStyle name="Comma 2 3 23 2" xfId="10207" xr:uid="{00000000-0005-0000-0000-0000DC270000}"/>
    <cellStyle name="Comma 2 3 23 2 2" xfId="10208" xr:uid="{00000000-0005-0000-0000-0000DD270000}"/>
    <cellStyle name="Comma 2 3 23 2 2 2" xfId="10209" xr:uid="{00000000-0005-0000-0000-0000DE270000}"/>
    <cellStyle name="Comma 2 3 23 2 2 3" xfId="10210" xr:uid="{00000000-0005-0000-0000-0000DF270000}"/>
    <cellStyle name="Comma 2 3 23 2 3" xfId="10211" xr:uid="{00000000-0005-0000-0000-0000E0270000}"/>
    <cellStyle name="Comma 2 3 23 2 4" xfId="10212" xr:uid="{00000000-0005-0000-0000-0000E1270000}"/>
    <cellStyle name="Comma 2 3 23 2 5" xfId="10213" xr:uid="{00000000-0005-0000-0000-0000E2270000}"/>
    <cellStyle name="Comma 2 3 23 2 6" xfId="10214" xr:uid="{00000000-0005-0000-0000-0000E3270000}"/>
    <cellStyle name="Comma 2 3 23 3" xfId="10215" xr:uid="{00000000-0005-0000-0000-0000E4270000}"/>
    <cellStyle name="Comma 2 3 23 3 2" xfId="10216" xr:uid="{00000000-0005-0000-0000-0000E5270000}"/>
    <cellStyle name="Comma 2 3 23 3 2 2" xfId="10217" xr:uid="{00000000-0005-0000-0000-0000E6270000}"/>
    <cellStyle name="Comma 2 3 23 3 2 3" xfId="10218" xr:uid="{00000000-0005-0000-0000-0000E7270000}"/>
    <cellStyle name="Comma 2 3 23 3 3" xfId="10219" xr:uid="{00000000-0005-0000-0000-0000E8270000}"/>
    <cellStyle name="Comma 2 3 23 3 4" xfId="10220" xr:uid="{00000000-0005-0000-0000-0000E9270000}"/>
    <cellStyle name="Comma 2 3 23 3 5" xfId="10221" xr:uid="{00000000-0005-0000-0000-0000EA270000}"/>
    <cellStyle name="Comma 2 3 23 3 6" xfId="10222" xr:uid="{00000000-0005-0000-0000-0000EB270000}"/>
    <cellStyle name="Comma 2 3 23 4" xfId="10223" xr:uid="{00000000-0005-0000-0000-0000EC270000}"/>
    <cellStyle name="Comma 2 3 23 4 2" xfId="10224" xr:uid="{00000000-0005-0000-0000-0000ED270000}"/>
    <cellStyle name="Comma 2 3 23 4 2 2" xfId="10225" xr:uid="{00000000-0005-0000-0000-0000EE270000}"/>
    <cellStyle name="Comma 2 3 23 4 3" xfId="10226" xr:uid="{00000000-0005-0000-0000-0000EF270000}"/>
    <cellStyle name="Comma 2 3 23 4 4" xfId="10227" xr:uid="{00000000-0005-0000-0000-0000F0270000}"/>
    <cellStyle name="Comma 2 3 23 4 5" xfId="10228" xr:uid="{00000000-0005-0000-0000-0000F1270000}"/>
    <cellStyle name="Comma 2 3 23 5" xfId="10229" xr:uid="{00000000-0005-0000-0000-0000F2270000}"/>
    <cellStyle name="Comma 2 3 23 5 2" xfId="10230" xr:uid="{00000000-0005-0000-0000-0000F3270000}"/>
    <cellStyle name="Comma 2 3 23 5 3" xfId="10231" xr:uid="{00000000-0005-0000-0000-0000F4270000}"/>
    <cellStyle name="Comma 2 3 23 5 4" xfId="10232" xr:uid="{00000000-0005-0000-0000-0000F5270000}"/>
    <cellStyle name="Comma 2 3 23 6" xfId="10233" xr:uid="{00000000-0005-0000-0000-0000F6270000}"/>
    <cellStyle name="Comma 2 3 23 6 2" xfId="10234" xr:uid="{00000000-0005-0000-0000-0000F7270000}"/>
    <cellStyle name="Comma 2 3 23 7" xfId="10235" xr:uid="{00000000-0005-0000-0000-0000F8270000}"/>
    <cellStyle name="Comma 2 3 23 8" xfId="10236" xr:uid="{00000000-0005-0000-0000-0000F9270000}"/>
    <cellStyle name="Comma 2 3 23 9" xfId="10237" xr:uid="{00000000-0005-0000-0000-0000FA270000}"/>
    <cellStyle name="Comma 2 3 24" xfId="10238" xr:uid="{00000000-0005-0000-0000-0000FB270000}"/>
    <cellStyle name="Comma 2 3 24 10" xfId="10239" xr:uid="{00000000-0005-0000-0000-0000FC270000}"/>
    <cellStyle name="Comma 2 3 24 2" xfId="10240" xr:uid="{00000000-0005-0000-0000-0000FD270000}"/>
    <cellStyle name="Comma 2 3 24 2 2" xfId="10241" xr:uid="{00000000-0005-0000-0000-0000FE270000}"/>
    <cellStyle name="Comma 2 3 24 2 2 2" xfId="10242" xr:uid="{00000000-0005-0000-0000-0000FF270000}"/>
    <cellStyle name="Comma 2 3 24 2 2 3" xfId="10243" xr:uid="{00000000-0005-0000-0000-000000280000}"/>
    <cellStyle name="Comma 2 3 24 2 3" xfId="10244" xr:uid="{00000000-0005-0000-0000-000001280000}"/>
    <cellStyle name="Comma 2 3 24 2 4" xfId="10245" xr:uid="{00000000-0005-0000-0000-000002280000}"/>
    <cellStyle name="Comma 2 3 24 2 5" xfId="10246" xr:uid="{00000000-0005-0000-0000-000003280000}"/>
    <cellStyle name="Comma 2 3 24 2 6" xfId="10247" xr:uid="{00000000-0005-0000-0000-000004280000}"/>
    <cellStyle name="Comma 2 3 24 3" xfId="10248" xr:uid="{00000000-0005-0000-0000-000005280000}"/>
    <cellStyle name="Comma 2 3 24 3 2" xfId="10249" xr:uid="{00000000-0005-0000-0000-000006280000}"/>
    <cellStyle name="Comma 2 3 24 3 2 2" xfId="10250" xr:uid="{00000000-0005-0000-0000-000007280000}"/>
    <cellStyle name="Comma 2 3 24 3 2 3" xfId="10251" xr:uid="{00000000-0005-0000-0000-000008280000}"/>
    <cellStyle name="Comma 2 3 24 3 3" xfId="10252" xr:uid="{00000000-0005-0000-0000-000009280000}"/>
    <cellStyle name="Comma 2 3 24 3 4" xfId="10253" xr:uid="{00000000-0005-0000-0000-00000A280000}"/>
    <cellStyle name="Comma 2 3 24 3 5" xfId="10254" xr:uid="{00000000-0005-0000-0000-00000B280000}"/>
    <cellStyle name="Comma 2 3 24 3 6" xfId="10255" xr:uid="{00000000-0005-0000-0000-00000C280000}"/>
    <cellStyle name="Comma 2 3 24 4" xfId="10256" xr:uid="{00000000-0005-0000-0000-00000D280000}"/>
    <cellStyle name="Comma 2 3 24 4 2" xfId="10257" xr:uid="{00000000-0005-0000-0000-00000E280000}"/>
    <cellStyle name="Comma 2 3 24 4 2 2" xfId="10258" xr:uid="{00000000-0005-0000-0000-00000F280000}"/>
    <cellStyle name="Comma 2 3 24 4 3" xfId="10259" xr:uid="{00000000-0005-0000-0000-000010280000}"/>
    <cellStyle name="Comma 2 3 24 4 4" xfId="10260" xr:uid="{00000000-0005-0000-0000-000011280000}"/>
    <cellStyle name="Comma 2 3 24 4 5" xfId="10261" xr:uid="{00000000-0005-0000-0000-000012280000}"/>
    <cellStyle name="Comma 2 3 24 5" xfId="10262" xr:uid="{00000000-0005-0000-0000-000013280000}"/>
    <cellStyle name="Comma 2 3 24 5 2" xfId="10263" xr:uid="{00000000-0005-0000-0000-000014280000}"/>
    <cellStyle name="Comma 2 3 24 5 3" xfId="10264" xr:uid="{00000000-0005-0000-0000-000015280000}"/>
    <cellStyle name="Comma 2 3 24 5 4" xfId="10265" xr:uid="{00000000-0005-0000-0000-000016280000}"/>
    <cellStyle name="Comma 2 3 24 6" xfId="10266" xr:uid="{00000000-0005-0000-0000-000017280000}"/>
    <cellStyle name="Comma 2 3 24 6 2" xfId="10267" xr:uid="{00000000-0005-0000-0000-000018280000}"/>
    <cellStyle name="Comma 2 3 24 7" xfId="10268" xr:uid="{00000000-0005-0000-0000-000019280000}"/>
    <cellStyle name="Comma 2 3 24 8" xfId="10269" xr:uid="{00000000-0005-0000-0000-00001A280000}"/>
    <cellStyle name="Comma 2 3 24 9" xfId="10270" xr:uid="{00000000-0005-0000-0000-00001B280000}"/>
    <cellStyle name="Comma 2 3 25" xfId="10271" xr:uid="{00000000-0005-0000-0000-00001C280000}"/>
    <cellStyle name="Comma 2 3 25 10" xfId="10272" xr:uid="{00000000-0005-0000-0000-00001D280000}"/>
    <cellStyle name="Comma 2 3 25 2" xfId="10273" xr:uid="{00000000-0005-0000-0000-00001E280000}"/>
    <cellStyle name="Comma 2 3 25 2 2" xfId="10274" xr:uid="{00000000-0005-0000-0000-00001F280000}"/>
    <cellStyle name="Comma 2 3 25 2 2 2" xfId="10275" xr:uid="{00000000-0005-0000-0000-000020280000}"/>
    <cellStyle name="Comma 2 3 25 2 2 3" xfId="10276" xr:uid="{00000000-0005-0000-0000-000021280000}"/>
    <cellStyle name="Comma 2 3 25 2 3" xfId="10277" xr:uid="{00000000-0005-0000-0000-000022280000}"/>
    <cellStyle name="Comma 2 3 25 2 4" xfId="10278" xr:uid="{00000000-0005-0000-0000-000023280000}"/>
    <cellStyle name="Comma 2 3 25 2 5" xfId="10279" xr:uid="{00000000-0005-0000-0000-000024280000}"/>
    <cellStyle name="Comma 2 3 25 2 6" xfId="10280" xr:uid="{00000000-0005-0000-0000-000025280000}"/>
    <cellStyle name="Comma 2 3 25 3" xfId="10281" xr:uid="{00000000-0005-0000-0000-000026280000}"/>
    <cellStyle name="Comma 2 3 25 3 2" xfId="10282" xr:uid="{00000000-0005-0000-0000-000027280000}"/>
    <cellStyle name="Comma 2 3 25 3 2 2" xfId="10283" xr:uid="{00000000-0005-0000-0000-000028280000}"/>
    <cellStyle name="Comma 2 3 25 3 2 3" xfId="10284" xr:uid="{00000000-0005-0000-0000-000029280000}"/>
    <cellStyle name="Comma 2 3 25 3 3" xfId="10285" xr:uid="{00000000-0005-0000-0000-00002A280000}"/>
    <cellStyle name="Comma 2 3 25 3 4" xfId="10286" xr:uid="{00000000-0005-0000-0000-00002B280000}"/>
    <cellStyle name="Comma 2 3 25 3 5" xfId="10287" xr:uid="{00000000-0005-0000-0000-00002C280000}"/>
    <cellStyle name="Comma 2 3 25 3 6" xfId="10288" xr:uid="{00000000-0005-0000-0000-00002D280000}"/>
    <cellStyle name="Comma 2 3 25 4" xfId="10289" xr:uid="{00000000-0005-0000-0000-00002E280000}"/>
    <cellStyle name="Comma 2 3 25 4 2" xfId="10290" xr:uid="{00000000-0005-0000-0000-00002F280000}"/>
    <cellStyle name="Comma 2 3 25 4 2 2" xfId="10291" xr:uid="{00000000-0005-0000-0000-000030280000}"/>
    <cellStyle name="Comma 2 3 25 4 3" xfId="10292" xr:uid="{00000000-0005-0000-0000-000031280000}"/>
    <cellStyle name="Comma 2 3 25 4 4" xfId="10293" xr:uid="{00000000-0005-0000-0000-000032280000}"/>
    <cellStyle name="Comma 2 3 25 4 5" xfId="10294" xr:uid="{00000000-0005-0000-0000-000033280000}"/>
    <cellStyle name="Comma 2 3 25 5" xfId="10295" xr:uid="{00000000-0005-0000-0000-000034280000}"/>
    <cellStyle name="Comma 2 3 25 5 2" xfId="10296" xr:uid="{00000000-0005-0000-0000-000035280000}"/>
    <cellStyle name="Comma 2 3 25 5 3" xfId="10297" xr:uid="{00000000-0005-0000-0000-000036280000}"/>
    <cellStyle name="Comma 2 3 25 5 4" xfId="10298" xr:uid="{00000000-0005-0000-0000-000037280000}"/>
    <cellStyle name="Comma 2 3 25 6" xfId="10299" xr:uid="{00000000-0005-0000-0000-000038280000}"/>
    <cellStyle name="Comma 2 3 25 6 2" xfId="10300" xr:uid="{00000000-0005-0000-0000-000039280000}"/>
    <cellStyle name="Comma 2 3 25 7" xfId="10301" xr:uid="{00000000-0005-0000-0000-00003A280000}"/>
    <cellStyle name="Comma 2 3 25 8" xfId="10302" xr:uid="{00000000-0005-0000-0000-00003B280000}"/>
    <cellStyle name="Comma 2 3 25 9" xfId="10303" xr:uid="{00000000-0005-0000-0000-00003C280000}"/>
    <cellStyle name="Comma 2 3 26" xfId="10304" xr:uid="{00000000-0005-0000-0000-00003D280000}"/>
    <cellStyle name="Comma 2 3 26 10" xfId="10305" xr:uid="{00000000-0005-0000-0000-00003E280000}"/>
    <cellStyle name="Comma 2 3 26 2" xfId="10306" xr:uid="{00000000-0005-0000-0000-00003F280000}"/>
    <cellStyle name="Comma 2 3 26 2 2" xfId="10307" xr:uid="{00000000-0005-0000-0000-000040280000}"/>
    <cellStyle name="Comma 2 3 26 2 2 2" xfId="10308" xr:uid="{00000000-0005-0000-0000-000041280000}"/>
    <cellStyle name="Comma 2 3 26 2 2 3" xfId="10309" xr:uid="{00000000-0005-0000-0000-000042280000}"/>
    <cellStyle name="Comma 2 3 26 2 3" xfId="10310" xr:uid="{00000000-0005-0000-0000-000043280000}"/>
    <cellStyle name="Comma 2 3 26 2 4" xfId="10311" xr:uid="{00000000-0005-0000-0000-000044280000}"/>
    <cellStyle name="Comma 2 3 26 2 5" xfId="10312" xr:uid="{00000000-0005-0000-0000-000045280000}"/>
    <cellStyle name="Comma 2 3 26 2 6" xfId="10313" xr:uid="{00000000-0005-0000-0000-000046280000}"/>
    <cellStyle name="Comma 2 3 26 3" xfId="10314" xr:uid="{00000000-0005-0000-0000-000047280000}"/>
    <cellStyle name="Comma 2 3 26 3 2" xfId="10315" xr:uid="{00000000-0005-0000-0000-000048280000}"/>
    <cellStyle name="Comma 2 3 26 3 2 2" xfId="10316" xr:uid="{00000000-0005-0000-0000-000049280000}"/>
    <cellStyle name="Comma 2 3 26 3 2 3" xfId="10317" xr:uid="{00000000-0005-0000-0000-00004A280000}"/>
    <cellStyle name="Comma 2 3 26 3 3" xfId="10318" xr:uid="{00000000-0005-0000-0000-00004B280000}"/>
    <cellStyle name="Comma 2 3 26 3 4" xfId="10319" xr:uid="{00000000-0005-0000-0000-00004C280000}"/>
    <cellStyle name="Comma 2 3 26 3 5" xfId="10320" xr:uid="{00000000-0005-0000-0000-00004D280000}"/>
    <cellStyle name="Comma 2 3 26 3 6" xfId="10321" xr:uid="{00000000-0005-0000-0000-00004E280000}"/>
    <cellStyle name="Comma 2 3 26 4" xfId="10322" xr:uid="{00000000-0005-0000-0000-00004F280000}"/>
    <cellStyle name="Comma 2 3 26 4 2" xfId="10323" xr:uid="{00000000-0005-0000-0000-000050280000}"/>
    <cellStyle name="Comma 2 3 26 4 2 2" xfId="10324" xr:uid="{00000000-0005-0000-0000-000051280000}"/>
    <cellStyle name="Comma 2 3 26 4 3" xfId="10325" xr:uid="{00000000-0005-0000-0000-000052280000}"/>
    <cellStyle name="Comma 2 3 26 4 4" xfId="10326" xr:uid="{00000000-0005-0000-0000-000053280000}"/>
    <cellStyle name="Comma 2 3 26 4 5" xfId="10327" xr:uid="{00000000-0005-0000-0000-000054280000}"/>
    <cellStyle name="Comma 2 3 26 5" xfId="10328" xr:uid="{00000000-0005-0000-0000-000055280000}"/>
    <cellStyle name="Comma 2 3 26 5 2" xfId="10329" xr:uid="{00000000-0005-0000-0000-000056280000}"/>
    <cellStyle name="Comma 2 3 26 5 3" xfId="10330" xr:uid="{00000000-0005-0000-0000-000057280000}"/>
    <cellStyle name="Comma 2 3 26 5 4" xfId="10331" xr:uid="{00000000-0005-0000-0000-000058280000}"/>
    <cellStyle name="Comma 2 3 26 6" xfId="10332" xr:uid="{00000000-0005-0000-0000-000059280000}"/>
    <cellStyle name="Comma 2 3 26 6 2" xfId="10333" xr:uid="{00000000-0005-0000-0000-00005A280000}"/>
    <cellStyle name="Comma 2 3 26 7" xfId="10334" xr:uid="{00000000-0005-0000-0000-00005B280000}"/>
    <cellStyle name="Comma 2 3 26 8" xfId="10335" xr:uid="{00000000-0005-0000-0000-00005C280000}"/>
    <cellStyle name="Comma 2 3 26 9" xfId="10336" xr:uid="{00000000-0005-0000-0000-00005D280000}"/>
    <cellStyle name="Comma 2 3 27" xfId="10337" xr:uid="{00000000-0005-0000-0000-00005E280000}"/>
    <cellStyle name="Comma 2 3 27 10" xfId="10338" xr:uid="{00000000-0005-0000-0000-00005F280000}"/>
    <cellStyle name="Comma 2 3 27 2" xfId="10339" xr:uid="{00000000-0005-0000-0000-000060280000}"/>
    <cellStyle name="Comma 2 3 27 2 2" xfId="10340" xr:uid="{00000000-0005-0000-0000-000061280000}"/>
    <cellStyle name="Comma 2 3 27 2 2 2" xfId="10341" xr:uid="{00000000-0005-0000-0000-000062280000}"/>
    <cellStyle name="Comma 2 3 27 2 2 3" xfId="10342" xr:uid="{00000000-0005-0000-0000-000063280000}"/>
    <cellStyle name="Comma 2 3 27 2 3" xfId="10343" xr:uid="{00000000-0005-0000-0000-000064280000}"/>
    <cellStyle name="Comma 2 3 27 2 4" xfId="10344" xr:uid="{00000000-0005-0000-0000-000065280000}"/>
    <cellStyle name="Comma 2 3 27 2 5" xfId="10345" xr:uid="{00000000-0005-0000-0000-000066280000}"/>
    <cellStyle name="Comma 2 3 27 2 6" xfId="10346" xr:uid="{00000000-0005-0000-0000-000067280000}"/>
    <cellStyle name="Comma 2 3 27 3" xfId="10347" xr:uid="{00000000-0005-0000-0000-000068280000}"/>
    <cellStyle name="Comma 2 3 27 3 2" xfId="10348" xr:uid="{00000000-0005-0000-0000-000069280000}"/>
    <cellStyle name="Comma 2 3 27 3 2 2" xfId="10349" xr:uid="{00000000-0005-0000-0000-00006A280000}"/>
    <cellStyle name="Comma 2 3 27 3 2 3" xfId="10350" xr:uid="{00000000-0005-0000-0000-00006B280000}"/>
    <cellStyle name="Comma 2 3 27 3 3" xfId="10351" xr:uid="{00000000-0005-0000-0000-00006C280000}"/>
    <cellStyle name="Comma 2 3 27 3 4" xfId="10352" xr:uid="{00000000-0005-0000-0000-00006D280000}"/>
    <cellStyle name="Comma 2 3 27 3 5" xfId="10353" xr:uid="{00000000-0005-0000-0000-00006E280000}"/>
    <cellStyle name="Comma 2 3 27 3 6" xfId="10354" xr:uid="{00000000-0005-0000-0000-00006F280000}"/>
    <cellStyle name="Comma 2 3 27 4" xfId="10355" xr:uid="{00000000-0005-0000-0000-000070280000}"/>
    <cellStyle name="Comma 2 3 27 4 2" xfId="10356" xr:uid="{00000000-0005-0000-0000-000071280000}"/>
    <cellStyle name="Comma 2 3 27 4 2 2" xfId="10357" xr:uid="{00000000-0005-0000-0000-000072280000}"/>
    <cellStyle name="Comma 2 3 27 4 3" xfId="10358" xr:uid="{00000000-0005-0000-0000-000073280000}"/>
    <cellStyle name="Comma 2 3 27 4 4" xfId="10359" xr:uid="{00000000-0005-0000-0000-000074280000}"/>
    <cellStyle name="Comma 2 3 27 4 5" xfId="10360" xr:uid="{00000000-0005-0000-0000-000075280000}"/>
    <cellStyle name="Comma 2 3 27 5" xfId="10361" xr:uid="{00000000-0005-0000-0000-000076280000}"/>
    <cellStyle name="Comma 2 3 27 5 2" xfId="10362" xr:uid="{00000000-0005-0000-0000-000077280000}"/>
    <cellStyle name="Comma 2 3 27 5 3" xfId="10363" xr:uid="{00000000-0005-0000-0000-000078280000}"/>
    <cellStyle name="Comma 2 3 27 5 4" xfId="10364" xr:uid="{00000000-0005-0000-0000-000079280000}"/>
    <cellStyle name="Comma 2 3 27 6" xfId="10365" xr:uid="{00000000-0005-0000-0000-00007A280000}"/>
    <cellStyle name="Comma 2 3 27 6 2" xfId="10366" xr:uid="{00000000-0005-0000-0000-00007B280000}"/>
    <cellStyle name="Comma 2 3 27 7" xfId="10367" xr:uid="{00000000-0005-0000-0000-00007C280000}"/>
    <cellStyle name="Comma 2 3 27 8" xfId="10368" xr:uid="{00000000-0005-0000-0000-00007D280000}"/>
    <cellStyle name="Comma 2 3 27 9" xfId="10369" xr:uid="{00000000-0005-0000-0000-00007E280000}"/>
    <cellStyle name="Comma 2 3 28" xfId="10370" xr:uid="{00000000-0005-0000-0000-00007F280000}"/>
    <cellStyle name="Comma 2 3 28 10" xfId="10371" xr:uid="{00000000-0005-0000-0000-000080280000}"/>
    <cellStyle name="Comma 2 3 28 2" xfId="10372" xr:uid="{00000000-0005-0000-0000-000081280000}"/>
    <cellStyle name="Comma 2 3 28 2 2" xfId="10373" xr:uid="{00000000-0005-0000-0000-000082280000}"/>
    <cellStyle name="Comma 2 3 28 2 2 2" xfId="10374" xr:uid="{00000000-0005-0000-0000-000083280000}"/>
    <cellStyle name="Comma 2 3 28 2 2 3" xfId="10375" xr:uid="{00000000-0005-0000-0000-000084280000}"/>
    <cellStyle name="Comma 2 3 28 2 3" xfId="10376" xr:uid="{00000000-0005-0000-0000-000085280000}"/>
    <cellStyle name="Comma 2 3 28 2 4" xfId="10377" xr:uid="{00000000-0005-0000-0000-000086280000}"/>
    <cellStyle name="Comma 2 3 28 2 5" xfId="10378" xr:uid="{00000000-0005-0000-0000-000087280000}"/>
    <cellStyle name="Comma 2 3 28 2 6" xfId="10379" xr:uid="{00000000-0005-0000-0000-000088280000}"/>
    <cellStyle name="Comma 2 3 28 3" xfId="10380" xr:uid="{00000000-0005-0000-0000-000089280000}"/>
    <cellStyle name="Comma 2 3 28 3 2" xfId="10381" xr:uid="{00000000-0005-0000-0000-00008A280000}"/>
    <cellStyle name="Comma 2 3 28 3 2 2" xfId="10382" xr:uid="{00000000-0005-0000-0000-00008B280000}"/>
    <cellStyle name="Comma 2 3 28 3 2 3" xfId="10383" xr:uid="{00000000-0005-0000-0000-00008C280000}"/>
    <cellStyle name="Comma 2 3 28 3 3" xfId="10384" xr:uid="{00000000-0005-0000-0000-00008D280000}"/>
    <cellStyle name="Comma 2 3 28 3 4" xfId="10385" xr:uid="{00000000-0005-0000-0000-00008E280000}"/>
    <cellStyle name="Comma 2 3 28 3 5" xfId="10386" xr:uid="{00000000-0005-0000-0000-00008F280000}"/>
    <cellStyle name="Comma 2 3 28 3 6" xfId="10387" xr:uid="{00000000-0005-0000-0000-000090280000}"/>
    <cellStyle name="Comma 2 3 28 4" xfId="10388" xr:uid="{00000000-0005-0000-0000-000091280000}"/>
    <cellStyle name="Comma 2 3 28 4 2" xfId="10389" xr:uid="{00000000-0005-0000-0000-000092280000}"/>
    <cellStyle name="Comma 2 3 28 4 2 2" xfId="10390" xr:uid="{00000000-0005-0000-0000-000093280000}"/>
    <cellStyle name="Comma 2 3 28 4 3" xfId="10391" xr:uid="{00000000-0005-0000-0000-000094280000}"/>
    <cellStyle name="Comma 2 3 28 4 4" xfId="10392" xr:uid="{00000000-0005-0000-0000-000095280000}"/>
    <cellStyle name="Comma 2 3 28 4 5" xfId="10393" xr:uid="{00000000-0005-0000-0000-000096280000}"/>
    <cellStyle name="Comma 2 3 28 5" xfId="10394" xr:uid="{00000000-0005-0000-0000-000097280000}"/>
    <cellStyle name="Comma 2 3 28 5 2" xfId="10395" xr:uid="{00000000-0005-0000-0000-000098280000}"/>
    <cellStyle name="Comma 2 3 28 5 3" xfId="10396" xr:uid="{00000000-0005-0000-0000-000099280000}"/>
    <cellStyle name="Comma 2 3 28 5 4" xfId="10397" xr:uid="{00000000-0005-0000-0000-00009A280000}"/>
    <cellStyle name="Comma 2 3 28 6" xfId="10398" xr:uid="{00000000-0005-0000-0000-00009B280000}"/>
    <cellStyle name="Comma 2 3 28 6 2" xfId="10399" xr:uid="{00000000-0005-0000-0000-00009C280000}"/>
    <cellStyle name="Comma 2 3 28 7" xfId="10400" xr:uid="{00000000-0005-0000-0000-00009D280000}"/>
    <cellStyle name="Comma 2 3 28 8" xfId="10401" xr:uid="{00000000-0005-0000-0000-00009E280000}"/>
    <cellStyle name="Comma 2 3 28 9" xfId="10402" xr:uid="{00000000-0005-0000-0000-00009F280000}"/>
    <cellStyle name="Comma 2 3 29" xfId="10403" xr:uid="{00000000-0005-0000-0000-0000A0280000}"/>
    <cellStyle name="Comma 2 3 29 2" xfId="10404" xr:uid="{00000000-0005-0000-0000-0000A1280000}"/>
    <cellStyle name="Comma 2 3 29 2 2" xfId="10405" xr:uid="{00000000-0005-0000-0000-0000A2280000}"/>
    <cellStyle name="Comma 2 3 29 2 2 2" xfId="10406" xr:uid="{00000000-0005-0000-0000-0000A3280000}"/>
    <cellStyle name="Comma 2 3 29 2 2 3" xfId="10407" xr:uid="{00000000-0005-0000-0000-0000A4280000}"/>
    <cellStyle name="Comma 2 3 29 2 3" xfId="10408" xr:uid="{00000000-0005-0000-0000-0000A5280000}"/>
    <cellStyle name="Comma 2 3 29 2 4" xfId="10409" xr:uid="{00000000-0005-0000-0000-0000A6280000}"/>
    <cellStyle name="Comma 2 3 29 2 5" xfId="10410" xr:uid="{00000000-0005-0000-0000-0000A7280000}"/>
    <cellStyle name="Comma 2 3 29 2 6" xfId="10411" xr:uid="{00000000-0005-0000-0000-0000A8280000}"/>
    <cellStyle name="Comma 2 3 29 3" xfId="10412" xr:uid="{00000000-0005-0000-0000-0000A9280000}"/>
    <cellStyle name="Comma 2 3 29 3 2" xfId="10413" xr:uid="{00000000-0005-0000-0000-0000AA280000}"/>
    <cellStyle name="Comma 2 3 29 3 2 2" xfId="10414" xr:uid="{00000000-0005-0000-0000-0000AB280000}"/>
    <cellStyle name="Comma 2 3 29 3 3" xfId="10415" xr:uid="{00000000-0005-0000-0000-0000AC280000}"/>
    <cellStyle name="Comma 2 3 29 3 4" xfId="10416" xr:uid="{00000000-0005-0000-0000-0000AD280000}"/>
    <cellStyle name="Comma 2 3 29 3 5" xfId="10417" xr:uid="{00000000-0005-0000-0000-0000AE280000}"/>
    <cellStyle name="Comma 2 3 29 4" xfId="10418" xr:uid="{00000000-0005-0000-0000-0000AF280000}"/>
    <cellStyle name="Comma 2 3 29 4 2" xfId="10419" xr:uid="{00000000-0005-0000-0000-0000B0280000}"/>
    <cellStyle name="Comma 2 3 29 4 3" xfId="10420" xr:uid="{00000000-0005-0000-0000-0000B1280000}"/>
    <cellStyle name="Comma 2 3 29 4 4" xfId="10421" xr:uid="{00000000-0005-0000-0000-0000B2280000}"/>
    <cellStyle name="Comma 2 3 29 5" xfId="10422" xr:uid="{00000000-0005-0000-0000-0000B3280000}"/>
    <cellStyle name="Comma 2 3 29 5 2" xfId="10423" xr:uid="{00000000-0005-0000-0000-0000B4280000}"/>
    <cellStyle name="Comma 2 3 29 6" xfId="10424" xr:uid="{00000000-0005-0000-0000-0000B5280000}"/>
    <cellStyle name="Comma 2 3 29 7" xfId="10425" xr:uid="{00000000-0005-0000-0000-0000B6280000}"/>
    <cellStyle name="Comma 2 3 29 8" xfId="10426" xr:uid="{00000000-0005-0000-0000-0000B7280000}"/>
    <cellStyle name="Comma 2 3 29 9" xfId="10427" xr:uid="{00000000-0005-0000-0000-0000B8280000}"/>
    <cellStyle name="Comma 2 3 3" xfId="10428" xr:uid="{00000000-0005-0000-0000-0000B9280000}"/>
    <cellStyle name="Comma 2 3 3 10" xfId="10429" xr:uid="{00000000-0005-0000-0000-0000BA280000}"/>
    <cellStyle name="Comma 2 3 3 10 10" xfId="10430" xr:uid="{00000000-0005-0000-0000-0000BB280000}"/>
    <cellStyle name="Comma 2 3 3 10 2" xfId="10431" xr:uid="{00000000-0005-0000-0000-0000BC280000}"/>
    <cellStyle name="Comma 2 3 3 10 2 2" xfId="10432" xr:uid="{00000000-0005-0000-0000-0000BD280000}"/>
    <cellStyle name="Comma 2 3 3 10 2 2 2" xfId="10433" xr:uid="{00000000-0005-0000-0000-0000BE280000}"/>
    <cellStyle name="Comma 2 3 3 10 2 2 3" xfId="10434" xr:uid="{00000000-0005-0000-0000-0000BF280000}"/>
    <cellStyle name="Comma 2 3 3 10 2 3" xfId="10435" xr:uid="{00000000-0005-0000-0000-0000C0280000}"/>
    <cellStyle name="Comma 2 3 3 10 2 4" xfId="10436" xr:uid="{00000000-0005-0000-0000-0000C1280000}"/>
    <cellStyle name="Comma 2 3 3 10 2 5" xfId="10437" xr:uid="{00000000-0005-0000-0000-0000C2280000}"/>
    <cellStyle name="Comma 2 3 3 10 2 6" xfId="10438" xr:uid="{00000000-0005-0000-0000-0000C3280000}"/>
    <cellStyle name="Comma 2 3 3 10 3" xfId="10439" xr:uid="{00000000-0005-0000-0000-0000C4280000}"/>
    <cellStyle name="Comma 2 3 3 10 3 2" xfId="10440" xr:uid="{00000000-0005-0000-0000-0000C5280000}"/>
    <cellStyle name="Comma 2 3 3 10 3 2 2" xfId="10441" xr:uid="{00000000-0005-0000-0000-0000C6280000}"/>
    <cellStyle name="Comma 2 3 3 10 3 2 3" xfId="10442" xr:uid="{00000000-0005-0000-0000-0000C7280000}"/>
    <cellStyle name="Comma 2 3 3 10 3 3" xfId="10443" xr:uid="{00000000-0005-0000-0000-0000C8280000}"/>
    <cellStyle name="Comma 2 3 3 10 3 4" xfId="10444" xr:uid="{00000000-0005-0000-0000-0000C9280000}"/>
    <cellStyle name="Comma 2 3 3 10 3 5" xfId="10445" xr:uid="{00000000-0005-0000-0000-0000CA280000}"/>
    <cellStyle name="Comma 2 3 3 10 3 6" xfId="10446" xr:uid="{00000000-0005-0000-0000-0000CB280000}"/>
    <cellStyle name="Comma 2 3 3 10 4" xfId="10447" xr:uid="{00000000-0005-0000-0000-0000CC280000}"/>
    <cellStyle name="Comma 2 3 3 10 4 2" xfId="10448" xr:uid="{00000000-0005-0000-0000-0000CD280000}"/>
    <cellStyle name="Comma 2 3 3 10 4 2 2" xfId="10449" xr:uid="{00000000-0005-0000-0000-0000CE280000}"/>
    <cellStyle name="Comma 2 3 3 10 4 3" xfId="10450" xr:uid="{00000000-0005-0000-0000-0000CF280000}"/>
    <cellStyle name="Comma 2 3 3 10 4 4" xfId="10451" xr:uid="{00000000-0005-0000-0000-0000D0280000}"/>
    <cellStyle name="Comma 2 3 3 10 4 5" xfId="10452" xr:uid="{00000000-0005-0000-0000-0000D1280000}"/>
    <cellStyle name="Comma 2 3 3 10 5" xfId="10453" xr:uid="{00000000-0005-0000-0000-0000D2280000}"/>
    <cellStyle name="Comma 2 3 3 10 5 2" xfId="10454" xr:uid="{00000000-0005-0000-0000-0000D3280000}"/>
    <cellStyle name="Comma 2 3 3 10 5 3" xfId="10455" xr:uid="{00000000-0005-0000-0000-0000D4280000}"/>
    <cellStyle name="Comma 2 3 3 10 5 4" xfId="10456" xr:uid="{00000000-0005-0000-0000-0000D5280000}"/>
    <cellStyle name="Comma 2 3 3 10 6" xfId="10457" xr:uid="{00000000-0005-0000-0000-0000D6280000}"/>
    <cellStyle name="Comma 2 3 3 10 6 2" xfId="10458" xr:uid="{00000000-0005-0000-0000-0000D7280000}"/>
    <cellStyle name="Comma 2 3 3 10 7" xfId="10459" xr:uid="{00000000-0005-0000-0000-0000D8280000}"/>
    <cellStyle name="Comma 2 3 3 10 8" xfId="10460" xr:uid="{00000000-0005-0000-0000-0000D9280000}"/>
    <cellStyle name="Comma 2 3 3 10 9" xfId="10461" xr:uid="{00000000-0005-0000-0000-0000DA280000}"/>
    <cellStyle name="Comma 2 3 3 11" xfId="10462" xr:uid="{00000000-0005-0000-0000-0000DB280000}"/>
    <cellStyle name="Comma 2 3 3 11 10" xfId="10463" xr:uid="{00000000-0005-0000-0000-0000DC280000}"/>
    <cellStyle name="Comma 2 3 3 11 2" xfId="10464" xr:uid="{00000000-0005-0000-0000-0000DD280000}"/>
    <cellStyle name="Comma 2 3 3 11 2 2" xfId="10465" xr:uid="{00000000-0005-0000-0000-0000DE280000}"/>
    <cellStyle name="Comma 2 3 3 11 2 2 2" xfId="10466" xr:uid="{00000000-0005-0000-0000-0000DF280000}"/>
    <cellStyle name="Comma 2 3 3 11 2 2 3" xfId="10467" xr:uid="{00000000-0005-0000-0000-0000E0280000}"/>
    <cellStyle name="Comma 2 3 3 11 2 3" xfId="10468" xr:uid="{00000000-0005-0000-0000-0000E1280000}"/>
    <cellStyle name="Comma 2 3 3 11 2 4" xfId="10469" xr:uid="{00000000-0005-0000-0000-0000E2280000}"/>
    <cellStyle name="Comma 2 3 3 11 2 5" xfId="10470" xr:uid="{00000000-0005-0000-0000-0000E3280000}"/>
    <cellStyle name="Comma 2 3 3 11 2 6" xfId="10471" xr:uid="{00000000-0005-0000-0000-0000E4280000}"/>
    <cellStyle name="Comma 2 3 3 11 3" xfId="10472" xr:uid="{00000000-0005-0000-0000-0000E5280000}"/>
    <cellStyle name="Comma 2 3 3 11 3 2" xfId="10473" xr:uid="{00000000-0005-0000-0000-0000E6280000}"/>
    <cellStyle name="Comma 2 3 3 11 3 2 2" xfId="10474" xr:uid="{00000000-0005-0000-0000-0000E7280000}"/>
    <cellStyle name="Comma 2 3 3 11 3 2 3" xfId="10475" xr:uid="{00000000-0005-0000-0000-0000E8280000}"/>
    <cellStyle name="Comma 2 3 3 11 3 3" xfId="10476" xr:uid="{00000000-0005-0000-0000-0000E9280000}"/>
    <cellStyle name="Comma 2 3 3 11 3 4" xfId="10477" xr:uid="{00000000-0005-0000-0000-0000EA280000}"/>
    <cellStyle name="Comma 2 3 3 11 3 5" xfId="10478" xr:uid="{00000000-0005-0000-0000-0000EB280000}"/>
    <cellStyle name="Comma 2 3 3 11 3 6" xfId="10479" xr:uid="{00000000-0005-0000-0000-0000EC280000}"/>
    <cellStyle name="Comma 2 3 3 11 4" xfId="10480" xr:uid="{00000000-0005-0000-0000-0000ED280000}"/>
    <cellStyle name="Comma 2 3 3 11 4 2" xfId="10481" xr:uid="{00000000-0005-0000-0000-0000EE280000}"/>
    <cellStyle name="Comma 2 3 3 11 4 2 2" xfId="10482" xr:uid="{00000000-0005-0000-0000-0000EF280000}"/>
    <cellStyle name="Comma 2 3 3 11 4 3" xfId="10483" xr:uid="{00000000-0005-0000-0000-0000F0280000}"/>
    <cellStyle name="Comma 2 3 3 11 4 4" xfId="10484" xr:uid="{00000000-0005-0000-0000-0000F1280000}"/>
    <cellStyle name="Comma 2 3 3 11 4 5" xfId="10485" xr:uid="{00000000-0005-0000-0000-0000F2280000}"/>
    <cellStyle name="Comma 2 3 3 11 5" xfId="10486" xr:uid="{00000000-0005-0000-0000-0000F3280000}"/>
    <cellStyle name="Comma 2 3 3 11 5 2" xfId="10487" xr:uid="{00000000-0005-0000-0000-0000F4280000}"/>
    <cellStyle name="Comma 2 3 3 11 5 3" xfId="10488" xr:uid="{00000000-0005-0000-0000-0000F5280000}"/>
    <cellStyle name="Comma 2 3 3 11 5 4" xfId="10489" xr:uid="{00000000-0005-0000-0000-0000F6280000}"/>
    <cellStyle name="Comma 2 3 3 11 6" xfId="10490" xr:uid="{00000000-0005-0000-0000-0000F7280000}"/>
    <cellStyle name="Comma 2 3 3 11 6 2" xfId="10491" xr:uid="{00000000-0005-0000-0000-0000F8280000}"/>
    <cellStyle name="Comma 2 3 3 11 7" xfId="10492" xr:uid="{00000000-0005-0000-0000-0000F9280000}"/>
    <cellStyle name="Comma 2 3 3 11 8" xfId="10493" xr:uid="{00000000-0005-0000-0000-0000FA280000}"/>
    <cellStyle name="Comma 2 3 3 11 9" xfId="10494" xr:uid="{00000000-0005-0000-0000-0000FB280000}"/>
    <cellStyle name="Comma 2 3 3 12" xfId="10495" xr:uid="{00000000-0005-0000-0000-0000FC280000}"/>
    <cellStyle name="Comma 2 3 3 12 10" xfId="10496" xr:uid="{00000000-0005-0000-0000-0000FD280000}"/>
    <cellStyle name="Comma 2 3 3 12 2" xfId="10497" xr:uid="{00000000-0005-0000-0000-0000FE280000}"/>
    <cellStyle name="Comma 2 3 3 12 2 2" xfId="10498" xr:uid="{00000000-0005-0000-0000-0000FF280000}"/>
    <cellStyle name="Comma 2 3 3 12 2 2 2" xfId="10499" xr:uid="{00000000-0005-0000-0000-000000290000}"/>
    <cellStyle name="Comma 2 3 3 12 2 2 3" xfId="10500" xr:uid="{00000000-0005-0000-0000-000001290000}"/>
    <cellStyle name="Comma 2 3 3 12 2 3" xfId="10501" xr:uid="{00000000-0005-0000-0000-000002290000}"/>
    <cellStyle name="Comma 2 3 3 12 2 4" xfId="10502" xr:uid="{00000000-0005-0000-0000-000003290000}"/>
    <cellStyle name="Comma 2 3 3 12 2 5" xfId="10503" xr:uid="{00000000-0005-0000-0000-000004290000}"/>
    <cellStyle name="Comma 2 3 3 12 2 6" xfId="10504" xr:uid="{00000000-0005-0000-0000-000005290000}"/>
    <cellStyle name="Comma 2 3 3 12 3" xfId="10505" xr:uid="{00000000-0005-0000-0000-000006290000}"/>
    <cellStyle name="Comma 2 3 3 12 3 2" xfId="10506" xr:uid="{00000000-0005-0000-0000-000007290000}"/>
    <cellStyle name="Comma 2 3 3 12 3 2 2" xfId="10507" xr:uid="{00000000-0005-0000-0000-000008290000}"/>
    <cellStyle name="Comma 2 3 3 12 3 2 3" xfId="10508" xr:uid="{00000000-0005-0000-0000-000009290000}"/>
    <cellStyle name="Comma 2 3 3 12 3 3" xfId="10509" xr:uid="{00000000-0005-0000-0000-00000A290000}"/>
    <cellStyle name="Comma 2 3 3 12 3 4" xfId="10510" xr:uid="{00000000-0005-0000-0000-00000B290000}"/>
    <cellStyle name="Comma 2 3 3 12 3 5" xfId="10511" xr:uid="{00000000-0005-0000-0000-00000C290000}"/>
    <cellStyle name="Comma 2 3 3 12 3 6" xfId="10512" xr:uid="{00000000-0005-0000-0000-00000D290000}"/>
    <cellStyle name="Comma 2 3 3 12 4" xfId="10513" xr:uid="{00000000-0005-0000-0000-00000E290000}"/>
    <cellStyle name="Comma 2 3 3 12 4 2" xfId="10514" xr:uid="{00000000-0005-0000-0000-00000F290000}"/>
    <cellStyle name="Comma 2 3 3 12 4 2 2" xfId="10515" xr:uid="{00000000-0005-0000-0000-000010290000}"/>
    <cellStyle name="Comma 2 3 3 12 4 3" xfId="10516" xr:uid="{00000000-0005-0000-0000-000011290000}"/>
    <cellStyle name="Comma 2 3 3 12 4 4" xfId="10517" xr:uid="{00000000-0005-0000-0000-000012290000}"/>
    <cellStyle name="Comma 2 3 3 12 4 5" xfId="10518" xr:uid="{00000000-0005-0000-0000-000013290000}"/>
    <cellStyle name="Comma 2 3 3 12 5" xfId="10519" xr:uid="{00000000-0005-0000-0000-000014290000}"/>
    <cellStyle name="Comma 2 3 3 12 5 2" xfId="10520" xr:uid="{00000000-0005-0000-0000-000015290000}"/>
    <cellStyle name="Comma 2 3 3 12 5 3" xfId="10521" xr:uid="{00000000-0005-0000-0000-000016290000}"/>
    <cellStyle name="Comma 2 3 3 12 5 4" xfId="10522" xr:uid="{00000000-0005-0000-0000-000017290000}"/>
    <cellStyle name="Comma 2 3 3 12 6" xfId="10523" xr:uid="{00000000-0005-0000-0000-000018290000}"/>
    <cellStyle name="Comma 2 3 3 12 6 2" xfId="10524" xr:uid="{00000000-0005-0000-0000-000019290000}"/>
    <cellStyle name="Comma 2 3 3 12 7" xfId="10525" xr:uid="{00000000-0005-0000-0000-00001A290000}"/>
    <cellStyle name="Comma 2 3 3 12 8" xfId="10526" xr:uid="{00000000-0005-0000-0000-00001B290000}"/>
    <cellStyle name="Comma 2 3 3 12 9" xfId="10527" xr:uid="{00000000-0005-0000-0000-00001C290000}"/>
    <cellStyle name="Comma 2 3 3 13" xfId="10528" xr:uid="{00000000-0005-0000-0000-00001D290000}"/>
    <cellStyle name="Comma 2 3 3 13 2" xfId="10529" xr:uid="{00000000-0005-0000-0000-00001E290000}"/>
    <cellStyle name="Comma 2 3 3 13 2 2" xfId="10530" xr:uid="{00000000-0005-0000-0000-00001F290000}"/>
    <cellStyle name="Comma 2 3 3 13 2 2 2" xfId="10531" xr:uid="{00000000-0005-0000-0000-000020290000}"/>
    <cellStyle name="Comma 2 3 3 13 2 2 3" xfId="10532" xr:uid="{00000000-0005-0000-0000-000021290000}"/>
    <cellStyle name="Comma 2 3 3 13 2 3" xfId="10533" xr:uid="{00000000-0005-0000-0000-000022290000}"/>
    <cellStyle name="Comma 2 3 3 13 2 4" xfId="10534" xr:uid="{00000000-0005-0000-0000-000023290000}"/>
    <cellStyle name="Comma 2 3 3 13 2 5" xfId="10535" xr:uid="{00000000-0005-0000-0000-000024290000}"/>
    <cellStyle name="Comma 2 3 3 13 2 6" xfId="10536" xr:uid="{00000000-0005-0000-0000-000025290000}"/>
    <cellStyle name="Comma 2 3 3 13 3" xfId="10537" xr:uid="{00000000-0005-0000-0000-000026290000}"/>
    <cellStyle name="Comma 2 3 3 13 3 2" xfId="10538" xr:uid="{00000000-0005-0000-0000-000027290000}"/>
    <cellStyle name="Comma 2 3 3 13 3 2 2" xfId="10539" xr:uid="{00000000-0005-0000-0000-000028290000}"/>
    <cellStyle name="Comma 2 3 3 13 3 3" xfId="10540" xr:uid="{00000000-0005-0000-0000-000029290000}"/>
    <cellStyle name="Comma 2 3 3 13 3 4" xfId="10541" xr:uid="{00000000-0005-0000-0000-00002A290000}"/>
    <cellStyle name="Comma 2 3 3 13 3 5" xfId="10542" xr:uid="{00000000-0005-0000-0000-00002B290000}"/>
    <cellStyle name="Comma 2 3 3 13 4" xfId="10543" xr:uid="{00000000-0005-0000-0000-00002C290000}"/>
    <cellStyle name="Comma 2 3 3 13 4 2" xfId="10544" xr:uid="{00000000-0005-0000-0000-00002D290000}"/>
    <cellStyle name="Comma 2 3 3 13 4 3" xfId="10545" xr:uid="{00000000-0005-0000-0000-00002E290000}"/>
    <cellStyle name="Comma 2 3 3 13 4 4" xfId="10546" xr:uid="{00000000-0005-0000-0000-00002F290000}"/>
    <cellStyle name="Comma 2 3 3 13 5" xfId="10547" xr:uid="{00000000-0005-0000-0000-000030290000}"/>
    <cellStyle name="Comma 2 3 3 13 5 2" xfId="10548" xr:uid="{00000000-0005-0000-0000-000031290000}"/>
    <cellStyle name="Comma 2 3 3 13 6" xfId="10549" xr:uid="{00000000-0005-0000-0000-000032290000}"/>
    <cellStyle name="Comma 2 3 3 13 7" xfId="10550" xr:uid="{00000000-0005-0000-0000-000033290000}"/>
    <cellStyle name="Comma 2 3 3 13 8" xfId="10551" xr:uid="{00000000-0005-0000-0000-000034290000}"/>
    <cellStyle name="Comma 2 3 3 13 9" xfId="10552" xr:uid="{00000000-0005-0000-0000-000035290000}"/>
    <cellStyle name="Comma 2 3 3 14" xfId="10553" xr:uid="{00000000-0005-0000-0000-000036290000}"/>
    <cellStyle name="Comma 2 3 3 14 2" xfId="10554" xr:uid="{00000000-0005-0000-0000-000037290000}"/>
    <cellStyle name="Comma 2 3 3 14 2 2" xfId="10555" xr:uid="{00000000-0005-0000-0000-000038290000}"/>
    <cellStyle name="Comma 2 3 3 14 2 2 2" xfId="10556" xr:uid="{00000000-0005-0000-0000-000039290000}"/>
    <cellStyle name="Comma 2 3 3 14 2 2 3" xfId="10557" xr:uid="{00000000-0005-0000-0000-00003A290000}"/>
    <cellStyle name="Comma 2 3 3 14 2 3" xfId="10558" xr:uid="{00000000-0005-0000-0000-00003B290000}"/>
    <cellStyle name="Comma 2 3 3 14 2 4" xfId="10559" xr:uid="{00000000-0005-0000-0000-00003C290000}"/>
    <cellStyle name="Comma 2 3 3 14 2 5" xfId="10560" xr:uid="{00000000-0005-0000-0000-00003D290000}"/>
    <cellStyle name="Comma 2 3 3 14 2 6" xfId="10561" xr:uid="{00000000-0005-0000-0000-00003E290000}"/>
    <cellStyle name="Comma 2 3 3 14 3" xfId="10562" xr:uid="{00000000-0005-0000-0000-00003F290000}"/>
    <cellStyle name="Comma 2 3 3 14 3 2" xfId="10563" xr:uid="{00000000-0005-0000-0000-000040290000}"/>
    <cellStyle name="Comma 2 3 3 14 3 2 2" xfId="10564" xr:uid="{00000000-0005-0000-0000-000041290000}"/>
    <cellStyle name="Comma 2 3 3 14 3 3" xfId="10565" xr:uid="{00000000-0005-0000-0000-000042290000}"/>
    <cellStyle name="Comma 2 3 3 14 3 4" xfId="10566" xr:uid="{00000000-0005-0000-0000-000043290000}"/>
    <cellStyle name="Comma 2 3 3 14 3 5" xfId="10567" xr:uid="{00000000-0005-0000-0000-000044290000}"/>
    <cellStyle name="Comma 2 3 3 14 4" xfId="10568" xr:uid="{00000000-0005-0000-0000-000045290000}"/>
    <cellStyle name="Comma 2 3 3 14 4 2" xfId="10569" xr:uid="{00000000-0005-0000-0000-000046290000}"/>
    <cellStyle name="Comma 2 3 3 14 4 3" xfId="10570" xr:uid="{00000000-0005-0000-0000-000047290000}"/>
    <cellStyle name="Comma 2 3 3 14 4 4" xfId="10571" xr:uid="{00000000-0005-0000-0000-000048290000}"/>
    <cellStyle name="Comma 2 3 3 14 5" xfId="10572" xr:uid="{00000000-0005-0000-0000-000049290000}"/>
    <cellStyle name="Comma 2 3 3 14 5 2" xfId="10573" xr:uid="{00000000-0005-0000-0000-00004A290000}"/>
    <cellStyle name="Comma 2 3 3 14 6" xfId="10574" xr:uid="{00000000-0005-0000-0000-00004B290000}"/>
    <cellStyle name="Comma 2 3 3 14 7" xfId="10575" xr:uid="{00000000-0005-0000-0000-00004C290000}"/>
    <cellStyle name="Comma 2 3 3 14 8" xfId="10576" xr:uid="{00000000-0005-0000-0000-00004D290000}"/>
    <cellStyle name="Comma 2 3 3 14 9" xfId="10577" xr:uid="{00000000-0005-0000-0000-00004E290000}"/>
    <cellStyle name="Comma 2 3 3 15" xfId="10578" xr:uid="{00000000-0005-0000-0000-00004F290000}"/>
    <cellStyle name="Comma 2 3 3 15 2" xfId="10579" xr:uid="{00000000-0005-0000-0000-000050290000}"/>
    <cellStyle name="Comma 2 3 3 15 2 2" xfId="10580" xr:uid="{00000000-0005-0000-0000-000051290000}"/>
    <cellStyle name="Comma 2 3 3 15 2 3" xfId="10581" xr:uid="{00000000-0005-0000-0000-000052290000}"/>
    <cellStyle name="Comma 2 3 3 15 3" xfId="10582" xr:uid="{00000000-0005-0000-0000-000053290000}"/>
    <cellStyle name="Comma 2 3 3 15 4" xfId="10583" xr:uid="{00000000-0005-0000-0000-000054290000}"/>
    <cellStyle name="Comma 2 3 3 15 5" xfId="10584" xr:uid="{00000000-0005-0000-0000-000055290000}"/>
    <cellStyle name="Comma 2 3 3 15 6" xfId="10585" xr:uid="{00000000-0005-0000-0000-000056290000}"/>
    <cellStyle name="Comma 2 3 3 16" xfId="10586" xr:uid="{00000000-0005-0000-0000-000057290000}"/>
    <cellStyle name="Comma 2 3 3 16 2" xfId="10587" xr:uid="{00000000-0005-0000-0000-000058290000}"/>
    <cellStyle name="Comma 2 3 3 16 2 2" xfId="10588" xr:uid="{00000000-0005-0000-0000-000059290000}"/>
    <cellStyle name="Comma 2 3 3 16 3" xfId="10589" xr:uid="{00000000-0005-0000-0000-00005A290000}"/>
    <cellStyle name="Comma 2 3 3 16 4" xfId="10590" xr:uid="{00000000-0005-0000-0000-00005B290000}"/>
    <cellStyle name="Comma 2 3 3 16 5" xfId="10591" xr:uid="{00000000-0005-0000-0000-00005C290000}"/>
    <cellStyle name="Comma 2 3 3 17" xfId="10592" xr:uid="{00000000-0005-0000-0000-00005D290000}"/>
    <cellStyle name="Comma 2 3 3 17 2" xfId="10593" xr:uid="{00000000-0005-0000-0000-00005E290000}"/>
    <cellStyle name="Comma 2 3 3 17 2 2" xfId="10594" xr:uid="{00000000-0005-0000-0000-00005F290000}"/>
    <cellStyle name="Comma 2 3 3 17 3" xfId="10595" xr:uid="{00000000-0005-0000-0000-000060290000}"/>
    <cellStyle name="Comma 2 3 3 17 4" xfId="10596" xr:uid="{00000000-0005-0000-0000-000061290000}"/>
    <cellStyle name="Comma 2 3 3 17 5" xfId="10597" xr:uid="{00000000-0005-0000-0000-000062290000}"/>
    <cellStyle name="Comma 2 3 3 18" xfId="10598" xr:uid="{00000000-0005-0000-0000-000063290000}"/>
    <cellStyle name="Comma 2 3 3 18 2" xfId="10599" xr:uid="{00000000-0005-0000-0000-000064290000}"/>
    <cellStyle name="Comma 2 3 3 19" xfId="10600" xr:uid="{00000000-0005-0000-0000-000065290000}"/>
    <cellStyle name="Comma 2 3 3 2" xfId="10601" xr:uid="{00000000-0005-0000-0000-000066290000}"/>
    <cellStyle name="Comma 2 3 3 2 10" xfId="10602" xr:uid="{00000000-0005-0000-0000-000067290000}"/>
    <cellStyle name="Comma 2 3 3 2 11" xfId="10603" xr:uid="{00000000-0005-0000-0000-000068290000}"/>
    <cellStyle name="Comma 2 3 3 2 2" xfId="10604" xr:uid="{00000000-0005-0000-0000-000069290000}"/>
    <cellStyle name="Comma 2 3 3 2 2 2" xfId="10605" xr:uid="{00000000-0005-0000-0000-00006A290000}"/>
    <cellStyle name="Comma 2 3 3 2 2 2 2" xfId="10606" xr:uid="{00000000-0005-0000-0000-00006B290000}"/>
    <cellStyle name="Comma 2 3 3 2 2 2 2 2" xfId="10607" xr:uid="{00000000-0005-0000-0000-00006C290000}"/>
    <cellStyle name="Comma 2 3 3 2 2 2 2 3" xfId="10608" xr:uid="{00000000-0005-0000-0000-00006D290000}"/>
    <cellStyle name="Comma 2 3 3 2 2 2 3" xfId="10609" xr:uid="{00000000-0005-0000-0000-00006E290000}"/>
    <cellStyle name="Comma 2 3 3 2 2 2 4" xfId="10610" xr:uid="{00000000-0005-0000-0000-00006F290000}"/>
    <cellStyle name="Comma 2 3 3 2 2 2 5" xfId="10611" xr:uid="{00000000-0005-0000-0000-000070290000}"/>
    <cellStyle name="Comma 2 3 3 2 2 2 6" xfId="10612" xr:uid="{00000000-0005-0000-0000-000071290000}"/>
    <cellStyle name="Comma 2 3 3 2 2 3" xfId="10613" xr:uid="{00000000-0005-0000-0000-000072290000}"/>
    <cellStyle name="Comma 2 3 3 2 2 3 2" xfId="10614" xr:uid="{00000000-0005-0000-0000-000073290000}"/>
    <cellStyle name="Comma 2 3 3 2 2 3 2 2" xfId="10615" xr:uid="{00000000-0005-0000-0000-000074290000}"/>
    <cellStyle name="Comma 2 3 3 2 2 3 3" xfId="10616" xr:uid="{00000000-0005-0000-0000-000075290000}"/>
    <cellStyle name="Comma 2 3 3 2 2 3 4" xfId="10617" xr:uid="{00000000-0005-0000-0000-000076290000}"/>
    <cellStyle name="Comma 2 3 3 2 2 3 5" xfId="10618" xr:uid="{00000000-0005-0000-0000-000077290000}"/>
    <cellStyle name="Comma 2 3 3 2 2 4" xfId="10619" xr:uid="{00000000-0005-0000-0000-000078290000}"/>
    <cellStyle name="Comma 2 3 3 2 2 4 2" xfId="10620" xr:uid="{00000000-0005-0000-0000-000079290000}"/>
    <cellStyle name="Comma 2 3 3 2 2 4 3" xfId="10621" xr:uid="{00000000-0005-0000-0000-00007A290000}"/>
    <cellStyle name="Comma 2 3 3 2 2 4 4" xfId="10622" xr:uid="{00000000-0005-0000-0000-00007B290000}"/>
    <cellStyle name="Comma 2 3 3 2 2 5" xfId="10623" xr:uid="{00000000-0005-0000-0000-00007C290000}"/>
    <cellStyle name="Comma 2 3 3 2 2 5 2" xfId="10624" xr:uid="{00000000-0005-0000-0000-00007D290000}"/>
    <cellStyle name="Comma 2 3 3 2 2 6" xfId="10625" xr:uid="{00000000-0005-0000-0000-00007E290000}"/>
    <cellStyle name="Comma 2 3 3 2 2 7" xfId="10626" xr:uid="{00000000-0005-0000-0000-00007F290000}"/>
    <cellStyle name="Comma 2 3 3 2 2 8" xfId="10627" xr:uid="{00000000-0005-0000-0000-000080290000}"/>
    <cellStyle name="Comma 2 3 3 2 2 9" xfId="10628" xr:uid="{00000000-0005-0000-0000-000081290000}"/>
    <cellStyle name="Comma 2 3 3 2 3" xfId="10629" xr:uid="{00000000-0005-0000-0000-000082290000}"/>
    <cellStyle name="Comma 2 3 3 2 3 2" xfId="10630" xr:uid="{00000000-0005-0000-0000-000083290000}"/>
    <cellStyle name="Comma 2 3 3 2 3 2 2" xfId="10631" xr:uid="{00000000-0005-0000-0000-000084290000}"/>
    <cellStyle name="Comma 2 3 3 2 3 2 2 2" xfId="10632" xr:uid="{00000000-0005-0000-0000-000085290000}"/>
    <cellStyle name="Comma 2 3 3 2 3 2 2 3" xfId="10633" xr:uid="{00000000-0005-0000-0000-000086290000}"/>
    <cellStyle name="Comma 2 3 3 2 3 2 3" xfId="10634" xr:uid="{00000000-0005-0000-0000-000087290000}"/>
    <cellStyle name="Comma 2 3 3 2 3 2 4" xfId="10635" xr:uid="{00000000-0005-0000-0000-000088290000}"/>
    <cellStyle name="Comma 2 3 3 2 3 2 5" xfId="10636" xr:uid="{00000000-0005-0000-0000-000089290000}"/>
    <cellStyle name="Comma 2 3 3 2 3 2 6" xfId="10637" xr:uid="{00000000-0005-0000-0000-00008A290000}"/>
    <cellStyle name="Comma 2 3 3 2 3 3" xfId="10638" xr:uid="{00000000-0005-0000-0000-00008B290000}"/>
    <cellStyle name="Comma 2 3 3 2 3 3 2" xfId="10639" xr:uid="{00000000-0005-0000-0000-00008C290000}"/>
    <cellStyle name="Comma 2 3 3 2 3 3 2 2" xfId="10640" xr:uid="{00000000-0005-0000-0000-00008D290000}"/>
    <cellStyle name="Comma 2 3 3 2 3 3 3" xfId="10641" xr:uid="{00000000-0005-0000-0000-00008E290000}"/>
    <cellStyle name="Comma 2 3 3 2 3 3 4" xfId="10642" xr:uid="{00000000-0005-0000-0000-00008F290000}"/>
    <cellStyle name="Comma 2 3 3 2 3 3 5" xfId="10643" xr:uid="{00000000-0005-0000-0000-000090290000}"/>
    <cellStyle name="Comma 2 3 3 2 3 4" xfId="10644" xr:uid="{00000000-0005-0000-0000-000091290000}"/>
    <cellStyle name="Comma 2 3 3 2 3 4 2" xfId="10645" xr:uid="{00000000-0005-0000-0000-000092290000}"/>
    <cellStyle name="Comma 2 3 3 2 3 4 3" xfId="10646" xr:uid="{00000000-0005-0000-0000-000093290000}"/>
    <cellStyle name="Comma 2 3 3 2 3 4 4" xfId="10647" xr:uid="{00000000-0005-0000-0000-000094290000}"/>
    <cellStyle name="Comma 2 3 3 2 3 5" xfId="10648" xr:uid="{00000000-0005-0000-0000-000095290000}"/>
    <cellStyle name="Comma 2 3 3 2 3 5 2" xfId="10649" xr:uid="{00000000-0005-0000-0000-000096290000}"/>
    <cellStyle name="Comma 2 3 3 2 3 6" xfId="10650" xr:uid="{00000000-0005-0000-0000-000097290000}"/>
    <cellStyle name="Comma 2 3 3 2 3 7" xfId="10651" xr:uid="{00000000-0005-0000-0000-000098290000}"/>
    <cellStyle name="Comma 2 3 3 2 3 8" xfId="10652" xr:uid="{00000000-0005-0000-0000-000099290000}"/>
    <cellStyle name="Comma 2 3 3 2 3 9" xfId="10653" xr:uid="{00000000-0005-0000-0000-00009A290000}"/>
    <cellStyle name="Comma 2 3 3 2 4" xfId="10654" xr:uid="{00000000-0005-0000-0000-00009B290000}"/>
    <cellStyle name="Comma 2 3 3 2 4 2" xfId="10655" xr:uid="{00000000-0005-0000-0000-00009C290000}"/>
    <cellStyle name="Comma 2 3 3 2 4 2 2" xfId="10656" xr:uid="{00000000-0005-0000-0000-00009D290000}"/>
    <cellStyle name="Comma 2 3 3 2 4 2 3" xfId="10657" xr:uid="{00000000-0005-0000-0000-00009E290000}"/>
    <cellStyle name="Comma 2 3 3 2 4 3" xfId="10658" xr:uid="{00000000-0005-0000-0000-00009F290000}"/>
    <cellStyle name="Comma 2 3 3 2 4 4" xfId="10659" xr:uid="{00000000-0005-0000-0000-0000A0290000}"/>
    <cellStyle name="Comma 2 3 3 2 4 5" xfId="10660" xr:uid="{00000000-0005-0000-0000-0000A1290000}"/>
    <cellStyle name="Comma 2 3 3 2 4 6" xfId="10661" xr:uid="{00000000-0005-0000-0000-0000A2290000}"/>
    <cellStyle name="Comma 2 3 3 2 5" xfId="10662" xr:uid="{00000000-0005-0000-0000-0000A3290000}"/>
    <cellStyle name="Comma 2 3 3 2 5 2" xfId="10663" xr:uid="{00000000-0005-0000-0000-0000A4290000}"/>
    <cellStyle name="Comma 2 3 3 2 5 2 2" xfId="10664" xr:uid="{00000000-0005-0000-0000-0000A5290000}"/>
    <cellStyle name="Comma 2 3 3 2 5 3" xfId="10665" xr:uid="{00000000-0005-0000-0000-0000A6290000}"/>
    <cellStyle name="Comma 2 3 3 2 5 4" xfId="10666" xr:uid="{00000000-0005-0000-0000-0000A7290000}"/>
    <cellStyle name="Comma 2 3 3 2 5 5" xfId="10667" xr:uid="{00000000-0005-0000-0000-0000A8290000}"/>
    <cellStyle name="Comma 2 3 3 2 6" xfId="10668" xr:uid="{00000000-0005-0000-0000-0000A9290000}"/>
    <cellStyle name="Comma 2 3 3 2 6 2" xfId="10669" xr:uid="{00000000-0005-0000-0000-0000AA290000}"/>
    <cellStyle name="Comma 2 3 3 2 6 3" xfId="10670" xr:uid="{00000000-0005-0000-0000-0000AB290000}"/>
    <cellStyle name="Comma 2 3 3 2 6 4" xfId="10671" xr:uid="{00000000-0005-0000-0000-0000AC290000}"/>
    <cellStyle name="Comma 2 3 3 2 7" xfId="10672" xr:uid="{00000000-0005-0000-0000-0000AD290000}"/>
    <cellStyle name="Comma 2 3 3 2 7 2" xfId="10673" xr:uid="{00000000-0005-0000-0000-0000AE290000}"/>
    <cellStyle name="Comma 2 3 3 2 8" xfId="10674" xr:uid="{00000000-0005-0000-0000-0000AF290000}"/>
    <cellStyle name="Comma 2 3 3 2 9" xfId="10675" xr:uid="{00000000-0005-0000-0000-0000B0290000}"/>
    <cellStyle name="Comma 2 3 3 20" xfId="10676" xr:uid="{00000000-0005-0000-0000-0000B1290000}"/>
    <cellStyle name="Comma 2 3 3 21" xfId="10677" xr:uid="{00000000-0005-0000-0000-0000B2290000}"/>
    <cellStyle name="Comma 2 3 3 22" xfId="10678" xr:uid="{00000000-0005-0000-0000-0000B3290000}"/>
    <cellStyle name="Comma 2 3 3 3" xfId="10679" xr:uid="{00000000-0005-0000-0000-0000B4290000}"/>
    <cellStyle name="Comma 2 3 3 3 10" xfId="10680" xr:uid="{00000000-0005-0000-0000-0000B5290000}"/>
    <cellStyle name="Comma 2 3 3 3 11" xfId="10681" xr:uid="{00000000-0005-0000-0000-0000B6290000}"/>
    <cellStyle name="Comma 2 3 3 3 2" xfId="10682" xr:uid="{00000000-0005-0000-0000-0000B7290000}"/>
    <cellStyle name="Comma 2 3 3 3 2 2" xfId="10683" xr:uid="{00000000-0005-0000-0000-0000B8290000}"/>
    <cellStyle name="Comma 2 3 3 3 2 2 2" xfId="10684" xr:uid="{00000000-0005-0000-0000-0000B9290000}"/>
    <cellStyle name="Comma 2 3 3 3 2 2 2 2" xfId="10685" xr:uid="{00000000-0005-0000-0000-0000BA290000}"/>
    <cellStyle name="Comma 2 3 3 3 2 2 2 3" xfId="10686" xr:uid="{00000000-0005-0000-0000-0000BB290000}"/>
    <cellStyle name="Comma 2 3 3 3 2 2 3" xfId="10687" xr:uid="{00000000-0005-0000-0000-0000BC290000}"/>
    <cellStyle name="Comma 2 3 3 3 2 2 4" xfId="10688" xr:uid="{00000000-0005-0000-0000-0000BD290000}"/>
    <cellStyle name="Comma 2 3 3 3 2 2 5" xfId="10689" xr:uid="{00000000-0005-0000-0000-0000BE290000}"/>
    <cellStyle name="Comma 2 3 3 3 2 2 6" xfId="10690" xr:uid="{00000000-0005-0000-0000-0000BF290000}"/>
    <cellStyle name="Comma 2 3 3 3 2 3" xfId="10691" xr:uid="{00000000-0005-0000-0000-0000C0290000}"/>
    <cellStyle name="Comma 2 3 3 3 2 3 2" xfId="10692" xr:uid="{00000000-0005-0000-0000-0000C1290000}"/>
    <cellStyle name="Comma 2 3 3 3 2 3 2 2" xfId="10693" xr:uid="{00000000-0005-0000-0000-0000C2290000}"/>
    <cellStyle name="Comma 2 3 3 3 2 3 3" xfId="10694" xr:uid="{00000000-0005-0000-0000-0000C3290000}"/>
    <cellStyle name="Comma 2 3 3 3 2 3 4" xfId="10695" xr:uid="{00000000-0005-0000-0000-0000C4290000}"/>
    <cellStyle name="Comma 2 3 3 3 2 3 5" xfId="10696" xr:uid="{00000000-0005-0000-0000-0000C5290000}"/>
    <cellStyle name="Comma 2 3 3 3 2 4" xfId="10697" xr:uid="{00000000-0005-0000-0000-0000C6290000}"/>
    <cellStyle name="Comma 2 3 3 3 2 4 2" xfId="10698" xr:uid="{00000000-0005-0000-0000-0000C7290000}"/>
    <cellStyle name="Comma 2 3 3 3 2 4 3" xfId="10699" xr:uid="{00000000-0005-0000-0000-0000C8290000}"/>
    <cellStyle name="Comma 2 3 3 3 2 4 4" xfId="10700" xr:uid="{00000000-0005-0000-0000-0000C9290000}"/>
    <cellStyle name="Comma 2 3 3 3 2 5" xfId="10701" xr:uid="{00000000-0005-0000-0000-0000CA290000}"/>
    <cellStyle name="Comma 2 3 3 3 2 5 2" xfId="10702" xr:uid="{00000000-0005-0000-0000-0000CB290000}"/>
    <cellStyle name="Comma 2 3 3 3 2 6" xfId="10703" xr:uid="{00000000-0005-0000-0000-0000CC290000}"/>
    <cellStyle name="Comma 2 3 3 3 2 7" xfId="10704" xr:uid="{00000000-0005-0000-0000-0000CD290000}"/>
    <cellStyle name="Comma 2 3 3 3 2 8" xfId="10705" xr:uid="{00000000-0005-0000-0000-0000CE290000}"/>
    <cellStyle name="Comma 2 3 3 3 2 9" xfId="10706" xr:uid="{00000000-0005-0000-0000-0000CF290000}"/>
    <cellStyle name="Comma 2 3 3 3 3" xfId="10707" xr:uid="{00000000-0005-0000-0000-0000D0290000}"/>
    <cellStyle name="Comma 2 3 3 3 3 2" xfId="10708" xr:uid="{00000000-0005-0000-0000-0000D1290000}"/>
    <cellStyle name="Comma 2 3 3 3 3 2 2" xfId="10709" xr:uid="{00000000-0005-0000-0000-0000D2290000}"/>
    <cellStyle name="Comma 2 3 3 3 3 2 2 2" xfId="10710" xr:uid="{00000000-0005-0000-0000-0000D3290000}"/>
    <cellStyle name="Comma 2 3 3 3 3 2 2 3" xfId="10711" xr:uid="{00000000-0005-0000-0000-0000D4290000}"/>
    <cellStyle name="Comma 2 3 3 3 3 2 3" xfId="10712" xr:uid="{00000000-0005-0000-0000-0000D5290000}"/>
    <cellStyle name="Comma 2 3 3 3 3 2 4" xfId="10713" xr:uid="{00000000-0005-0000-0000-0000D6290000}"/>
    <cellStyle name="Comma 2 3 3 3 3 2 5" xfId="10714" xr:uid="{00000000-0005-0000-0000-0000D7290000}"/>
    <cellStyle name="Comma 2 3 3 3 3 2 6" xfId="10715" xr:uid="{00000000-0005-0000-0000-0000D8290000}"/>
    <cellStyle name="Comma 2 3 3 3 3 3" xfId="10716" xr:uid="{00000000-0005-0000-0000-0000D9290000}"/>
    <cellStyle name="Comma 2 3 3 3 3 3 2" xfId="10717" xr:uid="{00000000-0005-0000-0000-0000DA290000}"/>
    <cellStyle name="Comma 2 3 3 3 3 3 2 2" xfId="10718" xr:uid="{00000000-0005-0000-0000-0000DB290000}"/>
    <cellStyle name="Comma 2 3 3 3 3 3 3" xfId="10719" xr:uid="{00000000-0005-0000-0000-0000DC290000}"/>
    <cellStyle name="Comma 2 3 3 3 3 3 4" xfId="10720" xr:uid="{00000000-0005-0000-0000-0000DD290000}"/>
    <cellStyle name="Comma 2 3 3 3 3 3 5" xfId="10721" xr:uid="{00000000-0005-0000-0000-0000DE290000}"/>
    <cellStyle name="Comma 2 3 3 3 3 4" xfId="10722" xr:uid="{00000000-0005-0000-0000-0000DF290000}"/>
    <cellStyle name="Comma 2 3 3 3 3 4 2" xfId="10723" xr:uid="{00000000-0005-0000-0000-0000E0290000}"/>
    <cellStyle name="Comma 2 3 3 3 3 4 3" xfId="10724" xr:uid="{00000000-0005-0000-0000-0000E1290000}"/>
    <cellStyle name="Comma 2 3 3 3 3 4 4" xfId="10725" xr:uid="{00000000-0005-0000-0000-0000E2290000}"/>
    <cellStyle name="Comma 2 3 3 3 3 5" xfId="10726" xr:uid="{00000000-0005-0000-0000-0000E3290000}"/>
    <cellStyle name="Comma 2 3 3 3 3 5 2" xfId="10727" xr:uid="{00000000-0005-0000-0000-0000E4290000}"/>
    <cellStyle name="Comma 2 3 3 3 3 6" xfId="10728" xr:uid="{00000000-0005-0000-0000-0000E5290000}"/>
    <cellStyle name="Comma 2 3 3 3 3 7" xfId="10729" xr:uid="{00000000-0005-0000-0000-0000E6290000}"/>
    <cellStyle name="Comma 2 3 3 3 3 8" xfId="10730" xr:uid="{00000000-0005-0000-0000-0000E7290000}"/>
    <cellStyle name="Comma 2 3 3 3 3 9" xfId="10731" xr:uid="{00000000-0005-0000-0000-0000E8290000}"/>
    <cellStyle name="Comma 2 3 3 3 4" xfId="10732" xr:uid="{00000000-0005-0000-0000-0000E9290000}"/>
    <cellStyle name="Comma 2 3 3 3 4 2" xfId="10733" xr:uid="{00000000-0005-0000-0000-0000EA290000}"/>
    <cellStyle name="Comma 2 3 3 3 4 2 2" xfId="10734" xr:uid="{00000000-0005-0000-0000-0000EB290000}"/>
    <cellStyle name="Comma 2 3 3 3 4 2 3" xfId="10735" xr:uid="{00000000-0005-0000-0000-0000EC290000}"/>
    <cellStyle name="Comma 2 3 3 3 4 3" xfId="10736" xr:uid="{00000000-0005-0000-0000-0000ED290000}"/>
    <cellStyle name="Comma 2 3 3 3 4 4" xfId="10737" xr:uid="{00000000-0005-0000-0000-0000EE290000}"/>
    <cellStyle name="Comma 2 3 3 3 4 5" xfId="10738" xr:uid="{00000000-0005-0000-0000-0000EF290000}"/>
    <cellStyle name="Comma 2 3 3 3 4 6" xfId="10739" xr:uid="{00000000-0005-0000-0000-0000F0290000}"/>
    <cellStyle name="Comma 2 3 3 3 5" xfId="10740" xr:uid="{00000000-0005-0000-0000-0000F1290000}"/>
    <cellStyle name="Comma 2 3 3 3 5 2" xfId="10741" xr:uid="{00000000-0005-0000-0000-0000F2290000}"/>
    <cellStyle name="Comma 2 3 3 3 5 2 2" xfId="10742" xr:uid="{00000000-0005-0000-0000-0000F3290000}"/>
    <cellStyle name="Comma 2 3 3 3 5 3" xfId="10743" xr:uid="{00000000-0005-0000-0000-0000F4290000}"/>
    <cellStyle name="Comma 2 3 3 3 5 4" xfId="10744" xr:uid="{00000000-0005-0000-0000-0000F5290000}"/>
    <cellStyle name="Comma 2 3 3 3 5 5" xfId="10745" xr:uid="{00000000-0005-0000-0000-0000F6290000}"/>
    <cellStyle name="Comma 2 3 3 3 6" xfId="10746" xr:uid="{00000000-0005-0000-0000-0000F7290000}"/>
    <cellStyle name="Comma 2 3 3 3 6 2" xfId="10747" xr:uid="{00000000-0005-0000-0000-0000F8290000}"/>
    <cellStyle name="Comma 2 3 3 3 6 3" xfId="10748" xr:uid="{00000000-0005-0000-0000-0000F9290000}"/>
    <cellStyle name="Comma 2 3 3 3 6 4" xfId="10749" xr:uid="{00000000-0005-0000-0000-0000FA290000}"/>
    <cellStyle name="Comma 2 3 3 3 7" xfId="10750" xr:uid="{00000000-0005-0000-0000-0000FB290000}"/>
    <cellStyle name="Comma 2 3 3 3 7 2" xfId="10751" xr:uid="{00000000-0005-0000-0000-0000FC290000}"/>
    <cellStyle name="Comma 2 3 3 3 8" xfId="10752" xr:uid="{00000000-0005-0000-0000-0000FD290000}"/>
    <cellStyle name="Comma 2 3 3 3 9" xfId="10753" xr:uid="{00000000-0005-0000-0000-0000FE290000}"/>
    <cellStyle name="Comma 2 3 3 4" xfId="10754" xr:uid="{00000000-0005-0000-0000-0000FF290000}"/>
    <cellStyle name="Comma 2 3 3 4 10" xfId="10755" xr:uid="{00000000-0005-0000-0000-0000002A0000}"/>
    <cellStyle name="Comma 2 3 3 4 11" xfId="10756" xr:uid="{00000000-0005-0000-0000-0000012A0000}"/>
    <cellStyle name="Comma 2 3 3 4 2" xfId="10757" xr:uid="{00000000-0005-0000-0000-0000022A0000}"/>
    <cellStyle name="Comma 2 3 3 4 2 2" xfId="10758" xr:uid="{00000000-0005-0000-0000-0000032A0000}"/>
    <cellStyle name="Comma 2 3 3 4 2 2 2" xfId="10759" xr:uid="{00000000-0005-0000-0000-0000042A0000}"/>
    <cellStyle name="Comma 2 3 3 4 2 2 2 2" xfId="10760" xr:uid="{00000000-0005-0000-0000-0000052A0000}"/>
    <cellStyle name="Comma 2 3 3 4 2 2 2 3" xfId="10761" xr:uid="{00000000-0005-0000-0000-0000062A0000}"/>
    <cellStyle name="Comma 2 3 3 4 2 2 3" xfId="10762" xr:uid="{00000000-0005-0000-0000-0000072A0000}"/>
    <cellStyle name="Comma 2 3 3 4 2 2 4" xfId="10763" xr:uid="{00000000-0005-0000-0000-0000082A0000}"/>
    <cellStyle name="Comma 2 3 3 4 2 2 5" xfId="10764" xr:uid="{00000000-0005-0000-0000-0000092A0000}"/>
    <cellStyle name="Comma 2 3 3 4 2 2 6" xfId="10765" xr:uid="{00000000-0005-0000-0000-00000A2A0000}"/>
    <cellStyle name="Comma 2 3 3 4 2 3" xfId="10766" xr:uid="{00000000-0005-0000-0000-00000B2A0000}"/>
    <cellStyle name="Comma 2 3 3 4 2 3 2" xfId="10767" xr:uid="{00000000-0005-0000-0000-00000C2A0000}"/>
    <cellStyle name="Comma 2 3 3 4 2 3 2 2" xfId="10768" xr:uid="{00000000-0005-0000-0000-00000D2A0000}"/>
    <cellStyle name="Comma 2 3 3 4 2 3 3" xfId="10769" xr:uid="{00000000-0005-0000-0000-00000E2A0000}"/>
    <cellStyle name="Comma 2 3 3 4 2 3 4" xfId="10770" xr:uid="{00000000-0005-0000-0000-00000F2A0000}"/>
    <cellStyle name="Comma 2 3 3 4 2 3 5" xfId="10771" xr:uid="{00000000-0005-0000-0000-0000102A0000}"/>
    <cellStyle name="Comma 2 3 3 4 2 4" xfId="10772" xr:uid="{00000000-0005-0000-0000-0000112A0000}"/>
    <cellStyle name="Comma 2 3 3 4 2 4 2" xfId="10773" xr:uid="{00000000-0005-0000-0000-0000122A0000}"/>
    <cellStyle name="Comma 2 3 3 4 2 4 3" xfId="10774" xr:uid="{00000000-0005-0000-0000-0000132A0000}"/>
    <cellStyle name="Comma 2 3 3 4 2 4 4" xfId="10775" xr:uid="{00000000-0005-0000-0000-0000142A0000}"/>
    <cellStyle name="Comma 2 3 3 4 2 5" xfId="10776" xr:uid="{00000000-0005-0000-0000-0000152A0000}"/>
    <cellStyle name="Comma 2 3 3 4 2 5 2" xfId="10777" xr:uid="{00000000-0005-0000-0000-0000162A0000}"/>
    <cellStyle name="Comma 2 3 3 4 2 6" xfId="10778" xr:uid="{00000000-0005-0000-0000-0000172A0000}"/>
    <cellStyle name="Comma 2 3 3 4 2 7" xfId="10779" xr:uid="{00000000-0005-0000-0000-0000182A0000}"/>
    <cellStyle name="Comma 2 3 3 4 2 8" xfId="10780" xr:uid="{00000000-0005-0000-0000-0000192A0000}"/>
    <cellStyle name="Comma 2 3 3 4 2 9" xfId="10781" xr:uid="{00000000-0005-0000-0000-00001A2A0000}"/>
    <cellStyle name="Comma 2 3 3 4 3" xfId="10782" xr:uid="{00000000-0005-0000-0000-00001B2A0000}"/>
    <cellStyle name="Comma 2 3 3 4 3 2" xfId="10783" xr:uid="{00000000-0005-0000-0000-00001C2A0000}"/>
    <cellStyle name="Comma 2 3 3 4 3 2 2" xfId="10784" xr:uid="{00000000-0005-0000-0000-00001D2A0000}"/>
    <cellStyle name="Comma 2 3 3 4 3 2 2 2" xfId="10785" xr:uid="{00000000-0005-0000-0000-00001E2A0000}"/>
    <cellStyle name="Comma 2 3 3 4 3 2 2 3" xfId="10786" xr:uid="{00000000-0005-0000-0000-00001F2A0000}"/>
    <cellStyle name="Comma 2 3 3 4 3 2 3" xfId="10787" xr:uid="{00000000-0005-0000-0000-0000202A0000}"/>
    <cellStyle name="Comma 2 3 3 4 3 2 4" xfId="10788" xr:uid="{00000000-0005-0000-0000-0000212A0000}"/>
    <cellStyle name="Comma 2 3 3 4 3 2 5" xfId="10789" xr:uid="{00000000-0005-0000-0000-0000222A0000}"/>
    <cellStyle name="Comma 2 3 3 4 3 2 6" xfId="10790" xr:uid="{00000000-0005-0000-0000-0000232A0000}"/>
    <cellStyle name="Comma 2 3 3 4 3 3" xfId="10791" xr:uid="{00000000-0005-0000-0000-0000242A0000}"/>
    <cellStyle name="Comma 2 3 3 4 3 3 2" xfId="10792" xr:uid="{00000000-0005-0000-0000-0000252A0000}"/>
    <cellStyle name="Comma 2 3 3 4 3 3 2 2" xfId="10793" xr:uid="{00000000-0005-0000-0000-0000262A0000}"/>
    <cellStyle name="Comma 2 3 3 4 3 3 3" xfId="10794" xr:uid="{00000000-0005-0000-0000-0000272A0000}"/>
    <cellStyle name="Comma 2 3 3 4 3 3 4" xfId="10795" xr:uid="{00000000-0005-0000-0000-0000282A0000}"/>
    <cellStyle name="Comma 2 3 3 4 3 3 5" xfId="10796" xr:uid="{00000000-0005-0000-0000-0000292A0000}"/>
    <cellStyle name="Comma 2 3 3 4 3 4" xfId="10797" xr:uid="{00000000-0005-0000-0000-00002A2A0000}"/>
    <cellStyle name="Comma 2 3 3 4 3 4 2" xfId="10798" xr:uid="{00000000-0005-0000-0000-00002B2A0000}"/>
    <cellStyle name="Comma 2 3 3 4 3 4 3" xfId="10799" xr:uid="{00000000-0005-0000-0000-00002C2A0000}"/>
    <cellStyle name="Comma 2 3 3 4 3 4 4" xfId="10800" xr:uid="{00000000-0005-0000-0000-00002D2A0000}"/>
    <cellStyle name="Comma 2 3 3 4 3 5" xfId="10801" xr:uid="{00000000-0005-0000-0000-00002E2A0000}"/>
    <cellStyle name="Comma 2 3 3 4 3 5 2" xfId="10802" xr:uid="{00000000-0005-0000-0000-00002F2A0000}"/>
    <cellStyle name="Comma 2 3 3 4 3 6" xfId="10803" xr:uid="{00000000-0005-0000-0000-0000302A0000}"/>
    <cellStyle name="Comma 2 3 3 4 3 7" xfId="10804" xr:uid="{00000000-0005-0000-0000-0000312A0000}"/>
    <cellStyle name="Comma 2 3 3 4 3 8" xfId="10805" xr:uid="{00000000-0005-0000-0000-0000322A0000}"/>
    <cellStyle name="Comma 2 3 3 4 3 9" xfId="10806" xr:uid="{00000000-0005-0000-0000-0000332A0000}"/>
    <cellStyle name="Comma 2 3 3 4 4" xfId="10807" xr:uid="{00000000-0005-0000-0000-0000342A0000}"/>
    <cellStyle name="Comma 2 3 3 4 4 2" xfId="10808" xr:uid="{00000000-0005-0000-0000-0000352A0000}"/>
    <cellStyle name="Comma 2 3 3 4 4 2 2" xfId="10809" xr:uid="{00000000-0005-0000-0000-0000362A0000}"/>
    <cellStyle name="Comma 2 3 3 4 4 2 3" xfId="10810" xr:uid="{00000000-0005-0000-0000-0000372A0000}"/>
    <cellStyle name="Comma 2 3 3 4 4 3" xfId="10811" xr:uid="{00000000-0005-0000-0000-0000382A0000}"/>
    <cellStyle name="Comma 2 3 3 4 4 4" xfId="10812" xr:uid="{00000000-0005-0000-0000-0000392A0000}"/>
    <cellStyle name="Comma 2 3 3 4 4 5" xfId="10813" xr:uid="{00000000-0005-0000-0000-00003A2A0000}"/>
    <cellStyle name="Comma 2 3 3 4 4 6" xfId="10814" xr:uid="{00000000-0005-0000-0000-00003B2A0000}"/>
    <cellStyle name="Comma 2 3 3 4 5" xfId="10815" xr:uid="{00000000-0005-0000-0000-00003C2A0000}"/>
    <cellStyle name="Comma 2 3 3 4 5 2" xfId="10816" xr:uid="{00000000-0005-0000-0000-00003D2A0000}"/>
    <cellStyle name="Comma 2 3 3 4 5 2 2" xfId="10817" xr:uid="{00000000-0005-0000-0000-00003E2A0000}"/>
    <cellStyle name="Comma 2 3 3 4 5 3" xfId="10818" xr:uid="{00000000-0005-0000-0000-00003F2A0000}"/>
    <cellStyle name="Comma 2 3 3 4 5 4" xfId="10819" xr:uid="{00000000-0005-0000-0000-0000402A0000}"/>
    <cellStyle name="Comma 2 3 3 4 5 5" xfId="10820" xr:uid="{00000000-0005-0000-0000-0000412A0000}"/>
    <cellStyle name="Comma 2 3 3 4 6" xfId="10821" xr:uid="{00000000-0005-0000-0000-0000422A0000}"/>
    <cellStyle name="Comma 2 3 3 4 6 2" xfId="10822" xr:uid="{00000000-0005-0000-0000-0000432A0000}"/>
    <cellStyle name="Comma 2 3 3 4 6 3" xfId="10823" xr:uid="{00000000-0005-0000-0000-0000442A0000}"/>
    <cellStyle name="Comma 2 3 3 4 6 4" xfId="10824" xr:uid="{00000000-0005-0000-0000-0000452A0000}"/>
    <cellStyle name="Comma 2 3 3 4 7" xfId="10825" xr:uid="{00000000-0005-0000-0000-0000462A0000}"/>
    <cellStyle name="Comma 2 3 3 4 7 2" xfId="10826" xr:uid="{00000000-0005-0000-0000-0000472A0000}"/>
    <cellStyle name="Comma 2 3 3 4 8" xfId="10827" xr:uid="{00000000-0005-0000-0000-0000482A0000}"/>
    <cellStyle name="Comma 2 3 3 4 9" xfId="10828" xr:uid="{00000000-0005-0000-0000-0000492A0000}"/>
    <cellStyle name="Comma 2 3 3 5" xfId="10829" xr:uid="{00000000-0005-0000-0000-00004A2A0000}"/>
    <cellStyle name="Comma 2 3 3 5 10" xfId="10830" xr:uid="{00000000-0005-0000-0000-00004B2A0000}"/>
    <cellStyle name="Comma 2 3 3 5 11" xfId="10831" xr:uid="{00000000-0005-0000-0000-00004C2A0000}"/>
    <cellStyle name="Comma 2 3 3 5 2" xfId="10832" xr:uid="{00000000-0005-0000-0000-00004D2A0000}"/>
    <cellStyle name="Comma 2 3 3 5 2 2" xfId="10833" xr:uid="{00000000-0005-0000-0000-00004E2A0000}"/>
    <cellStyle name="Comma 2 3 3 5 2 2 2" xfId="10834" xr:uid="{00000000-0005-0000-0000-00004F2A0000}"/>
    <cellStyle name="Comma 2 3 3 5 2 2 2 2" xfId="10835" xr:uid="{00000000-0005-0000-0000-0000502A0000}"/>
    <cellStyle name="Comma 2 3 3 5 2 2 2 3" xfId="10836" xr:uid="{00000000-0005-0000-0000-0000512A0000}"/>
    <cellStyle name="Comma 2 3 3 5 2 2 3" xfId="10837" xr:uid="{00000000-0005-0000-0000-0000522A0000}"/>
    <cellStyle name="Comma 2 3 3 5 2 2 4" xfId="10838" xr:uid="{00000000-0005-0000-0000-0000532A0000}"/>
    <cellStyle name="Comma 2 3 3 5 2 2 5" xfId="10839" xr:uid="{00000000-0005-0000-0000-0000542A0000}"/>
    <cellStyle name="Comma 2 3 3 5 2 2 6" xfId="10840" xr:uid="{00000000-0005-0000-0000-0000552A0000}"/>
    <cellStyle name="Comma 2 3 3 5 2 3" xfId="10841" xr:uid="{00000000-0005-0000-0000-0000562A0000}"/>
    <cellStyle name="Comma 2 3 3 5 2 3 2" xfId="10842" xr:uid="{00000000-0005-0000-0000-0000572A0000}"/>
    <cellStyle name="Comma 2 3 3 5 2 3 2 2" xfId="10843" xr:uid="{00000000-0005-0000-0000-0000582A0000}"/>
    <cellStyle name="Comma 2 3 3 5 2 3 3" xfId="10844" xr:uid="{00000000-0005-0000-0000-0000592A0000}"/>
    <cellStyle name="Comma 2 3 3 5 2 3 4" xfId="10845" xr:uid="{00000000-0005-0000-0000-00005A2A0000}"/>
    <cellStyle name="Comma 2 3 3 5 2 3 5" xfId="10846" xr:uid="{00000000-0005-0000-0000-00005B2A0000}"/>
    <cellStyle name="Comma 2 3 3 5 2 4" xfId="10847" xr:uid="{00000000-0005-0000-0000-00005C2A0000}"/>
    <cellStyle name="Comma 2 3 3 5 2 4 2" xfId="10848" xr:uid="{00000000-0005-0000-0000-00005D2A0000}"/>
    <cellStyle name="Comma 2 3 3 5 2 4 3" xfId="10849" xr:uid="{00000000-0005-0000-0000-00005E2A0000}"/>
    <cellStyle name="Comma 2 3 3 5 2 4 4" xfId="10850" xr:uid="{00000000-0005-0000-0000-00005F2A0000}"/>
    <cellStyle name="Comma 2 3 3 5 2 5" xfId="10851" xr:uid="{00000000-0005-0000-0000-0000602A0000}"/>
    <cellStyle name="Comma 2 3 3 5 2 5 2" xfId="10852" xr:uid="{00000000-0005-0000-0000-0000612A0000}"/>
    <cellStyle name="Comma 2 3 3 5 2 6" xfId="10853" xr:uid="{00000000-0005-0000-0000-0000622A0000}"/>
    <cellStyle name="Comma 2 3 3 5 2 7" xfId="10854" xr:uid="{00000000-0005-0000-0000-0000632A0000}"/>
    <cellStyle name="Comma 2 3 3 5 2 8" xfId="10855" xr:uid="{00000000-0005-0000-0000-0000642A0000}"/>
    <cellStyle name="Comma 2 3 3 5 2 9" xfId="10856" xr:uid="{00000000-0005-0000-0000-0000652A0000}"/>
    <cellStyle name="Comma 2 3 3 5 3" xfId="10857" xr:uid="{00000000-0005-0000-0000-0000662A0000}"/>
    <cellStyle name="Comma 2 3 3 5 3 2" xfId="10858" xr:uid="{00000000-0005-0000-0000-0000672A0000}"/>
    <cellStyle name="Comma 2 3 3 5 3 2 2" xfId="10859" xr:uid="{00000000-0005-0000-0000-0000682A0000}"/>
    <cellStyle name="Comma 2 3 3 5 3 2 2 2" xfId="10860" xr:uid="{00000000-0005-0000-0000-0000692A0000}"/>
    <cellStyle name="Comma 2 3 3 5 3 2 2 3" xfId="10861" xr:uid="{00000000-0005-0000-0000-00006A2A0000}"/>
    <cellStyle name="Comma 2 3 3 5 3 2 3" xfId="10862" xr:uid="{00000000-0005-0000-0000-00006B2A0000}"/>
    <cellStyle name="Comma 2 3 3 5 3 2 4" xfId="10863" xr:uid="{00000000-0005-0000-0000-00006C2A0000}"/>
    <cellStyle name="Comma 2 3 3 5 3 2 5" xfId="10864" xr:uid="{00000000-0005-0000-0000-00006D2A0000}"/>
    <cellStyle name="Comma 2 3 3 5 3 2 6" xfId="10865" xr:uid="{00000000-0005-0000-0000-00006E2A0000}"/>
    <cellStyle name="Comma 2 3 3 5 3 3" xfId="10866" xr:uid="{00000000-0005-0000-0000-00006F2A0000}"/>
    <cellStyle name="Comma 2 3 3 5 3 3 2" xfId="10867" xr:uid="{00000000-0005-0000-0000-0000702A0000}"/>
    <cellStyle name="Comma 2 3 3 5 3 3 2 2" xfId="10868" xr:uid="{00000000-0005-0000-0000-0000712A0000}"/>
    <cellStyle name="Comma 2 3 3 5 3 3 3" xfId="10869" xr:uid="{00000000-0005-0000-0000-0000722A0000}"/>
    <cellStyle name="Comma 2 3 3 5 3 3 4" xfId="10870" xr:uid="{00000000-0005-0000-0000-0000732A0000}"/>
    <cellStyle name="Comma 2 3 3 5 3 3 5" xfId="10871" xr:uid="{00000000-0005-0000-0000-0000742A0000}"/>
    <cellStyle name="Comma 2 3 3 5 3 4" xfId="10872" xr:uid="{00000000-0005-0000-0000-0000752A0000}"/>
    <cellStyle name="Comma 2 3 3 5 3 4 2" xfId="10873" xr:uid="{00000000-0005-0000-0000-0000762A0000}"/>
    <cellStyle name="Comma 2 3 3 5 3 4 3" xfId="10874" xr:uid="{00000000-0005-0000-0000-0000772A0000}"/>
    <cellStyle name="Comma 2 3 3 5 3 4 4" xfId="10875" xr:uid="{00000000-0005-0000-0000-0000782A0000}"/>
    <cellStyle name="Comma 2 3 3 5 3 5" xfId="10876" xr:uid="{00000000-0005-0000-0000-0000792A0000}"/>
    <cellStyle name="Comma 2 3 3 5 3 5 2" xfId="10877" xr:uid="{00000000-0005-0000-0000-00007A2A0000}"/>
    <cellStyle name="Comma 2 3 3 5 3 6" xfId="10878" xr:uid="{00000000-0005-0000-0000-00007B2A0000}"/>
    <cellStyle name="Comma 2 3 3 5 3 7" xfId="10879" xr:uid="{00000000-0005-0000-0000-00007C2A0000}"/>
    <cellStyle name="Comma 2 3 3 5 3 8" xfId="10880" xr:uid="{00000000-0005-0000-0000-00007D2A0000}"/>
    <cellStyle name="Comma 2 3 3 5 3 9" xfId="10881" xr:uid="{00000000-0005-0000-0000-00007E2A0000}"/>
    <cellStyle name="Comma 2 3 3 5 4" xfId="10882" xr:uid="{00000000-0005-0000-0000-00007F2A0000}"/>
    <cellStyle name="Comma 2 3 3 5 4 2" xfId="10883" xr:uid="{00000000-0005-0000-0000-0000802A0000}"/>
    <cellStyle name="Comma 2 3 3 5 4 2 2" xfId="10884" xr:uid="{00000000-0005-0000-0000-0000812A0000}"/>
    <cellStyle name="Comma 2 3 3 5 4 2 3" xfId="10885" xr:uid="{00000000-0005-0000-0000-0000822A0000}"/>
    <cellStyle name="Comma 2 3 3 5 4 3" xfId="10886" xr:uid="{00000000-0005-0000-0000-0000832A0000}"/>
    <cellStyle name="Comma 2 3 3 5 4 4" xfId="10887" xr:uid="{00000000-0005-0000-0000-0000842A0000}"/>
    <cellStyle name="Comma 2 3 3 5 4 5" xfId="10888" xr:uid="{00000000-0005-0000-0000-0000852A0000}"/>
    <cellStyle name="Comma 2 3 3 5 4 6" xfId="10889" xr:uid="{00000000-0005-0000-0000-0000862A0000}"/>
    <cellStyle name="Comma 2 3 3 5 5" xfId="10890" xr:uid="{00000000-0005-0000-0000-0000872A0000}"/>
    <cellStyle name="Comma 2 3 3 5 5 2" xfId="10891" xr:uid="{00000000-0005-0000-0000-0000882A0000}"/>
    <cellStyle name="Comma 2 3 3 5 5 2 2" xfId="10892" xr:uid="{00000000-0005-0000-0000-0000892A0000}"/>
    <cellStyle name="Comma 2 3 3 5 5 3" xfId="10893" xr:uid="{00000000-0005-0000-0000-00008A2A0000}"/>
    <cellStyle name="Comma 2 3 3 5 5 4" xfId="10894" xr:uid="{00000000-0005-0000-0000-00008B2A0000}"/>
    <cellStyle name="Comma 2 3 3 5 5 5" xfId="10895" xr:uid="{00000000-0005-0000-0000-00008C2A0000}"/>
    <cellStyle name="Comma 2 3 3 5 6" xfId="10896" xr:uid="{00000000-0005-0000-0000-00008D2A0000}"/>
    <cellStyle name="Comma 2 3 3 5 6 2" xfId="10897" xr:uid="{00000000-0005-0000-0000-00008E2A0000}"/>
    <cellStyle name="Comma 2 3 3 5 6 3" xfId="10898" xr:uid="{00000000-0005-0000-0000-00008F2A0000}"/>
    <cellStyle name="Comma 2 3 3 5 6 4" xfId="10899" xr:uid="{00000000-0005-0000-0000-0000902A0000}"/>
    <cellStyle name="Comma 2 3 3 5 7" xfId="10900" xr:uid="{00000000-0005-0000-0000-0000912A0000}"/>
    <cellStyle name="Comma 2 3 3 5 7 2" xfId="10901" xr:uid="{00000000-0005-0000-0000-0000922A0000}"/>
    <cellStyle name="Comma 2 3 3 5 8" xfId="10902" xr:uid="{00000000-0005-0000-0000-0000932A0000}"/>
    <cellStyle name="Comma 2 3 3 5 9" xfId="10903" xr:uid="{00000000-0005-0000-0000-0000942A0000}"/>
    <cellStyle name="Comma 2 3 3 6" xfId="10904" xr:uid="{00000000-0005-0000-0000-0000952A0000}"/>
    <cellStyle name="Comma 2 3 3 6 10" xfId="10905" xr:uid="{00000000-0005-0000-0000-0000962A0000}"/>
    <cellStyle name="Comma 2 3 3 6 11" xfId="10906" xr:uid="{00000000-0005-0000-0000-0000972A0000}"/>
    <cellStyle name="Comma 2 3 3 6 2" xfId="10907" xr:uid="{00000000-0005-0000-0000-0000982A0000}"/>
    <cellStyle name="Comma 2 3 3 6 2 2" xfId="10908" xr:uid="{00000000-0005-0000-0000-0000992A0000}"/>
    <cellStyle name="Comma 2 3 3 6 2 2 2" xfId="10909" xr:uid="{00000000-0005-0000-0000-00009A2A0000}"/>
    <cellStyle name="Comma 2 3 3 6 2 2 2 2" xfId="10910" xr:uid="{00000000-0005-0000-0000-00009B2A0000}"/>
    <cellStyle name="Comma 2 3 3 6 2 2 2 3" xfId="10911" xr:uid="{00000000-0005-0000-0000-00009C2A0000}"/>
    <cellStyle name="Comma 2 3 3 6 2 2 3" xfId="10912" xr:uid="{00000000-0005-0000-0000-00009D2A0000}"/>
    <cellStyle name="Comma 2 3 3 6 2 2 4" xfId="10913" xr:uid="{00000000-0005-0000-0000-00009E2A0000}"/>
    <cellStyle name="Comma 2 3 3 6 2 2 5" xfId="10914" xr:uid="{00000000-0005-0000-0000-00009F2A0000}"/>
    <cellStyle name="Comma 2 3 3 6 2 2 6" xfId="10915" xr:uid="{00000000-0005-0000-0000-0000A02A0000}"/>
    <cellStyle name="Comma 2 3 3 6 2 3" xfId="10916" xr:uid="{00000000-0005-0000-0000-0000A12A0000}"/>
    <cellStyle name="Comma 2 3 3 6 2 3 2" xfId="10917" xr:uid="{00000000-0005-0000-0000-0000A22A0000}"/>
    <cellStyle name="Comma 2 3 3 6 2 3 2 2" xfId="10918" xr:uid="{00000000-0005-0000-0000-0000A32A0000}"/>
    <cellStyle name="Comma 2 3 3 6 2 3 3" xfId="10919" xr:uid="{00000000-0005-0000-0000-0000A42A0000}"/>
    <cellStyle name="Comma 2 3 3 6 2 3 4" xfId="10920" xr:uid="{00000000-0005-0000-0000-0000A52A0000}"/>
    <cellStyle name="Comma 2 3 3 6 2 3 5" xfId="10921" xr:uid="{00000000-0005-0000-0000-0000A62A0000}"/>
    <cellStyle name="Comma 2 3 3 6 2 4" xfId="10922" xr:uid="{00000000-0005-0000-0000-0000A72A0000}"/>
    <cellStyle name="Comma 2 3 3 6 2 4 2" xfId="10923" xr:uid="{00000000-0005-0000-0000-0000A82A0000}"/>
    <cellStyle name="Comma 2 3 3 6 2 4 3" xfId="10924" xr:uid="{00000000-0005-0000-0000-0000A92A0000}"/>
    <cellStyle name="Comma 2 3 3 6 2 4 4" xfId="10925" xr:uid="{00000000-0005-0000-0000-0000AA2A0000}"/>
    <cellStyle name="Comma 2 3 3 6 2 5" xfId="10926" xr:uid="{00000000-0005-0000-0000-0000AB2A0000}"/>
    <cellStyle name="Comma 2 3 3 6 2 5 2" xfId="10927" xr:uid="{00000000-0005-0000-0000-0000AC2A0000}"/>
    <cellStyle name="Comma 2 3 3 6 2 6" xfId="10928" xr:uid="{00000000-0005-0000-0000-0000AD2A0000}"/>
    <cellStyle name="Comma 2 3 3 6 2 7" xfId="10929" xr:uid="{00000000-0005-0000-0000-0000AE2A0000}"/>
    <cellStyle name="Comma 2 3 3 6 2 8" xfId="10930" xr:uid="{00000000-0005-0000-0000-0000AF2A0000}"/>
    <cellStyle name="Comma 2 3 3 6 2 9" xfId="10931" xr:uid="{00000000-0005-0000-0000-0000B02A0000}"/>
    <cellStyle name="Comma 2 3 3 6 3" xfId="10932" xr:uid="{00000000-0005-0000-0000-0000B12A0000}"/>
    <cellStyle name="Comma 2 3 3 6 3 2" xfId="10933" xr:uid="{00000000-0005-0000-0000-0000B22A0000}"/>
    <cellStyle name="Comma 2 3 3 6 3 2 2" xfId="10934" xr:uid="{00000000-0005-0000-0000-0000B32A0000}"/>
    <cellStyle name="Comma 2 3 3 6 3 2 2 2" xfId="10935" xr:uid="{00000000-0005-0000-0000-0000B42A0000}"/>
    <cellStyle name="Comma 2 3 3 6 3 2 2 3" xfId="10936" xr:uid="{00000000-0005-0000-0000-0000B52A0000}"/>
    <cellStyle name="Comma 2 3 3 6 3 2 3" xfId="10937" xr:uid="{00000000-0005-0000-0000-0000B62A0000}"/>
    <cellStyle name="Comma 2 3 3 6 3 2 4" xfId="10938" xr:uid="{00000000-0005-0000-0000-0000B72A0000}"/>
    <cellStyle name="Comma 2 3 3 6 3 2 5" xfId="10939" xr:uid="{00000000-0005-0000-0000-0000B82A0000}"/>
    <cellStyle name="Comma 2 3 3 6 3 2 6" xfId="10940" xr:uid="{00000000-0005-0000-0000-0000B92A0000}"/>
    <cellStyle name="Comma 2 3 3 6 3 3" xfId="10941" xr:uid="{00000000-0005-0000-0000-0000BA2A0000}"/>
    <cellStyle name="Comma 2 3 3 6 3 3 2" xfId="10942" xr:uid="{00000000-0005-0000-0000-0000BB2A0000}"/>
    <cellStyle name="Comma 2 3 3 6 3 3 2 2" xfId="10943" xr:uid="{00000000-0005-0000-0000-0000BC2A0000}"/>
    <cellStyle name="Comma 2 3 3 6 3 3 3" xfId="10944" xr:uid="{00000000-0005-0000-0000-0000BD2A0000}"/>
    <cellStyle name="Comma 2 3 3 6 3 3 4" xfId="10945" xr:uid="{00000000-0005-0000-0000-0000BE2A0000}"/>
    <cellStyle name="Comma 2 3 3 6 3 3 5" xfId="10946" xr:uid="{00000000-0005-0000-0000-0000BF2A0000}"/>
    <cellStyle name="Comma 2 3 3 6 3 4" xfId="10947" xr:uid="{00000000-0005-0000-0000-0000C02A0000}"/>
    <cellStyle name="Comma 2 3 3 6 3 4 2" xfId="10948" xr:uid="{00000000-0005-0000-0000-0000C12A0000}"/>
    <cellStyle name="Comma 2 3 3 6 3 4 3" xfId="10949" xr:uid="{00000000-0005-0000-0000-0000C22A0000}"/>
    <cellStyle name="Comma 2 3 3 6 3 4 4" xfId="10950" xr:uid="{00000000-0005-0000-0000-0000C32A0000}"/>
    <cellStyle name="Comma 2 3 3 6 3 5" xfId="10951" xr:uid="{00000000-0005-0000-0000-0000C42A0000}"/>
    <cellStyle name="Comma 2 3 3 6 3 5 2" xfId="10952" xr:uid="{00000000-0005-0000-0000-0000C52A0000}"/>
    <cellStyle name="Comma 2 3 3 6 3 6" xfId="10953" xr:uid="{00000000-0005-0000-0000-0000C62A0000}"/>
    <cellStyle name="Comma 2 3 3 6 3 7" xfId="10954" xr:uid="{00000000-0005-0000-0000-0000C72A0000}"/>
    <cellStyle name="Comma 2 3 3 6 3 8" xfId="10955" xr:uid="{00000000-0005-0000-0000-0000C82A0000}"/>
    <cellStyle name="Comma 2 3 3 6 3 9" xfId="10956" xr:uid="{00000000-0005-0000-0000-0000C92A0000}"/>
    <cellStyle name="Comma 2 3 3 6 4" xfId="10957" xr:uid="{00000000-0005-0000-0000-0000CA2A0000}"/>
    <cellStyle name="Comma 2 3 3 6 4 2" xfId="10958" xr:uid="{00000000-0005-0000-0000-0000CB2A0000}"/>
    <cellStyle name="Comma 2 3 3 6 4 2 2" xfId="10959" xr:uid="{00000000-0005-0000-0000-0000CC2A0000}"/>
    <cellStyle name="Comma 2 3 3 6 4 2 3" xfId="10960" xr:uid="{00000000-0005-0000-0000-0000CD2A0000}"/>
    <cellStyle name="Comma 2 3 3 6 4 3" xfId="10961" xr:uid="{00000000-0005-0000-0000-0000CE2A0000}"/>
    <cellStyle name="Comma 2 3 3 6 4 4" xfId="10962" xr:uid="{00000000-0005-0000-0000-0000CF2A0000}"/>
    <cellStyle name="Comma 2 3 3 6 4 5" xfId="10963" xr:uid="{00000000-0005-0000-0000-0000D02A0000}"/>
    <cellStyle name="Comma 2 3 3 6 4 6" xfId="10964" xr:uid="{00000000-0005-0000-0000-0000D12A0000}"/>
    <cellStyle name="Comma 2 3 3 6 5" xfId="10965" xr:uid="{00000000-0005-0000-0000-0000D22A0000}"/>
    <cellStyle name="Comma 2 3 3 6 5 2" xfId="10966" xr:uid="{00000000-0005-0000-0000-0000D32A0000}"/>
    <cellStyle name="Comma 2 3 3 6 5 2 2" xfId="10967" xr:uid="{00000000-0005-0000-0000-0000D42A0000}"/>
    <cellStyle name="Comma 2 3 3 6 5 3" xfId="10968" xr:uid="{00000000-0005-0000-0000-0000D52A0000}"/>
    <cellStyle name="Comma 2 3 3 6 5 4" xfId="10969" xr:uid="{00000000-0005-0000-0000-0000D62A0000}"/>
    <cellStyle name="Comma 2 3 3 6 5 5" xfId="10970" xr:uid="{00000000-0005-0000-0000-0000D72A0000}"/>
    <cellStyle name="Comma 2 3 3 6 6" xfId="10971" xr:uid="{00000000-0005-0000-0000-0000D82A0000}"/>
    <cellStyle name="Comma 2 3 3 6 6 2" xfId="10972" xr:uid="{00000000-0005-0000-0000-0000D92A0000}"/>
    <cellStyle name="Comma 2 3 3 6 6 3" xfId="10973" xr:uid="{00000000-0005-0000-0000-0000DA2A0000}"/>
    <cellStyle name="Comma 2 3 3 6 6 4" xfId="10974" xr:uid="{00000000-0005-0000-0000-0000DB2A0000}"/>
    <cellStyle name="Comma 2 3 3 6 7" xfId="10975" xr:uid="{00000000-0005-0000-0000-0000DC2A0000}"/>
    <cellStyle name="Comma 2 3 3 6 7 2" xfId="10976" xr:uid="{00000000-0005-0000-0000-0000DD2A0000}"/>
    <cellStyle name="Comma 2 3 3 6 8" xfId="10977" xr:uid="{00000000-0005-0000-0000-0000DE2A0000}"/>
    <cellStyle name="Comma 2 3 3 6 9" xfId="10978" xr:uid="{00000000-0005-0000-0000-0000DF2A0000}"/>
    <cellStyle name="Comma 2 3 3 7" xfId="10979" xr:uid="{00000000-0005-0000-0000-0000E02A0000}"/>
    <cellStyle name="Comma 2 3 3 7 10" xfId="10980" xr:uid="{00000000-0005-0000-0000-0000E12A0000}"/>
    <cellStyle name="Comma 2 3 3 7 11" xfId="10981" xr:uid="{00000000-0005-0000-0000-0000E22A0000}"/>
    <cellStyle name="Comma 2 3 3 7 2" xfId="10982" xr:uid="{00000000-0005-0000-0000-0000E32A0000}"/>
    <cellStyle name="Comma 2 3 3 7 2 2" xfId="10983" xr:uid="{00000000-0005-0000-0000-0000E42A0000}"/>
    <cellStyle name="Comma 2 3 3 7 2 2 2" xfId="10984" xr:uid="{00000000-0005-0000-0000-0000E52A0000}"/>
    <cellStyle name="Comma 2 3 3 7 2 2 2 2" xfId="10985" xr:uid="{00000000-0005-0000-0000-0000E62A0000}"/>
    <cellStyle name="Comma 2 3 3 7 2 2 2 3" xfId="10986" xr:uid="{00000000-0005-0000-0000-0000E72A0000}"/>
    <cellStyle name="Comma 2 3 3 7 2 2 3" xfId="10987" xr:uid="{00000000-0005-0000-0000-0000E82A0000}"/>
    <cellStyle name="Comma 2 3 3 7 2 2 4" xfId="10988" xr:uid="{00000000-0005-0000-0000-0000E92A0000}"/>
    <cellStyle name="Comma 2 3 3 7 2 2 5" xfId="10989" xr:uid="{00000000-0005-0000-0000-0000EA2A0000}"/>
    <cellStyle name="Comma 2 3 3 7 2 2 6" xfId="10990" xr:uid="{00000000-0005-0000-0000-0000EB2A0000}"/>
    <cellStyle name="Comma 2 3 3 7 2 3" xfId="10991" xr:uid="{00000000-0005-0000-0000-0000EC2A0000}"/>
    <cellStyle name="Comma 2 3 3 7 2 3 2" xfId="10992" xr:uid="{00000000-0005-0000-0000-0000ED2A0000}"/>
    <cellStyle name="Comma 2 3 3 7 2 3 2 2" xfId="10993" xr:uid="{00000000-0005-0000-0000-0000EE2A0000}"/>
    <cellStyle name="Comma 2 3 3 7 2 3 3" xfId="10994" xr:uid="{00000000-0005-0000-0000-0000EF2A0000}"/>
    <cellStyle name="Comma 2 3 3 7 2 3 4" xfId="10995" xr:uid="{00000000-0005-0000-0000-0000F02A0000}"/>
    <cellStyle name="Comma 2 3 3 7 2 3 5" xfId="10996" xr:uid="{00000000-0005-0000-0000-0000F12A0000}"/>
    <cellStyle name="Comma 2 3 3 7 2 4" xfId="10997" xr:uid="{00000000-0005-0000-0000-0000F22A0000}"/>
    <cellStyle name="Comma 2 3 3 7 2 4 2" xfId="10998" xr:uid="{00000000-0005-0000-0000-0000F32A0000}"/>
    <cellStyle name="Comma 2 3 3 7 2 4 3" xfId="10999" xr:uid="{00000000-0005-0000-0000-0000F42A0000}"/>
    <cellStyle name="Comma 2 3 3 7 2 4 4" xfId="11000" xr:uid="{00000000-0005-0000-0000-0000F52A0000}"/>
    <cellStyle name="Comma 2 3 3 7 2 5" xfId="11001" xr:uid="{00000000-0005-0000-0000-0000F62A0000}"/>
    <cellStyle name="Comma 2 3 3 7 2 5 2" xfId="11002" xr:uid="{00000000-0005-0000-0000-0000F72A0000}"/>
    <cellStyle name="Comma 2 3 3 7 2 6" xfId="11003" xr:uid="{00000000-0005-0000-0000-0000F82A0000}"/>
    <cellStyle name="Comma 2 3 3 7 2 7" xfId="11004" xr:uid="{00000000-0005-0000-0000-0000F92A0000}"/>
    <cellStyle name="Comma 2 3 3 7 2 8" xfId="11005" xr:uid="{00000000-0005-0000-0000-0000FA2A0000}"/>
    <cellStyle name="Comma 2 3 3 7 2 9" xfId="11006" xr:uid="{00000000-0005-0000-0000-0000FB2A0000}"/>
    <cellStyle name="Comma 2 3 3 7 3" xfId="11007" xr:uid="{00000000-0005-0000-0000-0000FC2A0000}"/>
    <cellStyle name="Comma 2 3 3 7 3 2" xfId="11008" xr:uid="{00000000-0005-0000-0000-0000FD2A0000}"/>
    <cellStyle name="Comma 2 3 3 7 3 2 2" xfId="11009" xr:uid="{00000000-0005-0000-0000-0000FE2A0000}"/>
    <cellStyle name="Comma 2 3 3 7 3 2 2 2" xfId="11010" xr:uid="{00000000-0005-0000-0000-0000FF2A0000}"/>
    <cellStyle name="Comma 2 3 3 7 3 2 2 3" xfId="11011" xr:uid="{00000000-0005-0000-0000-0000002B0000}"/>
    <cellStyle name="Comma 2 3 3 7 3 2 3" xfId="11012" xr:uid="{00000000-0005-0000-0000-0000012B0000}"/>
    <cellStyle name="Comma 2 3 3 7 3 2 4" xfId="11013" xr:uid="{00000000-0005-0000-0000-0000022B0000}"/>
    <cellStyle name="Comma 2 3 3 7 3 2 5" xfId="11014" xr:uid="{00000000-0005-0000-0000-0000032B0000}"/>
    <cellStyle name="Comma 2 3 3 7 3 2 6" xfId="11015" xr:uid="{00000000-0005-0000-0000-0000042B0000}"/>
    <cellStyle name="Comma 2 3 3 7 3 3" xfId="11016" xr:uid="{00000000-0005-0000-0000-0000052B0000}"/>
    <cellStyle name="Comma 2 3 3 7 3 3 2" xfId="11017" xr:uid="{00000000-0005-0000-0000-0000062B0000}"/>
    <cellStyle name="Comma 2 3 3 7 3 3 2 2" xfId="11018" xr:uid="{00000000-0005-0000-0000-0000072B0000}"/>
    <cellStyle name="Comma 2 3 3 7 3 3 3" xfId="11019" xr:uid="{00000000-0005-0000-0000-0000082B0000}"/>
    <cellStyle name="Comma 2 3 3 7 3 3 4" xfId="11020" xr:uid="{00000000-0005-0000-0000-0000092B0000}"/>
    <cellStyle name="Comma 2 3 3 7 3 3 5" xfId="11021" xr:uid="{00000000-0005-0000-0000-00000A2B0000}"/>
    <cellStyle name="Comma 2 3 3 7 3 4" xfId="11022" xr:uid="{00000000-0005-0000-0000-00000B2B0000}"/>
    <cellStyle name="Comma 2 3 3 7 3 4 2" xfId="11023" xr:uid="{00000000-0005-0000-0000-00000C2B0000}"/>
    <cellStyle name="Comma 2 3 3 7 3 4 3" xfId="11024" xr:uid="{00000000-0005-0000-0000-00000D2B0000}"/>
    <cellStyle name="Comma 2 3 3 7 3 4 4" xfId="11025" xr:uid="{00000000-0005-0000-0000-00000E2B0000}"/>
    <cellStyle name="Comma 2 3 3 7 3 5" xfId="11026" xr:uid="{00000000-0005-0000-0000-00000F2B0000}"/>
    <cellStyle name="Comma 2 3 3 7 3 5 2" xfId="11027" xr:uid="{00000000-0005-0000-0000-0000102B0000}"/>
    <cellStyle name="Comma 2 3 3 7 3 6" xfId="11028" xr:uid="{00000000-0005-0000-0000-0000112B0000}"/>
    <cellStyle name="Comma 2 3 3 7 3 7" xfId="11029" xr:uid="{00000000-0005-0000-0000-0000122B0000}"/>
    <cellStyle name="Comma 2 3 3 7 3 8" xfId="11030" xr:uid="{00000000-0005-0000-0000-0000132B0000}"/>
    <cellStyle name="Comma 2 3 3 7 3 9" xfId="11031" xr:uid="{00000000-0005-0000-0000-0000142B0000}"/>
    <cellStyle name="Comma 2 3 3 7 4" xfId="11032" xr:uid="{00000000-0005-0000-0000-0000152B0000}"/>
    <cellStyle name="Comma 2 3 3 7 4 2" xfId="11033" xr:uid="{00000000-0005-0000-0000-0000162B0000}"/>
    <cellStyle name="Comma 2 3 3 7 4 2 2" xfId="11034" xr:uid="{00000000-0005-0000-0000-0000172B0000}"/>
    <cellStyle name="Comma 2 3 3 7 4 2 3" xfId="11035" xr:uid="{00000000-0005-0000-0000-0000182B0000}"/>
    <cellStyle name="Comma 2 3 3 7 4 3" xfId="11036" xr:uid="{00000000-0005-0000-0000-0000192B0000}"/>
    <cellStyle name="Comma 2 3 3 7 4 4" xfId="11037" xr:uid="{00000000-0005-0000-0000-00001A2B0000}"/>
    <cellStyle name="Comma 2 3 3 7 4 5" xfId="11038" xr:uid="{00000000-0005-0000-0000-00001B2B0000}"/>
    <cellStyle name="Comma 2 3 3 7 4 6" xfId="11039" xr:uid="{00000000-0005-0000-0000-00001C2B0000}"/>
    <cellStyle name="Comma 2 3 3 7 5" xfId="11040" xr:uid="{00000000-0005-0000-0000-00001D2B0000}"/>
    <cellStyle name="Comma 2 3 3 7 5 2" xfId="11041" xr:uid="{00000000-0005-0000-0000-00001E2B0000}"/>
    <cellStyle name="Comma 2 3 3 7 5 2 2" xfId="11042" xr:uid="{00000000-0005-0000-0000-00001F2B0000}"/>
    <cellStyle name="Comma 2 3 3 7 5 3" xfId="11043" xr:uid="{00000000-0005-0000-0000-0000202B0000}"/>
    <cellStyle name="Comma 2 3 3 7 5 4" xfId="11044" xr:uid="{00000000-0005-0000-0000-0000212B0000}"/>
    <cellStyle name="Comma 2 3 3 7 5 5" xfId="11045" xr:uid="{00000000-0005-0000-0000-0000222B0000}"/>
    <cellStyle name="Comma 2 3 3 7 6" xfId="11046" xr:uid="{00000000-0005-0000-0000-0000232B0000}"/>
    <cellStyle name="Comma 2 3 3 7 6 2" xfId="11047" xr:uid="{00000000-0005-0000-0000-0000242B0000}"/>
    <cellStyle name="Comma 2 3 3 7 6 3" xfId="11048" xr:uid="{00000000-0005-0000-0000-0000252B0000}"/>
    <cellStyle name="Comma 2 3 3 7 6 4" xfId="11049" xr:uid="{00000000-0005-0000-0000-0000262B0000}"/>
    <cellStyle name="Comma 2 3 3 7 7" xfId="11050" xr:uid="{00000000-0005-0000-0000-0000272B0000}"/>
    <cellStyle name="Comma 2 3 3 7 7 2" xfId="11051" xr:uid="{00000000-0005-0000-0000-0000282B0000}"/>
    <cellStyle name="Comma 2 3 3 7 8" xfId="11052" xr:uid="{00000000-0005-0000-0000-0000292B0000}"/>
    <cellStyle name="Comma 2 3 3 7 9" xfId="11053" xr:uid="{00000000-0005-0000-0000-00002A2B0000}"/>
    <cellStyle name="Comma 2 3 3 8" xfId="11054" xr:uid="{00000000-0005-0000-0000-00002B2B0000}"/>
    <cellStyle name="Comma 2 3 3 8 10" xfId="11055" xr:uid="{00000000-0005-0000-0000-00002C2B0000}"/>
    <cellStyle name="Comma 2 3 3 8 2" xfId="11056" xr:uid="{00000000-0005-0000-0000-00002D2B0000}"/>
    <cellStyle name="Comma 2 3 3 8 2 2" xfId="11057" xr:uid="{00000000-0005-0000-0000-00002E2B0000}"/>
    <cellStyle name="Comma 2 3 3 8 2 2 2" xfId="11058" xr:uid="{00000000-0005-0000-0000-00002F2B0000}"/>
    <cellStyle name="Comma 2 3 3 8 2 2 3" xfId="11059" xr:uid="{00000000-0005-0000-0000-0000302B0000}"/>
    <cellStyle name="Comma 2 3 3 8 2 3" xfId="11060" xr:uid="{00000000-0005-0000-0000-0000312B0000}"/>
    <cellStyle name="Comma 2 3 3 8 2 4" xfId="11061" xr:uid="{00000000-0005-0000-0000-0000322B0000}"/>
    <cellStyle name="Comma 2 3 3 8 2 5" xfId="11062" xr:uid="{00000000-0005-0000-0000-0000332B0000}"/>
    <cellStyle name="Comma 2 3 3 8 2 6" xfId="11063" xr:uid="{00000000-0005-0000-0000-0000342B0000}"/>
    <cellStyle name="Comma 2 3 3 8 3" xfId="11064" xr:uid="{00000000-0005-0000-0000-0000352B0000}"/>
    <cellStyle name="Comma 2 3 3 8 3 2" xfId="11065" xr:uid="{00000000-0005-0000-0000-0000362B0000}"/>
    <cellStyle name="Comma 2 3 3 8 3 2 2" xfId="11066" xr:uid="{00000000-0005-0000-0000-0000372B0000}"/>
    <cellStyle name="Comma 2 3 3 8 3 2 3" xfId="11067" xr:uid="{00000000-0005-0000-0000-0000382B0000}"/>
    <cellStyle name="Comma 2 3 3 8 3 3" xfId="11068" xr:uid="{00000000-0005-0000-0000-0000392B0000}"/>
    <cellStyle name="Comma 2 3 3 8 3 4" xfId="11069" xr:uid="{00000000-0005-0000-0000-00003A2B0000}"/>
    <cellStyle name="Comma 2 3 3 8 3 5" xfId="11070" xr:uid="{00000000-0005-0000-0000-00003B2B0000}"/>
    <cellStyle name="Comma 2 3 3 8 3 6" xfId="11071" xr:uid="{00000000-0005-0000-0000-00003C2B0000}"/>
    <cellStyle name="Comma 2 3 3 8 4" xfId="11072" xr:uid="{00000000-0005-0000-0000-00003D2B0000}"/>
    <cellStyle name="Comma 2 3 3 8 4 2" xfId="11073" xr:uid="{00000000-0005-0000-0000-00003E2B0000}"/>
    <cellStyle name="Comma 2 3 3 8 4 2 2" xfId="11074" xr:uid="{00000000-0005-0000-0000-00003F2B0000}"/>
    <cellStyle name="Comma 2 3 3 8 4 3" xfId="11075" xr:uid="{00000000-0005-0000-0000-0000402B0000}"/>
    <cellStyle name="Comma 2 3 3 8 4 4" xfId="11076" xr:uid="{00000000-0005-0000-0000-0000412B0000}"/>
    <cellStyle name="Comma 2 3 3 8 4 5" xfId="11077" xr:uid="{00000000-0005-0000-0000-0000422B0000}"/>
    <cellStyle name="Comma 2 3 3 8 5" xfId="11078" xr:uid="{00000000-0005-0000-0000-0000432B0000}"/>
    <cellStyle name="Comma 2 3 3 8 5 2" xfId="11079" xr:uid="{00000000-0005-0000-0000-0000442B0000}"/>
    <cellStyle name="Comma 2 3 3 8 5 3" xfId="11080" xr:uid="{00000000-0005-0000-0000-0000452B0000}"/>
    <cellStyle name="Comma 2 3 3 8 5 4" xfId="11081" xr:uid="{00000000-0005-0000-0000-0000462B0000}"/>
    <cellStyle name="Comma 2 3 3 8 6" xfId="11082" xr:uid="{00000000-0005-0000-0000-0000472B0000}"/>
    <cellStyle name="Comma 2 3 3 8 6 2" xfId="11083" xr:uid="{00000000-0005-0000-0000-0000482B0000}"/>
    <cellStyle name="Comma 2 3 3 8 7" xfId="11084" xr:uid="{00000000-0005-0000-0000-0000492B0000}"/>
    <cellStyle name="Comma 2 3 3 8 8" xfId="11085" xr:uid="{00000000-0005-0000-0000-00004A2B0000}"/>
    <cellStyle name="Comma 2 3 3 8 9" xfId="11086" xr:uid="{00000000-0005-0000-0000-00004B2B0000}"/>
    <cellStyle name="Comma 2 3 3 9" xfId="11087" xr:uid="{00000000-0005-0000-0000-00004C2B0000}"/>
    <cellStyle name="Comma 2 3 3 9 10" xfId="11088" xr:uid="{00000000-0005-0000-0000-00004D2B0000}"/>
    <cellStyle name="Comma 2 3 3 9 2" xfId="11089" xr:uid="{00000000-0005-0000-0000-00004E2B0000}"/>
    <cellStyle name="Comma 2 3 3 9 2 2" xfId="11090" xr:uid="{00000000-0005-0000-0000-00004F2B0000}"/>
    <cellStyle name="Comma 2 3 3 9 2 2 2" xfId="11091" xr:uid="{00000000-0005-0000-0000-0000502B0000}"/>
    <cellStyle name="Comma 2 3 3 9 2 2 3" xfId="11092" xr:uid="{00000000-0005-0000-0000-0000512B0000}"/>
    <cellStyle name="Comma 2 3 3 9 2 3" xfId="11093" xr:uid="{00000000-0005-0000-0000-0000522B0000}"/>
    <cellStyle name="Comma 2 3 3 9 2 4" xfId="11094" xr:uid="{00000000-0005-0000-0000-0000532B0000}"/>
    <cellStyle name="Comma 2 3 3 9 2 5" xfId="11095" xr:uid="{00000000-0005-0000-0000-0000542B0000}"/>
    <cellStyle name="Comma 2 3 3 9 2 6" xfId="11096" xr:uid="{00000000-0005-0000-0000-0000552B0000}"/>
    <cellStyle name="Comma 2 3 3 9 3" xfId="11097" xr:uid="{00000000-0005-0000-0000-0000562B0000}"/>
    <cellStyle name="Comma 2 3 3 9 3 2" xfId="11098" xr:uid="{00000000-0005-0000-0000-0000572B0000}"/>
    <cellStyle name="Comma 2 3 3 9 3 2 2" xfId="11099" xr:uid="{00000000-0005-0000-0000-0000582B0000}"/>
    <cellStyle name="Comma 2 3 3 9 3 2 3" xfId="11100" xr:uid="{00000000-0005-0000-0000-0000592B0000}"/>
    <cellStyle name="Comma 2 3 3 9 3 3" xfId="11101" xr:uid="{00000000-0005-0000-0000-00005A2B0000}"/>
    <cellStyle name="Comma 2 3 3 9 3 4" xfId="11102" xr:uid="{00000000-0005-0000-0000-00005B2B0000}"/>
    <cellStyle name="Comma 2 3 3 9 3 5" xfId="11103" xr:uid="{00000000-0005-0000-0000-00005C2B0000}"/>
    <cellStyle name="Comma 2 3 3 9 3 6" xfId="11104" xr:uid="{00000000-0005-0000-0000-00005D2B0000}"/>
    <cellStyle name="Comma 2 3 3 9 4" xfId="11105" xr:uid="{00000000-0005-0000-0000-00005E2B0000}"/>
    <cellStyle name="Comma 2 3 3 9 4 2" xfId="11106" xr:uid="{00000000-0005-0000-0000-00005F2B0000}"/>
    <cellStyle name="Comma 2 3 3 9 4 2 2" xfId="11107" xr:uid="{00000000-0005-0000-0000-0000602B0000}"/>
    <cellStyle name="Comma 2 3 3 9 4 3" xfId="11108" xr:uid="{00000000-0005-0000-0000-0000612B0000}"/>
    <cellStyle name="Comma 2 3 3 9 4 4" xfId="11109" xr:uid="{00000000-0005-0000-0000-0000622B0000}"/>
    <cellStyle name="Comma 2 3 3 9 4 5" xfId="11110" xr:uid="{00000000-0005-0000-0000-0000632B0000}"/>
    <cellStyle name="Comma 2 3 3 9 5" xfId="11111" xr:uid="{00000000-0005-0000-0000-0000642B0000}"/>
    <cellStyle name="Comma 2 3 3 9 5 2" xfId="11112" xr:uid="{00000000-0005-0000-0000-0000652B0000}"/>
    <cellStyle name="Comma 2 3 3 9 5 3" xfId="11113" xr:uid="{00000000-0005-0000-0000-0000662B0000}"/>
    <cellStyle name="Comma 2 3 3 9 5 4" xfId="11114" xr:uid="{00000000-0005-0000-0000-0000672B0000}"/>
    <cellStyle name="Comma 2 3 3 9 6" xfId="11115" xr:uid="{00000000-0005-0000-0000-0000682B0000}"/>
    <cellStyle name="Comma 2 3 3 9 6 2" xfId="11116" xr:uid="{00000000-0005-0000-0000-0000692B0000}"/>
    <cellStyle name="Comma 2 3 3 9 7" xfId="11117" xr:uid="{00000000-0005-0000-0000-00006A2B0000}"/>
    <cellStyle name="Comma 2 3 3 9 8" xfId="11118" xr:uid="{00000000-0005-0000-0000-00006B2B0000}"/>
    <cellStyle name="Comma 2 3 3 9 9" xfId="11119" xr:uid="{00000000-0005-0000-0000-00006C2B0000}"/>
    <cellStyle name="Comma 2 3 30" xfId="11120" xr:uid="{00000000-0005-0000-0000-00006D2B0000}"/>
    <cellStyle name="Comma 2 3 30 2" xfId="11121" xr:uid="{00000000-0005-0000-0000-00006E2B0000}"/>
    <cellStyle name="Comma 2 3 30 2 2" xfId="11122" xr:uid="{00000000-0005-0000-0000-00006F2B0000}"/>
    <cellStyle name="Comma 2 3 30 2 2 2" xfId="11123" xr:uid="{00000000-0005-0000-0000-0000702B0000}"/>
    <cellStyle name="Comma 2 3 30 2 2 3" xfId="11124" xr:uid="{00000000-0005-0000-0000-0000712B0000}"/>
    <cellStyle name="Comma 2 3 30 2 3" xfId="11125" xr:uid="{00000000-0005-0000-0000-0000722B0000}"/>
    <cellStyle name="Comma 2 3 30 2 4" xfId="11126" xr:uid="{00000000-0005-0000-0000-0000732B0000}"/>
    <cellStyle name="Comma 2 3 30 2 5" xfId="11127" xr:uid="{00000000-0005-0000-0000-0000742B0000}"/>
    <cellStyle name="Comma 2 3 30 2 6" xfId="11128" xr:uid="{00000000-0005-0000-0000-0000752B0000}"/>
    <cellStyle name="Comma 2 3 30 3" xfId="11129" xr:uid="{00000000-0005-0000-0000-0000762B0000}"/>
    <cellStyle name="Comma 2 3 30 3 2" xfId="11130" xr:uid="{00000000-0005-0000-0000-0000772B0000}"/>
    <cellStyle name="Comma 2 3 30 3 2 2" xfId="11131" xr:uid="{00000000-0005-0000-0000-0000782B0000}"/>
    <cellStyle name="Comma 2 3 30 3 3" xfId="11132" xr:uid="{00000000-0005-0000-0000-0000792B0000}"/>
    <cellStyle name="Comma 2 3 30 3 4" xfId="11133" xr:uid="{00000000-0005-0000-0000-00007A2B0000}"/>
    <cellStyle name="Comma 2 3 30 3 5" xfId="11134" xr:uid="{00000000-0005-0000-0000-00007B2B0000}"/>
    <cellStyle name="Comma 2 3 30 4" xfId="11135" xr:uid="{00000000-0005-0000-0000-00007C2B0000}"/>
    <cellStyle name="Comma 2 3 30 4 2" xfId="11136" xr:uid="{00000000-0005-0000-0000-00007D2B0000}"/>
    <cellStyle name="Comma 2 3 30 4 3" xfId="11137" xr:uid="{00000000-0005-0000-0000-00007E2B0000}"/>
    <cellStyle name="Comma 2 3 30 4 4" xfId="11138" xr:uid="{00000000-0005-0000-0000-00007F2B0000}"/>
    <cellStyle name="Comma 2 3 30 5" xfId="11139" xr:uid="{00000000-0005-0000-0000-0000802B0000}"/>
    <cellStyle name="Comma 2 3 30 5 2" xfId="11140" xr:uid="{00000000-0005-0000-0000-0000812B0000}"/>
    <cellStyle name="Comma 2 3 30 6" xfId="11141" xr:uid="{00000000-0005-0000-0000-0000822B0000}"/>
    <cellStyle name="Comma 2 3 30 7" xfId="11142" xr:uid="{00000000-0005-0000-0000-0000832B0000}"/>
    <cellStyle name="Comma 2 3 30 8" xfId="11143" xr:uid="{00000000-0005-0000-0000-0000842B0000}"/>
    <cellStyle name="Comma 2 3 30 9" xfId="11144" xr:uid="{00000000-0005-0000-0000-0000852B0000}"/>
    <cellStyle name="Comma 2 3 31" xfId="11145" xr:uid="{00000000-0005-0000-0000-0000862B0000}"/>
    <cellStyle name="Comma 2 3 31 2" xfId="11146" xr:uid="{00000000-0005-0000-0000-0000872B0000}"/>
    <cellStyle name="Comma 2 3 31 2 2" xfId="11147" xr:uid="{00000000-0005-0000-0000-0000882B0000}"/>
    <cellStyle name="Comma 2 3 31 2 3" xfId="11148" xr:uid="{00000000-0005-0000-0000-0000892B0000}"/>
    <cellStyle name="Comma 2 3 31 3" xfId="11149" xr:uid="{00000000-0005-0000-0000-00008A2B0000}"/>
    <cellStyle name="Comma 2 3 31 4" xfId="11150" xr:uid="{00000000-0005-0000-0000-00008B2B0000}"/>
    <cellStyle name="Comma 2 3 31 5" xfId="11151" xr:uid="{00000000-0005-0000-0000-00008C2B0000}"/>
    <cellStyle name="Comma 2 3 31 6" xfId="11152" xr:uid="{00000000-0005-0000-0000-00008D2B0000}"/>
    <cellStyle name="Comma 2 3 32" xfId="11153" xr:uid="{00000000-0005-0000-0000-00008E2B0000}"/>
    <cellStyle name="Comma 2 3 32 2" xfId="11154" xr:uid="{00000000-0005-0000-0000-00008F2B0000}"/>
    <cellStyle name="Comma 2 3 32 2 2" xfId="11155" xr:uid="{00000000-0005-0000-0000-0000902B0000}"/>
    <cellStyle name="Comma 2 3 32 3" xfId="11156" xr:uid="{00000000-0005-0000-0000-0000912B0000}"/>
    <cellStyle name="Comma 2 3 32 4" xfId="11157" xr:uid="{00000000-0005-0000-0000-0000922B0000}"/>
    <cellStyle name="Comma 2 3 32 5" xfId="11158" xr:uid="{00000000-0005-0000-0000-0000932B0000}"/>
    <cellStyle name="Comma 2 3 33" xfId="11159" xr:uid="{00000000-0005-0000-0000-0000942B0000}"/>
    <cellStyle name="Comma 2 3 33 2" xfId="11160" xr:uid="{00000000-0005-0000-0000-0000952B0000}"/>
    <cellStyle name="Comma 2 3 33 2 2" xfId="11161" xr:uid="{00000000-0005-0000-0000-0000962B0000}"/>
    <cellStyle name="Comma 2 3 33 3" xfId="11162" xr:uid="{00000000-0005-0000-0000-0000972B0000}"/>
    <cellStyle name="Comma 2 3 33 4" xfId="11163" xr:uid="{00000000-0005-0000-0000-0000982B0000}"/>
    <cellStyle name="Comma 2 3 33 5" xfId="11164" xr:uid="{00000000-0005-0000-0000-0000992B0000}"/>
    <cellStyle name="Comma 2 3 34" xfId="11165" xr:uid="{00000000-0005-0000-0000-00009A2B0000}"/>
    <cellStyle name="Comma 2 3 34 2" xfId="11166" xr:uid="{00000000-0005-0000-0000-00009B2B0000}"/>
    <cellStyle name="Comma 2 3 35" xfId="11167" xr:uid="{00000000-0005-0000-0000-00009C2B0000}"/>
    <cellStyle name="Comma 2 3 36" xfId="11168" xr:uid="{00000000-0005-0000-0000-00009D2B0000}"/>
    <cellStyle name="Comma 2 3 37" xfId="11169" xr:uid="{00000000-0005-0000-0000-00009E2B0000}"/>
    <cellStyle name="Comma 2 3 38" xfId="11170" xr:uid="{00000000-0005-0000-0000-00009F2B0000}"/>
    <cellStyle name="Comma 2 3 4" xfId="11171" xr:uid="{00000000-0005-0000-0000-0000A02B0000}"/>
    <cellStyle name="Comma 2 3 4 10" xfId="11172" xr:uid="{00000000-0005-0000-0000-0000A12B0000}"/>
    <cellStyle name="Comma 2 3 4 11" xfId="11173" xr:uid="{00000000-0005-0000-0000-0000A22B0000}"/>
    <cellStyle name="Comma 2 3 4 2" xfId="11174" xr:uid="{00000000-0005-0000-0000-0000A32B0000}"/>
    <cellStyle name="Comma 2 3 4 2 2" xfId="11175" xr:uid="{00000000-0005-0000-0000-0000A42B0000}"/>
    <cellStyle name="Comma 2 3 4 2 2 2" xfId="11176" xr:uid="{00000000-0005-0000-0000-0000A52B0000}"/>
    <cellStyle name="Comma 2 3 4 2 2 2 2" xfId="11177" xr:uid="{00000000-0005-0000-0000-0000A62B0000}"/>
    <cellStyle name="Comma 2 3 4 2 2 2 3" xfId="11178" xr:uid="{00000000-0005-0000-0000-0000A72B0000}"/>
    <cellStyle name="Comma 2 3 4 2 2 3" xfId="11179" xr:uid="{00000000-0005-0000-0000-0000A82B0000}"/>
    <cellStyle name="Comma 2 3 4 2 2 4" xfId="11180" xr:uid="{00000000-0005-0000-0000-0000A92B0000}"/>
    <cellStyle name="Comma 2 3 4 2 2 5" xfId="11181" xr:uid="{00000000-0005-0000-0000-0000AA2B0000}"/>
    <cellStyle name="Comma 2 3 4 2 2 6" xfId="11182" xr:uid="{00000000-0005-0000-0000-0000AB2B0000}"/>
    <cellStyle name="Comma 2 3 4 2 3" xfId="11183" xr:uid="{00000000-0005-0000-0000-0000AC2B0000}"/>
    <cellStyle name="Comma 2 3 4 2 3 2" xfId="11184" xr:uid="{00000000-0005-0000-0000-0000AD2B0000}"/>
    <cellStyle name="Comma 2 3 4 2 3 2 2" xfId="11185" xr:uid="{00000000-0005-0000-0000-0000AE2B0000}"/>
    <cellStyle name="Comma 2 3 4 2 3 3" xfId="11186" xr:uid="{00000000-0005-0000-0000-0000AF2B0000}"/>
    <cellStyle name="Comma 2 3 4 2 3 4" xfId="11187" xr:uid="{00000000-0005-0000-0000-0000B02B0000}"/>
    <cellStyle name="Comma 2 3 4 2 3 5" xfId="11188" xr:uid="{00000000-0005-0000-0000-0000B12B0000}"/>
    <cellStyle name="Comma 2 3 4 2 4" xfId="11189" xr:uid="{00000000-0005-0000-0000-0000B22B0000}"/>
    <cellStyle name="Comma 2 3 4 2 4 2" xfId="11190" xr:uid="{00000000-0005-0000-0000-0000B32B0000}"/>
    <cellStyle name="Comma 2 3 4 2 4 3" xfId="11191" xr:uid="{00000000-0005-0000-0000-0000B42B0000}"/>
    <cellStyle name="Comma 2 3 4 2 4 4" xfId="11192" xr:uid="{00000000-0005-0000-0000-0000B52B0000}"/>
    <cellStyle name="Comma 2 3 4 2 5" xfId="11193" xr:uid="{00000000-0005-0000-0000-0000B62B0000}"/>
    <cellStyle name="Comma 2 3 4 2 5 2" xfId="11194" xr:uid="{00000000-0005-0000-0000-0000B72B0000}"/>
    <cellStyle name="Comma 2 3 4 2 6" xfId="11195" xr:uid="{00000000-0005-0000-0000-0000B82B0000}"/>
    <cellStyle name="Comma 2 3 4 2 7" xfId="11196" xr:uid="{00000000-0005-0000-0000-0000B92B0000}"/>
    <cellStyle name="Comma 2 3 4 2 8" xfId="11197" xr:uid="{00000000-0005-0000-0000-0000BA2B0000}"/>
    <cellStyle name="Comma 2 3 4 2 9" xfId="11198" xr:uid="{00000000-0005-0000-0000-0000BB2B0000}"/>
    <cellStyle name="Comma 2 3 4 3" xfId="11199" xr:uid="{00000000-0005-0000-0000-0000BC2B0000}"/>
    <cellStyle name="Comma 2 3 4 3 2" xfId="11200" xr:uid="{00000000-0005-0000-0000-0000BD2B0000}"/>
    <cellStyle name="Comma 2 3 4 3 2 2" xfId="11201" xr:uid="{00000000-0005-0000-0000-0000BE2B0000}"/>
    <cellStyle name="Comma 2 3 4 3 2 2 2" xfId="11202" xr:uid="{00000000-0005-0000-0000-0000BF2B0000}"/>
    <cellStyle name="Comma 2 3 4 3 2 2 3" xfId="11203" xr:uid="{00000000-0005-0000-0000-0000C02B0000}"/>
    <cellStyle name="Comma 2 3 4 3 2 3" xfId="11204" xr:uid="{00000000-0005-0000-0000-0000C12B0000}"/>
    <cellStyle name="Comma 2 3 4 3 2 4" xfId="11205" xr:uid="{00000000-0005-0000-0000-0000C22B0000}"/>
    <cellStyle name="Comma 2 3 4 3 2 5" xfId="11206" xr:uid="{00000000-0005-0000-0000-0000C32B0000}"/>
    <cellStyle name="Comma 2 3 4 3 2 6" xfId="11207" xr:uid="{00000000-0005-0000-0000-0000C42B0000}"/>
    <cellStyle name="Comma 2 3 4 3 3" xfId="11208" xr:uid="{00000000-0005-0000-0000-0000C52B0000}"/>
    <cellStyle name="Comma 2 3 4 3 3 2" xfId="11209" xr:uid="{00000000-0005-0000-0000-0000C62B0000}"/>
    <cellStyle name="Comma 2 3 4 3 3 2 2" xfId="11210" xr:uid="{00000000-0005-0000-0000-0000C72B0000}"/>
    <cellStyle name="Comma 2 3 4 3 3 3" xfId="11211" xr:uid="{00000000-0005-0000-0000-0000C82B0000}"/>
    <cellStyle name="Comma 2 3 4 3 3 4" xfId="11212" xr:uid="{00000000-0005-0000-0000-0000C92B0000}"/>
    <cellStyle name="Comma 2 3 4 3 3 5" xfId="11213" xr:uid="{00000000-0005-0000-0000-0000CA2B0000}"/>
    <cellStyle name="Comma 2 3 4 3 4" xfId="11214" xr:uid="{00000000-0005-0000-0000-0000CB2B0000}"/>
    <cellStyle name="Comma 2 3 4 3 4 2" xfId="11215" xr:uid="{00000000-0005-0000-0000-0000CC2B0000}"/>
    <cellStyle name="Comma 2 3 4 3 4 3" xfId="11216" xr:uid="{00000000-0005-0000-0000-0000CD2B0000}"/>
    <cellStyle name="Comma 2 3 4 3 4 4" xfId="11217" xr:uid="{00000000-0005-0000-0000-0000CE2B0000}"/>
    <cellStyle name="Comma 2 3 4 3 5" xfId="11218" xr:uid="{00000000-0005-0000-0000-0000CF2B0000}"/>
    <cellStyle name="Comma 2 3 4 3 5 2" xfId="11219" xr:uid="{00000000-0005-0000-0000-0000D02B0000}"/>
    <cellStyle name="Comma 2 3 4 3 6" xfId="11220" xr:uid="{00000000-0005-0000-0000-0000D12B0000}"/>
    <cellStyle name="Comma 2 3 4 3 7" xfId="11221" xr:uid="{00000000-0005-0000-0000-0000D22B0000}"/>
    <cellStyle name="Comma 2 3 4 3 8" xfId="11222" xr:uid="{00000000-0005-0000-0000-0000D32B0000}"/>
    <cellStyle name="Comma 2 3 4 3 9" xfId="11223" xr:uid="{00000000-0005-0000-0000-0000D42B0000}"/>
    <cellStyle name="Comma 2 3 4 4" xfId="11224" xr:uid="{00000000-0005-0000-0000-0000D52B0000}"/>
    <cellStyle name="Comma 2 3 4 4 2" xfId="11225" xr:uid="{00000000-0005-0000-0000-0000D62B0000}"/>
    <cellStyle name="Comma 2 3 4 4 2 2" xfId="11226" xr:uid="{00000000-0005-0000-0000-0000D72B0000}"/>
    <cellStyle name="Comma 2 3 4 4 2 3" xfId="11227" xr:uid="{00000000-0005-0000-0000-0000D82B0000}"/>
    <cellStyle name="Comma 2 3 4 4 3" xfId="11228" xr:uid="{00000000-0005-0000-0000-0000D92B0000}"/>
    <cellStyle name="Comma 2 3 4 4 4" xfId="11229" xr:uid="{00000000-0005-0000-0000-0000DA2B0000}"/>
    <cellStyle name="Comma 2 3 4 4 5" xfId="11230" xr:uid="{00000000-0005-0000-0000-0000DB2B0000}"/>
    <cellStyle name="Comma 2 3 4 4 6" xfId="11231" xr:uid="{00000000-0005-0000-0000-0000DC2B0000}"/>
    <cellStyle name="Comma 2 3 4 5" xfId="11232" xr:uid="{00000000-0005-0000-0000-0000DD2B0000}"/>
    <cellStyle name="Comma 2 3 4 5 2" xfId="11233" xr:uid="{00000000-0005-0000-0000-0000DE2B0000}"/>
    <cellStyle name="Comma 2 3 4 5 2 2" xfId="11234" xr:uid="{00000000-0005-0000-0000-0000DF2B0000}"/>
    <cellStyle name="Comma 2 3 4 5 3" xfId="11235" xr:uid="{00000000-0005-0000-0000-0000E02B0000}"/>
    <cellStyle name="Comma 2 3 4 5 4" xfId="11236" xr:uid="{00000000-0005-0000-0000-0000E12B0000}"/>
    <cellStyle name="Comma 2 3 4 5 5" xfId="11237" xr:uid="{00000000-0005-0000-0000-0000E22B0000}"/>
    <cellStyle name="Comma 2 3 4 6" xfId="11238" xr:uid="{00000000-0005-0000-0000-0000E32B0000}"/>
    <cellStyle name="Comma 2 3 4 6 2" xfId="11239" xr:uid="{00000000-0005-0000-0000-0000E42B0000}"/>
    <cellStyle name="Comma 2 3 4 6 3" xfId="11240" xr:uid="{00000000-0005-0000-0000-0000E52B0000}"/>
    <cellStyle name="Comma 2 3 4 6 4" xfId="11241" xr:uid="{00000000-0005-0000-0000-0000E62B0000}"/>
    <cellStyle name="Comma 2 3 4 7" xfId="11242" xr:uid="{00000000-0005-0000-0000-0000E72B0000}"/>
    <cellStyle name="Comma 2 3 4 7 2" xfId="11243" xr:uid="{00000000-0005-0000-0000-0000E82B0000}"/>
    <cellStyle name="Comma 2 3 4 8" xfId="11244" xr:uid="{00000000-0005-0000-0000-0000E92B0000}"/>
    <cellStyle name="Comma 2 3 4 9" xfId="11245" xr:uid="{00000000-0005-0000-0000-0000EA2B0000}"/>
    <cellStyle name="Comma 2 3 5" xfId="11246" xr:uid="{00000000-0005-0000-0000-0000EB2B0000}"/>
    <cellStyle name="Comma 2 3 5 10" xfId="11247" xr:uid="{00000000-0005-0000-0000-0000EC2B0000}"/>
    <cellStyle name="Comma 2 3 5 11" xfId="11248" xr:uid="{00000000-0005-0000-0000-0000ED2B0000}"/>
    <cellStyle name="Comma 2 3 5 2" xfId="11249" xr:uid="{00000000-0005-0000-0000-0000EE2B0000}"/>
    <cellStyle name="Comma 2 3 5 2 2" xfId="11250" xr:uid="{00000000-0005-0000-0000-0000EF2B0000}"/>
    <cellStyle name="Comma 2 3 5 2 2 2" xfId="11251" xr:uid="{00000000-0005-0000-0000-0000F02B0000}"/>
    <cellStyle name="Comma 2 3 5 2 2 2 2" xfId="11252" xr:uid="{00000000-0005-0000-0000-0000F12B0000}"/>
    <cellStyle name="Comma 2 3 5 2 2 2 3" xfId="11253" xr:uid="{00000000-0005-0000-0000-0000F22B0000}"/>
    <cellStyle name="Comma 2 3 5 2 2 3" xfId="11254" xr:uid="{00000000-0005-0000-0000-0000F32B0000}"/>
    <cellStyle name="Comma 2 3 5 2 2 4" xfId="11255" xr:uid="{00000000-0005-0000-0000-0000F42B0000}"/>
    <cellStyle name="Comma 2 3 5 2 2 5" xfId="11256" xr:uid="{00000000-0005-0000-0000-0000F52B0000}"/>
    <cellStyle name="Comma 2 3 5 2 2 6" xfId="11257" xr:uid="{00000000-0005-0000-0000-0000F62B0000}"/>
    <cellStyle name="Comma 2 3 5 2 3" xfId="11258" xr:uid="{00000000-0005-0000-0000-0000F72B0000}"/>
    <cellStyle name="Comma 2 3 5 2 3 2" xfId="11259" xr:uid="{00000000-0005-0000-0000-0000F82B0000}"/>
    <cellStyle name="Comma 2 3 5 2 3 2 2" xfId="11260" xr:uid="{00000000-0005-0000-0000-0000F92B0000}"/>
    <cellStyle name="Comma 2 3 5 2 3 3" xfId="11261" xr:uid="{00000000-0005-0000-0000-0000FA2B0000}"/>
    <cellStyle name="Comma 2 3 5 2 3 4" xfId="11262" xr:uid="{00000000-0005-0000-0000-0000FB2B0000}"/>
    <cellStyle name="Comma 2 3 5 2 3 5" xfId="11263" xr:uid="{00000000-0005-0000-0000-0000FC2B0000}"/>
    <cellStyle name="Comma 2 3 5 2 4" xfId="11264" xr:uid="{00000000-0005-0000-0000-0000FD2B0000}"/>
    <cellStyle name="Comma 2 3 5 2 4 2" xfId="11265" xr:uid="{00000000-0005-0000-0000-0000FE2B0000}"/>
    <cellStyle name="Comma 2 3 5 2 4 3" xfId="11266" xr:uid="{00000000-0005-0000-0000-0000FF2B0000}"/>
    <cellStyle name="Comma 2 3 5 2 4 4" xfId="11267" xr:uid="{00000000-0005-0000-0000-0000002C0000}"/>
    <cellStyle name="Comma 2 3 5 2 5" xfId="11268" xr:uid="{00000000-0005-0000-0000-0000012C0000}"/>
    <cellStyle name="Comma 2 3 5 2 5 2" xfId="11269" xr:uid="{00000000-0005-0000-0000-0000022C0000}"/>
    <cellStyle name="Comma 2 3 5 2 6" xfId="11270" xr:uid="{00000000-0005-0000-0000-0000032C0000}"/>
    <cellStyle name="Comma 2 3 5 2 7" xfId="11271" xr:uid="{00000000-0005-0000-0000-0000042C0000}"/>
    <cellStyle name="Comma 2 3 5 2 8" xfId="11272" xr:uid="{00000000-0005-0000-0000-0000052C0000}"/>
    <cellStyle name="Comma 2 3 5 2 9" xfId="11273" xr:uid="{00000000-0005-0000-0000-0000062C0000}"/>
    <cellStyle name="Comma 2 3 5 3" xfId="11274" xr:uid="{00000000-0005-0000-0000-0000072C0000}"/>
    <cellStyle name="Comma 2 3 5 3 2" xfId="11275" xr:uid="{00000000-0005-0000-0000-0000082C0000}"/>
    <cellStyle name="Comma 2 3 5 3 2 2" xfId="11276" xr:uid="{00000000-0005-0000-0000-0000092C0000}"/>
    <cellStyle name="Comma 2 3 5 3 2 2 2" xfId="11277" xr:uid="{00000000-0005-0000-0000-00000A2C0000}"/>
    <cellStyle name="Comma 2 3 5 3 2 2 3" xfId="11278" xr:uid="{00000000-0005-0000-0000-00000B2C0000}"/>
    <cellStyle name="Comma 2 3 5 3 2 3" xfId="11279" xr:uid="{00000000-0005-0000-0000-00000C2C0000}"/>
    <cellStyle name="Comma 2 3 5 3 2 4" xfId="11280" xr:uid="{00000000-0005-0000-0000-00000D2C0000}"/>
    <cellStyle name="Comma 2 3 5 3 2 5" xfId="11281" xr:uid="{00000000-0005-0000-0000-00000E2C0000}"/>
    <cellStyle name="Comma 2 3 5 3 2 6" xfId="11282" xr:uid="{00000000-0005-0000-0000-00000F2C0000}"/>
    <cellStyle name="Comma 2 3 5 3 3" xfId="11283" xr:uid="{00000000-0005-0000-0000-0000102C0000}"/>
    <cellStyle name="Comma 2 3 5 3 3 2" xfId="11284" xr:uid="{00000000-0005-0000-0000-0000112C0000}"/>
    <cellStyle name="Comma 2 3 5 3 3 2 2" xfId="11285" xr:uid="{00000000-0005-0000-0000-0000122C0000}"/>
    <cellStyle name="Comma 2 3 5 3 3 3" xfId="11286" xr:uid="{00000000-0005-0000-0000-0000132C0000}"/>
    <cellStyle name="Comma 2 3 5 3 3 4" xfId="11287" xr:uid="{00000000-0005-0000-0000-0000142C0000}"/>
    <cellStyle name="Comma 2 3 5 3 3 5" xfId="11288" xr:uid="{00000000-0005-0000-0000-0000152C0000}"/>
    <cellStyle name="Comma 2 3 5 3 4" xfId="11289" xr:uid="{00000000-0005-0000-0000-0000162C0000}"/>
    <cellStyle name="Comma 2 3 5 3 4 2" xfId="11290" xr:uid="{00000000-0005-0000-0000-0000172C0000}"/>
    <cellStyle name="Comma 2 3 5 3 4 3" xfId="11291" xr:uid="{00000000-0005-0000-0000-0000182C0000}"/>
    <cellStyle name="Comma 2 3 5 3 4 4" xfId="11292" xr:uid="{00000000-0005-0000-0000-0000192C0000}"/>
    <cellStyle name="Comma 2 3 5 3 5" xfId="11293" xr:uid="{00000000-0005-0000-0000-00001A2C0000}"/>
    <cellStyle name="Comma 2 3 5 3 5 2" xfId="11294" xr:uid="{00000000-0005-0000-0000-00001B2C0000}"/>
    <cellStyle name="Comma 2 3 5 3 6" xfId="11295" xr:uid="{00000000-0005-0000-0000-00001C2C0000}"/>
    <cellStyle name="Comma 2 3 5 3 7" xfId="11296" xr:uid="{00000000-0005-0000-0000-00001D2C0000}"/>
    <cellStyle name="Comma 2 3 5 3 8" xfId="11297" xr:uid="{00000000-0005-0000-0000-00001E2C0000}"/>
    <cellStyle name="Comma 2 3 5 3 9" xfId="11298" xr:uid="{00000000-0005-0000-0000-00001F2C0000}"/>
    <cellStyle name="Comma 2 3 5 4" xfId="11299" xr:uid="{00000000-0005-0000-0000-0000202C0000}"/>
    <cellStyle name="Comma 2 3 5 4 2" xfId="11300" xr:uid="{00000000-0005-0000-0000-0000212C0000}"/>
    <cellStyle name="Comma 2 3 5 4 2 2" xfId="11301" xr:uid="{00000000-0005-0000-0000-0000222C0000}"/>
    <cellStyle name="Comma 2 3 5 4 2 3" xfId="11302" xr:uid="{00000000-0005-0000-0000-0000232C0000}"/>
    <cellStyle name="Comma 2 3 5 4 3" xfId="11303" xr:uid="{00000000-0005-0000-0000-0000242C0000}"/>
    <cellStyle name="Comma 2 3 5 4 4" xfId="11304" xr:uid="{00000000-0005-0000-0000-0000252C0000}"/>
    <cellStyle name="Comma 2 3 5 4 5" xfId="11305" xr:uid="{00000000-0005-0000-0000-0000262C0000}"/>
    <cellStyle name="Comma 2 3 5 4 6" xfId="11306" xr:uid="{00000000-0005-0000-0000-0000272C0000}"/>
    <cellStyle name="Comma 2 3 5 5" xfId="11307" xr:uid="{00000000-0005-0000-0000-0000282C0000}"/>
    <cellStyle name="Comma 2 3 5 5 2" xfId="11308" xr:uid="{00000000-0005-0000-0000-0000292C0000}"/>
    <cellStyle name="Comma 2 3 5 5 2 2" xfId="11309" xr:uid="{00000000-0005-0000-0000-00002A2C0000}"/>
    <cellStyle name="Comma 2 3 5 5 3" xfId="11310" xr:uid="{00000000-0005-0000-0000-00002B2C0000}"/>
    <cellStyle name="Comma 2 3 5 5 4" xfId="11311" xr:uid="{00000000-0005-0000-0000-00002C2C0000}"/>
    <cellStyle name="Comma 2 3 5 5 5" xfId="11312" xr:uid="{00000000-0005-0000-0000-00002D2C0000}"/>
    <cellStyle name="Comma 2 3 5 6" xfId="11313" xr:uid="{00000000-0005-0000-0000-00002E2C0000}"/>
    <cellStyle name="Comma 2 3 5 6 2" xfId="11314" xr:uid="{00000000-0005-0000-0000-00002F2C0000}"/>
    <cellStyle name="Comma 2 3 5 6 3" xfId="11315" xr:uid="{00000000-0005-0000-0000-0000302C0000}"/>
    <cellStyle name="Comma 2 3 5 6 4" xfId="11316" xr:uid="{00000000-0005-0000-0000-0000312C0000}"/>
    <cellStyle name="Comma 2 3 5 7" xfId="11317" xr:uid="{00000000-0005-0000-0000-0000322C0000}"/>
    <cellStyle name="Comma 2 3 5 7 2" xfId="11318" xr:uid="{00000000-0005-0000-0000-0000332C0000}"/>
    <cellStyle name="Comma 2 3 5 8" xfId="11319" xr:uid="{00000000-0005-0000-0000-0000342C0000}"/>
    <cellStyle name="Comma 2 3 5 9" xfId="11320" xr:uid="{00000000-0005-0000-0000-0000352C0000}"/>
    <cellStyle name="Comma 2 3 6" xfId="11321" xr:uid="{00000000-0005-0000-0000-0000362C0000}"/>
    <cellStyle name="Comma 2 3 6 10" xfId="11322" xr:uid="{00000000-0005-0000-0000-0000372C0000}"/>
    <cellStyle name="Comma 2 3 6 11" xfId="11323" xr:uid="{00000000-0005-0000-0000-0000382C0000}"/>
    <cellStyle name="Comma 2 3 6 2" xfId="11324" xr:uid="{00000000-0005-0000-0000-0000392C0000}"/>
    <cellStyle name="Comma 2 3 6 2 2" xfId="11325" xr:uid="{00000000-0005-0000-0000-00003A2C0000}"/>
    <cellStyle name="Comma 2 3 6 2 2 2" xfId="11326" xr:uid="{00000000-0005-0000-0000-00003B2C0000}"/>
    <cellStyle name="Comma 2 3 6 2 2 2 2" xfId="11327" xr:uid="{00000000-0005-0000-0000-00003C2C0000}"/>
    <cellStyle name="Comma 2 3 6 2 2 2 3" xfId="11328" xr:uid="{00000000-0005-0000-0000-00003D2C0000}"/>
    <cellStyle name="Comma 2 3 6 2 2 3" xfId="11329" xr:uid="{00000000-0005-0000-0000-00003E2C0000}"/>
    <cellStyle name="Comma 2 3 6 2 2 4" xfId="11330" xr:uid="{00000000-0005-0000-0000-00003F2C0000}"/>
    <cellStyle name="Comma 2 3 6 2 2 5" xfId="11331" xr:uid="{00000000-0005-0000-0000-0000402C0000}"/>
    <cellStyle name="Comma 2 3 6 2 2 6" xfId="11332" xr:uid="{00000000-0005-0000-0000-0000412C0000}"/>
    <cellStyle name="Comma 2 3 6 2 3" xfId="11333" xr:uid="{00000000-0005-0000-0000-0000422C0000}"/>
    <cellStyle name="Comma 2 3 6 2 3 2" xfId="11334" xr:uid="{00000000-0005-0000-0000-0000432C0000}"/>
    <cellStyle name="Comma 2 3 6 2 3 2 2" xfId="11335" xr:uid="{00000000-0005-0000-0000-0000442C0000}"/>
    <cellStyle name="Comma 2 3 6 2 3 3" xfId="11336" xr:uid="{00000000-0005-0000-0000-0000452C0000}"/>
    <cellStyle name="Comma 2 3 6 2 3 4" xfId="11337" xr:uid="{00000000-0005-0000-0000-0000462C0000}"/>
    <cellStyle name="Comma 2 3 6 2 3 5" xfId="11338" xr:uid="{00000000-0005-0000-0000-0000472C0000}"/>
    <cellStyle name="Comma 2 3 6 2 4" xfId="11339" xr:uid="{00000000-0005-0000-0000-0000482C0000}"/>
    <cellStyle name="Comma 2 3 6 2 4 2" xfId="11340" xr:uid="{00000000-0005-0000-0000-0000492C0000}"/>
    <cellStyle name="Comma 2 3 6 2 4 3" xfId="11341" xr:uid="{00000000-0005-0000-0000-00004A2C0000}"/>
    <cellStyle name="Comma 2 3 6 2 4 4" xfId="11342" xr:uid="{00000000-0005-0000-0000-00004B2C0000}"/>
    <cellStyle name="Comma 2 3 6 2 5" xfId="11343" xr:uid="{00000000-0005-0000-0000-00004C2C0000}"/>
    <cellStyle name="Comma 2 3 6 2 5 2" xfId="11344" xr:uid="{00000000-0005-0000-0000-00004D2C0000}"/>
    <cellStyle name="Comma 2 3 6 2 6" xfId="11345" xr:uid="{00000000-0005-0000-0000-00004E2C0000}"/>
    <cellStyle name="Comma 2 3 6 2 7" xfId="11346" xr:uid="{00000000-0005-0000-0000-00004F2C0000}"/>
    <cellStyle name="Comma 2 3 6 2 8" xfId="11347" xr:uid="{00000000-0005-0000-0000-0000502C0000}"/>
    <cellStyle name="Comma 2 3 6 2 9" xfId="11348" xr:uid="{00000000-0005-0000-0000-0000512C0000}"/>
    <cellStyle name="Comma 2 3 6 3" xfId="11349" xr:uid="{00000000-0005-0000-0000-0000522C0000}"/>
    <cellStyle name="Comma 2 3 6 3 2" xfId="11350" xr:uid="{00000000-0005-0000-0000-0000532C0000}"/>
    <cellStyle name="Comma 2 3 6 3 2 2" xfId="11351" xr:uid="{00000000-0005-0000-0000-0000542C0000}"/>
    <cellStyle name="Comma 2 3 6 3 2 2 2" xfId="11352" xr:uid="{00000000-0005-0000-0000-0000552C0000}"/>
    <cellStyle name="Comma 2 3 6 3 2 2 3" xfId="11353" xr:uid="{00000000-0005-0000-0000-0000562C0000}"/>
    <cellStyle name="Comma 2 3 6 3 2 3" xfId="11354" xr:uid="{00000000-0005-0000-0000-0000572C0000}"/>
    <cellStyle name="Comma 2 3 6 3 2 4" xfId="11355" xr:uid="{00000000-0005-0000-0000-0000582C0000}"/>
    <cellStyle name="Comma 2 3 6 3 2 5" xfId="11356" xr:uid="{00000000-0005-0000-0000-0000592C0000}"/>
    <cellStyle name="Comma 2 3 6 3 2 6" xfId="11357" xr:uid="{00000000-0005-0000-0000-00005A2C0000}"/>
    <cellStyle name="Comma 2 3 6 3 3" xfId="11358" xr:uid="{00000000-0005-0000-0000-00005B2C0000}"/>
    <cellStyle name="Comma 2 3 6 3 3 2" xfId="11359" xr:uid="{00000000-0005-0000-0000-00005C2C0000}"/>
    <cellStyle name="Comma 2 3 6 3 3 2 2" xfId="11360" xr:uid="{00000000-0005-0000-0000-00005D2C0000}"/>
    <cellStyle name="Comma 2 3 6 3 3 3" xfId="11361" xr:uid="{00000000-0005-0000-0000-00005E2C0000}"/>
    <cellStyle name="Comma 2 3 6 3 3 4" xfId="11362" xr:uid="{00000000-0005-0000-0000-00005F2C0000}"/>
    <cellStyle name="Comma 2 3 6 3 3 5" xfId="11363" xr:uid="{00000000-0005-0000-0000-0000602C0000}"/>
    <cellStyle name="Comma 2 3 6 3 4" xfId="11364" xr:uid="{00000000-0005-0000-0000-0000612C0000}"/>
    <cellStyle name="Comma 2 3 6 3 4 2" xfId="11365" xr:uid="{00000000-0005-0000-0000-0000622C0000}"/>
    <cellStyle name="Comma 2 3 6 3 4 3" xfId="11366" xr:uid="{00000000-0005-0000-0000-0000632C0000}"/>
    <cellStyle name="Comma 2 3 6 3 4 4" xfId="11367" xr:uid="{00000000-0005-0000-0000-0000642C0000}"/>
    <cellStyle name="Comma 2 3 6 3 5" xfId="11368" xr:uid="{00000000-0005-0000-0000-0000652C0000}"/>
    <cellStyle name="Comma 2 3 6 3 5 2" xfId="11369" xr:uid="{00000000-0005-0000-0000-0000662C0000}"/>
    <cellStyle name="Comma 2 3 6 3 6" xfId="11370" xr:uid="{00000000-0005-0000-0000-0000672C0000}"/>
    <cellStyle name="Comma 2 3 6 3 7" xfId="11371" xr:uid="{00000000-0005-0000-0000-0000682C0000}"/>
    <cellStyle name="Comma 2 3 6 3 8" xfId="11372" xr:uid="{00000000-0005-0000-0000-0000692C0000}"/>
    <cellStyle name="Comma 2 3 6 3 9" xfId="11373" xr:uid="{00000000-0005-0000-0000-00006A2C0000}"/>
    <cellStyle name="Comma 2 3 6 4" xfId="11374" xr:uid="{00000000-0005-0000-0000-00006B2C0000}"/>
    <cellStyle name="Comma 2 3 6 4 2" xfId="11375" xr:uid="{00000000-0005-0000-0000-00006C2C0000}"/>
    <cellStyle name="Comma 2 3 6 4 2 2" xfId="11376" xr:uid="{00000000-0005-0000-0000-00006D2C0000}"/>
    <cellStyle name="Comma 2 3 6 4 2 3" xfId="11377" xr:uid="{00000000-0005-0000-0000-00006E2C0000}"/>
    <cellStyle name="Comma 2 3 6 4 3" xfId="11378" xr:uid="{00000000-0005-0000-0000-00006F2C0000}"/>
    <cellStyle name="Comma 2 3 6 4 4" xfId="11379" xr:uid="{00000000-0005-0000-0000-0000702C0000}"/>
    <cellStyle name="Comma 2 3 6 4 5" xfId="11380" xr:uid="{00000000-0005-0000-0000-0000712C0000}"/>
    <cellStyle name="Comma 2 3 6 4 6" xfId="11381" xr:uid="{00000000-0005-0000-0000-0000722C0000}"/>
    <cellStyle name="Comma 2 3 6 5" xfId="11382" xr:uid="{00000000-0005-0000-0000-0000732C0000}"/>
    <cellStyle name="Comma 2 3 6 5 2" xfId="11383" xr:uid="{00000000-0005-0000-0000-0000742C0000}"/>
    <cellStyle name="Comma 2 3 6 5 2 2" xfId="11384" xr:uid="{00000000-0005-0000-0000-0000752C0000}"/>
    <cellStyle name="Comma 2 3 6 5 3" xfId="11385" xr:uid="{00000000-0005-0000-0000-0000762C0000}"/>
    <cellStyle name="Comma 2 3 6 5 4" xfId="11386" xr:uid="{00000000-0005-0000-0000-0000772C0000}"/>
    <cellStyle name="Comma 2 3 6 5 5" xfId="11387" xr:uid="{00000000-0005-0000-0000-0000782C0000}"/>
    <cellStyle name="Comma 2 3 6 6" xfId="11388" xr:uid="{00000000-0005-0000-0000-0000792C0000}"/>
    <cellStyle name="Comma 2 3 6 6 2" xfId="11389" xr:uid="{00000000-0005-0000-0000-00007A2C0000}"/>
    <cellStyle name="Comma 2 3 6 6 3" xfId="11390" xr:uid="{00000000-0005-0000-0000-00007B2C0000}"/>
    <cellStyle name="Comma 2 3 6 6 4" xfId="11391" xr:uid="{00000000-0005-0000-0000-00007C2C0000}"/>
    <cellStyle name="Comma 2 3 6 7" xfId="11392" xr:uid="{00000000-0005-0000-0000-00007D2C0000}"/>
    <cellStyle name="Comma 2 3 6 7 2" xfId="11393" xr:uid="{00000000-0005-0000-0000-00007E2C0000}"/>
    <cellStyle name="Comma 2 3 6 8" xfId="11394" xr:uid="{00000000-0005-0000-0000-00007F2C0000}"/>
    <cellStyle name="Comma 2 3 6 9" xfId="11395" xr:uid="{00000000-0005-0000-0000-0000802C0000}"/>
    <cellStyle name="Comma 2 3 7" xfId="11396" xr:uid="{00000000-0005-0000-0000-0000812C0000}"/>
    <cellStyle name="Comma 2 3 7 10" xfId="11397" xr:uid="{00000000-0005-0000-0000-0000822C0000}"/>
    <cellStyle name="Comma 2 3 7 11" xfId="11398" xr:uid="{00000000-0005-0000-0000-0000832C0000}"/>
    <cellStyle name="Comma 2 3 7 2" xfId="11399" xr:uid="{00000000-0005-0000-0000-0000842C0000}"/>
    <cellStyle name="Comma 2 3 7 2 2" xfId="11400" xr:uid="{00000000-0005-0000-0000-0000852C0000}"/>
    <cellStyle name="Comma 2 3 7 2 2 2" xfId="11401" xr:uid="{00000000-0005-0000-0000-0000862C0000}"/>
    <cellStyle name="Comma 2 3 7 2 2 2 2" xfId="11402" xr:uid="{00000000-0005-0000-0000-0000872C0000}"/>
    <cellStyle name="Comma 2 3 7 2 2 2 3" xfId="11403" xr:uid="{00000000-0005-0000-0000-0000882C0000}"/>
    <cellStyle name="Comma 2 3 7 2 2 3" xfId="11404" xr:uid="{00000000-0005-0000-0000-0000892C0000}"/>
    <cellStyle name="Comma 2 3 7 2 2 4" xfId="11405" xr:uid="{00000000-0005-0000-0000-00008A2C0000}"/>
    <cellStyle name="Comma 2 3 7 2 2 5" xfId="11406" xr:uid="{00000000-0005-0000-0000-00008B2C0000}"/>
    <cellStyle name="Comma 2 3 7 2 2 6" xfId="11407" xr:uid="{00000000-0005-0000-0000-00008C2C0000}"/>
    <cellStyle name="Comma 2 3 7 2 3" xfId="11408" xr:uid="{00000000-0005-0000-0000-00008D2C0000}"/>
    <cellStyle name="Comma 2 3 7 2 3 2" xfId="11409" xr:uid="{00000000-0005-0000-0000-00008E2C0000}"/>
    <cellStyle name="Comma 2 3 7 2 3 2 2" xfId="11410" xr:uid="{00000000-0005-0000-0000-00008F2C0000}"/>
    <cellStyle name="Comma 2 3 7 2 3 3" xfId="11411" xr:uid="{00000000-0005-0000-0000-0000902C0000}"/>
    <cellStyle name="Comma 2 3 7 2 3 4" xfId="11412" xr:uid="{00000000-0005-0000-0000-0000912C0000}"/>
    <cellStyle name="Comma 2 3 7 2 3 5" xfId="11413" xr:uid="{00000000-0005-0000-0000-0000922C0000}"/>
    <cellStyle name="Comma 2 3 7 2 4" xfId="11414" xr:uid="{00000000-0005-0000-0000-0000932C0000}"/>
    <cellStyle name="Comma 2 3 7 2 4 2" xfId="11415" xr:uid="{00000000-0005-0000-0000-0000942C0000}"/>
    <cellStyle name="Comma 2 3 7 2 4 3" xfId="11416" xr:uid="{00000000-0005-0000-0000-0000952C0000}"/>
    <cellStyle name="Comma 2 3 7 2 4 4" xfId="11417" xr:uid="{00000000-0005-0000-0000-0000962C0000}"/>
    <cellStyle name="Comma 2 3 7 2 5" xfId="11418" xr:uid="{00000000-0005-0000-0000-0000972C0000}"/>
    <cellStyle name="Comma 2 3 7 2 5 2" xfId="11419" xr:uid="{00000000-0005-0000-0000-0000982C0000}"/>
    <cellStyle name="Comma 2 3 7 2 6" xfId="11420" xr:uid="{00000000-0005-0000-0000-0000992C0000}"/>
    <cellStyle name="Comma 2 3 7 2 7" xfId="11421" xr:uid="{00000000-0005-0000-0000-00009A2C0000}"/>
    <cellStyle name="Comma 2 3 7 2 8" xfId="11422" xr:uid="{00000000-0005-0000-0000-00009B2C0000}"/>
    <cellStyle name="Comma 2 3 7 2 9" xfId="11423" xr:uid="{00000000-0005-0000-0000-00009C2C0000}"/>
    <cellStyle name="Comma 2 3 7 3" xfId="11424" xr:uid="{00000000-0005-0000-0000-00009D2C0000}"/>
    <cellStyle name="Comma 2 3 7 3 2" xfId="11425" xr:uid="{00000000-0005-0000-0000-00009E2C0000}"/>
    <cellStyle name="Comma 2 3 7 3 2 2" xfId="11426" xr:uid="{00000000-0005-0000-0000-00009F2C0000}"/>
    <cellStyle name="Comma 2 3 7 3 2 2 2" xfId="11427" xr:uid="{00000000-0005-0000-0000-0000A02C0000}"/>
    <cellStyle name="Comma 2 3 7 3 2 2 3" xfId="11428" xr:uid="{00000000-0005-0000-0000-0000A12C0000}"/>
    <cellStyle name="Comma 2 3 7 3 2 3" xfId="11429" xr:uid="{00000000-0005-0000-0000-0000A22C0000}"/>
    <cellStyle name="Comma 2 3 7 3 2 4" xfId="11430" xr:uid="{00000000-0005-0000-0000-0000A32C0000}"/>
    <cellStyle name="Comma 2 3 7 3 2 5" xfId="11431" xr:uid="{00000000-0005-0000-0000-0000A42C0000}"/>
    <cellStyle name="Comma 2 3 7 3 2 6" xfId="11432" xr:uid="{00000000-0005-0000-0000-0000A52C0000}"/>
    <cellStyle name="Comma 2 3 7 3 3" xfId="11433" xr:uid="{00000000-0005-0000-0000-0000A62C0000}"/>
    <cellStyle name="Comma 2 3 7 3 3 2" xfId="11434" xr:uid="{00000000-0005-0000-0000-0000A72C0000}"/>
    <cellStyle name="Comma 2 3 7 3 3 2 2" xfId="11435" xr:uid="{00000000-0005-0000-0000-0000A82C0000}"/>
    <cellStyle name="Comma 2 3 7 3 3 3" xfId="11436" xr:uid="{00000000-0005-0000-0000-0000A92C0000}"/>
    <cellStyle name="Comma 2 3 7 3 3 4" xfId="11437" xr:uid="{00000000-0005-0000-0000-0000AA2C0000}"/>
    <cellStyle name="Comma 2 3 7 3 3 5" xfId="11438" xr:uid="{00000000-0005-0000-0000-0000AB2C0000}"/>
    <cellStyle name="Comma 2 3 7 3 4" xfId="11439" xr:uid="{00000000-0005-0000-0000-0000AC2C0000}"/>
    <cellStyle name="Comma 2 3 7 3 4 2" xfId="11440" xr:uid="{00000000-0005-0000-0000-0000AD2C0000}"/>
    <cellStyle name="Comma 2 3 7 3 4 3" xfId="11441" xr:uid="{00000000-0005-0000-0000-0000AE2C0000}"/>
    <cellStyle name="Comma 2 3 7 3 4 4" xfId="11442" xr:uid="{00000000-0005-0000-0000-0000AF2C0000}"/>
    <cellStyle name="Comma 2 3 7 3 5" xfId="11443" xr:uid="{00000000-0005-0000-0000-0000B02C0000}"/>
    <cellStyle name="Comma 2 3 7 3 5 2" xfId="11444" xr:uid="{00000000-0005-0000-0000-0000B12C0000}"/>
    <cellStyle name="Comma 2 3 7 3 6" xfId="11445" xr:uid="{00000000-0005-0000-0000-0000B22C0000}"/>
    <cellStyle name="Comma 2 3 7 3 7" xfId="11446" xr:uid="{00000000-0005-0000-0000-0000B32C0000}"/>
    <cellStyle name="Comma 2 3 7 3 8" xfId="11447" xr:uid="{00000000-0005-0000-0000-0000B42C0000}"/>
    <cellStyle name="Comma 2 3 7 3 9" xfId="11448" xr:uid="{00000000-0005-0000-0000-0000B52C0000}"/>
    <cellStyle name="Comma 2 3 7 4" xfId="11449" xr:uid="{00000000-0005-0000-0000-0000B62C0000}"/>
    <cellStyle name="Comma 2 3 7 4 2" xfId="11450" xr:uid="{00000000-0005-0000-0000-0000B72C0000}"/>
    <cellStyle name="Comma 2 3 7 4 2 2" xfId="11451" xr:uid="{00000000-0005-0000-0000-0000B82C0000}"/>
    <cellStyle name="Comma 2 3 7 4 2 3" xfId="11452" xr:uid="{00000000-0005-0000-0000-0000B92C0000}"/>
    <cellStyle name="Comma 2 3 7 4 3" xfId="11453" xr:uid="{00000000-0005-0000-0000-0000BA2C0000}"/>
    <cellStyle name="Comma 2 3 7 4 4" xfId="11454" xr:uid="{00000000-0005-0000-0000-0000BB2C0000}"/>
    <cellStyle name="Comma 2 3 7 4 5" xfId="11455" xr:uid="{00000000-0005-0000-0000-0000BC2C0000}"/>
    <cellStyle name="Comma 2 3 7 4 6" xfId="11456" xr:uid="{00000000-0005-0000-0000-0000BD2C0000}"/>
    <cellStyle name="Comma 2 3 7 5" xfId="11457" xr:uid="{00000000-0005-0000-0000-0000BE2C0000}"/>
    <cellStyle name="Comma 2 3 7 5 2" xfId="11458" xr:uid="{00000000-0005-0000-0000-0000BF2C0000}"/>
    <cellStyle name="Comma 2 3 7 5 2 2" xfId="11459" xr:uid="{00000000-0005-0000-0000-0000C02C0000}"/>
    <cellStyle name="Comma 2 3 7 5 3" xfId="11460" xr:uid="{00000000-0005-0000-0000-0000C12C0000}"/>
    <cellStyle name="Comma 2 3 7 5 4" xfId="11461" xr:uid="{00000000-0005-0000-0000-0000C22C0000}"/>
    <cellStyle name="Comma 2 3 7 5 5" xfId="11462" xr:uid="{00000000-0005-0000-0000-0000C32C0000}"/>
    <cellStyle name="Comma 2 3 7 6" xfId="11463" xr:uid="{00000000-0005-0000-0000-0000C42C0000}"/>
    <cellStyle name="Comma 2 3 7 6 2" xfId="11464" xr:uid="{00000000-0005-0000-0000-0000C52C0000}"/>
    <cellStyle name="Comma 2 3 7 6 3" xfId="11465" xr:uid="{00000000-0005-0000-0000-0000C62C0000}"/>
    <cellStyle name="Comma 2 3 7 6 4" xfId="11466" xr:uid="{00000000-0005-0000-0000-0000C72C0000}"/>
    <cellStyle name="Comma 2 3 7 7" xfId="11467" xr:uid="{00000000-0005-0000-0000-0000C82C0000}"/>
    <cellStyle name="Comma 2 3 7 7 2" xfId="11468" xr:uid="{00000000-0005-0000-0000-0000C92C0000}"/>
    <cellStyle name="Comma 2 3 7 8" xfId="11469" xr:uid="{00000000-0005-0000-0000-0000CA2C0000}"/>
    <cellStyle name="Comma 2 3 7 9" xfId="11470" xr:uid="{00000000-0005-0000-0000-0000CB2C0000}"/>
    <cellStyle name="Comma 2 3 8" xfId="11471" xr:uid="{00000000-0005-0000-0000-0000CC2C0000}"/>
    <cellStyle name="Comma 2 3 8 10" xfId="11472" xr:uid="{00000000-0005-0000-0000-0000CD2C0000}"/>
    <cellStyle name="Comma 2 3 8 11" xfId="11473" xr:uid="{00000000-0005-0000-0000-0000CE2C0000}"/>
    <cellStyle name="Comma 2 3 8 2" xfId="11474" xr:uid="{00000000-0005-0000-0000-0000CF2C0000}"/>
    <cellStyle name="Comma 2 3 8 2 2" xfId="11475" xr:uid="{00000000-0005-0000-0000-0000D02C0000}"/>
    <cellStyle name="Comma 2 3 8 2 2 2" xfId="11476" xr:uid="{00000000-0005-0000-0000-0000D12C0000}"/>
    <cellStyle name="Comma 2 3 8 2 2 2 2" xfId="11477" xr:uid="{00000000-0005-0000-0000-0000D22C0000}"/>
    <cellStyle name="Comma 2 3 8 2 2 2 3" xfId="11478" xr:uid="{00000000-0005-0000-0000-0000D32C0000}"/>
    <cellStyle name="Comma 2 3 8 2 2 3" xfId="11479" xr:uid="{00000000-0005-0000-0000-0000D42C0000}"/>
    <cellStyle name="Comma 2 3 8 2 2 4" xfId="11480" xr:uid="{00000000-0005-0000-0000-0000D52C0000}"/>
    <cellStyle name="Comma 2 3 8 2 2 5" xfId="11481" xr:uid="{00000000-0005-0000-0000-0000D62C0000}"/>
    <cellStyle name="Comma 2 3 8 2 2 6" xfId="11482" xr:uid="{00000000-0005-0000-0000-0000D72C0000}"/>
    <cellStyle name="Comma 2 3 8 2 3" xfId="11483" xr:uid="{00000000-0005-0000-0000-0000D82C0000}"/>
    <cellStyle name="Comma 2 3 8 2 3 2" xfId="11484" xr:uid="{00000000-0005-0000-0000-0000D92C0000}"/>
    <cellStyle name="Comma 2 3 8 2 3 2 2" xfId="11485" xr:uid="{00000000-0005-0000-0000-0000DA2C0000}"/>
    <cellStyle name="Comma 2 3 8 2 3 3" xfId="11486" xr:uid="{00000000-0005-0000-0000-0000DB2C0000}"/>
    <cellStyle name="Comma 2 3 8 2 3 4" xfId="11487" xr:uid="{00000000-0005-0000-0000-0000DC2C0000}"/>
    <cellStyle name="Comma 2 3 8 2 3 5" xfId="11488" xr:uid="{00000000-0005-0000-0000-0000DD2C0000}"/>
    <cellStyle name="Comma 2 3 8 2 4" xfId="11489" xr:uid="{00000000-0005-0000-0000-0000DE2C0000}"/>
    <cellStyle name="Comma 2 3 8 2 4 2" xfId="11490" xr:uid="{00000000-0005-0000-0000-0000DF2C0000}"/>
    <cellStyle name="Comma 2 3 8 2 4 3" xfId="11491" xr:uid="{00000000-0005-0000-0000-0000E02C0000}"/>
    <cellStyle name="Comma 2 3 8 2 4 4" xfId="11492" xr:uid="{00000000-0005-0000-0000-0000E12C0000}"/>
    <cellStyle name="Comma 2 3 8 2 5" xfId="11493" xr:uid="{00000000-0005-0000-0000-0000E22C0000}"/>
    <cellStyle name="Comma 2 3 8 2 5 2" xfId="11494" xr:uid="{00000000-0005-0000-0000-0000E32C0000}"/>
    <cellStyle name="Comma 2 3 8 2 6" xfId="11495" xr:uid="{00000000-0005-0000-0000-0000E42C0000}"/>
    <cellStyle name="Comma 2 3 8 2 7" xfId="11496" xr:uid="{00000000-0005-0000-0000-0000E52C0000}"/>
    <cellStyle name="Comma 2 3 8 2 8" xfId="11497" xr:uid="{00000000-0005-0000-0000-0000E62C0000}"/>
    <cellStyle name="Comma 2 3 8 2 9" xfId="11498" xr:uid="{00000000-0005-0000-0000-0000E72C0000}"/>
    <cellStyle name="Comma 2 3 8 3" xfId="11499" xr:uid="{00000000-0005-0000-0000-0000E82C0000}"/>
    <cellStyle name="Comma 2 3 8 3 2" xfId="11500" xr:uid="{00000000-0005-0000-0000-0000E92C0000}"/>
    <cellStyle name="Comma 2 3 8 3 2 2" xfId="11501" xr:uid="{00000000-0005-0000-0000-0000EA2C0000}"/>
    <cellStyle name="Comma 2 3 8 3 2 2 2" xfId="11502" xr:uid="{00000000-0005-0000-0000-0000EB2C0000}"/>
    <cellStyle name="Comma 2 3 8 3 2 2 3" xfId="11503" xr:uid="{00000000-0005-0000-0000-0000EC2C0000}"/>
    <cellStyle name="Comma 2 3 8 3 2 3" xfId="11504" xr:uid="{00000000-0005-0000-0000-0000ED2C0000}"/>
    <cellStyle name="Comma 2 3 8 3 2 4" xfId="11505" xr:uid="{00000000-0005-0000-0000-0000EE2C0000}"/>
    <cellStyle name="Comma 2 3 8 3 2 5" xfId="11506" xr:uid="{00000000-0005-0000-0000-0000EF2C0000}"/>
    <cellStyle name="Comma 2 3 8 3 2 6" xfId="11507" xr:uid="{00000000-0005-0000-0000-0000F02C0000}"/>
    <cellStyle name="Comma 2 3 8 3 3" xfId="11508" xr:uid="{00000000-0005-0000-0000-0000F12C0000}"/>
    <cellStyle name="Comma 2 3 8 3 3 2" xfId="11509" xr:uid="{00000000-0005-0000-0000-0000F22C0000}"/>
    <cellStyle name="Comma 2 3 8 3 3 2 2" xfId="11510" xr:uid="{00000000-0005-0000-0000-0000F32C0000}"/>
    <cellStyle name="Comma 2 3 8 3 3 3" xfId="11511" xr:uid="{00000000-0005-0000-0000-0000F42C0000}"/>
    <cellStyle name="Comma 2 3 8 3 3 4" xfId="11512" xr:uid="{00000000-0005-0000-0000-0000F52C0000}"/>
    <cellStyle name="Comma 2 3 8 3 3 5" xfId="11513" xr:uid="{00000000-0005-0000-0000-0000F62C0000}"/>
    <cellStyle name="Comma 2 3 8 3 4" xfId="11514" xr:uid="{00000000-0005-0000-0000-0000F72C0000}"/>
    <cellStyle name="Comma 2 3 8 3 4 2" xfId="11515" xr:uid="{00000000-0005-0000-0000-0000F82C0000}"/>
    <cellStyle name="Comma 2 3 8 3 4 3" xfId="11516" xr:uid="{00000000-0005-0000-0000-0000F92C0000}"/>
    <cellStyle name="Comma 2 3 8 3 4 4" xfId="11517" xr:uid="{00000000-0005-0000-0000-0000FA2C0000}"/>
    <cellStyle name="Comma 2 3 8 3 5" xfId="11518" xr:uid="{00000000-0005-0000-0000-0000FB2C0000}"/>
    <cellStyle name="Comma 2 3 8 3 5 2" xfId="11519" xr:uid="{00000000-0005-0000-0000-0000FC2C0000}"/>
    <cellStyle name="Comma 2 3 8 3 6" xfId="11520" xr:uid="{00000000-0005-0000-0000-0000FD2C0000}"/>
    <cellStyle name="Comma 2 3 8 3 7" xfId="11521" xr:uid="{00000000-0005-0000-0000-0000FE2C0000}"/>
    <cellStyle name="Comma 2 3 8 3 8" xfId="11522" xr:uid="{00000000-0005-0000-0000-0000FF2C0000}"/>
    <cellStyle name="Comma 2 3 8 3 9" xfId="11523" xr:uid="{00000000-0005-0000-0000-0000002D0000}"/>
    <cellStyle name="Comma 2 3 8 4" xfId="11524" xr:uid="{00000000-0005-0000-0000-0000012D0000}"/>
    <cellStyle name="Comma 2 3 8 4 2" xfId="11525" xr:uid="{00000000-0005-0000-0000-0000022D0000}"/>
    <cellStyle name="Comma 2 3 8 4 2 2" xfId="11526" xr:uid="{00000000-0005-0000-0000-0000032D0000}"/>
    <cellStyle name="Comma 2 3 8 4 2 3" xfId="11527" xr:uid="{00000000-0005-0000-0000-0000042D0000}"/>
    <cellStyle name="Comma 2 3 8 4 3" xfId="11528" xr:uid="{00000000-0005-0000-0000-0000052D0000}"/>
    <cellStyle name="Comma 2 3 8 4 4" xfId="11529" xr:uid="{00000000-0005-0000-0000-0000062D0000}"/>
    <cellStyle name="Comma 2 3 8 4 5" xfId="11530" xr:uid="{00000000-0005-0000-0000-0000072D0000}"/>
    <cellStyle name="Comma 2 3 8 4 6" xfId="11531" xr:uid="{00000000-0005-0000-0000-0000082D0000}"/>
    <cellStyle name="Comma 2 3 8 5" xfId="11532" xr:uid="{00000000-0005-0000-0000-0000092D0000}"/>
    <cellStyle name="Comma 2 3 8 5 2" xfId="11533" xr:uid="{00000000-0005-0000-0000-00000A2D0000}"/>
    <cellStyle name="Comma 2 3 8 5 2 2" xfId="11534" xr:uid="{00000000-0005-0000-0000-00000B2D0000}"/>
    <cellStyle name="Comma 2 3 8 5 3" xfId="11535" xr:uid="{00000000-0005-0000-0000-00000C2D0000}"/>
    <cellStyle name="Comma 2 3 8 5 4" xfId="11536" xr:uid="{00000000-0005-0000-0000-00000D2D0000}"/>
    <cellStyle name="Comma 2 3 8 5 5" xfId="11537" xr:uid="{00000000-0005-0000-0000-00000E2D0000}"/>
    <cellStyle name="Comma 2 3 8 6" xfId="11538" xr:uid="{00000000-0005-0000-0000-00000F2D0000}"/>
    <cellStyle name="Comma 2 3 8 6 2" xfId="11539" xr:uid="{00000000-0005-0000-0000-0000102D0000}"/>
    <cellStyle name="Comma 2 3 8 6 3" xfId="11540" xr:uid="{00000000-0005-0000-0000-0000112D0000}"/>
    <cellStyle name="Comma 2 3 8 6 4" xfId="11541" xr:uid="{00000000-0005-0000-0000-0000122D0000}"/>
    <cellStyle name="Comma 2 3 8 7" xfId="11542" xr:uid="{00000000-0005-0000-0000-0000132D0000}"/>
    <cellStyle name="Comma 2 3 8 7 2" xfId="11543" xr:uid="{00000000-0005-0000-0000-0000142D0000}"/>
    <cellStyle name="Comma 2 3 8 8" xfId="11544" xr:uid="{00000000-0005-0000-0000-0000152D0000}"/>
    <cellStyle name="Comma 2 3 8 9" xfId="11545" xr:uid="{00000000-0005-0000-0000-0000162D0000}"/>
    <cellStyle name="Comma 2 3 9" xfId="11546" xr:uid="{00000000-0005-0000-0000-0000172D0000}"/>
    <cellStyle name="Comma 2 3 9 10" xfId="11547" xr:uid="{00000000-0005-0000-0000-0000182D0000}"/>
    <cellStyle name="Comma 2 3 9 11" xfId="11548" xr:uid="{00000000-0005-0000-0000-0000192D0000}"/>
    <cellStyle name="Comma 2 3 9 2" xfId="11549" xr:uid="{00000000-0005-0000-0000-00001A2D0000}"/>
    <cellStyle name="Comma 2 3 9 2 2" xfId="11550" xr:uid="{00000000-0005-0000-0000-00001B2D0000}"/>
    <cellStyle name="Comma 2 3 9 2 2 2" xfId="11551" xr:uid="{00000000-0005-0000-0000-00001C2D0000}"/>
    <cellStyle name="Comma 2 3 9 2 2 2 2" xfId="11552" xr:uid="{00000000-0005-0000-0000-00001D2D0000}"/>
    <cellStyle name="Comma 2 3 9 2 2 2 3" xfId="11553" xr:uid="{00000000-0005-0000-0000-00001E2D0000}"/>
    <cellStyle name="Comma 2 3 9 2 2 3" xfId="11554" xr:uid="{00000000-0005-0000-0000-00001F2D0000}"/>
    <cellStyle name="Comma 2 3 9 2 2 4" xfId="11555" xr:uid="{00000000-0005-0000-0000-0000202D0000}"/>
    <cellStyle name="Comma 2 3 9 2 2 5" xfId="11556" xr:uid="{00000000-0005-0000-0000-0000212D0000}"/>
    <cellStyle name="Comma 2 3 9 2 2 6" xfId="11557" xr:uid="{00000000-0005-0000-0000-0000222D0000}"/>
    <cellStyle name="Comma 2 3 9 2 3" xfId="11558" xr:uid="{00000000-0005-0000-0000-0000232D0000}"/>
    <cellStyle name="Comma 2 3 9 2 3 2" xfId="11559" xr:uid="{00000000-0005-0000-0000-0000242D0000}"/>
    <cellStyle name="Comma 2 3 9 2 3 2 2" xfId="11560" xr:uid="{00000000-0005-0000-0000-0000252D0000}"/>
    <cellStyle name="Comma 2 3 9 2 3 3" xfId="11561" xr:uid="{00000000-0005-0000-0000-0000262D0000}"/>
    <cellStyle name="Comma 2 3 9 2 3 4" xfId="11562" xr:uid="{00000000-0005-0000-0000-0000272D0000}"/>
    <cellStyle name="Comma 2 3 9 2 3 5" xfId="11563" xr:uid="{00000000-0005-0000-0000-0000282D0000}"/>
    <cellStyle name="Comma 2 3 9 2 4" xfId="11564" xr:uid="{00000000-0005-0000-0000-0000292D0000}"/>
    <cellStyle name="Comma 2 3 9 2 4 2" xfId="11565" xr:uid="{00000000-0005-0000-0000-00002A2D0000}"/>
    <cellStyle name="Comma 2 3 9 2 4 3" xfId="11566" xr:uid="{00000000-0005-0000-0000-00002B2D0000}"/>
    <cellStyle name="Comma 2 3 9 2 4 4" xfId="11567" xr:uid="{00000000-0005-0000-0000-00002C2D0000}"/>
    <cellStyle name="Comma 2 3 9 2 5" xfId="11568" xr:uid="{00000000-0005-0000-0000-00002D2D0000}"/>
    <cellStyle name="Comma 2 3 9 2 5 2" xfId="11569" xr:uid="{00000000-0005-0000-0000-00002E2D0000}"/>
    <cellStyle name="Comma 2 3 9 2 6" xfId="11570" xr:uid="{00000000-0005-0000-0000-00002F2D0000}"/>
    <cellStyle name="Comma 2 3 9 2 7" xfId="11571" xr:uid="{00000000-0005-0000-0000-0000302D0000}"/>
    <cellStyle name="Comma 2 3 9 2 8" xfId="11572" xr:uid="{00000000-0005-0000-0000-0000312D0000}"/>
    <cellStyle name="Comma 2 3 9 2 9" xfId="11573" xr:uid="{00000000-0005-0000-0000-0000322D0000}"/>
    <cellStyle name="Comma 2 3 9 3" xfId="11574" xr:uid="{00000000-0005-0000-0000-0000332D0000}"/>
    <cellStyle name="Comma 2 3 9 3 2" xfId="11575" xr:uid="{00000000-0005-0000-0000-0000342D0000}"/>
    <cellStyle name="Comma 2 3 9 3 2 2" xfId="11576" xr:uid="{00000000-0005-0000-0000-0000352D0000}"/>
    <cellStyle name="Comma 2 3 9 3 2 2 2" xfId="11577" xr:uid="{00000000-0005-0000-0000-0000362D0000}"/>
    <cellStyle name="Comma 2 3 9 3 2 2 3" xfId="11578" xr:uid="{00000000-0005-0000-0000-0000372D0000}"/>
    <cellStyle name="Comma 2 3 9 3 2 3" xfId="11579" xr:uid="{00000000-0005-0000-0000-0000382D0000}"/>
    <cellStyle name="Comma 2 3 9 3 2 4" xfId="11580" xr:uid="{00000000-0005-0000-0000-0000392D0000}"/>
    <cellStyle name="Comma 2 3 9 3 2 5" xfId="11581" xr:uid="{00000000-0005-0000-0000-00003A2D0000}"/>
    <cellStyle name="Comma 2 3 9 3 2 6" xfId="11582" xr:uid="{00000000-0005-0000-0000-00003B2D0000}"/>
    <cellStyle name="Comma 2 3 9 3 3" xfId="11583" xr:uid="{00000000-0005-0000-0000-00003C2D0000}"/>
    <cellStyle name="Comma 2 3 9 3 3 2" xfId="11584" xr:uid="{00000000-0005-0000-0000-00003D2D0000}"/>
    <cellStyle name="Comma 2 3 9 3 3 2 2" xfId="11585" xr:uid="{00000000-0005-0000-0000-00003E2D0000}"/>
    <cellStyle name="Comma 2 3 9 3 3 3" xfId="11586" xr:uid="{00000000-0005-0000-0000-00003F2D0000}"/>
    <cellStyle name="Comma 2 3 9 3 3 4" xfId="11587" xr:uid="{00000000-0005-0000-0000-0000402D0000}"/>
    <cellStyle name="Comma 2 3 9 3 3 5" xfId="11588" xr:uid="{00000000-0005-0000-0000-0000412D0000}"/>
    <cellStyle name="Comma 2 3 9 3 4" xfId="11589" xr:uid="{00000000-0005-0000-0000-0000422D0000}"/>
    <cellStyle name="Comma 2 3 9 3 4 2" xfId="11590" xr:uid="{00000000-0005-0000-0000-0000432D0000}"/>
    <cellStyle name="Comma 2 3 9 3 4 3" xfId="11591" xr:uid="{00000000-0005-0000-0000-0000442D0000}"/>
    <cellStyle name="Comma 2 3 9 3 4 4" xfId="11592" xr:uid="{00000000-0005-0000-0000-0000452D0000}"/>
    <cellStyle name="Comma 2 3 9 3 5" xfId="11593" xr:uid="{00000000-0005-0000-0000-0000462D0000}"/>
    <cellStyle name="Comma 2 3 9 3 5 2" xfId="11594" xr:uid="{00000000-0005-0000-0000-0000472D0000}"/>
    <cellStyle name="Comma 2 3 9 3 6" xfId="11595" xr:uid="{00000000-0005-0000-0000-0000482D0000}"/>
    <cellStyle name="Comma 2 3 9 3 7" xfId="11596" xr:uid="{00000000-0005-0000-0000-0000492D0000}"/>
    <cellStyle name="Comma 2 3 9 3 8" xfId="11597" xr:uid="{00000000-0005-0000-0000-00004A2D0000}"/>
    <cellStyle name="Comma 2 3 9 3 9" xfId="11598" xr:uid="{00000000-0005-0000-0000-00004B2D0000}"/>
    <cellStyle name="Comma 2 3 9 4" xfId="11599" xr:uid="{00000000-0005-0000-0000-00004C2D0000}"/>
    <cellStyle name="Comma 2 3 9 4 2" xfId="11600" xr:uid="{00000000-0005-0000-0000-00004D2D0000}"/>
    <cellStyle name="Comma 2 3 9 4 2 2" xfId="11601" xr:uid="{00000000-0005-0000-0000-00004E2D0000}"/>
    <cellStyle name="Comma 2 3 9 4 2 3" xfId="11602" xr:uid="{00000000-0005-0000-0000-00004F2D0000}"/>
    <cellStyle name="Comma 2 3 9 4 3" xfId="11603" xr:uid="{00000000-0005-0000-0000-0000502D0000}"/>
    <cellStyle name="Comma 2 3 9 4 4" xfId="11604" xr:uid="{00000000-0005-0000-0000-0000512D0000}"/>
    <cellStyle name="Comma 2 3 9 4 5" xfId="11605" xr:uid="{00000000-0005-0000-0000-0000522D0000}"/>
    <cellStyle name="Comma 2 3 9 4 6" xfId="11606" xr:uid="{00000000-0005-0000-0000-0000532D0000}"/>
    <cellStyle name="Comma 2 3 9 5" xfId="11607" xr:uid="{00000000-0005-0000-0000-0000542D0000}"/>
    <cellStyle name="Comma 2 3 9 5 2" xfId="11608" xr:uid="{00000000-0005-0000-0000-0000552D0000}"/>
    <cellStyle name="Comma 2 3 9 5 2 2" xfId="11609" xr:uid="{00000000-0005-0000-0000-0000562D0000}"/>
    <cellStyle name="Comma 2 3 9 5 3" xfId="11610" xr:uid="{00000000-0005-0000-0000-0000572D0000}"/>
    <cellStyle name="Comma 2 3 9 5 4" xfId="11611" xr:uid="{00000000-0005-0000-0000-0000582D0000}"/>
    <cellStyle name="Comma 2 3 9 5 5" xfId="11612" xr:uid="{00000000-0005-0000-0000-0000592D0000}"/>
    <cellStyle name="Comma 2 3 9 6" xfId="11613" xr:uid="{00000000-0005-0000-0000-00005A2D0000}"/>
    <cellStyle name="Comma 2 3 9 6 2" xfId="11614" xr:uid="{00000000-0005-0000-0000-00005B2D0000}"/>
    <cellStyle name="Comma 2 3 9 6 3" xfId="11615" xr:uid="{00000000-0005-0000-0000-00005C2D0000}"/>
    <cellStyle name="Comma 2 3 9 6 4" xfId="11616" xr:uid="{00000000-0005-0000-0000-00005D2D0000}"/>
    <cellStyle name="Comma 2 3 9 7" xfId="11617" xr:uid="{00000000-0005-0000-0000-00005E2D0000}"/>
    <cellStyle name="Comma 2 3 9 7 2" xfId="11618" xr:uid="{00000000-0005-0000-0000-00005F2D0000}"/>
    <cellStyle name="Comma 2 3 9 8" xfId="11619" xr:uid="{00000000-0005-0000-0000-0000602D0000}"/>
    <cellStyle name="Comma 2 3 9 9" xfId="11620" xr:uid="{00000000-0005-0000-0000-0000612D0000}"/>
    <cellStyle name="Comma 2 30" xfId="11621" xr:uid="{00000000-0005-0000-0000-0000622D0000}"/>
    <cellStyle name="Comma 2 30 10" xfId="11622" xr:uid="{00000000-0005-0000-0000-0000632D0000}"/>
    <cellStyle name="Comma 2 30 2" xfId="11623" xr:uid="{00000000-0005-0000-0000-0000642D0000}"/>
    <cellStyle name="Comma 2 30 2 2" xfId="11624" xr:uid="{00000000-0005-0000-0000-0000652D0000}"/>
    <cellStyle name="Comma 2 30 2 2 2" xfId="11625" xr:uid="{00000000-0005-0000-0000-0000662D0000}"/>
    <cellStyle name="Comma 2 30 2 2 3" xfId="11626" xr:uid="{00000000-0005-0000-0000-0000672D0000}"/>
    <cellStyle name="Comma 2 30 2 3" xfId="11627" xr:uid="{00000000-0005-0000-0000-0000682D0000}"/>
    <cellStyle name="Comma 2 30 2 4" xfId="11628" xr:uid="{00000000-0005-0000-0000-0000692D0000}"/>
    <cellStyle name="Comma 2 30 2 5" xfId="11629" xr:uid="{00000000-0005-0000-0000-00006A2D0000}"/>
    <cellStyle name="Comma 2 30 2 6" xfId="11630" xr:uid="{00000000-0005-0000-0000-00006B2D0000}"/>
    <cellStyle name="Comma 2 30 3" xfId="11631" xr:uid="{00000000-0005-0000-0000-00006C2D0000}"/>
    <cellStyle name="Comma 2 30 3 2" xfId="11632" xr:uid="{00000000-0005-0000-0000-00006D2D0000}"/>
    <cellStyle name="Comma 2 30 3 2 2" xfId="11633" xr:uid="{00000000-0005-0000-0000-00006E2D0000}"/>
    <cellStyle name="Comma 2 30 3 2 3" xfId="11634" xr:uid="{00000000-0005-0000-0000-00006F2D0000}"/>
    <cellStyle name="Comma 2 30 3 3" xfId="11635" xr:uid="{00000000-0005-0000-0000-0000702D0000}"/>
    <cellStyle name="Comma 2 30 3 4" xfId="11636" xr:uid="{00000000-0005-0000-0000-0000712D0000}"/>
    <cellStyle name="Comma 2 30 3 5" xfId="11637" xr:uid="{00000000-0005-0000-0000-0000722D0000}"/>
    <cellStyle name="Comma 2 30 3 6" xfId="11638" xr:uid="{00000000-0005-0000-0000-0000732D0000}"/>
    <cellStyle name="Comma 2 30 4" xfId="11639" xr:uid="{00000000-0005-0000-0000-0000742D0000}"/>
    <cellStyle name="Comma 2 30 4 2" xfId="11640" xr:uid="{00000000-0005-0000-0000-0000752D0000}"/>
    <cellStyle name="Comma 2 30 4 2 2" xfId="11641" xr:uid="{00000000-0005-0000-0000-0000762D0000}"/>
    <cellStyle name="Comma 2 30 4 3" xfId="11642" xr:uid="{00000000-0005-0000-0000-0000772D0000}"/>
    <cellStyle name="Comma 2 30 4 4" xfId="11643" xr:uid="{00000000-0005-0000-0000-0000782D0000}"/>
    <cellStyle name="Comma 2 30 4 5" xfId="11644" xr:uid="{00000000-0005-0000-0000-0000792D0000}"/>
    <cellStyle name="Comma 2 30 4 6" xfId="11645" xr:uid="{00000000-0005-0000-0000-00007A2D0000}"/>
    <cellStyle name="Comma 2 30 5" xfId="11646" xr:uid="{00000000-0005-0000-0000-00007B2D0000}"/>
    <cellStyle name="Comma 2 30 5 2" xfId="11647" xr:uid="{00000000-0005-0000-0000-00007C2D0000}"/>
    <cellStyle name="Comma 2 30 5 3" xfId="11648" xr:uid="{00000000-0005-0000-0000-00007D2D0000}"/>
    <cellStyle name="Comma 2 30 5 4" xfId="11649" xr:uid="{00000000-0005-0000-0000-00007E2D0000}"/>
    <cellStyle name="Comma 2 30 5 5" xfId="11650" xr:uid="{00000000-0005-0000-0000-00007F2D0000}"/>
    <cellStyle name="Comma 2 30 6" xfId="11651" xr:uid="{00000000-0005-0000-0000-0000802D0000}"/>
    <cellStyle name="Comma 2 30 6 2" xfId="11652" xr:uid="{00000000-0005-0000-0000-0000812D0000}"/>
    <cellStyle name="Comma 2 30 6 3" xfId="11653" xr:uid="{00000000-0005-0000-0000-0000822D0000}"/>
    <cellStyle name="Comma 2 30 7" xfId="11654" xr:uid="{00000000-0005-0000-0000-0000832D0000}"/>
    <cellStyle name="Comma 2 30 7 2" xfId="11655" xr:uid="{00000000-0005-0000-0000-0000842D0000}"/>
    <cellStyle name="Comma 2 30 8" xfId="11656" xr:uid="{00000000-0005-0000-0000-0000852D0000}"/>
    <cellStyle name="Comma 2 30 9" xfId="11657" xr:uid="{00000000-0005-0000-0000-0000862D0000}"/>
    <cellStyle name="Comma 2 31" xfId="11658" xr:uid="{00000000-0005-0000-0000-0000872D0000}"/>
    <cellStyle name="Comma 2 31 10" xfId="11659" xr:uid="{00000000-0005-0000-0000-0000882D0000}"/>
    <cellStyle name="Comma 2 31 2" xfId="11660" xr:uid="{00000000-0005-0000-0000-0000892D0000}"/>
    <cellStyle name="Comma 2 31 2 2" xfId="11661" xr:uid="{00000000-0005-0000-0000-00008A2D0000}"/>
    <cellStyle name="Comma 2 31 2 2 2" xfId="11662" xr:uid="{00000000-0005-0000-0000-00008B2D0000}"/>
    <cellStyle name="Comma 2 31 2 2 3" xfId="11663" xr:uid="{00000000-0005-0000-0000-00008C2D0000}"/>
    <cellStyle name="Comma 2 31 2 3" xfId="11664" xr:uid="{00000000-0005-0000-0000-00008D2D0000}"/>
    <cellStyle name="Comma 2 31 2 4" xfId="11665" xr:uid="{00000000-0005-0000-0000-00008E2D0000}"/>
    <cellStyle name="Comma 2 31 2 5" xfId="11666" xr:uid="{00000000-0005-0000-0000-00008F2D0000}"/>
    <cellStyle name="Comma 2 31 2 6" xfId="11667" xr:uid="{00000000-0005-0000-0000-0000902D0000}"/>
    <cellStyle name="Comma 2 31 3" xfId="11668" xr:uid="{00000000-0005-0000-0000-0000912D0000}"/>
    <cellStyle name="Comma 2 31 3 2" xfId="11669" xr:uid="{00000000-0005-0000-0000-0000922D0000}"/>
    <cellStyle name="Comma 2 31 3 2 2" xfId="11670" xr:uid="{00000000-0005-0000-0000-0000932D0000}"/>
    <cellStyle name="Comma 2 31 3 2 3" xfId="11671" xr:uid="{00000000-0005-0000-0000-0000942D0000}"/>
    <cellStyle name="Comma 2 31 3 3" xfId="11672" xr:uid="{00000000-0005-0000-0000-0000952D0000}"/>
    <cellStyle name="Comma 2 31 3 4" xfId="11673" xr:uid="{00000000-0005-0000-0000-0000962D0000}"/>
    <cellStyle name="Comma 2 31 3 5" xfId="11674" xr:uid="{00000000-0005-0000-0000-0000972D0000}"/>
    <cellStyle name="Comma 2 31 3 6" xfId="11675" xr:uid="{00000000-0005-0000-0000-0000982D0000}"/>
    <cellStyle name="Comma 2 31 4" xfId="11676" xr:uid="{00000000-0005-0000-0000-0000992D0000}"/>
    <cellStyle name="Comma 2 31 4 2" xfId="11677" xr:uid="{00000000-0005-0000-0000-00009A2D0000}"/>
    <cellStyle name="Comma 2 31 4 2 2" xfId="11678" xr:uid="{00000000-0005-0000-0000-00009B2D0000}"/>
    <cellStyle name="Comma 2 31 4 3" xfId="11679" xr:uid="{00000000-0005-0000-0000-00009C2D0000}"/>
    <cellStyle name="Comma 2 31 4 4" xfId="11680" xr:uid="{00000000-0005-0000-0000-00009D2D0000}"/>
    <cellStyle name="Comma 2 31 4 5" xfId="11681" xr:uid="{00000000-0005-0000-0000-00009E2D0000}"/>
    <cellStyle name="Comma 2 31 4 6" xfId="11682" xr:uid="{00000000-0005-0000-0000-00009F2D0000}"/>
    <cellStyle name="Comma 2 31 5" xfId="11683" xr:uid="{00000000-0005-0000-0000-0000A02D0000}"/>
    <cellStyle name="Comma 2 31 5 2" xfId="11684" xr:uid="{00000000-0005-0000-0000-0000A12D0000}"/>
    <cellStyle name="Comma 2 31 5 3" xfId="11685" xr:uid="{00000000-0005-0000-0000-0000A22D0000}"/>
    <cellStyle name="Comma 2 31 5 4" xfId="11686" xr:uid="{00000000-0005-0000-0000-0000A32D0000}"/>
    <cellStyle name="Comma 2 31 5 5" xfId="11687" xr:uid="{00000000-0005-0000-0000-0000A42D0000}"/>
    <cellStyle name="Comma 2 31 6" xfId="11688" xr:uid="{00000000-0005-0000-0000-0000A52D0000}"/>
    <cellStyle name="Comma 2 31 6 2" xfId="11689" xr:uid="{00000000-0005-0000-0000-0000A62D0000}"/>
    <cellStyle name="Comma 2 31 6 3" xfId="11690" xr:uid="{00000000-0005-0000-0000-0000A72D0000}"/>
    <cellStyle name="Comma 2 31 7" xfId="11691" xr:uid="{00000000-0005-0000-0000-0000A82D0000}"/>
    <cellStyle name="Comma 2 31 7 2" xfId="11692" xr:uid="{00000000-0005-0000-0000-0000A92D0000}"/>
    <cellStyle name="Comma 2 31 8" xfId="11693" xr:uid="{00000000-0005-0000-0000-0000AA2D0000}"/>
    <cellStyle name="Comma 2 31 9" xfId="11694" xr:uid="{00000000-0005-0000-0000-0000AB2D0000}"/>
    <cellStyle name="Comma 2 32" xfId="11695" xr:uid="{00000000-0005-0000-0000-0000AC2D0000}"/>
    <cellStyle name="Comma 2 32 10" xfId="11696" xr:uid="{00000000-0005-0000-0000-0000AD2D0000}"/>
    <cellStyle name="Comma 2 32 2" xfId="11697" xr:uid="{00000000-0005-0000-0000-0000AE2D0000}"/>
    <cellStyle name="Comma 2 32 2 2" xfId="11698" xr:uid="{00000000-0005-0000-0000-0000AF2D0000}"/>
    <cellStyle name="Comma 2 32 2 2 2" xfId="11699" xr:uid="{00000000-0005-0000-0000-0000B02D0000}"/>
    <cellStyle name="Comma 2 32 2 2 3" xfId="11700" xr:uid="{00000000-0005-0000-0000-0000B12D0000}"/>
    <cellStyle name="Comma 2 32 2 3" xfId="11701" xr:uid="{00000000-0005-0000-0000-0000B22D0000}"/>
    <cellStyle name="Comma 2 32 2 4" xfId="11702" xr:uid="{00000000-0005-0000-0000-0000B32D0000}"/>
    <cellStyle name="Comma 2 32 2 5" xfId="11703" xr:uid="{00000000-0005-0000-0000-0000B42D0000}"/>
    <cellStyle name="Comma 2 32 2 6" xfId="11704" xr:uid="{00000000-0005-0000-0000-0000B52D0000}"/>
    <cellStyle name="Comma 2 32 3" xfId="11705" xr:uid="{00000000-0005-0000-0000-0000B62D0000}"/>
    <cellStyle name="Comma 2 32 3 2" xfId="11706" xr:uid="{00000000-0005-0000-0000-0000B72D0000}"/>
    <cellStyle name="Comma 2 32 3 2 2" xfId="11707" xr:uid="{00000000-0005-0000-0000-0000B82D0000}"/>
    <cellStyle name="Comma 2 32 3 2 3" xfId="11708" xr:uid="{00000000-0005-0000-0000-0000B92D0000}"/>
    <cellStyle name="Comma 2 32 3 3" xfId="11709" xr:uid="{00000000-0005-0000-0000-0000BA2D0000}"/>
    <cellStyle name="Comma 2 32 3 4" xfId="11710" xr:uid="{00000000-0005-0000-0000-0000BB2D0000}"/>
    <cellStyle name="Comma 2 32 3 5" xfId="11711" xr:uid="{00000000-0005-0000-0000-0000BC2D0000}"/>
    <cellStyle name="Comma 2 32 3 6" xfId="11712" xr:uid="{00000000-0005-0000-0000-0000BD2D0000}"/>
    <cellStyle name="Comma 2 32 4" xfId="11713" xr:uid="{00000000-0005-0000-0000-0000BE2D0000}"/>
    <cellStyle name="Comma 2 32 4 2" xfId="11714" xr:uid="{00000000-0005-0000-0000-0000BF2D0000}"/>
    <cellStyle name="Comma 2 32 4 2 2" xfId="11715" xr:uid="{00000000-0005-0000-0000-0000C02D0000}"/>
    <cellStyle name="Comma 2 32 4 3" xfId="11716" xr:uid="{00000000-0005-0000-0000-0000C12D0000}"/>
    <cellStyle name="Comma 2 32 4 4" xfId="11717" xr:uid="{00000000-0005-0000-0000-0000C22D0000}"/>
    <cellStyle name="Comma 2 32 4 5" xfId="11718" xr:uid="{00000000-0005-0000-0000-0000C32D0000}"/>
    <cellStyle name="Comma 2 32 4 6" xfId="11719" xr:uid="{00000000-0005-0000-0000-0000C42D0000}"/>
    <cellStyle name="Comma 2 32 5" xfId="11720" xr:uid="{00000000-0005-0000-0000-0000C52D0000}"/>
    <cellStyle name="Comma 2 32 5 2" xfId="11721" xr:uid="{00000000-0005-0000-0000-0000C62D0000}"/>
    <cellStyle name="Comma 2 32 5 3" xfId="11722" xr:uid="{00000000-0005-0000-0000-0000C72D0000}"/>
    <cellStyle name="Comma 2 32 5 4" xfId="11723" xr:uid="{00000000-0005-0000-0000-0000C82D0000}"/>
    <cellStyle name="Comma 2 32 5 5" xfId="11724" xr:uid="{00000000-0005-0000-0000-0000C92D0000}"/>
    <cellStyle name="Comma 2 32 6" xfId="11725" xr:uid="{00000000-0005-0000-0000-0000CA2D0000}"/>
    <cellStyle name="Comma 2 32 6 2" xfId="11726" xr:uid="{00000000-0005-0000-0000-0000CB2D0000}"/>
    <cellStyle name="Comma 2 32 6 3" xfId="11727" xr:uid="{00000000-0005-0000-0000-0000CC2D0000}"/>
    <cellStyle name="Comma 2 32 7" xfId="11728" xr:uid="{00000000-0005-0000-0000-0000CD2D0000}"/>
    <cellStyle name="Comma 2 32 7 2" xfId="11729" xr:uid="{00000000-0005-0000-0000-0000CE2D0000}"/>
    <cellStyle name="Comma 2 32 8" xfId="11730" xr:uid="{00000000-0005-0000-0000-0000CF2D0000}"/>
    <cellStyle name="Comma 2 32 9" xfId="11731" xr:uid="{00000000-0005-0000-0000-0000D02D0000}"/>
    <cellStyle name="Comma 2 33" xfId="11732" xr:uid="{00000000-0005-0000-0000-0000D12D0000}"/>
    <cellStyle name="Comma 2 33 10" xfId="11733" xr:uid="{00000000-0005-0000-0000-0000D22D0000}"/>
    <cellStyle name="Comma 2 33 2" xfId="11734" xr:uid="{00000000-0005-0000-0000-0000D32D0000}"/>
    <cellStyle name="Comma 2 33 2 2" xfId="11735" xr:uid="{00000000-0005-0000-0000-0000D42D0000}"/>
    <cellStyle name="Comma 2 33 2 2 2" xfId="11736" xr:uid="{00000000-0005-0000-0000-0000D52D0000}"/>
    <cellStyle name="Comma 2 33 2 2 3" xfId="11737" xr:uid="{00000000-0005-0000-0000-0000D62D0000}"/>
    <cellStyle name="Comma 2 33 2 3" xfId="11738" xr:uid="{00000000-0005-0000-0000-0000D72D0000}"/>
    <cellStyle name="Comma 2 33 2 4" xfId="11739" xr:uid="{00000000-0005-0000-0000-0000D82D0000}"/>
    <cellStyle name="Comma 2 33 2 5" xfId="11740" xr:uid="{00000000-0005-0000-0000-0000D92D0000}"/>
    <cellStyle name="Comma 2 33 2 6" xfId="11741" xr:uid="{00000000-0005-0000-0000-0000DA2D0000}"/>
    <cellStyle name="Comma 2 33 3" xfId="11742" xr:uid="{00000000-0005-0000-0000-0000DB2D0000}"/>
    <cellStyle name="Comma 2 33 3 2" xfId="11743" xr:uid="{00000000-0005-0000-0000-0000DC2D0000}"/>
    <cellStyle name="Comma 2 33 3 2 2" xfId="11744" xr:uid="{00000000-0005-0000-0000-0000DD2D0000}"/>
    <cellStyle name="Comma 2 33 3 2 3" xfId="11745" xr:uid="{00000000-0005-0000-0000-0000DE2D0000}"/>
    <cellStyle name="Comma 2 33 3 3" xfId="11746" xr:uid="{00000000-0005-0000-0000-0000DF2D0000}"/>
    <cellStyle name="Comma 2 33 3 4" xfId="11747" xr:uid="{00000000-0005-0000-0000-0000E02D0000}"/>
    <cellStyle name="Comma 2 33 3 5" xfId="11748" xr:uid="{00000000-0005-0000-0000-0000E12D0000}"/>
    <cellStyle name="Comma 2 33 3 6" xfId="11749" xr:uid="{00000000-0005-0000-0000-0000E22D0000}"/>
    <cellStyle name="Comma 2 33 4" xfId="11750" xr:uid="{00000000-0005-0000-0000-0000E32D0000}"/>
    <cellStyle name="Comma 2 33 4 2" xfId="11751" xr:uid="{00000000-0005-0000-0000-0000E42D0000}"/>
    <cellStyle name="Comma 2 33 4 2 2" xfId="11752" xr:uid="{00000000-0005-0000-0000-0000E52D0000}"/>
    <cellStyle name="Comma 2 33 4 3" xfId="11753" xr:uid="{00000000-0005-0000-0000-0000E62D0000}"/>
    <cellStyle name="Comma 2 33 4 4" xfId="11754" xr:uid="{00000000-0005-0000-0000-0000E72D0000}"/>
    <cellStyle name="Comma 2 33 4 5" xfId="11755" xr:uid="{00000000-0005-0000-0000-0000E82D0000}"/>
    <cellStyle name="Comma 2 33 4 6" xfId="11756" xr:uid="{00000000-0005-0000-0000-0000E92D0000}"/>
    <cellStyle name="Comma 2 33 5" xfId="11757" xr:uid="{00000000-0005-0000-0000-0000EA2D0000}"/>
    <cellStyle name="Comma 2 33 5 2" xfId="11758" xr:uid="{00000000-0005-0000-0000-0000EB2D0000}"/>
    <cellStyle name="Comma 2 33 5 3" xfId="11759" xr:uid="{00000000-0005-0000-0000-0000EC2D0000}"/>
    <cellStyle name="Comma 2 33 5 4" xfId="11760" xr:uid="{00000000-0005-0000-0000-0000ED2D0000}"/>
    <cellStyle name="Comma 2 33 5 5" xfId="11761" xr:uid="{00000000-0005-0000-0000-0000EE2D0000}"/>
    <cellStyle name="Comma 2 33 6" xfId="11762" xr:uid="{00000000-0005-0000-0000-0000EF2D0000}"/>
    <cellStyle name="Comma 2 33 6 2" xfId="11763" xr:uid="{00000000-0005-0000-0000-0000F02D0000}"/>
    <cellStyle name="Comma 2 33 6 3" xfId="11764" xr:uid="{00000000-0005-0000-0000-0000F12D0000}"/>
    <cellStyle name="Comma 2 33 7" xfId="11765" xr:uid="{00000000-0005-0000-0000-0000F22D0000}"/>
    <cellStyle name="Comma 2 33 7 2" xfId="11766" xr:uid="{00000000-0005-0000-0000-0000F32D0000}"/>
    <cellStyle name="Comma 2 33 8" xfId="11767" xr:uid="{00000000-0005-0000-0000-0000F42D0000}"/>
    <cellStyle name="Comma 2 33 9" xfId="11768" xr:uid="{00000000-0005-0000-0000-0000F52D0000}"/>
    <cellStyle name="Comma 2 34" xfId="11769" xr:uid="{00000000-0005-0000-0000-0000F62D0000}"/>
    <cellStyle name="Comma 2 34 10" xfId="11770" xr:uid="{00000000-0005-0000-0000-0000F72D0000}"/>
    <cellStyle name="Comma 2 34 2" xfId="11771" xr:uid="{00000000-0005-0000-0000-0000F82D0000}"/>
    <cellStyle name="Comma 2 34 2 2" xfId="11772" xr:uid="{00000000-0005-0000-0000-0000F92D0000}"/>
    <cellStyle name="Comma 2 34 2 2 2" xfId="11773" xr:uid="{00000000-0005-0000-0000-0000FA2D0000}"/>
    <cellStyle name="Comma 2 34 2 2 3" xfId="11774" xr:uid="{00000000-0005-0000-0000-0000FB2D0000}"/>
    <cellStyle name="Comma 2 34 2 3" xfId="11775" xr:uid="{00000000-0005-0000-0000-0000FC2D0000}"/>
    <cellStyle name="Comma 2 34 2 4" xfId="11776" xr:uid="{00000000-0005-0000-0000-0000FD2D0000}"/>
    <cellStyle name="Comma 2 34 2 5" xfId="11777" xr:uid="{00000000-0005-0000-0000-0000FE2D0000}"/>
    <cellStyle name="Comma 2 34 2 6" xfId="11778" xr:uid="{00000000-0005-0000-0000-0000FF2D0000}"/>
    <cellStyle name="Comma 2 34 3" xfId="11779" xr:uid="{00000000-0005-0000-0000-0000002E0000}"/>
    <cellStyle name="Comma 2 34 3 2" xfId="11780" xr:uid="{00000000-0005-0000-0000-0000012E0000}"/>
    <cellStyle name="Comma 2 34 3 2 2" xfId="11781" xr:uid="{00000000-0005-0000-0000-0000022E0000}"/>
    <cellStyle name="Comma 2 34 3 2 3" xfId="11782" xr:uid="{00000000-0005-0000-0000-0000032E0000}"/>
    <cellStyle name="Comma 2 34 3 3" xfId="11783" xr:uid="{00000000-0005-0000-0000-0000042E0000}"/>
    <cellStyle name="Comma 2 34 3 4" xfId="11784" xr:uid="{00000000-0005-0000-0000-0000052E0000}"/>
    <cellStyle name="Comma 2 34 3 5" xfId="11785" xr:uid="{00000000-0005-0000-0000-0000062E0000}"/>
    <cellStyle name="Comma 2 34 3 6" xfId="11786" xr:uid="{00000000-0005-0000-0000-0000072E0000}"/>
    <cellStyle name="Comma 2 34 4" xfId="11787" xr:uid="{00000000-0005-0000-0000-0000082E0000}"/>
    <cellStyle name="Comma 2 34 4 2" xfId="11788" xr:uid="{00000000-0005-0000-0000-0000092E0000}"/>
    <cellStyle name="Comma 2 34 4 2 2" xfId="11789" xr:uid="{00000000-0005-0000-0000-00000A2E0000}"/>
    <cellStyle name="Comma 2 34 4 3" xfId="11790" xr:uid="{00000000-0005-0000-0000-00000B2E0000}"/>
    <cellStyle name="Comma 2 34 4 4" xfId="11791" xr:uid="{00000000-0005-0000-0000-00000C2E0000}"/>
    <cellStyle name="Comma 2 34 4 5" xfId="11792" xr:uid="{00000000-0005-0000-0000-00000D2E0000}"/>
    <cellStyle name="Comma 2 34 4 6" xfId="11793" xr:uid="{00000000-0005-0000-0000-00000E2E0000}"/>
    <cellStyle name="Comma 2 34 5" xfId="11794" xr:uid="{00000000-0005-0000-0000-00000F2E0000}"/>
    <cellStyle name="Comma 2 34 5 2" xfId="11795" xr:uid="{00000000-0005-0000-0000-0000102E0000}"/>
    <cellStyle name="Comma 2 34 5 3" xfId="11796" xr:uid="{00000000-0005-0000-0000-0000112E0000}"/>
    <cellStyle name="Comma 2 34 5 4" xfId="11797" xr:uid="{00000000-0005-0000-0000-0000122E0000}"/>
    <cellStyle name="Comma 2 34 5 5" xfId="11798" xr:uid="{00000000-0005-0000-0000-0000132E0000}"/>
    <cellStyle name="Comma 2 34 6" xfId="11799" xr:uid="{00000000-0005-0000-0000-0000142E0000}"/>
    <cellStyle name="Comma 2 34 6 2" xfId="11800" xr:uid="{00000000-0005-0000-0000-0000152E0000}"/>
    <cellStyle name="Comma 2 34 6 3" xfId="11801" xr:uid="{00000000-0005-0000-0000-0000162E0000}"/>
    <cellStyle name="Comma 2 34 7" xfId="11802" xr:uid="{00000000-0005-0000-0000-0000172E0000}"/>
    <cellStyle name="Comma 2 34 7 2" xfId="11803" xr:uid="{00000000-0005-0000-0000-0000182E0000}"/>
    <cellStyle name="Comma 2 34 8" xfId="11804" xr:uid="{00000000-0005-0000-0000-0000192E0000}"/>
    <cellStyle name="Comma 2 34 9" xfId="11805" xr:uid="{00000000-0005-0000-0000-00001A2E0000}"/>
    <cellStyle name="Comma 2 35" xfId="11806" xr:uid="{00000000-0005-0000-0000-00001B2E0000}"/>
    <cellStyle name="Comma 2 35 10" xfId="11807" xr:uid="{00000000-0005-0000-0000-00001C2E0000}"/>
    <cellStyle name="Comma 2 35 2" xfId="11808" xr:uid="{00000000-0005-0000-0000-00001D2E0000}"/>
    <cellStyle name="Comma 2 35 2 2" xfId="11809" xr:uid="{00000000-0005-0000-0000-00001E2E0000}"/>
    <cellStyle name="Comma 2 35 2 2 2" xfId="11810" xr:uid="{00000000-0005-0000-0000-00001F2E0000}"/>
    <cellStyle name="Comma 2 35 2 2 3" xfId="11811" xr:uid="{00000000-0005-0000-0000-0000202E0000}"/>
    <cellStyle name="Comma 2 35 2 3" xfId="11812" xr:uid="{00000000-0005-0000-0000-0000212E0000}"/>
    <cellStyle name="Comma 2 35 2 4" xfId="11813" xr:uid="{00000000-0005-0000-0000-0000222E0000}"/>
    <cellStyle name="Comma 2 35 2 5" xfId="11814" xr:uid="{00000000-0005-0000-0000-0000232E0000}"/>
    <cellStyle name="Comma 2 35 2 6" xfId="11815" xr:uid="{00000000-0005-0000-0000-0000242E0000}"/>
    <cellStyle name="Comma 2 35 3" xfId="11816" xr:uid="{00000000-0005-0000-0000-0000252E0000}"/>
    <cellStyle name="Comma 2 35 3 2" xfId="11817" xr:uid="{00000000-0005-0000-0000-0000262E0000}"/>
    <cellStyle name="Comma 2 35 3 2 2" xfId="11818" xr:uid="{00000000-0005-0000-0000-0000272E0000}"/>
    <cellStyle name="Comma 2 35 3 3" xfId="11819" xr:uid="{00000000-0005-0000-0000-0000282E0000}"/>
    <cellStyle name="Comma 2 35 3 4" xfId="11820" xr:uid="{00000000-0005-0000-0000-0000292E0000}"/>
    <cellStyle name="Comma 2 35 3 5" xfId="11821" xr:uid="{00000000-0005-0000-0000-00002A2E0000}"/>
    <cellStyle name="Comma 2 35 3 6" xfId="11822" xr:uid="{00000000-0005-0000-0000-00002B2E0000}"/>
    <cellStyle name="Comma 2 35 4" xfId="11823" xr:uid="{00000000-0005-0000-0000-00002C2E0000}"/>
    <cellStyle name="Comma 2 35 4 2" xfId="11824" xr:uid="{00000000-0005-0000-0000-00002D2E0000}"/>
    <cellStyle name="Comma 2 35 4 3" xfId="11825" xr:uid="{00000000-0005-0000-0000-00002E2E0000}"/>
    <cellStyle name="Comma 2 35 4 4" xfId="11826" xr:uid="{00000000-0005-0000-0000-00002F2E0000}"/>
    <cellStyle name="Comma 2 35 4 5" xfId="11827" xr:uid="{00000000-0005-0000-0000-0000302E0000}"/>
    <cellStyle name="Comma 2 35 5" xfId="11828" xr:uid="{00000000-0005-0000-0000-0000312E0000}"/>
    <cellStyle name="Comma 2 35 5 2" xfId="11829" xr:uid="{00000000-0005-0000-0000-0000322E0000}"/>
    <cellStyle name="Comma 2 35 5 3" xfId="11830" xr:uid="{00000000-0005-0000-0000-0000332E0000}"/>
    <cellStyle name="Comma 2 35 6" xfId="11831" xr:uid="{00000000-0005-0000-0000-0000342E0000}"/>
    <cellStyle name="Comma 2 35 6 2" xfId="11832" xr:uid="{00000000-0005-0000-0000-0000352E0000}"/>
    <cellStyle name="Comma 2 35 7" xfId="11833" xr:uid="{00000000-0005-0000-0000-0000362E0000}"/>
    <cellStyle name="Comma 2 35 7 2" xfId="11834" xr:uid="{00000000-0005-0000-0000-0000372E0000}"/>
    <cellStyle name="Comma 2 35 8" xfId="11835" xr:uid="{00000000-0005-0000-0000-0000382E0000}"/>
    <cellStyle name="Comma 2 35 9" xfId="11836" xr:uid="{00000000-0005-0000-0000-0000392E0000}"/>
    <cellStyle name="Comma 2 36" xfId="11837" xr:uid="{00000000-0005-0000-0000-00003A2E0000}"/>
    <cellStyle name="Comma 2 36 10" xfId="11838" xr:uid="{00000000-0005-0000-0000-00003B2E0000}"/>
    <cellStyle name="Comma 2 36 2" xfId="11839" xr:uid="{00000000-0005-0000-0000-00003C2E0000}"/>
    <cellStyle name="Comma 2 36 2 2" xfId="11840" xr:uid="{00000000-0005-0000-0000-00003D2E0000}"/>
    <cellStyle name="Comma 2 36 2 2 2" xfId="11841" xr:uid="{00000000-0005-0000-0000-00003E2E0000}"/>
    <cellStyle name="Comma 2 36 2 2 3" xfId="11842" xr:uid="{00000000-0005-0000-0000-00003F2E0000}"/>
    <cellStyle name="Comma 2 36 2 3" xfId="11843" xr:uid="{00000000-0005-0000-0000-0000402E0000}"/>
    <cellStyle name="Comma 2 36 2 4" xfId="11844" xr:uid="{00000000-0005-0000-0000-0000412E0000}"/>
    <cellStyle name="Comma 2 36 2 5" xfId="11845" xr:uid="{00000000-0005-0000-0000-0000422E0000}"/>
    <cellStyle name="Comma 2 36 2 6" xfId="11846" xr:uid="{00000000-0005-0000-0000-0000432E0000}"/>
    <cellStyle name="Comma 2 36 3" xfId="11847" xr:uid="{00000000-0005-0000-0000-0000442E0000}"/>
    <cellStyle name="Comma 2 36 3 2" xfId="11848" xr:uid="{00000000-0005-0000-0000-0000452E0000}"/>
    <cellStyle name="Comma 2 36 3 2 2" xfId="11849" xr:uid="{00000000-0005-0000-0000-0000462E0000}"/>
    <cellStyle name="Comma 2 36 3 3" xfId="11850" xr:uid="{00000000-0005-0000-0000-0000472E0000}"/>
    <cellStyle name="Comma 2 36 3 4" xfId="11851" xr:uid="{00000000-0005-0000-0000-0000482E0000}"/>
    <cellStyle name="Comma 2 36 3 5" xfId="11852" xr:uid="{00000000-0005-0000-0000-0000492E0000}"/>
    <cellStyle name="Comma 2 36 3 6" xfId="11853" xr:uid="{00000000-0005-0000-0000-00004A2E0000}"/>
    <cellStyle name="Comma 2 36 4" xfId="11854" xr:uid="{00000000-0005-0000-0000-00004B2E0000}"/>
    <cellStyle name="Comma 2 36 4 2" xfId="11855" xr:uid="{00000000-0005-0000-0000-00004C2E0000}"/>
    <cellStyle name="Comma 2 36 4 3" xfId="11856" xr:uid="{00000000-0005-0000-0000-00004D2E0000}"/>
    <cellStyle name="Comma 2 36 4 4" xfId="11857" xr:uid="{00000000-0005-0000-0000-00004E2E0000}"/>
    <cellStyle name="Comma 2 36 4 5" xfId="11858" xr:uid="{00000000-0005-0000-0000-00004F2E0000}"/>
    <cellStyle name="Comma 2 36 5" xfId="11859" xr:uid="{00000000-0005-0000-0000-0000502E0000}"/>
    <cellStyle name="Comma 2 36 5 2" xfId="11860" xr:uid="{00000000-0005-0000-0000-0000512E0000}"/>
    <cellStyle name="Comma 2 36 5 3" xfId="11861" xr:uid="{00000000-0005-0000-0000-0000522E0000}"/>
    <cellStyle name="Comma 2 36 6" xfId="11862" xr:uid="{00000000-0005-0000-0000-0000532E0000}"/>
    <cellStyle name="Comma 2 36 6 2" xfId="11863" xr:uid="{00000000-0005-0000-0000-0000542E0000}"/>
    <cellStyle name="Comma 2 36 7" xfId="11864" xr:uid="{00000000-0005-0000-0000-0000552E0000}"/>
    <cellStyle name="Comma 2 36 7 2" xfId="11865" xr:uid="{00000000-0005-0000-0000-0000562E0000}"/>
    <cellStyle name="Comma 2 36 8" xfId="11866" xr:uid="{00000000-0005-0000-0000-0000572E0000}"/>
    <cellStyle name="Comma 2 36 9" xfId="11867" xr:uid="{00000000-0005-0000-0000-0000582E0000}"/>
    <cellStyle name="Comma 2 37" xfId="11868" xr:uid="{00000000-0005-0000-0000-0000592E0000}"/>
    <cellStyle name="Comma 2 37 10" xfId="11869" xr:uid="{00000000-0005-0000-0000-00005A2E0000}"/>
    <cellStyle name="Comma 2 37 2" xfId="11870" xr:uid="{00000000-0005-0000-0000-00005B2E0000}"/>
    <cellStyle name="Comma 2 37 2 2" xfId="11871" xr:uid="{00000000-0005-0000-0000-00005C2E0000}"/>
    <cellStyle name="Comma 2 37 2 2 2" xfId="11872" xr:uid="{00000000-0005-0000-0000-00005D2E0000}"/>
    <cellStyle name="Comma 2 37 2 2 3" xfId="11873" xr:uid="{00000000-0005-0000-0000-00005E2E0000}"/>
    <cellStyle name="Comma 2 37 2 3" xfId="11874" xr:uid="{00000000-0005-0000-0000-00005F2E0000}"/>
    <cellStyle name="Comma 2 37 2 4" xfId="11875" xr:uid="{00000000-0005-0000-0000-0000602E0000}"/>
    <cellStyle name="Comma 2 37 2 5" xfId="11876" xr:uid="{00000000-0005-0000-0000-0000612E0000}"/>
    <cellStyle name="Comma 2 37 2 6" xfId="11877" xr:uid="{00000000-0005-0000-0000-0000622E0000}"/>
    <cellStyle name="Comma 2 37 3" xfId="11878" xr:uid="{00000000-0005-0000-0000-0000632E0000}"/>
    <cellStyle name="Comma 2 37 3 2" xfId="11879" xr:uid="{00000000-0005-0000-0000-0000642E0000}"/>
    <cellStyle name="Comma 2 37 3 3" xfId="11880" xr:uid="{00000000-0005-0000-0000-0000652E0000}"/>
    <cellStyle name="Comma 2 37 3 4" xfId="11881" xr:uid="{00000000-0005-0000-0000-0000662E0000}"/>
    <cellStyle name="Comma 2 37 3 5" xfId="11882" xr:uid="{00000000-0005-0000-0000-0000672E0000}"/>
    <cellStyle name="Comma 2 37 4" xfId="11883" xr:uid="{00000000-0005-0000-0000-0000682E0000}"/>
    <cellStyle name="Comma 2 37 4 2" xfId="11884" xr:uid="{00000000-0005-0000-0000-0000692E0000}"/>
    <cellStyle name="Comma 2 37 4 3" xfId="11885" xr:uid="{00000000-0005-0000-0000-00006A2E0000}"/>
    <cellStyle name="Comma 2 37 5" xfId="11886" xr:uid="{00000000-0005-0000-0000-00006B2E0000}"/>
    <cellStyle name="Comma 2 37 5 2" xfId="11887" xr:uid="{00000000-0005-0000-0000-00006C2E0000}"/>
    <cellStyle name="Comma 2 37 6" xfId="11888" xr:uid="{00000000-0005-0000-0000-00006D2E0000}"/>
    <cellStyle name="Comma 2 37 6 2" xfId="11889" xr:uid="{00000000-0005-0000-0000-00006E2E0000}"/>
    <cellStyle name="Comma 2 37 7" xfId="11890" xr:uid="{00000000-0005-0000-0000-00006F2E0000}"/>
    <cellStyle name="Comma 2 37 7 2" xfId="11891" xr:uid="{00000000-0005-0000-0000-0000702E0000}"/>
    <cellStyle name="Comma 2 37 8" xfId="11892" xr:uid="{00000000-0005-0000-0000-0000712E0000}"/>
    <cellStyle name="Comma 2 37 9" xfId="11893" xr:uid="{00000000-0005-0000-0000-0000722E0000}"/>
    <cellStyle name="Comma 2 38" xfId="11894" xr:uid="{00000000-0005-0000-0000-0000732E0000}"/>
    <cellStyle name="Comma 2 38 10" xfId="11895" xr:uid="{00000000-0005-0000-0000-0000742E0000}"/>
    <cellStyle name="Comma 2 38 2" xfId="11896" xr:uid="{00000000-0005-0000-0000-0000752E0000}"/>
    <cellStyle name="Comma 2 38 2 2" xfId="11897" xr:uid="{00000000-0005-0000-0000-0000762E0000}"/>
    <cellStyle name="Comma 2 38 2 2 2" xfId="11898" xr:uid="{00000000-0005-0000-0000-0000772E0000}"/>
    <cellStyle name="Comma 2 38 2 3" xfId="11899" xr:uid="{00000000-0005-0000-0000-0000782E0000}"/>
    <cellStyle name="Comma 2 38 2 4" xfId="11900" xr:uid="{00000000-0005-0000-0000-0000792E0000}"/>
    <cellStyle name="Comma 2 38 2 5" xfId="11901" xr:uid="{00000000-0005-0000-0000-00007A2E0000}"/>
    <cellStyle name="Comma 2 38 3" xfId="11902" xr:uid="{00000000-0005-0000-0000-00007B2E0000}"/>
    <cellStyle name="Comma 2 38 3 2" xfId="11903" xr:uid="{00000000-0005-0000-0000-00007C2E0000}"/>
    <cellStyle name="Comma 2 38 3 3" xfId="11904" xr:uid="{00000000-0005-0000-0000-00007D2E0000}"/>
    <cellStyle name="Comma 2 38 4" xfId="11905" xr:uid="{00000000-0005-0000-0000-00007E2E0000}"/>
    <cellStyle name="Comma 2 38 4 2" xfId="11906" xr:uid="{00000000-0005-0000-0000-00007F2E0000}"/>
    <cellStyle name="Comma 2 38 5" xfId="11907" xr:uid="{00000000-0005-0000-0000-0000802E0000}"/>
    <cellStyle name="Comma 2 38 5 2" xfId="11908" xr:uid="{00000000-0005-0000-0000-0000812E0000}"/>
    <cellStyle name="Comma 2 38 6" xfId="11909" xr:uid="{00000000-0005-0000-0000-0000822E0000}"/>
    <cellStyle name="Comma 2 38 6 2" xfId="11910" xr:uid="{00000000-0005-0000-0000-0000832E0000}"/>
    <cellStyle name="Comma 2 38 7" xfId="11911" xr:uid="{00000000-0005-0000-0000-0000842E0000}"/>
    <cellStyle name="Comma 2 38 8" xfId="11912" xr:uid="{00000000-0005-0000-0000-0000852E0000}"/>
    <cellStyle name="Comma 2 38 9" xfId="11913" xr:uid="{00000000-0005-0000-0000-0000862E0000}"/>
    <cellStyle name="Comma 2 39" xfId="11914" xr:uid="{00000000-0005-0000-0000-0000872E0000}"/>
    <cellStyle name="Comma 2 39 10" xfId="11915" xr:uid="{00000000-0005-0000-0000-0000882E0000}"/>
    <cellStyle name="Comma 2 39 2" xfId="11916" xr:uid="{00000000-0005-0000-0000-0000892E0000}"/>
    <cellStyle name="Comma 2 39 2 2" xfId="11917" xr:uid="{00000000-0005-0000-0000-00008A2E0000}"/>
    <cellStyle name="Comma 2 39 2 2 2" xfId="11918" xr:uid="{00000000-0005-0000-0000-00008B2E0000}"/>
    <cellStyle name="Comma 2 39 2 3" xfId="11919" xr:uid="{00000000-0005-0000-0000-00008C2E0000}"/>
    <cellStyle name="Comma 2 39 2 4" xfId="11920" xr:uid="{00000000-0005-0000-0000-00008D2E0000}"/>
    <cellStyle name="Comma 2 39 3" xfId="11921" xr:uid="{00000000-0005-0000-0000-00008E2E0000}"/>
    <cellStyle name="Comma 2 39 3 2" xfId="11922" xr:uid="{00000000-0005-0000-0000-00008F2E0000}"/>
    <cellStyle name="Comma 2 39 4" xfId="11923" xr:uid="{00000000-0005-0000-0000-0000902E0000}"/>
    <cellStyle name="Comma 2 39 4 2" xfId="11924" xr:uid="{00000000-0005-0000-0000-0000912E0000}"/>
    <cellStyle name="Comma 2 39 5" xfId="11925" xr:uid="{00000000-0005-0000-0000-0000922E0000}"/>
    <cellStyle name="Comma 2 39 6" xfId="11926" xr:uid="{00000000-0005-0000-0000-0000932E0000}"/>
    <cellStyle name="Comma 2 39 7" xfId="11927" xr:uid="{00000000-0005-0000-0000-0000942E0000}"/>
    <cellStyle name="Comma 2 39 8" xfId="11928" xr:uid="{00000000-0005-0000-0000-0000952E0000}"/>
    <cellStyle name="Comma 2 39 9" xfId="11929" xr:uid="{00000000-0005-0000-0000-0000962E0000}"/>
    <cellStyle name="Comma 2 4" xfId="11930" xr:uid="{00000000-0005-0000-0000-0000972E0000}"/>
    <cellStyle name="Comma 2 4 10" xfId="11931" xr:uid="{00000000-0005-0000-0000-0000982E0000}"/>
    <cellStyle name="Comma 2 4 10 10" xfId="11932" xr:uid="{00000000-0005-0000-0000-0000992E0000}"/>
    <cellStyle name="Comma 2 4 10 2" xfId="11933" xr:uid="{00000000-0005-0000-0000-00009A2E0000}"/>
    <cellStyle name="Comma 2 4 10 2 2" xfId="11934" xr:uid="{00000000-0005-0000-0000-00009B2E0000}"/>
    <cellStyle name="Comma 2 4 10 2 2 2" xfId="11935" xr:uid="{00000000-0005-0000-0000-00009C2E0000}"/>
    <cellStyle name="Comma 2 4 10 2 2 3" xfId="11936" xr:uid="{00000000-0005-0000-0000-00009D2E0000}"/>
    <cellStyle name="Comma 2 4 10 2 3" xfId="11937" xr:uid="{00000000-0005-0000-0000-00009E2E0000}"/>
    <cellStyle name="Comma 2 4 10 2 4" xfId="11938" xr:uid="{00000000-0005-0000-0000-00009F2E0000}"/>
    <cellStyle name="Comma 2 4 10 2 5" xfId="11939" xr:uid="{00000000-0005-0000-0000-0000A02E0000}"/>
    <cellStyle name="Comma 2 4 10 2 6" xfId="11940" xr:uid="{00000000-0005-0000-0000-0000A12E0000}"/>
    <cellStyle name="Comma 2 4 10 3" xfId="11941" xr:uid="{00000000-0005-0000-0000-0000A22E0000}"/>
    <cellStyle name="Comma 2 4 10 3 2" xfId="11942" xr:uid="{00000000-0005-0000-0000-0000A32E0000}"/>
    <cellStyle name="Comma 2 4 10 3 2 2" xfId="11943" xr:uid="{00000000-0005-0000-0000-0000A42E0000}"/>
    <cellStyle name="Comma 2 4 10 3 2 3" xfId="11944" xr:uid="{00000000-0005-0000-0000-0000A52E0000}"/>
    <cellStyle name="Comma 2 4 10 3 3" xfId="11945" xr:uid="{00000000-0005-0000-0000-0000A62E0000}"/>
    <cellStyle name="Comma 2 4 10 3 4" xfId="11946" xr:uid="{00000000-0005-0000-0000-0000A72E0000}"/>
    <cellStyle name="Comma 2 4 10 3 5" xfId="11947" xr:uid="{00000000-0005-0000-0000-0000A82E0000}"/>
    <cellStyle name="Comma 2 4 10 3 6" xfId="11948" xr:uid="{00000000-0005-0000-0000-0000A92E0000}"/>
    <cellStyle name="Comma 2 4 10 4" xfId="11949" xr:uid="{00000000-0005-0000-0000-0000AA2E0000}"/>
    <cellStyle name="Comma 2 4 10 4 2" xfId="11950" xr:uid="{00000000-0005-0000-0000-0000AB2E0000}"/>
    <cellStyle name="Comma 2 4 10 4 2 2" xfId="11951" xr:uid="{00000000-0005-0000-0000-0000AC2E0000}"/>
    <cellStyle name="Comma 2 4 10 4 3" xfId="11952" xr:uid="{00000000-0005-0000-0000-0000AD2E0000}"/>
    <cellStyle name="Comma 2 4 10 4 4" xfId="11953" xr:uid="{00000000-0005-0000-0000-0000AE2E0000}"/>
    <cellStyle name="Comma 2 4 10 4 5" xfId="11954" xr:uid="{00000000-0005-0000-0000-0000AF2E0000}"/>
    <cellStyle name="Comma 2 4 10 5" xfId="11955" xr:uid="{00000000-0005-0000-0000-0000B02E0000}"/>
    <cellStyle name="Comma 2 4 10 5 2" xfId="11956" xr:uid="{00000000-0005-0000-0000-0000B12E0000}"/>
    <cellStyle name="Comma 2 4 10 5 3" xfId="11957" xr:uid="{00000000-0005-0000-0000-0000B22E0000}"/>
    <cellStyle name="Comma 2 4 10 5 4" xfId="11958" xr:uid="{00000000-0005-0000-0000-0000B32E0000}"/>
    <cellStyle name="Comma 2 4 10 6" xfId="11959" xr:uid="{00000000-0005-0000-0000-0000B42E0000}"/>
    <cellStyle name="Comma 2 4 10 6 2" xfId="11960" xr:uid="{00000000-0005-0000-0000-0000B52E0000}"/>
    <cellStyle name="Comma 2 4 10 7" xfId="11961" xr:uid="{00000000-0005-0000-0000-0000B62E0000}"/>
    <cellStyle name="Comma 2 4 10 8" xfId="11962" xr:uid="{00000000-0005-0000-0000-0000B72E0000}"/>
    <cellStyle name="Comma 2 4 10 9" xfId="11963" xr:uid="{00000000-0005-0000-0000-0000B82E0000}"/>
    <cellStyle name="Comma 2 4 11" xfId="11964" xr:uid="{00000000-0005-0000-0000-0000B92E0000}"/>
    <cellStyle name="Comma 2 4 11 10" xfId="11965" xr:uid="{00000000-0005-0000-0000-0000BA2E0000}"/>
    <cellStyle name="Comma 2 4 11 2" xfId="11966" xr:uid="{00000000-0005-0000-0000-0000BB2E0000}"/>
    <cellStyle name="Comma 2 4 11 2 2" xfId="11967" xr:uid="{00000000-0005-0000-0000-0000BC2E0000}"/>
    <cellStyle name="Comma 2 4 11 2 2 2" xfId="11968" xr:uid="{00000000-0005-0000-0000-0000BD2E0000}"/>
    <cellStyle name="Comma 2 4 11 2 2 3" xfId="11969" xr:uid="{00000000-0005-0000-0000-0000BE2E0000}"/>
    <cellStyle name="Comma 2 4 11 2 3" xfId="11970" xr:uid="{00000000-0005-0000-0000-0000BF2E0000}"/>
    <cellStyle name="Comma 2 4 11 2 4" xfId="11971" xr:uid="{00000000-0005-0000-0000-0000C02E0000}"/>
    <cellStyle name="Comma 2 4 11 2 5" xfId="11972" xr:uid="{00000000-0005-0000-0000-0000C12E0000}"/>
    <cellStyle name="Comma 2 4 11 2 6" xfId="11973" xr:uid="{00000000-0005-0000-0000-0000C22E0000}"/>
    <cellStyle name="Comma 2 4 11 3" xfId="11974" xr:uid="{00000000-0005-0000-0000-0000C32E0000}"/>
    <cellStyle name="Comma 2 4 11 3 2" xfId="11975" xr:uid="{00000000-0005-0000-0000-0000C42E0000}"/>
    <cellStyle name="Comma 2 4 11 3 2 2" xfId="11976" xr:uid="{00000000-0005-0000-0000-0000C52E0000}"/>
    <cellStyle name="Comma 2 4 11 3 2 3" xfId="11977" xr:uid="{00000000-0005-0000-0000-0000C62E0000}"/>
    <cellStyle name="Comma 2 4 11 3 3" xfId="11978" xr:uid="{00000000-0005-0000-0000-0000C72E0000}"/>
    <cellStyle name="Comma 2 4 11 3 4" xfId="11979" xr:uid="{00000000-0005-0000-0000-0000C82E0000}"/>
    <cellStyle name="Comma 2 4 11 3 5" xfId="11980" xr:uid="{00000000-0005-0000-0000-0000C92E0000}"/>
    <cellStyle name="Comma 2 4 11 3 6" xfId="11981" xr:uid="{00000000-0005-0000-0000-0000CA2E0000}"/>
    <cellStyle name="Comma 2 4 11 4" xfId="11982" xr:uid="{00000000-0005-0000-0000-0000CB2E0000}"/>
    <cellStyle name="Comma 2 4 11 4 2" xfId="11983" xr:uid="{00000000-0005-0000-0000-0000CC2E0000}"/>
    <cellStyle name="Comma 2 4 11 4 2 2" xfId="11984" xr:uid="{00000000-0005-0000-0000-0000CD2E0000}"/>
    <cellStyle name="Comma 2 4 11 4 3" xfId="11985" xr:uid="{00000000-0005-0000-0000-0000CE2E0000}"/>
    <cellStyle name="Comma 2 4 11 4 4" xfId="11986" xr:uid="{00000000-0005-0000-0000-0000CF2E0000}"/>
    <cellStyle name="Comma 2 4 11 4 5" xfId="11987" xr:uid="{00000000-0005-0000-0000-0000D02E0000}"/>
    <cellStyle name="Comma 2 4 11 5" xfId="11988" xr:uid="{00000000-0005-0000-0000-0000D12E0000}"/>
    <cellStyle name="Comma 2 4 11 5 2" xfId="11989" xr:uid="{00000000-0005-0000-0000-0000D22E0000}"/>
    <cellStyle name="Comma 2 4 11 5 3" xfId="11990" xr:uid="{00000000-0005-0000-0000-0000D32E0000}"/>
    <cellStyle name="Comma 2 4 11 5 4" xfId="11991" xr:uid="{00000000-0005-0000-0000-0000D42E0000}"/>
    <cellStyle name="Comma 2 4 11 6" xfId="11992" xr:uid="{00000000-0005-0000-0000-0000D52E0000}"/>
    <cellStyle name="Comma 2 4 11 6 2" xfId="11993" xr:uid="{00000000-0005-0000-0000-0000D62E0000}"/>
    <cellStyle name="Comma 2 4 11 7" xfId="11994" xr:uid="{00000000-0005-0000-0000-0000D72E0000}"/>
    <cellStyle name="Comma 2 4 11 8" xfId="11995" xr:uid="{00000000-0005-0000-0000-0000D82E0000}"/>
    <cellStyle name="Comma 2 4 11 9" xfId="11996" xr:uid="{00000000-0005-0000-0000-0000D92E0000}"/>
    <cellStyle name="Comma 2 4 12" xfId="11997" xr:uid="{00000000-0005-0000-0000-0000DA2E0000}"/>
    <cellStyle name="Comma 2 4 12 10" xfId="11998" xr:uid="{00000000-0005-0000-0000-0000DB2E0000}"/>
    <cellStyle name="Comma 2 4 12 2" xfId="11999" xr:uid="{00000000-0005-0000-0000-0000DC2E0000}"/>
    <cellStyle name="Comma 2 4 12 2 2" xfId="12000" xr:uid="{00000000-0005-0000-0000-0000DD2E0000}"/>
    <cellStyle name="Comma 2 4 12 2 2 2" xfId="12001" xr:uid="{00000000-0005-0000-0000-0000DE2E0000}"/>
    <cellStyle name="Comma 2 4 12 2 2 3" xfId="12002" xr:uid="{00000000-0005-0000-0000-0000DF2E0000}"/>
    <cellStyle name="Comma 2 4 12 2 3" xfId="12003" xr:uid="{00000000-0005-0000-0000-0000E02E0000}"/>
    <cellStyle name="Comma 2 4 12 2 4" xfId="12004" xr:uid="{00000000-0005-0000-0000-0000E12E0000}"/>
    <cellStyle name="Comma 2 4 12 2 5" xfId="12005" xr:uid="{00000000-0005-0000-0000-0000E22E0000}"/>
    <cellStyle name="Comma 2 4 12 2 6" xfId="12006" xr:uid="{00000000-0005-0000-0000-0000E32E0000}"/>
    <cellStyle name="Comma 2 4 12 3" xfId="12007" xr:uid="{00000000-0005-0000-0000-0000E42E0000}"/>
    <cellStyle name="Comma 2 4 12 3 2" xfId="12008" xr:uid="{00000000-0005-0000-0000-0000E52E0000}"/>
    <cellStyle name="Comma 2 4 12 3 2 2" xfId="12009" xr:uid="{00000000-0005-0000-0000-0000E62E0000}"/>
    <cellStyle name="Comma 2 4 12 3 2 3" xfId="12010" xr:uid="{00000000-0005-0000-0000-0000E72E0000}"/>
    <cellStyle name="Comma 2 4 12 3 3" xfId="12011" xr:uid="{00000000-0005-0000-0000-0000E82E0000}"/>
    <cellStyle name="Comma 2 4 12 3 4" xfId="12012" xr:uid="{00000000-0005-0000-0000-0000E92E0000}"/>
    <cellStyle name="Comma 2 4 12 3 5" xfId="12013" xr:uid="{00000000-0005-0000-0000-0000EA2E0000}"/>
    <cellStyle name="Comma 2 4 12 3 6" xfId="12014" xr:uid="{00000000-0005-0000-0000-0000EB2E0000}"/>
    <cellStyle name="Comma 2 4 12 4" xfId="12015" xr:uid="{00000000-0005-0000-0000-0000EC2E0000}"/>
    <cellStyle name="Comma 2 4 12 4 2" xfId="12016" xr:uid="{00000000-0005-0000-0000-0000ED2E0000}"/>
    <cellStyle name="Comma 2 4 12 4 2 2" xfId="12017" xr:uid="{00000000-0005-0000-0000-0000EE2E0000}"/>
    <cellStyle name="Comma 2 4 12 4 3" xfId="12018" xr:uid="{00000000-0005-0000-0000-0000EF2E0000}"/>
    <cellStyle name="Comma 2 4 12 4 4" xfId="12019" xr:uid="{00000000-0005-0000-0000-0000F02E0000}"/>
    <cellStyle name="Comma 2 4 12 4 5" xfId="12020" xr:uid="{00000000-0005-0000-0000-0000F12E0000}"/>
    <cellStyle name="Comma 2 4 12 5" xfId="12021" xr:uid="{00000000-0005-0000-0000-0000F22E0000}"/>
    <cellStyle name="Comma 2 4 12 5 2" xfId="12022" xr:uid="{00000000-0005-0000-0000-0000F32E0000}"/>
    <cellStyle name="Comma 2 4 12 5 3" xfId="12023" xr:uid="{00000000-0005-0000-0000-0000F42E0000}"/>
    <cellStyle name="Comma 2 4 12 5 4" xfId="12024" xr:uid="{00000000-0005-0000-0000-0000F52E0000}"/>
    <cellStyle name="Comma 2 4 12 6" xfId="12025" xr:uid="{00000000-0005-0000-0000-0000F62E0000}"/>
    <cellStyle name="Comma 2 4 12 6 2" xfId="12026" xr:uid="{00000000-0005-0000-0000-0000F72E0000}"/>
    <cellStyle name="Comma 2 4 12 7" xfId="12027" xr:uid="{00000000-0005-0000-0000-0000F82E0000}"/>
    <cellStyle name="Comma 2 4 12 8" xfId="12028" xr:uid="{00000000-0005-0000-0000-0000F92E0000}"/>
    <cellStyle name="Comma 2 4 12 9" xfId="12029" xr:uid="{00000000-0005-0000-0000-0000FA2E0000}"/>
    <cellStyle name="Comma 2 4 13" xfId="12030" xr:uid="{00000000-0005-0000-0000-0000FB2E0000}"/>
    <cellStyle name="Comma 2 4 13 10" xfId="12031" xr:uid="{00000000-0005-0000-0000-0000FC2E0000}"/>
    <cellStyle name="Comma 2 4 13 2" xfId="12032" xr:uid="{00000000-0005-0000-0000-0000FD2E0000}"/>
    <cellStyle name="Comma 2 4 13 2 2" xfId="12033" xr:uid="{00000000-0005-0000-0000-0000FE2E0000}"/>
    <cellStyle name="Comma 2 4 13 2 2 2" xfId="12034" xr:uid="{00000000-0005-0000-0000-0000FF2E0000}"/>
    <cellStyle name="Comma 2 4 13 2 2 3" xfId="12035" xr:uid="{00000000-0005-0000-0000-0000002F0000}"/>
    <cellStyle name="Comma 2 4 13 2 3" xfId="12036" xr:uid="{00000000-0005-0000-0000-0000012F0000}"/>
    <cellStyle name="Comma 2 4 13 2 4" xfId="12037" xr:uid="{00000000-0005-0000-0000-0000022F0000}"/>
    <cellStyle name="Comma 2 4 13 2 5" xfId="12038" xr:uid="{00000000-0005-0000-0000-0000032F0000}"/>
    <cellStyle name="Comma 2 4 13 2 6" xfId="12039" xr:uid="{00000000-0005-0000-0000-0000042F0000}"/>
    <cellStyle name="Comma 2 4 13 3" xfId="12040" xr:uid="{00000000-0005-0000-0000-0000052F0000}"/>
    <cellStyle name="Comma 2 4 13 3 2" xfId="12041" xr:uid="{00000000-0005-0000-0000-0000062F0000}"/>
    <cellStyle name="Comma 2 4 13 3 2 2" xfId="12042" xr:uid="{00000000-0005-0000-0000-0000072F0000}"/>
    <cellStyle name="Comma 2 4 13 3 2 3" xfId="12043" xr:uid="{00000000-0005-0000-0000-0000082F0000}"/>
    <cellStyle name="Comma 2 4 13 3 3" xfId="12044" xr:uid="{00000000-0005-0000-0000-0000092F0000}"/>
    <cellStyle name="Comma 2 4 13 3 4" xfId="12045" xr:uid="{00000000-0005-0000-0000-00000A2F0000}"/>
    <cellStyle name="Comma 2 4 13 3 5" xfId="12046" xr:uid="{00000000-0005-0000-0000-00000B2F0000}"/>
    <cellStyle name="Comma 2 4 13 3 6" xfId="12047" xr:uid="{00000000-0005-0000-0000-00000C2F0000}"/>
    <cellStyle name="Comma 2 4 13 4" xfId="12048" xr:uid="{00000000-0005-0000-0000-00000D2F0000}"/>
    <cellStyle name="Comma 2 4 13 4 2" xfId="12049" xr:uid="{00000000-0005-0000-0000-00000E2F0000}"/>
    <cellStyle name="Comma 2 4 13 4 2 2" xfId="12050" xr:uid="{00000000-0005-0000-0000-00000F2F0000}"/>
    <cellStyle name="Comma 2 4 13 4 3" xfId="12051" xr:uid="{00000000-0005-0000-0000-0000102F0000}"/>
    <cellStyle name="Comma 2 4 13 4 4" xfId="12052" xr:uid="{00000000-0005-0000-0000-0000112F0000}"/>
    <cellStyle name="Comma 2 4 13 4 5" xfId="12053" xr:uid="{00000000-0005-0000-0000-0000122F0000}"/>
    <cellStyle name="Comma 2 4 13 5" xfId="12054" xr:uid="{00000000-0005-0000-0000-0000132F0000}"/>
    <cellStyle name="Comma 2 4 13 5 2" xfId="12055" xr:uid="{00000000-0005-0000-0000-0000142F0000}"/>
    <cellStyle name="Comma 2 4 13 5 3" xfId="12056" xr:uid="{00000000-0005-0000-0000-0000152F0000}"/>
    <cellStyle name="Comma 2 4 13 5 4" xfId="12057" xr:uid="{00000000-0005-0000-0000-0000162F0000}"/>
    <cellStyle name="Comma 2 4 13 6" xfId="12058" xr:uid="{00000000-0005-0000-0000-0000172F0000}"/>
    <cellStyle name="Comma 2 4 13 6 2" xfId="12059" xr:uid="{00000000-0005-0000-0000-0000182F0000}"/>
    <cellStyle name="Comma 2 4 13 7" xfId="12060" xr:uid="{00000000-0005-0000-0000-0000192F0000}"/>
    <cellStyle name="Comma 2 4 13 8" xfId="12061" xr:uid="{00000000-0005-0000-0000-00001A2F0000}"/>
    <cellStyle name="Comma 2 4 13 9" xfId="12062" xr:uid="{00000000-0005-0000-0000-00001B2F0000}"/>
    <cellStyle name="Comma 2 4 14" xfId="12063" xr:uid="{00000000-0005-0000-0000-00001C2F0000}"/>
    <cellStyle name="Comma 2 4 14 10" xfId="12064" xr:uid="{00000000-0005-0000-0000-00001D2F0000}"/>
    <cellStyle name="Comma 2 4 14 2" xfId="12065" xr:uid="{00000000-0005-0000-0000-00001E2F0000}"/>
    <cellStyle name="Comma 2 4 14 2 2" xfId="12066" xr:uid="{00000000-0005-0000-0000-00001F2F0000}"/>
    <cellStyle name="Comma 2 4 14 2 2 2" xfId="12067" xr:uid="{00000000-0005-0000-0000-0000202F0000}"/>
    <cellStyle name="Comma 2 4 14 2 2 3" xfId="12068" xr:uid="{00000000-0005-0000-0000-0000212F0000}"/>
    <cellStyle name="Comma 2 4 14 2 3" xfId="12069" xr:uid="{00000000-0005-0000-0000-0000222F0000}"/>
    <cellStyle name="Comma 2 4 14 2 4" xfId="12070" xr:uid="{00000000-0005-0000-0000-0000232F0000}"/>
    <cellStyle name="Comma 2 4 14 2 5" xfId="12071" xr:uid="{00000000-0005-0000-0000-0000242F0000}"/>
    <cellStyle name="Comma 2 4 14 2 6" xfId="12072" xr:uid="{00000000-0005-0000-0000-0000252F0000}"/>
    <cellStyle name="Comma 2 4 14 3" xfId="12073" xr:uid="{00000000-0005-0000-0000-0000262F0000}"/>
    <cellStyle name="Comma 2 4 14 3 2" xfId="12074" xr:uid="{00000000-0005-0000-0000-0000272F0000}"/>
    <cellStyle name="Comma 2 4 14 3 2 2" xfId="12075" xr:uid="{00000000-0005-0000-0000-0000282F0000}"/>
    <cellStyle name="Comma 2 4 14 3 2 3" xfId="12076" xr:uid="{00000000-0005-0000-0000-0000292F0000}"/>
    <cellStyle name="Comma 2 4 14 3 3" xfId="12077" xr:uid="{00000000-0005-0000-0000-00002A2F0000}"/>
    <cellStyle name="Comma 2 4 14 3 4" xfId="12078" xr:uid="{00000000-0005-0000-0000-00002B2F0000}"/>
    <cellStyle name="Comma 2 4 14 3 5" xfId="12079" xr:uid="{00000000-0005-0000-0000-00002C2F0000}"/>
    <cellStyle name="Comma 2 4 14 3 6" xfId="12080" xr:uid="{00000000-0005-0000-0000-00002D2F0000}"/>
    <cellStyle name="Comma 2 4 14 4" xfId="12081" xr:uid="{00000000-0005-0000-0000-00002E2F0000}"/>
    <cellStyle name="Comma 2 4 14 4 2" xfId="12082" xr:uid="{00000000-0005-0000-0000-00002F2F0000}"/>
    <cellStyle name="Comma 2 4 14 4 2 2" xfId="12083" xr:uid="{00000000-0005-0000-0000-0000302F0000}"/>
    <cellStyle name="Comma 2 4 14 4 3" xfId="12084" xr:uid="{00000000-0005-0000-0000-0000312F0000}"/>
    <cellStyle name="Comma 2 4 14 4 4" xfId="12085" xr:uid="{00000000-0005-0000-0000-0000322F0000}"/>
    <cellStyle name="Comma 2 4 14 4 5" xfId="12086" xr:uid="{00000000-0005-0000-0000-0000332F0000}"/>
    <cellStyle name="Comma 2 4 14 5" xfId="12087" xr:uid="{00000000-0005-0000-0000-0000342F0000}"/>
    <cellStyle name="Comma 2 4 14 5 2" xfId="12088" xr:uid="{00000000-0005-0000-0000-0000352F0000}"/>
    <cellStyle name="Comma 2 4 14 5 3" xfId="12089" xr:uid="{00000000-0005-0000-0000-0000362F0000}"/>
    <cellStyle name="Comma 2 4 14 5 4" xfId="12090" xr:uid="{00000000-0005-0000-0000-0000372F0000}"/>
    <cellStyle name="Comma 2 4 14 6" xfId="12091" xr:uid="{00000000-0005-0000-0000-0000382F0000}"/>
    <cellStyle name="Comma 2 4 14 6 2" xfId="12092" xr:uid="{00000000-0005-0000-0000-0000392F0000}"/>
    <cellStyle name="Comma 2 4 14 7" xfId="12093" xr:uid="{00000000-0005-0000-0000-00003A2F0000}"/>
    <cellStyle name="Comma 2 4 14 8" xfId="12094" xr:uid="{00000000-0005-0000-0000-00003B2F0000}"/>
    <cellStyle name="Comma 2 4 14 9" xfId="12095" xr:uid="{00000000-0005-0000-0000-00003C2F0000}"/>
    <cellStyle name="Comma 2 4 15" xfId="12096" xr:uid="{00000000-0005-0000-0000-00003D2F0000}"/>
    <cellStyle name="Comma 2 4 15 10" xfId="12097" xr:uid="{00000000-0005-0000-0000-00003E2F0000}"/>
    <cellStyle name="Comma 2 4 15 2" xfId="12098" xr:uid="{00000000-0005-0000-0000-00003F2F0000}"/>
    <cellStyle name="Comma 2 4 15 2 2" xfId="12099" xr:uid="{00000000-0005-0000-0000-0000402F0000}"/>
    <cellStyle name="Comma 2 4 15 2 2 2" xfId="12100" xr:uid="{00000000-0005-0000-0000-0000412F0000}"/>
    <cellStyle name="Comma 2 4 15 2 2 3" xfId="12101" xr:uid="{00000000-0005-0000-0000-0000422F0000}"/>
    <cellStyle name="Comma 2 4 15 2 3" xfId="12102" xr:uid="{00000000-0005-0000-0000-0000432F0000}"/>
    <cellStyle name="Comma 2 4 15 2 4" xfId="12103" xr:uid="{00000000-0005-0000-0000-0000442F0000}"/>
    <cellStyle name="Comma 2 4 15 2 5" xfId="12104" xr:uid="{00000000-0005-0000-0000-0000452F0000}"/>
    <cellStyle name="Comma 2 4 15 2 6" xfId="12105" xr:uid="{00000000-0005-0000-0000-0000462F0000}"/>
    <cellStyle name="Comma 2 4 15 3" xfId="12106" xr:uid="{00000000-0005-0000-0000-0000472F0000}"/>
    <cellStyle name="Comma 2 4 15 3 2" xfId="12107" xr:uid="{00000000-0005-0000-0000-0000482F0000}"/>
    <cellStyle name="Comma 2 4 15 3 2 2" xfId="12108" xr:uid="{00000000-0005-0000-0000-0000492F0000}"/>
    <cellStyle name="Comma 2 4 15 3 2 3" xfId="12109" xr:uid="{00000000-0005-0000-0000-00004A2F0000}"/>
    <cellStyle name="Comma 2 4 15 3 3" xfId="12110" xr:uid="{00000000-0005-0000-0000-00004B2F0000}"/>
    <cellStyle name="Comma 2 4 15 3 4" xfId="12111" xr:uid="{00000000-0005-0000-0000-00004C2F0000}"/>
    <cellStyle name="Comma 2 4 15 3 5" xfId="12112" xr:uid="{00000000-0005-0000-0000-00004D2F0000}"/>
    <cellStyle name="Comma 2 4 15 3 6" xfId="12113" xr:uid="{00000000-0005-0000-0000-00004E2F0000}"/>
    <cellStyle name="Comma 2 4 15 4" xfId="12114" xr:uid="{00000000-0005-0000-0000-00004F2F0000}"/>
    <cellStyle name="Comma 2 4 15 4 2" xfId="12115" xr:uid="{00000000-0005-0000-0000-0000502F0000}"/>
    <cellStyle name="Comma 2 4 15 4 2 2" xfId="12116" xr:uid="{00000000-0005-0000-0000-0000512F0000}"/>
    <cellStyle name="Comma 2 4 15 4 3" xfId="12117" xr:uid="{00000000-0005-0000-0000-0000522F0000}"/>
    <cellStyle name="Comma 2 4 15 4 4" xfId="12118" xr:uid="{00000000-0005-0000-0000-0000532F0000}"/>
    <cellStyle name="Comma 2 4 15 4 5" xfId="12119" xr:uid="{00000000-0005-0000-0000-0000542F0000}"/>
    <cellStyle name="Comma 2 4 15 5" xfId="12120" xr:uid="{00000000-0005-0000-0000-0000552F0000}"/>
    <cellStyle name="Comma 2 4 15 5 2" xfId="12121" xr:uid="{00000000-0005-0000-0000-0000562F0000}"/>
    <cellStyle name="Comma 2 4 15 5 3" xfId="12122" xr:uid="{00000000-0005-0000-0000-0000572F0000}"/>
    <cellStyle name="Comma 2 4 15 5 4" xfId="12123" xr:uid="{00000000-0005-0000-0000-0000582F0000}"/>
    <cellStyle name="Comma 2 4 15 6" xfId="12124" xr:uid="{00000000-0005-0000-0000-0000592F0000}"/>
    <cellStyle name="Comma 2 4 15 6 2" xfId="12125" xr:uid="{00000000-0005-0000-0000-00005A2F0000}"/>
    <cellStyle name="Comma 2 4 15 7" xfId="12126" xr:uid="{00000000-0005-0000-0000-00005B2F0000}"/>
    <cellStyle name="Comma 2 4 15 8" xfId="12127" xr:uid="{00000000-0005-0000-0000-00005C2F0000}"/>
    <cellStyle name="Comma 2 4 15 9" xfId="12128" xr:uid="{00000000-0005-0000-0000-00005D2F0000}"/>
    <cellStyle name="Comma 2 4 16" xfId="12129" xr:uid="{00000000-0005-0000-0000-00005E2F0000}"/>
    <cellStyle name="Comma 2 4 16 10" xfId="12130" xr:uid="{00000000-0005-0000-0000-00005F2F0000}"/>
    <cellStyle name="Comma 2 4 16 2" xfId="12131" xr:uid="{00000000-0005-0000-0000-0000602F0000}"/>
    <cellStyle name="Comma 2 4 16 2 2" xfId="12132" xr:uid="{00000000-0005-0000-0000-0000612F0000}"/>
    <cellStyle name="Comma 2 4 16 2 2 2" xfId="12133" xr:uid="{00000000-0005-0000-0000-0000622F0000}"/>
    <cellStyle name="Comma 2 4 16 2 2 3" xfId="12134" xr:uid="{00000000-0005-0000-0000-0000632F0000}"/>
    <cellStyle name="Comma 2 4 16 2 3" xfId="12135" xr:uid="{00000000-0005-0000-0000-0000642F0000}"/>
    <cellStyle name="Comma 2 4 16 2 4" xfId="12136" xr:uid="{00000000-0005-0000-0000-0000652F0000}"/>
    <cellStyle name="Comma 2 4 16 2 5" xfId="12137" xr:uid="{00000000-0005-0000-0000-0000662F0000}"/>
    <cellStyle name="Comma 2 4 16 2 6" xfId="12138" xr:uid="{00000000-0005-0000-0000-0000672F0000}"/>
    <cellStyle name="Comma 2 4 16 3" xfId="12139" xr:uid="{00000000-0005-0000-0000-0000682F0000}"/>
    <cellStyle name="Comma 2 4 16 3 2" xfId="12140" xr:uid="{00000000-0005-0000-0000-0000692F0000}"/>
    <cellStyle name="Comma 2 4 16 3 2 2" xfId="12141" xr:uid="{00000000-0005-0000-0000-00006A2F0000}"/>
    <cellStyle name="Comma 2 4 16 3 2 3" xfId="12142" xr:uid="{00000000-0005-0000-0000-00006B2F0000}"/>
    <cellStyle name="Comma 2 4 16 3 3" xfId="12143" xr:uid="{00000000-0005-0000-0000-00006C2F0000}"/>
    <cellStyle name="Comma 2 4 16 3 4" xfId="12144" xr:uid="{00000000-0005-0000-0000-00006D2F0000}"/>
    <cellStyle name="Comma 2 4 16 3 5" xfId="12145" xr:uid="{00000000-0005-0000-0000-00006E2F0000}"/>
    <cellStyle name="Comma 2 4 16 3 6" xfId="12146" xr:uid="{00000000-0005-0000-0000-00006F2F0000}"/>
    <cellStyle name="Comma 2 4 16 4" xfId="12147" xr:uid="{00000000-0005-0000-0000-0000702F0000}"/>
    <cellStyle name="Comma 2 4 16 4 2" xfId="12148" xr:uid="{00000000-0005-0000-0000-0000712F0000}"/>
    <cellStyle name="Comma 2 4 16 4 2 2" xfId="12149" xr:uid="{00000000-0005-0000-0000-0000722F0000}"/>
    <cellStyle name="Comma 2 4 16 4 3" xfId="12150" xr:uid="{00000000-0005-0000-0000-0000732F0000}"/>
    <cellStyle name="Comma 2 4 16 4 4" xfId="12151" xr:uid="{00000000-0005-0000-0000-0000742F0000}"/>
    <cellStyle name="Comma 2 4 16 4 5" xfId="12152" xr:uid="{00000000-0005-0000-0000-0000752F0000}"/>
    <cellStyle name="Comma 2 4 16 5" xfId="12153" xr:uid="{00000000-0005-0000-0000-0000762F0000}"/>
    <cellStyle name="Comma 2 4 16 5 2" xfId="12154" xr:uid="{00000000-0005-0000-0000-0000772F0000}"/>
    <cellStyle name="Comma 2 4 16 5 3" xfId="12155" xr:uid="{00000000-0005-0000-0000-0000782F0000}"/>
    <cellStyle name="Comma 2 4 16 5 4" xfId="12156" xr:uid="{00000000-0005-0000-0000-0000792F0000}"/>
    <cellStyle name="Comma 2 4 16 6" xfId="12157" xr:uid="{00000000-0005-0000-0000-00007A2F0000}"/>
    <cellStyle name="Comma 2 4 16 6 2" xfId="12158" xr:uid="{00000000-0005-0000-0000-00007B2F0000}"/>
    <cellStyle name="Comma 2 4 16 7" xfId="12159" xr:uid="{00000000-0005-0000-0000-00007C2F0000}"/>
    <cellStyle name="Comma 2 4 16 8" xfId="12160" xr:uid="{00000000-0005-0000-0000-00007D2F0000}"/>
    <cellStyle name="Comma 2 4 16 9" xfId="12161" xr:uid="{00000000-0005-0000-0000-00007E2F0000}"/>
    <cellStyle name="Comma 2 4 17" xfId="12162" xr:uid="{00000000-0005-0000-0000-00007F2F0000}"/>
    <cellStyle name="Comma 2 4 17 10" xfId="12163" xr:uid="{00000000-0005-0000-0000-0000802F0000}"/>
    <cellStyle name="Comma 2 4 17 2" xfId="12164" xr:uid="{00000000-0005-0000-0000-0000812F0000}"/>
    <cellStyle name="Comma 2 4 17 2 2" xfId="12165" xr:uid="{00000000-0005-0000-0000-0000822F0000}"/>
    <cellStyle name="Comma 2 4 17 2 2 2" xfId="12166" xr:uid="{00000000-0005-0000-0000-0000832F0000}"/>
    <cellStyle name="Comma 2 4 17 2 2 3" xfId="12167" xr:uid="{00000000-0005-0000-0000-0000842F0000}"/>
    <cellStyle name="Comma 2 4 17 2 3" xfId="12168" xr:uid="{00000000-0005-0000-0000-0000852F0000}"/>
    <cellStyle name="Comma 2 4 17 2 4" xfId="12169" xr:uid="{00000000-0005-0000-0000-0000862F0000}"/>
    <cellStyle name="Comma 2 4 17 2 5" xfId="12170" xr:uid="{00000000-0005-0000-0000-0000872F0000}"/>
    <cellStyle name="Comma 2 4 17 2 6" xfId="12171" xr:uid="{00000000-0005-0000-0000-0000882F0000}"/>
    <cellStyle name="Comma 2 4 17 3" xfId="12172" xr:uid="{00000000-0005-0000-0000-0000892F0000}"/>
    <cellStyle name="Comma 2 4 17 3 2" xfId="12173" xr:uid="{00000000-0005-0000-0000-00008A2F0000}"/>
    <cellStyle name="Comma 2 4 17 3 2 2" xfId="12174" xr:uid="{00000000-0005-0000-0000-00008B2F0000}"/>
    <cellStyle name="Comma 2 4 17 3 2 3" xfId="12175" xr:uid="{00000000-0005-0000-0000-00008C2F0000}"/>
    <cellStyle name="Comma 2 4 17 3 3" xfId="12176" xr:uid="{00000000-0005-0000-0000-00008D2F0000}"/>
    <cellStyle name="Comma 2 4 17 3 4" xfId="12177" xr:uid="{00000000-0005-0000-0000-00008E2F0000}"/>
    <cellStyle name="Comma 2 4 17 3 5" xfId="12178" xr:uid="{00000000-0005-0000-0000-00008F2F0000}"/>
    <cellStyle name="Comma 2 4 17 3 6" xfId="12179" xr:uid="{00000000-0005-0000-0000-0000902F0000}"/>
    <cellStyle name="Comma 2 4 17 4" xfId="12180" xr:uid="{00000000-0005-0000-0000-0000912F0000}"/>
    <cellStyle name="Comma 2 4 17 4 2" xfId="12181" xr:uid="{00000000-0005-0000-0000-0000922F0000}"/>
    <cellStyle name="Comma 2 4 17 4 2 2" xfId="12182" xr:uid="{00000000-0005-0000-0000-0000932F0000}"/>
    <cellStyle name="Comma 2 4 17 4 3" xfId="12183" xr:uid="{00000000-0005-0000-0000-0000942F0000}"/>
    <cellStyle name="Comma 2 4 17 4 4" xfId="12184" xr:uid="{00000000-0005-0000-0000-0000952F0000}"/>
    <cellStyle name="Comma 2 4 17 4 5" xfId="12185" xr:uid="{00000000-0005-0000-0000-0000962F0000}"/>
    <cellStyle name="Comma 2 4 17 5" xfId="12186" xr:uid="{00000000-0005-0000-0000-0000972F0000}"/>
    <cellStyle name="Comma 2 4 17 5 2" xfId="12187" xr:uid="{00000000-0005-0000-0000-0000982F0000}"/>
    <cellStyle name="Comma 2 4 17 5 3" xfId="12188" xr:uid="{00000000-0005-0000-0000-0000992F0000}"/>
    <cellStyle name="Comma 2 4 17 5 4" xfId="12189" xr:uid="{00000000-0005-0000-0000-00009A2F0000}"/>
    <cellStyle name="Comma 2 4 17 6" xfId="12190" xr:uid="{00000000-0005-0000-0000-00009B2F0000}"/>
    <cellStyle name="Comma 2 4 17 6 2" xfId="12191" xr:uid="{00000000-0005-0000-0000-00009C2F0000}"/>
    <cellStyle name="Comma 2 4 17 7" xfId="12192" xr:uid="{00000000-0005-0000-0000-00009D2F0000}"/>
    <cellStyle name="Comma 2 4 17 8" xfId="12193" xr:uid="{00000000-0005-0000-0000-00009E2F0000}"/>
    <cellStyle name="Comma 2 4 17 9" xfId="12194" xr:uid="{00000000-0005-0000-0000-00009F2F0000}"/>
    <cellStyle name="Comma 2 4 18" xfId="12195" xr:uid="{00000000-0005-0000-0000-0000A02F0000}"/>
    <cellStyle name="Comma 2 4 18 10" xfId="12196" xr:uid="{00000000-0005-0000-0000-0000A12F0000}"/>
    <cellStyle name="Comma 2 4 18 2" xfId="12197" xr:uid="{00000000-0005-0000-0000-0000A22F0000}"/>
    <cellStyle name="Comma 2 4 18 2 2" xfId="12198" xr:uid="{00000000-0005-0000-0000-0000A32F0000}"/>
    <cellStyle name="Comma 2 4 18 2 2 2" xfId="12199" xr:uid="{00000000-0005-0000-0000-0000A42F0000}"/>
    <cellStyle name="Comma 2 4 18 2 2 3" xfId="12200" xr:uid="{00000000-0005-0000-0000-0000A52F0000}"/>
    <cellStyle name="Comma 2 4 18 2 3" xfId="12201" xr:uid="{00000000-0005-0000-0000-0000A62F0000}"/>
    <cellStyle name="Comma 2 4 18 2 4" xfId="12202" xr:uid="{00000000-0005-0000-0000-0000A72F0000}"/>
    <cellStyle name="Comma 2 4 18 2 5" xfId="12203" xr:uid="{00000000-0005-0000-0000-0000A82F0000}"/>
    <cellStyle name="Comma 2 4 18 2 6" xfId="12204" xr:uid="{00000000-0005-0000-0000-0000A92F0000}"/>
    <cellStyle name="Comma 2 4 18 3" xfId="12205" xr:uid="{00000000-0005-0000-0000-0000AA2F0000}"/>
    <cellStyle name="Comma 2 4 18 3 2" xfId="12206" xr:uid="{00000000-0005-0000-0000-0000AB2F0000}"/>
    <cellStyle name="Comma 2 4 18 3 2 2" xfId="12207" xr:uid="{00000000-0005-0000-0000-0000AC2F0000}"/>
    <cellStyle name="Comma 2 4 18 3 2 3" xfId="12208" xr:uid="{00000000-0005-0000-0000-0000AD2F0000}"/>
    <cellStyle name="Comma 2 4 18 3 3" xfId="12209" xr:uid="{00000000-0005-0000-0000-0000AE2F0000}"/>
    <cellStyle name="Comma 2 4 18 3 4" xfId="12210" xr:uid="{00000000-0005-0000-0000-0000AF2F0000}"/>
    <cellStyle name="Comma 2 4 18 3 5" xfId="12211" xr:uid="{00000000-0005-0000-0000-0000B02F0000}"/>
    <cellStyle name="Comma 2 4 18 3 6" xfId="12212" xr:uid="{00000000-0005-0000-0000-0000B12F0000}"/>
    <cellStyle name="Comma 2 4 18 4" xfId="12213" xr:uid="{00000000-0005-0000-0000-0000B22F0000}"/>
    <cellStyle name="Comma 2 4 18 4 2" xfId="12214" xr:uid="{00000000-0005-0000-0000-0000B32F0000}"/>
    <cellStyle name="Comma 2 4 18 4 2 2" xfId="12215" xr:uid="{00000000-0005-0000-0000-0000B42F0000}"/>
    <cellStyle name="Comma 2 4 18 4 3" xfId="12216" xr:uid="{00000000-0005-0000-0000-0000B52F0000}"/>
    <cellStyle name="Comma 2 4 18 4 4" xfId="12217" xr:uid="{00000000-0005-0000-0000-0000B62F0000}"/>
    <cellStyle name="Comma 2 4 18 4 5" xfId="12218" xr:uid="{00000000-0005-0000-0000-0000B72F0000}"/>
    <cellStyle name="Comma 2 4 18 5" xfId="12219" xr:uid="{00000000-0005-0000-0000-0000B82F0000}"/>
    <cellStyle name="Comma 2 4 18 5 2" xfId="12220" xr:uid="{00000000-0005-0000-0000-0000B92F0000}"/>
    <cellStyle name="Comma 2 4 18 5 3" xfId="12221" xr:uid="{00000000-0005-0000-0000-0000BA2F0000}"/>
    <cellStyle name="Comma 2 4 18 5 4" xfId="12222" xr:uid="{00000000-0005-0000-0000-0000BB2F0000}"/>
    <cellStyle name="Comma 2 4 18 6" xfId="12223" xr:uid="{00000000-0005-0000-0000-0000BC2F0000}"/>
    <cellStyle name="Comma 2 4 18 6 2" xfId="12224" xr:uid="{00000000-0005-0000-0000-0000BD2F0000}"/>
    <cellStyle name="Comma 2 4 18 7" xfId="12225" xr:uid="{00000000-0005-0000-0000-0000BE2F0000}"/>
    <cellStyle name="Comma 2 4 18 8" xfId="12226" xr:uid="{00000000-0005-0000-0000-0000BF2F0000}"/>
    <cellStyle name="Comma 2 4 18 9" xfId="12227" xr:uid="{00000000-0005-0000-0000-0000C02F0000}"/>
    <cellStyle name="Comma 2 4 19" xfId="12228" xr:uid="{00000000-0005-0000-0000-0000C12F0000}"/>
    <cellStyle name="Comma 2 4 19 10" xfId="12229" xr:uid="{00000000-0005-0000-0000-0000C22F0000}"/>
    <cellStyle name="Comma 2 4 19 2" xfId="12230" xr:uid="{00000000-0005-0000-0000-0000C32F0000}"/>
    <cellStyle name="Comma 2 4 19 2 2" xfId="12231" xr:uid="{00000000-0005-0000-0000-0000C42F0000}"/>
    <cellStyle name="Comma 2 4 19 2 2 2" xfId="12232" xr:uid="{00000000-0005-0000-0000-0000C52F0000}"/>
    <cellStyle name="Comma 2 4 19 2 2 3" xfId="12233" xr:uid="{00000000-0005-0000-0000-0000C62F0000}"/>
    <cellStyle name="Comma 2 4 19 2 3" xfId="12234" xr:uid="{00000000-0005-0000-0000-0000C72F0000}"/>
    <cellStyle name="Comma 2 4 19 2 4" xfId="12235" xr:uid="{00000000-0005-0000-0000-0000C82F0000}"/>
    <cellStyle name="Comma 2 4 19 2 5" xfId="12236" xr:uid="{00000000-0005-0000-0000-0000C92F0000}"/>
    <cellStyle name="Comma 2 4 19 2 6" xfId="12237" xr:uid="{00000000-0005-0000-0000-0000CA2F0000}"/>
    <cellStyle name="Comma 2 4 19 3" xfId="12238" xr:uid="{00000000-0005-0000-0000-0000CB2F0000}"/>
    <cellStyle name="Comma 2 4 19 3 2" xfId="12239" xr:uid="{00000000-0005-0000-0000-0000CC2F0000}"/>
    <cellStyle name="Comma 2 4 19 3 2 2" xfId="12240" xr:uid="{00000000-0005-0000-0000-0000CD2F0000}"/>
    <cellStyle name="Comma 2 4 19 3 2 3" xfId="12241" xr:uid="{00000000-0005-0000-0000-0000CE2F0000}"/>
    <cellStyle name="Comma 2 4 19 3 3" xfId="12242" xr:uid="{00000000-0005-0000-0000-0000CF2F0000}"/>
    <cellStyle name="Comma 2 4 19 3 4" xfId="12243" xr:uid="{00000000-0005-0000-0000-0000D02F0000}"/>
    <cellStyle name="Comma 2 4 19 3 5" xfId="12244" xr:uid="{00000000-0005-0000-0000-0000D12F0000}"/>
    <cellStyle name="Comma 2 4 19 3 6" xfId="12245" xr:uid="{00000000-0005-0000-0000-0000D22F0000}"/>
    <cellStyle name="Comma 2 4 19 4" xfId="12246" xr:uid="{00000000-0005-0000-0000-0000D32F0000}"/>
    <cellStyle name="Comma 2 4 19 4 2" xfId="12247" xr:uid="{00000000-0005-0000-0000-0000D42F0000}"/>
    <cellStyle name="Comma 2 4 19 4 2 2" xfId="12248" xr:uid="{00000000-0005-0000-0000-0000D52F0000}"/>
    <cellStyle name="Comma 2 4 19 4 3" xfId="12249" xr:uid="{00000000-0005-0000-0000-0000D62F0000}"/>
    <cellStyle name="Comma 2 4 19 4 4" xfId="12250" xr:uid="{00000000-0005-0000-0000-0000D72F0000}"/>
    <cellStyle name="Comma 2 4 19 4 5" xfId="12251" xr:uid="{00000000-0005-0000-0000-0000D82F0000}"/>
    <cellStyle name="Comma 2 4 19 5" xfId="12252" xr:uid="{00000000-0005-0000-0000-0000D92F0000}"/>
    <cellStyle name="Comma 2 4 19 5 2" xfId="12253" xr:uid="{00000000-0005-0000-0000-0000DA2F0000}"/>
    <cellStyle name="Comma 2 4 19 5 3" xfId="12254" xr:uid="{00000000-0005-0000-0000-0000DB2F0000}"/>
    <cellStyle name="Comma 2 4 19 5 4" xfId="12255" xr:uid="{00000000-0005-0000-0000-0000DC2F0000}"/>
    <cellStyle name="Comma 2 4 19 6" xfId="12256" xr:uid="{00000000-0005-0000-0000-0000DD2F0000}"/>
    <cellStyle name="Comma 2 4 19 6 2" xfId="12257" xr:uid="{00000000-0005-0000-0000-0000DE2F0000}"/>
    <cellStyle name="Comma 2 4 19 7" xfId="12258" xr:uid="{00000000-0005-0000-0000-0000DF2F0000}"/>
    <cellStyle name="Comma 2 4 19 8" xfId="12259" xr:uid="{00000000-0005-0000-0000-0000E02F0000}"/>
    <cellStyle name="Comma 2 4 19 9" xfId="12260" xr:uid="{00000000-0005-0000-0000-0000E12F0000}"/>
    <cellStyle name="Comma 2 4 2" xfId="12261" xr:uid="{00000000-0005-0000-0000-0000E22F0000}"/>
    <cellStyle name="Comma 2 4 2 10" xfId="12262" xr:uid="{00000000-0005-0000-0000-0000E32F0000}"/>
    <cellStyle name="Comma 2 4 2 10 10" xfId="12263" xr:uid="{00000000-0005-0000-0000-0000E42F0000}"/>
    <cellStyle name="Comma 2 4 2 10 2" xfId="12264" xr:uid="{00000000-0005-0000-0000-0000E52F0000}"/>
    <cellStyle name="Comma 2 4 2 10 2 2" xfId="12265" xr:uid="{00000000-0005-0000-0000-0000E62F0000}"/>
    <cellStyle name="Comma 2 4 2 10 2 2 2" xfId="12266" xr:uid="{00000000-0005-0000-0000-0000E72F0000}"/>
    <cellStyle name="Comma 2 4 2 10 2 2 3" xfId="12267" xr:uid="{00000000-0005-0000-0000-0000E82F0000}"/>
    <cellStyle name="Comma 2 4 2 10 2 3" xfId="12268" xr:uid="{00000000-0005-0000-0000-0000E92F0000}"/>
    <cellStyle name="Comma 2 4 2 10 2 4" xfId="12269" xr:uid="{00000000-0005-0000-0000-0000EA2F0000}"/>
    <cellStyle name="Comma 2 4 2 10 2 5" xfId="12270" xr:uid="{00000000-0005-0000-0000-0000EB2F0000}"/>
    <cellStyle name="Comma 2 4 2 10 2 6" xfId="12271" xr:uid="{00000000-0005-0000-0000-0000EC2F0000}"/>
    <cellStyle name="Comma 2 4 2 10 3" xfId="12272" xr:uid="{00000000-0005-0000-0000-0000ED2F0000}"/>
    <cellStyle name="Comma 2 4 2 10 3 2" xfId="12273" xr:uid="{00000000-0005-0000-0000-0000EE2F0000}"/>
    <cellStyle name="Comma 2 4 2 10 3 2 2" xfId="12274" xr:uid="{00000000-0005-0000-0000-0000EF2F0000}"/>
    <cellStyle name="Comma 2 4 2 10 3 2 3" xfId="12275" xr:uid="{00000000-0005-0000-0000-0000F02F0000}"/>
    <cellStyle name="Comma 2 4 2 10 3 3" xfId="12276" xr:uid="{00000000-0005-0000-0000-0000F12F0000}"/>
    <cellStyle name="Comma 2 4 2 10 3 4" xfId="12277" xr:uid="{00000000-0005-0000-0000-0000F22F0000}"/>
    <cellStyle name="Comma 2 4 2 10 3 5" xfId="12278" xr:uid="{00000000-0005-0000-0000-0000F32F0000}"/>
    <cellStyle name="Comma 2 4 2 10 3 6" xfId="12279" xr:uid="{00000000-0005-0000-0000-0000F42F0000}"/>
    <cellStyle name="Comma 2 4 2 10 4" xfId="12280" xr:uid="{00000000-0005-0000-0000-0000F52F0000}"/>
    <cellStyle name="Comma 2 4 2 10 4 2" xfId="12281" xr:uid="{00000000-0005-0000-0000-0000F62F0000}"/>
    <cellStyle name="Comma 2 4 2 10 4 2 2" xfId="12282" xr:uid="{00000000-0005-0000-0000-0000F72F0000}"/>
    <cellStyle name="Comma 2 4 2 10 4 3" xfId="12283" xr:uid="{00000000-0005-0000-0000-0000F82F0000}"/>
    <cellStyle name="Comma 2 4 2 10 4 4" xfId="12284" xr:uid="{00000000-0005-0000-0000-0000F92F0000}"/>
    <cellStyle name="Comma 2 4 2 10 4 5" xfId="12285" xr:uid="{00000000-0005-0000-0000-0000FA2F0000}"/>
    <cellStyle name="Comma 2 4 2 10 5" xfId="12286" xr:uid="{00000000-0005-0000-0000-0000FB2F0000}"/>
    <cellStyle name="Comma 2 4 2 10 5 2" xfId="12287" xr:uid="{00000000-0005-0000-0000-0000FC2F0000}"/>
    <cellStyle name="Comma 2 4 2 10 5 3" xfId="12288" xr:uid="{00000000-0005-0000-0000-0000FD2F0000}"/>
    <cellStyle name="Comma 2 4 2 10 5 4" xfId="12289" xr:uid="{00000000-0005-0000-0000-0000FE2F0000}"/>
    <cellStyle name="Comma 2 4 2 10 6" xfId="12290" xr:uid="{00000000-0005-0000-0000-0000FF2F0000}"/>
    <cellStyle name="Comma 2 4 2 10 6 2" xfId="12291" xr:uid="{00000000-0005-0000-0000-000000300000}"/>
    <cellStyle name="Comma 2 4 2 10 7" xfId="12292" xr:uid="{00000000-0005-0000-0000-000001300000}"/>
    <cellStyle name="Comma 2 4 2 10 8" xfId="12293" xr:uid="{00000000-0005-0000-0000-000002300000}"/>
    <cellStyle name="Comma 2 4 2 10 9" xfId="12294" xr:uid="{00000000-0005-0000-0000-000003300000}"/>
    <cellStyle name="Comma 2 4 2 11" xfId="12295" xr:uid="{00000000-0005-0000-0000-000004300000}"/>
    <cellStyle name="Comma 2 4 2 11 10" xfId="12296" xr:uid="{00000000-0005-0000-0000-000005300000}"/>
    <cellStyle name="Comma 2 4 2 11 2" xfId="12297" xr:uid="{00000000-0005-0000-0000-000006300000}"/>
    <cellStyle name="Comma 2 4 2 11 2 2" xfId="12298" xr:uid="{00000000-0005-0000-0000-000007300000}"/>
    <cellStyle name="Comma 2 4 2 11 2 2 2" xfId="12299" xr:uid="{00000000-0005-0000-0000-000008300000}"/>
    <cellStyle name="Comma 2 4 2 11 2 2 3" xfId="12300" xr:uid="{00000000-0005-0000-0000-000009300000}"/>
    <cellStyle name="Comma 2 4 2 11 2 3" xfId="12301" xr:uid="{00000000-0005-0000-0000-00000A300000}"/>
    <cellStyle name="Comma 2 4 2 11 2 4" xfId="12302" xr:uid="{00000000-0005-0000-0000-00000B300000}"/>
    <cellStyle name="Comma 2 4 2 11 2 5" xfId="12303" xr:uid="{00000000-0005-0000-0000-00000C300000}"/>
    <cellStyle name="Comma 2 4 2 11 2 6" xfId="12304" xr:uid="{00000000-0005-0000-0000-00000D300000}"/>
    <cellStyle name="Comma 2 4 2 11 3" xfId="12305" xr:uid="{00000000-0005-0000-0000-00000E300000}"/>
    <cellStyle name="Comma 2 4 2 11 3 2" xfId="12306" xr:uid="{00000000-0005-0000-0000-00000F300000}"/>
    <cellStyle name="Comma 2 4 2 11 3 2 2" xfId="12307" xr:uid="{00000000-0005-0000-0000-000010300000}"/>
    <cellStyle name="Comma 2 4 2 11 3 2 3" xfId="12308" xr:uid="{00000000-0005-0000-0000-000011300000}"/>
    <cellStyle name="Comma 2 4 2 11 3 3" xfId="12309" xr:uid="{00000000-0005-0000-0000-000012300000}"/>
    <cellStyle name="Comma 2 4 2 11 3 4" xfId="12310" xr:uid="{00000000-0005-0000-0000-000013300000}"/>
    <cellStyle name="Comma 2 4 2 11 3 5" xfId="12311" xr:uid="{00000000-0005-0000-0000-000014300000}"/>
    <cellStyle name="Comma 2 4 2 11 3 6" xfId="12312" xr:uid="{00000000-0005-0000-0000-000015300000}"/>
    <cellStyle name="Comma 2 4 2 11 4" xfId="12313" xr:uid="{00000000-0005-0000-0000-000016300000}"/>
    <cellStyle name="Comma 2 4 2 11 4 2" xfId="12314" xr:uid="{00000000-0005-0000-0000-000017300000}"/>
    <cellStyle name="Comma 2 4 2 11 4 2 2" xfId="12315" xr:uid="{00000000-0005-0000-0000-000018300000}"/>
    <cellStyle name="Comma 2 4 2 11 4 3" xfId="12316" xr:uid="{00000000-0005-0000-0000-000019300000}"/>
    <cellStyle name="Comma 2 4 2 11 4 4" xfId="12317" xr:uid="{00000000-0005-0000-0000-00001A300000}"/>
    <cellStyle name="Comma 2 4 2 11 4 5" xfId="12318" xr:uid="{00000000-0005-0000-0000-00001B300000}"/>
    <cellStyle name="Comma 2 4 2 11 5" xfId="12319" xr:uid="{00000000-0005-0000-0000-00001C300000}"/>
    <cellStyle name="Comma 2 4 2 11 5 2" xfId="12320" xr:uid="{00000000-0005-0000-0000-00001D300000}"/>
    <cellStyle name="Comma 2 4 2 11 5 3" xfId="12321" xr:uid="{00000000-0005-0000-0000-00001E300000}"/>
    <cellStyle name="Comma 2 4 2 11 5 4" xfId="12322" xr:uid="{00000000-0005-0000-0000-00001F300000}"/>
    <cellStyle name="Comma 2 4 2 11 6" xfId="12323" xr:uid="{00000000-0005-0000-0000-000020300000}"/>
    <cellStyle name="Comma 2 4 2 11 6 2" xfId="12324" xr:uid="{00000000-0005-0000-0000-000021300000}"/>
    <cellStyle name="Comma 2 4 2 11 7" xfId="12325" xr:uid="{00000000-0005-0000-0000-000022300000}"/>
    <cellStyle name="Comma 2 4 2 11 8" xfId="12326" xr:uid="{00000000-0005-0000-0000-000023300000}"/>
    <cellStyle name="Comma 2 4 2 11 9" xfId="12327" xr:uid="{00000000-0005-0000-0000-000024300000}"/>
    <cellStyle name="Comma 2 4 2 12" xfId="12328" xr:uid="{00000000-0005-0000-0000-000025300000}"/>
    <cellStyle name="Comma 2 4 2 12 10" xfId="12329" xr:uid="{00000000-0005-0000-0000-000026300000}"/>
    <cellStyle name="Comma 2 4 2 12 2" xfId="12330" xr:uid="{00000000-0005-0000-0000-000027300000}"/>
    <cellStyle name="Comma 2 4 2 12 2 2" xfId="12331" xr:uid="{00000000-0005-0000-0000-000028300000}"/>
    <cellStyle name="Comma 2 4 2 12 2 2 2" xfId="12332" xr:uid="{00000000-0005-0000-0000-000029300000}"/>
    <cellStyle name="Comma 2 4 2 12 2 2 3" xfId="12333" xr:uid="{00000000-0005-0000-0000-00002A300000}"/>
    <cellStyle name="Comma 2 4 2 12 2 3" xfId="12334" xr:uid="{00000000-0005-0000-0000-00002B300000}"/>
    <cellStyle name="Comma 2 4 2 12 2 4" xfId="12335" xr:uid="{00000000-0005-0000-0000-00002C300000}"/>
    <cellStyle name="Comma 2 4 2 12 2 5" xfId="12336" xr:uid="{00000000-0005-0000-0000-00002D300000}"/>
    <cellStyle name="Comma 2 4 2 12 2 6" xfId="12337" xr:uid="{00000000-0005-0000-0000-00002E300000}"/>
    <cellStyle name="Comma 2 4 2 12 3" xfId="12338" xr:uid="{00000000-0005-0000-0000-00002F300000}"/>
    <cellStyle name="Comma 2 4 2 12 3 2" xfId="12339" xr:uid="{00000000-0005-0000-0000-000030300000}"/>
    <cellStyle name="Comma 2 4 2 12 3 2 2" xfId="12340" xr:uid="{00000000-0005-0000-0000-000031300000}"/>
    <cellStyle name="Comma 2 4 2 12 3 2 3" xfId="12341" xr:uid="{00000000-0005-0000-0000-000032300000}"/>
    <cellStyle name="Comma 2 4 2 12 3 3" xfId="12342" xr:uid="{00000000-0005-0000-0000-000033300000}"/>
    <cellStyle name="Comma 2 4 2 12 3 4" xfId="12343" xr:uid="{00000000-0005-0000-0000-000034300000}"/>
    <cellStyle name="Comma 2 4 2 12 3 5" xfId="12344" xr:uid="{00000000-0005-0000-0000-000035300000}"/>
    <cellStyle name="Comma 2 4 2 12 3 6" xfId="12345" xr:uid="{00000000-0005-0000-0000-000036300000}"/>
    <cellStyle name="Comma 2 4 2 12 4" xfId="12346" xr:uid="{00000000-0005-0000-0000-000037300000}"/>
    <cellStyle name="Comma 2 4 2 12 4 2" xfId="12347" xr:uid="{00000000-0005-0000-0000-000038300000}"/>
    <cellStyle name="Comma 2 4 2 12 4 2 2" xfId="12348" xr:uid="{00000000-0005-0000-0000-000039300000}"/>
    <cellStyle name="Comma 2 4 2 12 4 3" xfId="12349" xr:uid="{00000000-0005-0000-0000-00003A300000}"/>
    <cellStyle name="Comma 2 4 2 12 4 4" xfId="12350" xr:uid="{00000000-0005-0000-0000-00003B300000}"/>
    <cellStyle name="Comma 2 4 2 12 4 5" xfId="12351" xr:uid="{00000000-0005-0000-0000-00003C300000}"/>
    <cellStyle name="Comma 2 4 2 12 5" xfId="12352" xr:uid="{00000000-0005-0000-0000-00003D300000}"/>
    <cellStyle name="Comma 2 4 2 12 5 2" xfId="12353" xr:uid="{00000000-0005-0000-0000-00003E300000}"/>
    <cellStyle name="Comma 2 4 2 12 5 3" xfId="12354" xr:uid="{00000000-0005-0000-0000-00003F300000}"/>
    <cellStyle name="Comma 2 4 2 12 5 4" xfId="12355" xr:uid="{00000000-0005-0000-0000-000040300000}"/>
    <cellStyle name="Comma 2 4 2 12 6" xfId="12356" xr:uid="{00000000-0005-0000-0000-000041300000}"/>
    <cellStyle name="Comma 2 4 2 12 6 2" xfId="12357" xr:uid="{00000000-0005-0000-0000-000042300000}"/>
    <cellStyle name="Comma 2 4 2 12 7" xfId="12358" xr:uid="{00000000-0005-0000-0000-000043300000}"/>
    <cellStyle name="Comma 2 4 2 12 8" xfId="12359" xr:uid="{00000000-0005-0000-0000-000044300000}"/>
    <cellStyle name="Comma 2 4 2 12 9" xfId="12360" xr:uid="{00000000-0005-0000-0000-000045300000}"/>
    <cellStyle name="Comma 2 4 2 13" xfId="12361" xr:uid="{00000000-0005-0000-0000-000046300000}"/>
    <cellStyle name="Comma 2 4 2 13 2" xfId="12362" xr:uid="{00000000-0005-0000-0000-000047300000}"/>
    <cellStyle name="Comma 2 4 2 13 2 2" xfId="12363" xr:uid="{00000000-0005-0000-0000-000048300000}"/>
    <cellStyle name="Comma 2 4 2 13 2 2 2" xfId="12364" xr:uid="{00000000-0005-0000-0000-000049300000}"/>
    <cellStyle name="Comma 2 4 2 13 2 2 3" xfId="12365" xr:uid="{00000000-0005-0000-0000-00004A300000}"/>
    <cellStyle name="Comma 2 4 2 13 2 3" xfId="12366" xr:uid="{00000000-0005-0000-0000-00004B300000}"/>
    <cellStyle name="Comma 2 4 2 13 2 4" xfId="12367" xr:uid="{00000000-0005-0000-0000-00004C300000}"/>
    <cellStyle name="Comma 2 4 2 13 2 5" xfId="12368" xr:uid="{00000000-0005-0000-0000-00004D300000}"/>
    <cellStyle name="Comma 2 4 2 13 2 6" xfId="12369" xr:uid="{00000000-0005-0000-0000-00004E300000}"/>
    <cellStyle name="Comma 2 4 2 13 3" xfId="12370" xr:uid="{00000000-0005-0000-0000-00004F300000}"/>
    <cellStyle name="Comma 2 4 2 13 3 2" xfId="12371" xr:uid="{00000000-0005-0000-0000-000050300000}"/>
    <cellStyle name="Comma 2 4 2 13 3 2 2" xfId="12372" xr:uid="{00000000-0005-0000-0000-000051300000}"/>
    <cellStyle name="Comma 2 4 2 13 3 3" xfId="12373" xr:uid="{00000000-0005-0000-0000-000052300000}"/>
    <cellStyle name="Comma 2 4 2 13 3 4" xfId="12374" xr:uid="{00000000-0005-0000-0000-000053300000}"/>
    <cellStyle name="Comma 2 4 2 13 3 5" xfId="12375" xr:uid="{00000000-0005-0000-0000-000054300000}"/>
    <cellStyle name="Comma 2 4 2 13 4" xfId="12376" xr:uid="{00000000-0005-0000-0000-000055300000}"/>
    <cellStyle name="Comma 2 4 2 13 4 2" xfId="12377" xr:uid="{00000000-0005-0000-0000-000056300000}"/>
    <cellStyle name="Comma 2 4 2 13 4 3" xfId="12378" xr:uid="{00000000-0005-0000-0000-000057300000}"/>
    <cellStyle name="Comma 2 4 2 13 4 4" xfId="12379" xr:uid="{00000000-0005-0000-0000-000058300000}"/>
    <cellStyle name="Comma 2 4 2 13 5" xfId="12380" xr:uid="{00000000-0005-0000-0000-000059300000}"/>
    <cellStyle name="Comma 2 4 2 13 5 2" xfId="12381" xr:uid="{00000000-0005-0000-0000-00005A300000}"/>
    <cellStyle name="Comma 2 4 2 13 6" xfId="12382" xr:uid="{00000000-0005-0000-0000-00005B300000}"/>
    <cellStyle name="Comma 2 4 2 13 7" xfId="12383" xr:uid="{00000000-0005-0000-0000-00005C300000}"/>
    <cellStyle name="Comma 2 4 2 13 8" xfId="12384" xr:uid="{00000000-0005-0000-0000-00005D300000}"/>
    <cellStyle name="Comma 2 4 2 13 9" xfId="12385" xr:uid="{00000000-0005-0000-0000-00005E300000}"/>
    <cellStyle name="Comma 2 4 2 14" xfId="12386" xr:uid="{00000000-0005-0000-0000-00005F300000}"/>
    <cellStyle name="Comma 2 4 2 14 2" xfId="12387" xr:uid="{00000000-0005-0000-0000-000060300000}"/>
    <cellStyle name="Comma 2 4 2 14 2 2" xfId="12388" xr:uid="{00000000-0005-0000-0000-000061300000}"/>
    <cellStyle name="Comma 2 4 2 14 2 2 2" xfId="12389" xr:uid="{00000000-0005-0000-0000-000062300000}"/>
    <cellStyle name="Comma 2 4 2 14 2 2 3" xfId="12390" xr:uid="{00000000-0005-0000-0000-000063300000}"/>
    <cellStyle name="Comma 2 4 2 14 2 3" xfId="12391" xr:uid="{00000000-0005-0000-0000-000064300000}"/>
    <cellStyle name="Comma 2 4 2 14 2 4" xfId="12392" xr:uid="{00000000-0005-0000-0000-000065300000}"/>
    <cellStyle name="Comma 2 4 2 14 2 5" xfId="12393" xr:uid="{00000000-0005-0000-0000-000066300000}"/>
    <cellStyle name="Comma 2 4 2 14 2 6" xfId="12394" xr:uid="{00000000-0005-0000-0000-000067300000}"/>
    <cellStyle name="Comma 2 4 2 14 3" xfId="12395" xr:uid="{00000000-0005-0000-0000-000068300000}"/>
    <cellStyle name="Comma 2 4 2 14 3 2" xfId="12396" xr:uid="{00000000-0005-0000-0000-000069300000}"/>
    <cellStyle name="Comma 2 4 2 14 3 2 2" xfId="12397" xr:uid="{00000000-0005-0000-0000-00006A300000}"/>
    <cellStyle name="Comma 2 4 2 14 3 3" xfId="12398" xr:uid="{00000000-0005-0000-0000-00006B300000}"/>
    <cellStyle name="Comma 2 4 2 14 3 4" xfId="12399" xr:uid="{00000000-0005-0000-0000-00006C300000}"/>
    <cellStyle name="Comma 2 4 2 14 3 5" xfId="12400" xr:uid="{00000000-0005-0000-0000-00006D300000}"/>
    <cellStyle name="Comma 2 4 2 14 4" xfId="12401" xr:uid="{00000000-0005-0000-0000-00006E300000}"/>
    <cellStyle name="Comma 2 4 2 14 4 2" xfId="12402" xr:uid="{00000000-0005-0000-0000-00006F300000}"/>
    <cellStyle name="Comma 2 4 2 14 4 3" xfId="12403" xr:uid="{00000000-0005-0000-0000-000070300000}"/>
    <cellStyle name="Comma 2 4 2 14 4 4" xfId="12404" xr:uid="{00000000-0005-0000-0000-000071300000}"/>
    <cellStyle name="Comma 2 4 2 14 5" xfId="12405" xr:uid="{00000000-0005-0000-0000-000072300000}"/>
    <cellStyle name="Comma 2 4 2 14 5 2" xfId="12406" xr:uid="{00000000-0005-0000-0000-000073300000}"/>
    <cellStyle name="Comma 2 4 2 14 6" xfId="12407" xr:uid="{00000000-0005-0000-0000-000074300000}"/>
    <cellStyle name="Comma 2 4 2 14 7" xfId="12408" xr:uid="{00000000-0005-0000-0000-000075300000}"/>
    <cellStyle name="Comma 2 4 2 14 8" xfId="12409" xr:uid="{00000000-0005-0000-0000-000076300000}"/>
    <cellStyle name="Comma 2 4 2 14 9" xfId="12410" xr:uid="{00000000-0005-0000-0000-000077300000}"/>
    <cellStyle name="Comma 2 4 2 15" xfId="12411" xr:uid="{00000000-0005-0000-0000-000078300000}"/>
    <cellStyle name="Comma 2 4 2 15 2" xfId="12412" xr:uid="{00000000-0005-0000-0000-000079300000}"/>
    <cellStyle name="Comma 2 4 2 15 2 2" xfId="12413" xr:uid="{00000000-0005-0000-0000-00007A300000}"/>
    <cellStyle name="Comma 2 4 2 15 2 3" xfId="12414" xr:uid="{00000000-0005-0000-0000-00007B300000}"/>
    <cellStyle name="Comma 2 4 2 15 3" xfId="12415" xr:uid="{00000000-0005-0000-0000-00007C300000}"/>
    <cellStyle name="Comma 2 4 2 15 4" xfId="12416" xr:uid="{00000000-0005-0000-0000-00007D300000}"/>
    <cellStyle name="Comma 2 4 2 15 5" xfId="12417" xr:uid="{00000000-0005-0000-0000-00007E300000}"/>
    <cellStyle name="Comma 2 4 2 15 6" xfId="12418" xr:uid="{00000000-0005-0000-0000-00007F300000}"/>
    <cellStyle name="Comma 2 4 2 16" xfId="12419" xr:uid="{00000000-0005-0000-0000-000080300000}"/>
    <cellStyle name="Comma 2 4 2 16 2" xfId="12420" xr:uid="{00000000-0005-0000-0000-000081300000}"/>
    <cellStyle name="Comma 2 4 2 16 2 2" xfId="12421" xr:uid="{00000000-0005-0000-0000-000082300000}"/>
    <cellStyle name="Comma 2 4 2 16 3" xfId="12422" xr:uid="{00000000-0005-0000-0000-000083300000}"/>
    <cellStyle name="Comma 2 4 2 16 4" xfId="12423" xr:uid="{00000000-0005-0000-0000-000084300000}"/>
    <cellStyle name="Comma 2 4 2 16 5" xfId="12424" xr:uid="{00000000-0005-0000-0000-000085300000}"/>
    <cellStyle name="Comma 2 4 2 17" xfId="12425" xr:uid="{00000000-0005-0000-0000-000086300000}"/>
    <cellStyle name="Comma 2 4 2 17 2" xfId="12426" xr:uid="{00000000-0005-0000-0000-000087300000}"/>
    <cellStyle name="Comma 2 4 2 17 2 2" xfId="12427" xr:uid="{00000000-0005-0000-0000-000088300000}"/>
    <cellStyle name="Comma 2 4 2 17 3" xfId="12428" xr:uid="{00000000-0005-0000-0000-000089300000}"/>
    <cellStyle name="Comma 2 4 2 17 4" xfId="12429" xr:uid="{00000000-0005-0000-0000-00008A300000}"/>
    <cellStyle name="Comma 2 4 2 17 5" xfId="12430" xr:uid="{00000000-0005-0000-0000-00008B300000}"/>
    <cellStyle name="Comma 2 4 2 18" xfId="12431" xr:uid="{00000000-0005-0000-0000-00008C300000}"/>
    <cellStyle name="Comma 2 4 2 18 2" xfId="12432" xr:uid="{00000000-0005-0000-0000-00008D300000}"/>
    <cellStyle name="Comma 2 4 2 19" xfId="12433" xr:uid="{00000000-0005-0000-0000-00008E300000}"/>
    <cellStyle name="Comma 2 4 2 2" xfId="12434" xr:uid="{00000000-0005-0000-0000-00008F300000}"/>
    <cellStyle name="Comma 2 4 2 2 10" xfId="12435" xr:uid="{00000000-0005-0000-0000-000090300000}"/>
    <cellStyle name="Comma 2 4 2 2 11" xfId="12436" xr:uid="{00000000-0005-0000-0000-000091300000}"/>
    <cellStyle name="Comma 2 4 2 2 2" xfId="12437" xr:uid="{00000000-0005-0000-0000-000092300000}"/>
    <cellStyle name="Comma 2 4 2 2 2 2" xfId="12438" xr:uid="{00000000-0005-0000-0000-000093300000}"/>
    <cellStyle name="Comma 2 4 2 2 2 2 2" xfId="12439" xr:uid="{00000000-0005-0000-0000-000094300000}"/>
    <cellStyle name="Comma 2 4 2 2 2 2 2 2" xfId="12440" xr:uid="{00000000-0005-0000-0000-000095300000}"/>
    <cellStyle name="Comma 2 4 2 2 2 2 2 3" xfId="12441" xr:uid="{00000000-0005-0000-0000-000096300000}"/>
    <cellStyle name="Comma 2 4 2 2 2 2 3" xfId="12442" xr:uid="{00000000-0005-0000-0000-000097300000}"/>
    <cellStyle name="Comma 2 4 2 2 2 2 4" xfId="12443" xr:uid="{00000000-0005-0000-0000-000098300000}"/>
    <cellStyle name="Comma 2 4 2 2 2 2 5" xfId="12444" xr:uid="{00000000-0005-0000-0000-000099300000}"/>
    <cellStyle name="Comma 2 4 2 2 2 2 6" xfId="12445" xr:uid="{00000000-0005-0000-0000-00009A300000}"/>
    <cellStyle name="Comma 2 4 2 2 2 3" xfId="12446" xr:uid="{00000000-0005-0000-0000-00009B300000}"/>
    <cellStyle name="Comma 2 4 2 2 2 3 2" xfId="12447" xr:uid="{00000000-0005-0000-0000-00009C300000}"/>
    <cellStyle name="Comma 2 4 2 2 2 3 2 2" xfId="12448" xr:uid="{00000000-0005-0000-0000-00009D300000}"/>
    <cellStyle name="Comma 2 4 2 2 2 3 3" xfId="12449" xr:uid="{00000000-0005-0000-0000-00009E300000}"/>
    <cellStyle name="Comma 2 4 2 2 2 3 4" xfId="12450" xr:uid="{00000000-0005-0000-0000-00009F300000}"/>
    <cellStyle name="Comma 2 4 2 2 2 3 5" xfId="12451" xr:uid="{00000000-0005-0000-0000-0000A0300000}"/>
    <cellStyle name="Comma 2 4 2 2 2 4" xfId="12452" xr:uid="{00000000-0005-0000-0000-0000A1300000}"/>
    <cellStyle name="Comma 2 4 2 2 2 4 2" xfId="12453" xr:uid="{00000000-0005-0000-0000-0000A2300000}"/>
    <cellStyle name="Comma 2 4 2 2 2 4 3" xfId="12454" xr:uid="{00000000-0005-0000-0000-0000A3300000}"/>
    <cellStyle name="Comma 2 4 2 2 2 4 4" xfId="12455" xr:uid="{00000000-0005-0000-0000-0000A4300000}"/>
    <cellStyle name="Comma 2 4 2 2 2 5" xfId="12456" xr:uid="{00000000-0005-0000-0000-0000A5300000}"/>
    <cellStyle name="Comma 2 4 2 2 2 5 2" xfId="12457" xr:uid="{00000000-0005-0000-0000-0000A6300000}"/>
    <cellStyle name="Comma 2 4 2 2 2 6" xfId="12458" xr:uid="{00000000-0005-0000-0000-0000A7300000}"/>
    <cellStyle name="Comma 2 4 2 2 2 7" xfId="12459" xr:uid="{00000000-0005-0000-0000-0000A8300000}"/>
    <cellStyle name="Comma 2 4 2 2 2 8" xfId="12460" xr:uid="{00000000-0005-0000-0000-0000A9300000}"/>
    <cellStyle name="Comma 2 4 2 2 2 9" xfId="12461" xr:uid="{00000000-0005-0000-0000-0000AA300000}"/>
    <cellStyle name="Comma 2 4 2 2 3" xfId="12462" xr:uid="{00000000-0005-0000-0000-0000AB300000}"/>
    <cellStyle name="Comma 2 4 2 2 3 2" xfId="12463" xr:uid="{00000000-0005-0000-0000-0000AC300000}"/>
    <cellStyle name="Comma 2 4 2 2 3 2 2" xfId="12464" xr:uid="{00000000-0005-0000-0000-0000AD300000}"/>
    <cellStyle name="Comma 2 4 2 2 3 2 2 2" xfId="12465" xr:uid="{00000000-0005-0000-0000-0000AE300000}"/>
    <cellStyle name="Comma 2 4 2 2 3 2 2 3" xfId="12466" xr:uid="{00000000-0005-0000-0000-0000AF300000}"/>
    <cellStyle name="Comma 2 4 2 2 3 2 3" xfId="12467" xr:uid="{00000000-0005-0000-0000-0000B0300000}"/>
    <cellStyle name="Comma 2 4 2 2 3 2 4" xfId="12468" xr:uid="{00000000-0005-0000-0000-0000B1300000}"/>
    <cellStyle name="Comma 2 4 2 2 3 2 5" xfId="12469" xr:uid="{00000000-0005-0000-0000-0000B2300000}"/>
    <cellStyle name="Comma 2 4 2 2 3 2 6" xfId="12470" xr:uid="{00000000-0005-0000-0000-0000B3300000}"/>
    <cellStyle name="Comma 2 4 2 2 3 3" xfId="12471" xr:uid="{00000000-0005-0000-0000-0000B4300000}"/>
    <cellStyle name="Comma 2 4 2 2 3 3 2" xfId="12472" xr:uid="{00000000-0005-0000-0000-0000B5300000}"/>
    <cellStyle name="Comma 2 4 2 2 3 3 2 2" xfId="12473" xr:uid="{00000000-0005-0000-0000-0000B6300000}"/>
    <cellStyle name="Comma 2 4 2 2 3 3 3" xfId="12474" xr:uid="{00000000-0005-0000-0000-0000B7300000}"/>
    <cellStyle name="Comma 2 4 2 2 3 3 4" xfId="12475" xr:uid="{00000000-0005-0000-0000-0000B8300000}"/>
    <cellStyle name="Comma 2 4 2 2 3 3 5" xfId="12476" xr:uid="{00000000-0005-0000-0000-0000B9300000}"/>
    <cellStyle name="Comma 2 4 2 2 3 4" xfId="12477" xr:uid="{00000000-0005-0000-0000-0000BA300000}"/>
    <cellStyle name="Comma 2 4 2 2 3 4 2" xfId="12478" xr:uid="{00000000-0005-0000-0000-0000BB300000}"/>
    <cellStyle name="Comma 2 4 2 2 3 4 3" xfId="12479" xr:uid="{00000000-0005-0000-0000-0000BC300000}"/>
    <cellStyle name="Comma 2 4 2 2 3 4 4" xfId="12480" xr:uid="{00000000-0005-0000-0000-0000BD300000}"/>
    <cellStyle name="Comma 2 4 2 2 3 5" xfId="12481" xr:uid="{00000000-0005-0000-0000-0000BE300000}"/>
    <cellStyle name="Comma 2 4 2 2 3 5 2" xfId="12482" xr:uid="{00000000-0005-0000-0000-0000BF300000}"/>
    <cellStyle name="Comma 2 4 2 2 3 6" xfId="12483" xr:uid="{00000000-0005-0000-0000-0000C0300000}"/>
    <cellStyle name="Comma 2 4 2 2 3 7" xfId="12484" xr:uid="{00000000-0005-0000-0000-0000C1300000}"/>
    <cellStyle name="Comma 2 4 2 2 3 8" xfId="12485" xr:uid="{00000000-0005-0000-0000-0000C2300000}"/>
    <cellStyle name="Comma 2 4 2 2 3 9" xfId="12486" xr:uid="{00000000-0005-0000-0000-0000C3300000}"/>
    <cellStyle name="Comma 2 4 2 2 4" xfId="12487" xr:uid="{00000000-0005-0000-0000-0000C4300000}"/>
    <cellStyle name="Comma 2 4 2 2 4 2" xfId="12488" xr:uid="{00000000-0005-0000-0000-0000C5300000}"/>
    <cellStyle name="Comma 2 4 2 2 4 2 2" xfId="12489" xr:uid="{00000000-0005-0000-0000-0000C6300000}"/>
    <cellStyle name="Comma 2 4 2 2 4 2 3" xfId="12490" xr:uid="{00000000-0005-0000-0000-0000C7300000}"/>
    <cellStyle name="Comma 2 4 2 2 4 3" xfId="12491" xr:uid="{00000000-0005-0000-0000-0000C8300000}"/>
    <cellStyle name="Comma 2 4 2 2 4 4" xfId="12492" xr:uid="{00000000-0005-0000-0000-0000C9300000}"/>
    <cellStyle name="Comma 2 4 2 2 4 5" xfId="12493" xr:uid="{00000000-0005-0000-0000-0000CA300000}"/>
    <cellStyle name="Comma 2 4 2 2 4 6" xfId="12494" xr:uid="{00000000-0005-0000-0000-0000CB300000}"/>
    <cellStyle name="Comma 2 4 2 2 5" xfId="12495" xr:uid="{00000000-0005-0000-0000-0000CC300000}"/>
    <cellStyle name="Comma 2 4 2 2 5 2" xfId="12496" xr:uid="{00000000-0005-0000-0000-0000CD300000}"/>
    <cellStyle name="Comma 2 4 2 2 5 2 2" xfId="12497" xr:uid="{00000000-0005-0000-0000-0000CE300000}"/>
    <cellStyle name="Comma 2 4 2 2 5 3" xfId="12498" xr:uid="{00000000-0005-0000-0000-0000CF300000}"/>
    <cellStyle name="Comma 2 4 2 2 5 4" xfId="12499" xr:uid="{00000000-0005-0000-0000-0000D0300000}"/>
    <cellStyle name="Comma 2 4 2 2 5 5" xfId="12500" xr:uid="{00000000-0005-0000-0000-0000D1300000}"/>
    <cellStyle name="Comma 2 4 2 2 6" xfId="12501" xr:uid="{00000000-0005-0000-0000-0000D2300000}"/>
    <cellStyle name="Comma 2 4 2 2 6 2" xfId="12502" xr:uid="{00000000-0005-0000-0000-0000D3300000}"/>
    <cellStyle name="Comma 2 4 2 2 6 3" xfId="12503" xr:uid="{00000000-0005-0000-0000-0000D4300000}"/>
    <cellStyle name="Comma 2 4 2 2 6 4" xfId="12504" xr:uid="{00000000-0005-0000-0000-0000D5300000}"/>
    <cellStyle name="Comma 2 4 2 2 7" xfId="12505" xr:uid="{00000000-0005-0000-0000-0000D6300000}"/>
    <cellStyle name="Comma 2 4 2 2 7 2" xfId="12506" xr:uid="{00000000-0005-0000-0000-0000D7300000}"/>
    <cellStyle name="Comma 2 4 2 2 8" xfId="12507" xr:uid="{00000000-0005-0000-0000-0000D8300000}"/>
    <cellStyle name="Comma 2 4 2 2 9" xfId="12508" xr:uid="{00000000-0005-0000-0000-0000D9300000}"/>
    <cellStyle name="Comma 2 4 2 20" xfId="12509" xr:uid="{00000000-0005-0000-0000-0000DA300000}"/>
    <cellStyle name="Comma 2 4 2 21" xfId="12510" xr:uid="{00000000-0005-0000-0000-0000DB300000}"/>
    <cellStyle name="Comma 2 4 2 22" xfId="12511" xr:uid="{00000000-0005-0000-0000-0000DC300000}"/>
    <cellStyle name="Comma 2 4 2 3" xfId="12512" xr:uid="{00000000-0005-0000-0000-0000DD300000}"/>
    <cellStyle name="Comma 2 4 2 3 10" xfId="12513" xr:uid="{00000000-0005-0000-0000-0000DE300000}"/>
    <cellStyle name="Comma 2 4 2 3 11" xfId="12514" xr:uid="{00000000-0005-0000-0000-0000DF300000}"/>
    <cellStyle name="Comma 2 4 2 3 2" xfId="12515" xr:uid="{00000000-0005-0000-0000-0000E0300000}"/>
    <cellStyle name="Comma 2 4 2 3 2 2" xfId="12516" xr:uid="{00000000-0005-0000-0000-0000E1300000}"/>
    <cellStyle name="Comma 2 4 2 3 2 2 2" xfId="12517" xr:uid="{00000000-0005-0000-0000-0000E2300000}"/>
    <cellStyle name="Comma 2 4 2 3 2 2 2 2" xfId="12518" xr:uid="{00000000-0005-0000-0000-0000E3300000}"/>
    <cellStyle name="Comma 2 4 2 3 2 2 2 3" xfId="12519" xr:uid="{00000000-0005-0000-0000-0000E4300000}"/>
    <cellStyle name="Comma 2 4 2 3 2 2 3" xfId="12520" xr:uid="{00000000-0005-0000-0000-0000E5300000}"/>
    <cellStyle name="Comma 2 4 2 3 2 2 4" xfId="12521" xr:uid="{00000000-0005-0000-0000-0000E6300000}"/>
    <cellStyle name="Comma 2 4 2 3 2 2 5" xfId="12522" xr:uid="{00000000-0005-0000-0000-0000E7300000}"/>
    <cellStyle name="Comma 2 4 2 3 2 2 6" xfId="12523" xr:uid="{00000000-0005-0000-0000-0000E8300000}"/>
    <cellStyle name="Comma 2 4 2 3 2 3" xfId="12524" xr:uid="{00000000-0005-0000-0000-0000E9300000}"/>
    <cellStyle name="Comma 2 4 2 3 2 3 2" xfId="12525" xr:uid="{00000000-0005-0000-0000-0000EA300000}"/>
    <cellStyle name="Comma 2 4 2 3 2 3 2 2" xfId="12526" xr:uid="{00000000-0005-0000-0000-0000EB300000}"/>
    <cellStyle name="Comma 2 4 2 3 2 3 3" xfId="12527" xr:uid="{00000000-0005-0000-0000-0000EC300000}"/>
    <cellStyle name="Comma 2 4 2 3 2 3 4" xfId="12528" xr:uid="{00000000-0005-0000-0000-0000ED300000}"/>
    <cellStyle name="Comma 2 4 2 3 2 3 5" xfId="12529" xr:uid="{00000000-0005-0000-0000-0000EE300000}"/>
    <cellStyle name="Comma 2 4 2 3 2 4" xfId="12530" xr:uid="{00000000-0005-0000-0000-0000EF300000}"/>
    <cellStyle name="Comma 2 4 2 3 2 4 2" xfId="12531" xr:uid="{00000000-0005-0000-0000-0000F0300000}"/>
    <cellStyle name="Comma 2 4 2 3 2 4 3" xfId="12532" xr:uid="{00000000-0005-0000-0000-0000F1300000}"/>
    <cellStyle name="Comma 2 4 2 3 2 4 4" xfId="12533" xr:uid="{00000000-0005-0000-0000-0000F2300000}"/>
    <cellStyle name="Comma 2 4 2 3 2 5" xfId="12534" xr:uid="{00000000-0005-0000-0000-0000F3300000}"/>
    <cellStyle name="Comma 2 4 2 3 2 5 2" xfId="12535" xr:uid="{00000000-0005-0000-0000-0000F4300000}"/>
    <cellStyle name="Comma 2 4 2 3 2 6" xfId="12536" xr:uid="{00000000-0005-0000-0000-0000F5300000}"/>
    <cellStyle name="Comma 2 4 2 3 2 7" xfId="12537" xr:uid="{00000000-0005-0000-0000-0000F6300000}"/>
    <cellStyle name="Comma 2 4 2 3 2 8" xfId="12538" xr:uid="{00000000-0005-0000-0000-0000F7300000}"/>
    <cellStyle name="Comma 2 4 2 3 2 9" xfId="12539" xr:uid="{00000000-0005-0000-0000-0000F8300000}"/>
    <cellStyle name="Comma 2 4 2 3 3" xfId="12540" xr:uid="{00000000-0005-0000-0000-0000F9300000}"/>
    <cellStyle name="Comma 2 4 2 3 3 2" xfId="12541" xr:uid="{00000000-0005-0000-0000-0000FA300000}"/>
    <cellStyle name="Comma 2 4 2 3 3 2 2" xfId="12542" xr:uid="{00000000-0005-0000-0000-0000FB300000}"/>
    <cellStyle name="Comma 2 4 2 3 3 2 2 2" xfId="12543" xr:uid="{00000000-0005-0000-0000-0000FC300000}"/>
    <cellStyle name="Comma 2 4 2 3 3 2 2 3" xfId="12544" xr:uid="{00000000-0005-0000-0000-0000FD300000}"/>
    <cellStyle name="Comma 2 4 2 3 3 2 3" xfId="12545" xr:uid="{00000000-0005-0000-0000-0000FE300000}"/>
    <cellStyle name="Comma 2 4 2 3 3 2 4" xfId="12546" xr:uid="{00000000-0005-0000-0000-0000FF300000}"/>
    <cellStyle name="Comma 2 4 2 3 3 2 5" xfId="12547" xr:uid="{00000000-0005-0000-0000-000000310000}"/>
    <cellStyle name="Comma 2 4 2 3 3 2 6" xfId="12548" xr:uid="{00000000-0005-0000-0000-000001310000}"/>
    <cellStyle name="Comma 2 4 2 3 3 3" xfId="12549" xr:uid="{00000000-0005-0000-0000-000002310000}"/>
    <cellStyle name="Comma 2 4 2 3 3 3 2" xfId="12550" xr:uid="{00000000-0005-0000-0000-000003310000}"/>
    <cellStyle name="Comma 2 4 2 3 3 3 2 2" xfId="12551" xr:uid="{00000000-0005-0000-0000-000004310000}"/>
    <cellStyle name="Comma 2 4 2 3 3 3 3" xfId="12552" xr:uid="{00000000-0005-0000-0000-000005310000}"/>
    <cellStyle name="Comma 2 4 2 3 3 3 4" xfId="12553" xr:uid="{00000000-0005-0000-0000-000006310000}"/>
    <cellStyle name="Comma 2 4 2 3 3 3 5" xfId="12554" xr:uid="{00000000-0005-0000-0000-000007310000}"/>
    <cellStyle name="Comma 2 4 2 3 3 4" xfId="12555" xr:uid="{00000000-0005-0000-0000-000008310000}"/>
    <cellStyle name="Comma 2 4 2 3 3 4 2" xfId="12556" xr:uid="{00000000-0005-0000-0000-000009310000}"/>
    <cellStyle name="Comma 2 4 2 3 3 4 3" xfId="12557" xr:uid="{00000000-0005-0000-0000-00000A310000}"/>
    <cellStyle name="Comma 2 4 2 3 3 4 4" xfId="12558" xr:uid="{00000000-0005-0000-0000-00000B310000}"/>
    <cellStyle name="Comma 2 4 2 3 3 5" xfId="12559" xr:uid="{00000000-0005-0000-0000-00000C310000}"/>
    <cellStyle name="Comma 2 4 2 3 3 5 2" xfId="12560" xr:uid="{00000000-0005-0000-0000-00000D310000}"/>
    <cellStyle name="Comma 2 4 2 3 3 6" xfId="12561" xr:uid="{00000000-0005-0000-0000-00000E310000}"/>
    <cellStyle name="Comma 2 4 2 3 3 7" xfId="12562" xr:uid="{00000000-0005-0000-0000-00000F310000}"/>
    <cellStyle name="Comma 2 4 2 3 3 8" xfId="12563" xr:uid="{00000000-0005-0000-0000-000010310000}"/>
    <cellStyle name="Comma 2 4 2 3 3 9" xfId="12564" xr:uid="{00000000-0005-0000-0000-000011310000}"/>
    <cellStyle name="Comma 2 4 2 3 4" xfId="12565" xr:uid="{00000000-0005-0000-0000-000012310000}"/>
    <cellStyle name="Comma 2 4 2 3 4 2" xfId="12566" xr:uid="{00000000-0005-0000-0000-000013310000}"/>
    <cellStyle name="Comma 2 4 2 3 4 2 2" xfId="12567" xr:uid="{00000000-0005-0000-0000-000014310000}"/>
    <cellStyle name="Comma 2 4 2 3 4 2 3" xfId="12568" xr:uid="{00000000-0005-0000-0000-000015310000}"/>
    <cellStyle name="Comma 2 4 2 3 4 3" xfId="12569" xr:uid="{00000000-0005-0000-0000-000016310000}"/>
    <cellStyle name="Comma 2 4 2 3 4 4" xfId="12570" xr:uid="{00000000-0005-0000-0000-000017310000}"/>
    <cellStyle name="Comma 2 4 2 3 4 5" xfId="12571" xr:uid="{00000000-0005-0000-0000-000018310000}"/>
    <cellStyle name="Comma 2 4 2 3 4 6" xfId="12572" xr:uid="{00000000-0005-0000-0000-000019310000}"/>
    <cellStyle name="Comma 2 4 2 3 5" xfId="12573" xr:uid="{00000000-0005-0000-0000-00001A310000}"/>
    <cellStyle name="Comma 2 4 2 3 5 2" xfId="12574" xr:uid="{00000000-0005-0000-0000-00001B310000}"/>
    <cellStyle name="Comma 2 4 2 3 5 2 2" xfId="12575" xr:uid="{00000000-0005-0000-0000-00001C310000}"/>
    <cellStyle name="Comma 2 4 2 3 5 3" xfId="12576" xr:uid="{00000000-0005-0000-0000-00001D310000}"/>
    <cellStyle name="Comma 2 4 2 3 5 4" xfId="12577" xr:uid="{00000000-0005-0000-0000-00001E310000}"/>
    <cellStyle name="Comma 2 4 2 3 5 5" xfId="12578" xr:uid="{00000000-0005-0000-0000-00001F310000}"/>
    <cellStyle name="Comma 2 4 2 3 6" xfId="12579" xr:uid="{00000000-0005-0000-0000-000020310000}"/>
    <cellStyle name="Comma 2 4 2 3 6 2" xfId="12580" xr:uid="{00000000-0005-0000-0000-000021310000}"/>
    <cellStyle name="Comma 2 4 2 3 6 3" xfId="12581" xr:uid="{00000000-0005-0000-0000-000022310000}"/>
    <cellStyle name="Comma 2 4 2 3 6 4" xfId="12582" xr:uid="{00000000-0005-0000-0000-000023310000}"/>
    <cellStyle name="Comma 2 4 2 3 7" xfId="12583" xr:uid="{00000000-0005-0000-0000-000024310000}"/>
    <cellStyle name="Comma 2 4 2 3 7 2" xfId="12584" xr:uid="{00000000-0005-0000-0000-000025310000}"/>
    <cellStyle name="Comma 2 4 2 3 8" xfId="12585" xr:uid="{00000000-0005-0000-0000-000026310000}"/>
    <cellStyle name="Comma 2 4 2 3 9" xfId="12586" xr:uid="{00000000-0005-0000-0000-000027310000}"/>
    <cellStyle name="Comma 2 4 2 4" xfId="12587" xr:uid="{00000000-0005-0000-0000-000028310000}"/>
    <cellStyle name="Comma 2 4 2 4 10" xfId="12588" xr:uid="{00000000-0005-0000-0000-000029310000}"/>
    <cellStyle name="Comma 2 4 2 4 11" xfId="12589" xr:uid="{00000000-0005-0000-0000-00002A310000}"/>
    <cellStyle name="Comma 2 4 2 4 2" xfId="12590" xr:uid="{00000000-0005-0000-0000-00002B310000}"/>
    <cellStyle name="Comma 2 4 2 4 2 2" xfId="12591" xr:uid="{00000000-0005-0000-0000-00002C310000}"/>
    <cellStyle name="Comma 2 4 2 4 2 2 2" xfId="12592" xr:uid="{00000000-0005-0000-0000-00002D310000}"/>
    <cellStyle name="Comma 2 4 2 4 2 2 2 2" xfId="12593" xr:uid="{00000000-0005-0000-0000-00002E310000}"/>
    <cellStyle name="Comma 2 4 2 4 2 2 2 3" xfId="12594" xr:uid="{00000000-0005-0000-0000-00002F310000}"/>
    <cellStyle name="Comma 2 4 2 4 2 2 3" xfId="12595" xr:uid="{00000000-0005-0000-0000-000030310000}"/>
    <cellStyle name="Comma 2 4 2 4 2 2 4" xfId="12596" xr:uid="{00000000-0005-0000-0000-000031310000}"/>
    <cellStyle name="Comma 2 4 2 4 2 2 5" xfId="12597" xr:uid="{00000000-0005-0000-0000-000032310000}"/>
    <cellStyle name="Comma 2 4 2 4 2 2 6" xfId="12598" xr:uid="{00000000-0005-0000-0000-000033310000}"/>
    <cellStyle name="Comma 2 4 2 4 2 3" xfId="12599" xr:uid="{00000000-0005-0000-0000-000034310000}"/>
    <cellStyle name="Comma 2 4 2 4 2 3 2" xfId="12600" xr:uid="{00000000-0005-0000-0000-000035310000}"/>
    <cellStyle name="Comma 2 4 2 4 2 3 2 2" xfId="12601" xr:uid="{00000000-0005-0000-0000-000036310000}"/>
    <cellStyle name="Comma 2 4 2 4 2 3 3" xfId="12602" xr:uid="{00000000-0005-0000-0000-000037310000}"/>
    <cellStyle name="Comma 2 4 2 4 2 3 4" xfId="12603" xr:uid="{00000000-0005-0000-0000-000038310000}"/>
    <cellStyle name="Comma 2 4 2 4 2 3 5" xfId="12604" xr:uid="{00000000-0005-0000-0000-000039310000}"/>
    <cellStyle name="Comma 2 4 2 4 2 4" xfId="12605" xr:uid="{00000000-0005-0000-0000-00003A310000}"/>
    <cellStyle name="Comma 2 4 2 4 2 4 2" xfId="12606" xr:uid="{00000000-0005-0000-0000-00003B310000}"/>
    <cellStyle name="Comma 2 4 2 4 2 4 3" xfId="12607" xr:uid="{00000000-0005-0000-0000-00003C310000}"/>
    <cellStyle name="Comma 2 4 2 4 2 4 4" xfId="12608" xr:uid="{00000000-0005-0000-0000-00003D310000}"/>
    <cellStyle name="Comma 2 4 2 4 2 5" xfId="12609" xr:uid="{00000000-0005-0000-0000-00003E310000}"/>
    <cellStyle name="Comma 2 4 2 4 2 5 2" xfId="12610" xr:uid="{00000000-0005-0000-0000-00003F310000}"/>
    <cellStyle name="Comma 2 4 2 4 2 6" xfId="12611" xr:uid="{00000000-0005-0000-0000-000040310000}"/>
    <cellStyle name="Comma 2 4 2 4 2 7" xfId="12612" xr:uid="{00000000-0005-0000-0000-000041310000}"/>
    <cellStyle name="Comma 2 4 2 4 2 8" xfId="12613" xr:uid="{00000000-0005-0000-0000-000042310000}"/>
    <cellStyle name="Comma 2 4 2 4 2 9" xfId="12614" xr:uid="{00000000-0005-0000-0000-000043310000}"/>
    <cellStyle name="Comma 2 4 2 4 3" xfId="12615" xr:uid="{00000000-0005-0000-0000-000044310000}"/>
    <cellStyle name="Comma 2 4 2 4 3 2" xfId="12616" xr:uid="{00000000-0005-0000-0000-000045310000}"/>
    <cellStyle name="Comma 2 4 2 4 3 2 2" xfId="12617" xr:uid="{00000000-0005-0000-0000-000046310000}"/>
    <cellStyle name="Comma 2 4 2 4 3 2 2 2" xfId="12618" xr:uid="{00000000-0005-0000-0000-000047310000}"/>
    <cellStyle name="Comma 2 4 2 4 3 2 2 3" xfId="12619" xr:uid="{00000000-0005-0000-0000-000048310000}"/>
    <cellStyle name="Comma 2 4 2 4 3 2 3" xfId="12620" xr:uid="{00000000-0005-0000-0000-000049310000}"/>
    <cellStyle name="Comma 2 4 2 4 3 2 4" xfId="12621" xr:uid="{00000000-0005-0000-0000-00004A310000}"/>
    <cellStyle name="Comma 2 4 2 4 3 2 5" xfId="12622" xr:uid="{00000000-0005-0000-0000-00004B310000}"/>
    <cellStyle name="Comma 2 4 2 4 3 2 6" xfId="12623" xr:uid="{00000000-0005-0000-0000-00004C310000}"/>
    <cellStyle name="Comma 2 4 2 4 3 3" xfId="12624" xr:uid="{00000000-0005-0000-0000-00004D310000}"/>
    <cellStyle name="Comma 2 4 2 4 3 3 2" xfId="12625" xr:uid="{00000000-0005-0000-0000-00004E310000}"/>
    <cellStyle name="Comma 2 4 2 4 3 3 2 2" xfId="12626" xr:uid="{00000000-0005-0000-0000-00004F310000}"/>
    <cellStyle name="Comma 2 4 2 4 3 3 3" xfId="12627" xr:uid="{00000000-0005-0000-0000-000050310000}"/>
    <cellStyle name="Comma 2 4 2 4 3 3 4" xfId="12628" xr:uid="{00000000-0005-0000-0000-000051310000}"/>
    <cellStyle name="Comma 2 4 2 4 3 3 5" xfId="12629" xr:uid="{00000000-0005-0000-0000-000052310000}"/>
    <cellStyle name="Comma 2 4 2 4 3 4" xfId="12630" xr:uid="{00000000-0005-0000-0000-000053310000}"/>
    <cellStyle name="Comma 2 4 2 4 3 4 2" xfId="12631" xr:uid="{00000000-0005-0000-0000-000054310000}"/>
    <cellStyle name="Comma 2 4 2 4 3 4 3" xfId="12632" xr:uid="{00000000-0005-0000-0000-000055310000}"/>
    <cellStyle name="Comma 2 4 2 4 3 4 4" xfId="12633" xr:uid="{00000000-0005-0000-0000-000056310000}"/>
    <cellStyle name="Comma 2 4 2 4 3 5" xfId="12634" xr:uid="{00000000-0005-0000-0000-000057310000}"/>
    <cellStyle name="Comma 2 4 2 4 3 5 2" xfId="12635" xr:uid="{00000000-0005-0000-0000-000058310000}"/>
    <cellStyle name="Comma 2 4 2 4 3 6" xfId="12636" xr:uid="{00000000-0005-0000-0000-000059310000}"/>
    <cellStyle name="Comma 2 4 2 4 3 7" xfId="12637" xr:uid="{00000000-0005-0000-0000-00005A310000}"/>
    <cellStyle name="Comma 2 4 2 4 3 8" xfId="12638" xr:uid="{00000000-0005-0000-0000-00005B310000}"/>
    <cellStyle name="Comma 2 4 2 4 3 9" xfId="12639" xr:uid="{00000000-0005-0000-0000-00005C310000}"/>
    <cellStyle name="Comma 2 4 2 4 4" xfId="12640" xr:uid="{00000000-0005-0000-0000-00005D310000}"/>
    <cellStyle name="Comma 2 4 2 4 4 2" xfId="12641" xr:uid="{00000000-0005-0000-0000-00005E310000}"/>
    <cellStyle name="Comma 2 4 2 4 4 2 2" xfId="12642" xr:uid="{00000000-0005-0000-0000-00005F310000}"/>
    <cellStyle name="Comma 2 4 2 4 4 2 3" xfId="12643" xr:uid="{00000000-0005-0000-0000-000060310000}"/>
    <cellStyle name="Comma 2 4 2 4 4 3" xfId="12644" xr:uid="{00000000-0005-0000-0000-000061310000}"/>
    <cellStyle name="Comma 2 4 2 4 4 4" xfId="12645" xr:uid="{00000000-0005-0000-0000-000062310000}"/>
    <cellStyle name="Comma 2 4 2 4 4 5" xfId="12646" xr:uid="{00000000-0005-0000-0000-000063310000}"/>
    <cellStyle name="Comma 2 4 2 4 4 6" xfId="12647" xr:uid="{00000000-0005-0000-0000-000064310000}"/>
    <cellStyle name="Comma 2 4 2 4 5" xfId="12648" xr:uid="{00000000-0005-0000-0000-000065310000}"/>
    <cellStyle name="Comma 2 4 2 4 5 2" xfId="12649" xr:uid="{00000000-0005-0000-0000-000066310000}"/>
    <cellStyle name="Comma 2 4 2 4 5 2 2" xfId="12650" xr:uid="{00000000-0005-0000-0000-000067310000}"/>
    <cellStyle name="Comma 2 4 2 4 5 3" xfId="12651" xr:uid="{00000000-0005-0000-0000-000068310000}"/>
    <cellStyle name="Comma 2 4 2 4 5 4" xfId="12652" xr:uid="{00000000-0005-0000-0000-000069310000}"/>
    <cellStyle name="Comma 2 4 2 4 5 5" xfId="12653" xr:uid="{00000000-0005-0000-0000-00006A310000}"/>
    <cellStyle name="Comma 2 4 2 4 6" xfId="12654" xr:uid="{00000000-0005-0000-0000-00006B310000}"/>
    <cellStyle name="Comma 2 4 2 4 6 2" xfId="12655" xr:uid="{00000000-0005-0000-0000-00006C310000}"/>
    <cellStyle name="Comma 2 4 2 4 6 3" xfId="12656" xr:uid="{00000000-0005-0000-0000-00006D310000}"/>
    <cellStyle name="Comma 2 4 2 4 6 4" xfId="12657" xr:uid="{00000000-0005-0000-0000-00006E310000}"/>
    <cellStyle name="Comma 2 4 2 4 7" xfId="12658" xr:uid="{00000000-0005-0000-0000-00006F310000}"/>
    <cellStyle name="Comma 2 4 2 4 7 2" xfId="12659" xr:uid="{00000000-0005-0000-0000-000070310000}"/>
    <cellStyle name="Comma 2 4 2 4 8" xfId="12660" xr:uid="{00000000-0005-0000-0000-000071310000}"/>
    <cellStyle name="Comma 2 4 2 4 9" xfId="12661" xr:uid="{00000000-0005-0000-0000-000072310000}"/>
    <cellStyle name="Comma 2 4 2 5" xfId="12662" xr:uid="{00000000-0005-0000-0000-000073310000}"/>
    <cellStyle name="Comma 2 4 2 5 10" xfId="12663" xr:uid="{00000000-0005-0000-0000-000074310000}"/>
    <cellStyle name="Comma 2 4 2 5 11" xfId="12664" xr:uid="{00000000-0005-0000-0000-000075310000}"/>
    <cellStyle name="Comma 2 4 2 5 2" xfId="12665" xr:uid="{00000000-0005-0000-0000-000076310000}"/>
    <cellStyle name="Comma 2 4 2 5 2 2" xfId="12666" xr:uid="{00000000-0005-0000-0000-000077310000}"/>
    <cellStyle name="Comma 2 4 2 5 2 2 2" xfId="12667" xr:uid="{00000000-0005-0000-0000-000078310000}"/>
    <cellStyle name="Comma 2 4 2 5 2 2 2 2" xfId="12668" xr:uid="{00000000-0005-0000-0000-000079310000}"/>
    <cellStyle name="Comma 2 4 2 5 2 2 2 3" xfId="12669" xr:uid="{00000000-0005-0000-0000-00007A310000}"/>
    <cellStyle name="Comma 2 4 2 5 2 2 3" xfId="12670" xr:uid="{00000000-0005-0000-0000-00007B310000}"/>
    <cellStyle name="Comma 2 4 2 5 2 2 4" xfId="12671" xr:uid="{00000000-0005-0000-0000-00007C310000}"/>
    <cellStyle name="Comma 2 4 2 5 2 2 5" xfId="12672" xr:uid="{00000000-0005-0000-0000-00007D310000}"/>
    <cellStyle name="Comma 2 4 2 5 2 2 6" xfId="12673" xr:uid="{00000000-0005-0000-0000-00007E310000}"/>
    <cellStyle name="Comma 2 4 2 5 2 3" xfId="12674" xr:uid="{00000000-0005-0000-0000-00007F310000}"/>
    <cellStyle name="Comma 2 4 2 5 2 3 2" xfId="12675" xr:uid="{00000000-0005-0000-0000-000080310000}"/>
    <cellStyle name="Comma 2 4 2 5 2 3 2 2" xfId="12676" xr:uid="{00000000-0005-0000-0000-000081310000}"/>
    <cellStyle name="Comma 2 4 2 5 2 3 3" xfId="12677" xr:uid="{00000000-0005-0000-0000-000082310000}"/>
    <cellStyle name="Comma 2 4 2 5 2 3 4" xfId="12678" xr:uid="{00000000-0005-0000-0000-000083310000}"/>
    <cellStyle name="Comma 2 4 2 5 2 3 5" xfId="12679" xr:uid="{00000000-0005-0000-0000-000084310000}"/>
    <cellStyle name="Comma 2 4 2 5 2 4" xfId="12680" xr:uid="{00000000-0005-0000-0000-000085310000}"/>
    <cellStyle name="Comma 2 4 2 5 2 4 2" xfId="12681" xr:uid="{00000000-0005-0000-0000-000086310000}"/>
    <cellStyle name="Comma 2 4 2 5 2 4 3" xfId="12682" xr:uid="{00000000-0005-0000-0000-000087310000}"/>
    <cellStyle name="Comma 2 4 2 5 2 4 4" xfId="12683" xr:uid="{00000000-0005-0000-0000-000088310000}"/>
    <cellStyle name="Comma 2 4 2 5 2 5" xfId="12684" xr:uid="{00000000-0005-0000-0000-000089310000}"/>
    <cellStyle name="Comma 2 4 2 5 2 5 2" xfId="12685" xr:uid="{00000000-0005-0000-0000-00008A310000}"/>
    <cellStyle name="Comma 2 4 2 5 2 6" xfId="12686" xr:uid="{00000000-0005-0000-0000-00008B310000}"/>
    <cellStyle name="Comma 2 4 2 5 2 7" xfId="12687" xr:uid="{00000000-0005-0000-0000-00008C310000}"/>
    <cellStyle name="Comma 2 4 2 5 2 8" xfId="12688" xr:uid="{00000000-0005-0000-0000-00008D310000}"/>
    <cellStyle name="Comma 2 4 2 5 2 9" xfId="12689" xr:uid="{00000000-0005-0000-0000-00008E310000}"/>
    <cellStyle name="Comma 2 4 2 5 3" xfId="12690" xr:uid="{00000000-0005-0000-0000-00008F310000}"/>
    <cellStyle name="Comma 2 4 2 5 3 2" xfId="12691" xr:uid="{00000000-0005-0000-0000-000090310000}"/>
    <cellStyle name="Comma 2 4 2 5 3 2 2" xfId="12692" xr:uid="{00000000-0005-0000-0000-000091310000}"/>
    <cellStyle name="Comma 2 4 2 5 3 2 2 2" xfId="12693" xr:uid="{00000000-0005-0000-0000-000092310000}"/>
    <cellStyle name="Comma 2 4 2 5 3 2 2 3" xfId="12694" xr:uid="{00000000-0005-0000-0000-000093310000}"/>
    <cellStyle name="Comma 2 4 2 5 3 2 3" xfId="12695" xr:uid="{00000000-0005-0000-0000-000094310000}"/>
    <cellStyle name="Comma 2 4 2 5 3 2 4" xfId="12696" xr:uid="{00000000-0005-0000-0000-000095310000}"/>
    <cellStyle name="Comma 2 4 2 5 3 2 5" xfId="12697" xr:uid="{00000000-0005-0000-0000-000096310000}"/>
    <cellStyle name="Comma 2 4 2 5 3 2 6" xfId="12698" xr:uid="{00000000-0005-0000-0000-000097310000}"/>
    <cellStyle name="Comma 2 4 2 5 3 3" xfId="12699" xr:uid="{00000000-0005-0000-0000-000098310000}"/>
    <cellStyle name="Comma 2 4 2 5 3 3 2" xfId="12700" xr:uid="{00000000-0005-0000-0000-000099310000}"/>
    <cellStyle name="Comma 2 4 2 5 3 3 2 2" xfId="12701" xr:uid="{00000000-0005-0000-0000-00009A310000}"/>
    <cellStyle name="Comma 2 4 2 5 3 3 3" xfId="12702" xr:uid="{00000000-0005-0000-0000-00009B310000}"/>
    <cellStyle name="Comma 2 4 2 5 3 3 4" xfId="12703" xr:uid="{00000000-0005-0000-0000-00009C310000}"/>
    <cellStyle name="Comma 2 4 2 5 3 3 5" xfId="12704" xr:uid="{00000000-0005-0000-0000-00009D310000}"/>
    <cellStyle name="Comma 2 4 2 5 3 4" xfId="12705" xr:uid="{00000000-0005-0000-0000-00009E310000}"/>
    <cellStyle name="Comma 2 4 2 5 3 4 2" xfId="12706" xr:uid="{00000000-0005-0000-0000-00009F310000}"/>
    <cellStyle name="Comma 2 4 2 5 3 4 3" xfId="12707" xr:uid="{00000000-0005-0000-0000-0000A0310000}"/>
    <cellStyle name="Comma 2 4 2 5 3 4 4" xfId="12708" xr:uid="{00000000-0005-0000-0000-0000A1310000}"/>
    <cellStyle name="Comma 2 4 2 5 3 5" xfId="12709" xr:uid="{00000000-0005-0000-0000-0000A2310000}"/>
    <cellStyle name="Comma 2 4 2 5 3 5 2" xfId="12710" xr:uid="{00000000-0005-0000-0000-0000A3310000}"/>
    <cellStyle name="Comma 2 4 2 5 3 6" xfId="12711" xr:uid="{00000000-0005-0000-0000-0000A4310000}"/>
    <cellStyle name="Comma 2 4 2 5 3 7" xfId="12712" xr:uid="{00000000-0005-0000-0000-0000A5310000}"/>
    <cellStyle name="Comma 2 4 2 5 3 8" xfId="12713" xr:uid="{00000000-0005-0000-0000-0000A6310000}"/>
    <cellStyle name="Comma 2 4 2 5 3 9" xfId="12714" xr:uid="{00000000-0005-0000-0000-0000A7310000}"/>
    <cellStyle name="Comma 2 4 2 5 4" xfId="12715" xr:uid="{00000000-0005-0000-0000-0000A8310000}"/>
    <cellStyle name="Comma 2 4 2 5 4 2" xfId="12716" xr:uid="{00000000-0005-0000-0000-0000A9310000}"/>
    <cellStyle name="Comma 2 4 2 5 4 2 2" xfId="12717" xr:uid="{00000000-0005-0000-0000-0000AA310000}"/>
    <cellStyle name="Comma 2 4 2 5 4 2 3" xfId="12718" xr:uid="{00000000-0005-0000-0000-0000AB310000}"/>
    <cellStyle name="Comma 2 4 2 5 4 3" xfId="12719" xr:uid="{00000000-0005-0000-0000-0000AC310000}"/>
    <cellStyle name="Comma 2 4 2 5 4 4" xfId="12720" xr:uid="{00000000-0005-0000-0000-0000AD310000}"/>
    <cellStyle name="Comma 2 4 2 5 4 5" xfId="12721" xr:uid="{00000000-0005-0000-0000-0000AE310000}"/>
    <cellStyle name="Comma 2 4 2 5 4 6" xfId="12722" xr:uid="{00000000-0005-0000-0000-0000AF310000}"/>
    <cellStyle name="Comma 2 4 2 5 5" xfId="12723" xr:uid="{00000000-0005-0000-0000-0000B0310000}"/>
    <cellStyle name="Comma 2 4 2 5 5 2" xfId="12724" xr:uid="{00000000-0005-0000-0000-0000B1310000}"/>
    <cellStyle name="Comma 2 4 2 5 5 2 2" xfId="12725" xr:uid="{00000000-0005-0000-0000-0000B2310000}"/>
    <cellStyle name="Comma 2 4 2 5 5 3" xfId="12726" xr:uid="{00000000-0005-0000-0000-0000B3310000}"/>
    <cellStyle name="Comma 2 4 2 5 5 4" xfId="12727" xr:uid="{00000000-0005-0000-0000-0000B4310000}"/>
    <cellStyle name="Comma 2 4 2 5 5 5" xfId="12728" xr:uid="{00000000-0005-0000-0000-0000B5310000}"/>
    <cellStyle name="Comma 2 4 2 5 6" xfId="12729" xr:uid="{00000000-0005-0000-0000-0000B6310000}"/>
    <cellStyle name="Comma 2 4 2 5 6 2" xfId="12730" xr:uid="{00000000-0005-0000-0000-0000B7310000}"/>
    <cellStyle name="Comma 2 4 2 5 6 3" xfId="12731" xr:uid="{00000000-0005-0000-0000-0000B8310000}"/>
    <cellStyle name="Comma 2 4 2 5 6 4" xfId="12732" xr:uid="{00000000-0005-0000-0000-0000B9310000}"/>
    <cellStyle name="Comma 2 4 2 5 7" xfId="12733" xr:uid="{00000000-0005-0000-0000-0000BA310000}"/>
    <cellStyle name="Comma 2 4 2 5 7 2" xfId="12734" xr:uid="{00000000-0005-0000-0000-0000BB310000}"/>
    <cellStyle name="Comma 2 4 2 5 8" xfId="12735" xr:uid="{00000000-0005-0000-0000-0000BC310000}"/>
    <cellStyle name="Comma 2 4 2 5 9" xfId="12736" xr:uid="{00000000-0005-0000-0000-0000BD310000}"/>
    <cellStyle name="Comma 2 4 2 6" xfId="12737" xr:uid="{00000000-0005-0000-0000-0000BE310000}"/>
    <cellStyle name="Comma 2 4 2 6 10" xfId="12738" xr:uid="{00000000-0005-0000-0000-0000BF310000}"/>
    <cellStyle name="Comma 2 4 2 6 11" xfId="12739" xr:uid="{00000000-0005-0000-0000-0000C0310000}"/>
    <cellStyle name="Comma 2 4 2 6 2" xfId="12740" xr:uid="{00000000-0005-0000-0000-0000C1310000}"/>
    <cellStyle name="Comma 2 4 2 6 2 2" xfId="12741" xr:uid="{00000000-0005-0000-0000-0000C2310000}"/>
    <cellStyle name="Comma 2 4 2 6 2 2 2" xfId="12742" xr:uid="{00000000-0005-0000-0000-0000C3310000}"/>
    <cellStyle name="Comma 2 4 2 6 2 2 2 2" xfId="12743" xr:uid="{00000000-0005-0000-0000-0000C4310000}"/>
    <cellStyle name="Comma 2 4 2 6 2 2 2 3" xfId="12744" xr:uid="{00000000-0005-0000-0000-0000C5310000}"/>
    <cellStyle name="Comma 2 4 2 6 2 2 3" xfId="12745" xr:uid="{00000000-0005-0000-0000-0000C6310000}"/>
    <cellStyle name="Comma 2 4 2 6 2 2 4" xfId="12746" xr:uid="{00000000-0005-0000-0000-0000C7310000}"/>
    <cellStyle name="Comma 2 4 2 6 2 2 5" xfId="12747" xr:uid="{00000000-0005-0000-0000-0000C8310000}"/>
    <cellStyle name="Comma 2 4 2 6 2 2 6" xfId="12748" xr:uid="{00000000-0005-0000-0000-0000C9310000}"/>
    <cellStyle name="Comma 2 4 2 6 2 3" xfId="12749" xr:uid="{00000000-0005-0000-0000-0000CA310000}"/>
    <cellStyle name="Comma 2 4 2 6 2 3 2" xfId="12750" xr:uid="{00000000-0005-0000-0000-0000CB310000}"/>
    <cellStyle name="Comma 2 4 2 6 2 3 2 2" xfId="12751" xr:uid="{00000000-0005-0000-0000-0000CC310000}"/>
    <cellStyle name="Comma 2 4 2 6 2 3 3" xfId="12752" xr:uid="{00000000-0005-0000-0000-0000CD310000}"/>
    <cellStyle name="Comma 2 4 2 6 2 3 4" xfId="12753" xr:uid="{00000000-0005-0000-0000-0000CE310000}"/>
    <cellStyle name="Comma 2 4 2 6 2 3 5" xfId="12754" xr:uid="{00000000-0005-0000-0000-0000CF310000}"/>
    <cellStyle name="Comma 2 4 2 6 2 4" xfId="12755" xr:uid="{00000000-0005-0000-0000-0000D0310000}"/>
    <cellStyle name="Comma 2 4 2 6 2 4 2" xfId="12756" xr:uid="{00000000-0005-0000-0000-0000D1310000}"/>
    <cellStyle name="Comma 2 4 2 6 2 4 3" xfId="12757" xr:uid="{00000000-0005-0000-0000-0000D2310000}"/>
    <cellStyle name="Comma 2 4 2 6 2 4 4" xfId="12758" xr:uid="{00000000-0005-0000-0000-0000D3310000}"/>
    <cellStyle name="Comma 2 4 2 6 2 5" xfId="12759" xr:uid="{00000000-0005-0000-0000-0000D4310000}"/>
    <cellStyle name="Comma 2 4 2 6 2 5 2" xfId="12760" xr:uid="{00000000-0005-0000-0000-0000D5310000}"/>
    <cellStyle name="Comma 2 4 2 6 2 6" xfId="12761" xr:uid="{00000000-0005-0000-0000-0000D6310000}"/>
    <cellStyle name="Comma 2 4 2 6 2 7" xfId="12762" xr:uid="{00000000-0005-0000-0000-0000D7310000}"/>
    <cellStyle name="Comma 2 4 2 6 2 8" xfId="12763" xr:uid="{00000000-0005-0000-0000-0000D8310000}"/>
    <cellStyle name="Comma 2 4 2 6 2 9" xfId="12764" xr:uid="{00000000-0005-0000-0000-0000D9310000}"/>
    <cellStyle name="Comma 2 4 2 6 3" xfId="12765" xr:uid="{00000000-0005-0000-0000-0000DA310000}"/>
    <cellStyle name="Comma 2 4 2 6 3 2" xfId="12766" xr:uid="{00000000-0005-0000-0000-0000DB310000}"/>
    <cellStyle name="Comma 2 4 2 6 3 2 2" xfId="12767" xr:uid="{00000000-0005-0000-0000-0000DC310000}"/>
    <cellStyle name="Comma 2 4 2 6 3 2 2 2" xfId="12768" xr:uid="{00000000-0005-0000-0000-0000DD310000}"/>
    <cellStyle name="Comma 2 4 2 6 3 2 2 3" xfId="12769" xr:uid="{00000000-0005-0000-0000-0000DE310000}"/>
    <cellStyle name="Comma 2 4 2 6 3 2 3" xfId="12770" xr:uid="{00000000-0005-0000-0000-0000DF310000}"/>
    <cellStyle name="Comma 2 4 2 6 3 2 4" xfId="12771" xr:uid="{00000000-0005-0000-0000-0000E0310000}"/>
    <cellStyle name="Comma 2 4 2 6 3 2 5" xfId="12772" xr:uid="{00000000-0005-0000-0000-0000E1310000}"/>
    <cellStyle name="Comma 2 4 2 6 3 2 6" xfId="12773" xr:uid="{00000000-0005-0000-0000-0000E2310000}"/>
    <cellStyle name="Comma 2 4 2 6 3 3" xfId="12774" xr:uid="{00000000-0005-0000-0000-0000E3310000}"/>
    <cellStyle name="Comma 2 4 2 6 3 3 2" xfId="12775" xr:uid="{00000000-0005-0000-0000-0000E4310000}"/>
    <cellStyle name="Comma 2 4 2 6 3 3 2 2" xfId="12776" xr:uid="{00000000-0005-0000-0000-0000E5310000}"/>
    <cellStyle name="Comma 2 4 2 6 3 3 3" xfId="12777" xr:uid="{00000000-0005-0000-0000-0000E6310000}"/>
    <cellStyle name="Comma 2 4 2 6 3 3 4" xfId="12778" xr:uid="{00000000-0005-0000-0000-0000E7310000}"/>
    <cellStyle name="Comma 2 4 2 6 3 3 5" xfId="12779" xr:uid="{00000000-0005-0000-0000-0000E8310000}"/>
    <cellStyle name="Comma 2 4 2 6 3 4" xfId="12780" xr:uid="{00000000-0005-0000-0000-0000E9310000}"/>
    <cellStyle name="Comma 2 4 2 6 3 4 2" xfId="12781" xr:uid="{00000000-0005-0000-0000-0000EA310000}"/>
    <cellStyle name="Comma 2 4 2 6 3 4 3" xfId="12782" xr:uid="{00000000-0005-0000-0000-0000EB310000}"/>
    <cellStyle name="Comma 2 4 2 6 3 4 4" xfId="12783" xr:uid="{00000000-0005-0000-0000-0000EC310000}"/>
    <cellStyle name="Comma 2 4 2 6 3 5" xfId="12784" xr:uid="{00000000-0005-0000-0000-0000ED310000}"/>
    <cellStyle name="Comma 2 4 2 6 3 5 2" xfId="12785" xr:uid="{00000000-0005-0000-0000-0000EE310000}"/>
    <cellStyle name="Comma 2 4 2 6 3 6" xfId="12786" xr:uid="{00000000-0005-0000-0000-0000EF310000}"/>
    <cellStyle name="Comma 2 4 2 6 3 7" xfId="12787" xr:uid="{00000000-0005-0000-0000-0000F0310000}"/>
    <cellStyle name="Comma 2 4 2 6 3 8" xfId="12788" xr:uid="{00000000-0005-0000-0000-0000F1310000}"/>
    <cellStyle name="Comma 2 4 2 6 3 9" xfId="12789" xr:uid="{00000000-0005-0000-0000-0000F2310000}"/>
    <cellStyle name="Comma 2 4 2 6 4" xfId="12790" xr:uid="{00000000-0005-0000-0000-0000F3310000}"/>
    <cellStyle name="Comma 2 4 2 6 4 2" xfId="12791" xr:uid="{00000000-0005-0000-0000-0000F4310000}"/>
    <cellStyle name="Comma 2 4 2 6 4 2 2" xfId="12792" xr:uid="{00000000-0005-0000-0000-0000F5310000}"/>
    <cellStyle name="Comma 2 4 2 6 4 2 3" xfId="12793" xr:uid="{00000000-0005-0000-0000-0000F6310000}"/>
    <cellStyle name="Comma 2 4 2 6 4 3" xfId="12794" xr:uid="{00000000-0005-0000-0000-0000F7310000}"/>
    <cellStyle name="Comma 2 4 2 6 4 4" xfId="12795" xr:uid="{00000000-0005-0000-0000-0000F8310000}"/>
    <cellStyle name="Comma 2 4 2 6 4 5" xfId="12796" xr:uid="{00000000-0005-0000-0000-0000F9310000}"/>
    <cellStyle name="Comma 2 4 2 6 4 6" xfId="12797" xr:uid="{00000000-0005-0000-0000-0000FA310000}"/>
    <cellStyle name="Comma 2 4 2 6 5" xfId="12798" xr:uid="{00000000-0005-0000-0000-0000FB310000}"/>
    <cellStyle name="Comma 2 4 2 6 5 2" xfId="12799" xr:uid="{00000000-0005-0000-0000-0000FC310000}"/>
    <cellStyle name="Comma 2 4 2 6 5 2 2" xfId="12800" xr:uid="{00000000-0005-0000-0000-0000FD310000}"/>
    <cellStyle name="Comma 2 4 2 6 5 3" xfId="12801" xr:uid="{00000000-0005-0000-0000-0000FE310000}"/>
    <cellStyle name="Comma 2 4 2 6 5 4" xfId="12802" xr:uid="{00000000-0005-0000-0000-0000FF310000}"/>
    <cellStyle name="Comma 2 4 2 6 5 5" xfId="12803" xr:uid="{00000000-0005-0000-0000-000000320000}"/>
    <cellStyle name="Comma 2 4 2 6 6" xfId="12804" xr:uid="{00000000-0005-0000-0000-000001320000}"/>
    <cellStyle name="Comma 2 4 2 6 6 2" xfId="12805" xr:uid="{00000000-0005-0000-0000-000002320000}"/>
    <cellStyle name="Comma 2 4 2 6 6 3" xfId="12806" xr:uid="{00000000-0005-0000-0000-000003320000}"/>
    <cellStyle name="Comma 2 4 2 6 6 4" xfId="12807" xr:uid="{00000000-0005-0000-0000-000004320000}"/>
    <cellStyle name="Comma 2 4 2 6 7" xfId="12808" xr:uid="{00000000-0005-0000-0000-000005320000}"/>
    <cellStyle name="Comma 2 4 2 6 7 2" xfId="12809" xr:uid="{00000000-0005-0000-0000-000006320000}"/>
    <cellStyle name="Comma 2 4 2 6 8" xfId="12810" xr:uid="{00000000-0005-0000-0000-000007320000}"/>
    <cellStyle name="Comma 2 4 2 6 9" xfId="12811" xr:uid="{00000000-0005-0000-0000-000008320000}"/>
    <cellStyle name="Comma 2 4 2 7" xfId="12812" xr:uid="{00000000-0005-0000-0000-000009320000}"/>
    <cellStyle name="Comma 2 4 2 7 10" xfId="12813" xr:uid="{00000000-0005-0000-0000-00000A320000}"/>
    <cellStyle name="Comma 2 4 2 7 11" xfId="12814" xr:uid="{00000000-0005-0000-0000-00000B320000}"/>
    <cellStyle name="Comma 2 4 2 7 2" xfId="12815" xr:uid="{00000000-0005-0000-0000-00000C320000}"/>
    <cellStyle name="Comma 2 4 2 7 2 2" xfId="12816" xr:uid="{00000000-0005-0000-0000-00000D320000}"/>
    <cellStyle name="Comma 2 4 2 7 2 2 2" xfId="12817" xr:uid="{00000000-0005-0000-0000-00000E320000}"/>
    <cellStyle name="Comma 2 4 2 7 2 2 2 2" xfId="12818" xr:uid="{00000000-0005-0000-0000-00000F320000}"/>
    <cellStyle name="Comma 2 4 2 7 2 2 2 3" xfId="12819" xr:uid="{00000000-0005-0000-0000-000010320000}"/>
    <cellStyle name="Comma 2 4 2 7 2 2 3" xfId="12820" xr:uid="{00000000-0005-0000-0000-000011320000}"/>
    <cellStyle name="Comma 2 4 2 7 2 2 4" xfId="12821" xr:uid="{00000000-0005-0000-0000-000012320000}"/>
    <cellStyle name="Comma 2 4 2 7 2 2 5" xfId="12822" xr:uid="{00000000-0005-0000-0000-000013320000}"/>
    <cellStyle name="Comma 2 4 2 7 2 2 6" xfId="12823" xr:uid="{00000000-0005-0000-0000-000014320000}"/>
    <cellStyle name="Comma 2 4 2 7 2 3" xfId="12824" xr:uid="{00000000-0005-0000-0000-000015320000}"/>
    <cellStyle name="Comma 2 4 2 7 2 3 2" xfId="12825" xr:uid="{00000000-0005-0000-0000-000016320000}"/>
    <cellStyle name="Comma 2 4 2 7 2 3 2 2" xfId="12826" xr:uid="{00000000-0005-0000-0000-000017320000}"/>
    <cellStyle name="Comma 2 4 2 7 2 3 3" xfId="12827" xr:uid="{00000000-0005-0000-0000-000018320000}"/>
    <cellStyle name="Comma 2 4 2 7 2 3 4" xfId="12828" xr:uid="{00000000-0005-0000-0000-000019320000}"/>
    <cellStyle name="Comma 2 4 2 7 2 3 5" xfId="12829" xr:uid="{00000000-0005-0000-0000-00001A320000}"/>
    <cellStyle name="Comma 2 4 2 7 2 4" xfId="12830" xr:uid="{00000000-0005-0000-0000-00001B320000}"/>
    <cellStyle name="Comma 2 4 2 7 2 4 2" xfId="12831" xr:uid="{00000000-0005-0000-0000-00001C320000}"/>
    <cellStyle name="Comma 2 4 2 7 2 4 3" xfId="12832" xr:uid="{00000000-0005-0000-0000-00001D320000}"/>
    <cellStyle name="Comma 2 4 2 7 2 4 4" xfId="12833" xr:uid="{00000000-0005-0000-0000-00001E320000}"/>
    <cellStyle name="Comma 2 4 2 7 2 5" xfId="12834" xr:uid="{00000000-0005-0000-0000-00001F320000}"/>
    <cellStyle name="Comma 2 4 2 7 2 5 2" xfId="12835" xr:uid="{00000000-0005-0000-0000-000020320000}"/>
    <cellStyle name="Comma 2 4 2 7 2 6" xfId="12836" xr:uid="{00000000-0005-0000-0000-000021320000}"/>
    <cellStyle name="Comma 2 4 2 7 2 7" xfId="12837" xr:uid="{00000000-0005-0000-0000-000022320000}"/>
    <cellStyle name="Comma 2 4 2 7 2 8" xfId="12838" xr:uid="{00000000-0005-0000-0000-000023320000}"/>
    <cellStyle name="Comma 2 4 2 7 2 9" xfId="12839" xr:uid="{00000000-0005-0000-0000-000024320000}"/>
    <cellStyle name="Comma 2 4 2 7 3" xfId="12840" xr:uid="{00000000-0005-0000-0000-000025320000}"/>
    <cellStyle name="Comma 2 4 2 7 3 2" xfId="12841" xr:uid="{00000000-0005-0000-0000-000026320000}"/>
    <cellStyle name="Comma 2 4 2 7 3 2 2" xfId="12842" xr:uid="{00000000-0005-0000-0000-000027320000}"/>
    <cellStyle name="Comma 2 4 2 7 3 2 2 2" xfId="12843" xr:uid="{00000000-0005-0000-0000-000028320000}"/>
    <cellStyle name="Comma 2 4 2 7 3 2 2 3" xfId="12844" xr:uid="{00000000-0005-0000-0000-000029320000}"/>
    <cellStyle name="Comma 2 4 2 7 3 2 3" xfId="12845" xr:uid="{00000000-0005-0000-0000-00002A320000}"/>
    <cellStyle name="Comma 2 4 2 7 3 2 4" xfId="12846" xr:uid="{00000000-0005-0000-0000-00002B320000}"/>
    <cellStyle name="Comma 2 4 2 7 3 2 5" xfId="12847" xr:uid="{00000000-0005-0000-0000-00002C320000}"/>
    <cellStyle name="Comma 2 4 2 7 3 2 6" xfId="12848" xr:uid="{00000000-0005-0000-0000-00002D320000}"/>
    <cellStyle name="Comma 2 4 2 7 3 3" xfId="12849" xr:uid="{00000000-0005-0000-0000-00002E320000}"/>
    <cellStyle name="Comma 2 4 2 7 3 3 2" xfId="12850" xr:uid="{00000000-0005-0000-0000-00002F320000}"/>
    <cellStyle name="Comma 2 4 2 7 3 3 2 2" xfId="12851" xr:uid="{00000000-0005-0000-0000-000030320000}"/>
    <cellStyle name="Comma 2 4 2 7 3 3 3" xfId="12852" xr:uid="{00000000-0005-0000-0000-000031320000}"/>
    <cellStyle name="Comma 2 4 2 7 3 3 4" xfId="12853" xr:uid="{00000000-0005-0000-0000-000032320000}"/>
    <cellStyle name="Comma 2 4 2 7 3 3 5" xfId="12854" xr:uid="{00000000-0005-0000-0000-000033320000}"/>
    <cellStyle name="Comma 2 4 2 7 3 4" xfId="12855" xr:uid="{00000000-0005-0000-0000-000034320000}"/>
    <cellStyle name="Comma 2 4 2 7 3 4 2" xfId="12856" xr:uid="{00000000-0005-0000-0000-000035320000}"/>
    <cellStyle name="Comma 2 4 2 7 3 4 3" xfId="12857" xr:uid="{00000000-0005-0000-0000-000036320000}"/>
    <cellStyle name="Comma 2 4 2 7 3 4 4" xfId="12858" xr:uid="{00000000-0005-0000-0000-000037320000}"/>
    <cellStyle name="Comma 2 4 2 7 3 5" xfId="12859" xr:uid="{00000000-0005-0000-0000-000038320000}"/>
    <cellStyle name="Comma 2 4 2 7 3 5 2" xfId="12860" xr:uid="{00000000-0005-0000-0000-000039320000}"/>
    <cellStyle name="Comma 2 4 2 7 3 6" xfId="12861" xr:uid="{00000000-0005-0000-0000-00003A320000}"/>
    <cellStyle name="Comma 2 4 2 7 3 7" xfId="12862" xr:uid="{00000000-0005-0000-0000-00003B320000}"/>
    <cellStyle name="Comma 2 4 2 7 3 8" xfId="12863" xr:uid="{00000000-0005-0000-0000-00003C320000}"/>
    <cellStyle name="Comma 2 4 2 7 3 9" xfId="12864" xr:uid="{00000000-0005-0000-0000-00003D320000}"/>
    <cellStyle name="Comma 2 4 2 7 4" xfId="12865" xr:uid="{00000000-0005-0000-0000-00003E320000}"/>
    <cellStyle name="Comma 2 4 2 7 4 2" xfId="12866" xr:uid="{00000000-0005-0000-0000-00003F320000}"/>
    <cellStyle name="Comma 2 4 2 7 4 2 2" xfId="12867" xr:uid="{00000000-0005-0000-0000-000040320000}"/>
    <cellStyle name="Comma 2 4 2 7 4 2 3" xfId="12868" xr:uid="{00000000-0005-0000-0000-000041320000}"/>
    <cellStyle name="Comma 2 4 2 7 4 3" xfId="12869" xr:uid="{00000000-0005-0000-0000-000042320000}"/>
    <cellStyle name="Comma 2 4 2 7 4 4" xfId="12870" xr:uid="{00000000-0005-0000-0000-000043320000}"/>
    <cellStyle name="Comma 2 4 2 7 4 5" xfId="12871" xr:uid="{00000000-0005-0000-0000-000044320000}"/>
    <cellStyle name="Comma 2 4 2 7 4 6" xfId="12872" xr:uid="{00000000-0005-0000-0000-000045320000}"/>
    <cellStyle name="Comma 2 4 2 7 5" xfId="12873" xr:uid="{00000000-0005-0000-0000-000046320000}"/>
    <cellStyle name="Comma 2 4 2 7 5 2" xfId="12874" xr:uid="{00000000-0005-0000-0000-000047320000}"/>
    <cellStyle name="Comma 2 4 2 7 5 2 2" xfId="12875" xr:uid="{00000000-0005-0000-0000-000048320000}"/>
    <cellStyle name="Comma 2 4 2 7 5 3" xfId="12876" xr:uid="{00000000-0005-0000-0000-000049320000}"/>
    <cellStyle name="Comma 2 4 2 7 5 4" xfId="12877" xr:uid="{00000000-0005-0000-0000-00004A320000}"/>
    <cellStyle name="Comma 2 4 2 7 5 5" xfId="12878" xr:uid="{00000000-0005-0000-0000-00004B320000}"/>
    <cellStyle name="Comma 2 4 2 7 6" xfId="12879" xr:uid="{00000000-0005-0000-0000-00004C320000}"/>
    <cellStyle name="Comma 2 4 2 7 6 2" xfId="12880" xr:uid="{00000000-0005-0000-0000-00004D320000}"/>
    <cellStyle name="Comma 2 4 2 7 6 3" xfId="12881" xr:uid="{00000000-0005-0000-0000-00004E320000}"/>
    <cellStyle name="Comma 2 4 2 7 6 4" xfId="12882" xr:uid="{00000000-0005-0000-0000-00004F320000}"/>
    <cellStyle name="Comma 2 4 2 7 7" xfId="12883" xr:uid="{00000000-0005-0000-0000-000050320000}"/>
    <cellStyle name="Comma 2 4 2 7 7 2" xfId="12884" xr:uid="{00000000-0005-0000-0000-000051320000}"/>
    <cellStyle name="Comma 2 4 2 7 8" xfId="12885" xr:uid="{00000000-0005-0000-0000-000052320000}"/>
    <cellStyle name="Comma 2 4 2 7 9" xfId="12886" xr:uid="{00000000-0005-0000-0000-000053320000}"/>
    <cellStyle name="Comma 2 4 2 8" xfId="12887" xr:uid="{00000000-0005-0000-0000-000054320000}"/>
    <cellStyle name="Comma 2 4 2 8 10" xfId="12888" xr:uid="{00000000-0005-0000-0000-000055320000}"/>
    <cellStyle name="Comma 2 4 2 8 2" xfId="12889" xr:uid="{00000000-0005-0000-0000-000056320000}"/>
    <cellStyle name="Comma 2 4 2 8 2 2" xfId="12890" xr:uid="{00000000-0005-0000-0000-000057320000}"/>
    <cellStyle name="Comma 2 4 2 8 2 2 2" xfId="12891" xr:uid="{00000000-0005-0000-0000-000058320000}"/>
    <cellStyle name="Comma 2 4 2 8 2 2 3" xfId="12892" xr:uid="{00000000-0005-0000-0000-000059320000}"/>
    <cellStyle name="Comma 2 4 2 8 2 3" xfId="12893" xr:uid="{00000000-0005-0000-0000-00005A320000}"/>
    <cellStyle name="Comma 2 4 2 8 2 4" xfId="12894" xr:uid="{00000000-0005-0000-0000-00005B320000}"/>
    <cellStyle name="Comma 2 4 2 8 2 5" xfId="12895" xr:uid="{00000000-0005-0000-0000-00005C320000}"/>
    <cellStyle name="Comma 2 4 2 8 2 6" xfId="12896" xr:uid="{00000000-0005-0000-0000-00005D320000}"/>
    <cellStyle name="Comma 2 4 2 8 3" xfId="12897" xr:uid="{00000000-0005-0000-0000-00005E320000}"/>
    <cellStyle name="Comma 2 4 2 8 3 2" xfId="12898" xr:uid="{00000000-0005-0000-0000-00005F320000}"/>
    <cellStyle name="Comma 2 4 2 8 3 2 2" xfId="12899" xr:uid="{00000000-0005-0000-0000-000060320000}"/>
    <cellStyle name="Comma 2 4 2 8 3 2 3" xfId="12900" xr:uid="{00000000-0005-0000-0000-000061320000}"/>
    <cellStyle name="Comma 2 4 2 8 3 3" xfId="12901" xr:uid="{00000000-0005-0000-0000-000062320000}"/>
    <cellStyle name="Comma 2 4 2 8 3 4" xfId="12902" xr:uid="{00000000-0005-0000-0000-000063320000}"/>
    <cellStyle name="Comma 2 4 2 8 3 5" xfId="12903" xr:uid="{00000000-0005-0000-0000-000064320000}"/>
    <cellStyle name="Comma 2 4 2 8 3 6" xfId="12904" xr:uid="{00000000-0005-0000-0000-000065320000}"/>
    <cellStyle name="Comma 2 4 2 8 4" xfId="12905" xr:uid="{00000000-0005-0000-0000-000066320000}"/>
    <cellStyle name="Comma 2 4 2 8 4 2" xfId="12906" xr:uid="{00000000-0005-0000-0000-000067320000}"/>
    <cellStyle name="Comma 2 4 2 8 4 2 2" xfId="12907" xr:uid="{00000000-0005-0000-0000-000068320000}"/>
    <cellStyle name="Comma 2 4 2 8 4 3" xfId="12908" xr:uid="{00000000-0005-0000-0000-000069320000}"/>
    <cellStyle name="Comma 2 4 2 8 4 4" xfId="12909" xr:uid="{00000000-0005-0000-0000-00006A320000}"/>
    <cellStyle name="Comma 2 4 2 8 4 5" xfId="12910" xr:uid="{00000000-0005-0000-0000-00006B320000}"/>
    <cellStyle name="Comma 2 4 2 8 5" xfId="12911" xr:uid="{00000000-0005-0000-0000-00006C320000}"/>
    <cellStyle name="Comma 2 4 2 8 5 2" xfId="12912" xr:uid="{00000000-0005-0000-0000-00006D320000}"/>
    <cellStyle name="Comma 2 4 2 8 5 3" xfId="12913" xr:uid="{00000000-0005-0000-0000-00006E320000}"/>
    <cellStyle name="Comma 2 4 2 8 5 4" xfId="12914" xr:uid="{00000000-0005-0000-0000-00006F320000}"/>
    <cellStyle name="Comma 2 4 2 8 6" xfId="12915" xr:uid="{00000000-0005-0000-0000-000070320000}"/>
    <cellStyle name="Comma 2 4 2 8 6 2" xfId="12916" xr:uid="{00000000-0005-0000-0000-000071320000}"/>
    <cellStyle name="Comma 2 4 2 8 7" xfId="12917" xr:uid="{00000000-0005-0000-0000-000072320000}"/>
    <cellStyle name="Comma 2 4 2 8 8" xfId="12918" xr:uid="{00000000-0005-0000-0000-000073320000}"/>
    <cellStyle name="Comma 2 4 2 8 9" xfId="12919" xr:uid="{00000000-0005-0000-0000-000074320000}"/>
    <cellStyle name="Comma 2 4 2 9" xfId="12920" xr:uid="{00000000-0005-0000-0000-000075320000}"/>
    <cellStyle name="Comma 2 4 2 9 10" xfId="12921" xr:uid="{00000000-0005-0000-0000-000076320000}"/>
    <cellStyle name="Comma 2 4 2 9 2" xfId="12922" xr:uid="{00000000-0005-0000-0000-000077320000}"/>
    <cellStyle name="Comma 2 4 2 9 2 2" xfId="12923" xr:uid="{00000000-0005-0000-0000-000078320000}"/>
    <cellStyle name="Comma 2 4 2 9 2 2 2" xfId="12924" xr:uid="{00000000-0005-0000-0000-000079320000}"/>
    <cellStyle name="Comma 2 4 2 9 2 2 3" xfId="12925" xr:uid="{00000000-0005-0000-0000-00007A320000}"/>
    <cellStyle name="Comma 2 4 2 9 2 3" xfId="12926" xr:uid="{00000000-0005-0000-0000-00007B320000}"/>
    <cellStyle name="Comma 2 4 2 9 2 4" xfId="12927" xr:uid="{00000000-0005-0000-0000-00007C320000}"/>
    <cellStyle name="Comma 2 4 2 9 2 5" xfId="12928" xr:uid="{00000000-0005-0000-0000-00007D320000}"/>
    <cellStyle name="Comma 2 4 2 9 2 6" xfId="12929" xr:uid="{00000000-0005-0000-0000-00007E320000}"/>
    <cellStyle name="Comma 2 4 2 9 3" xfId="12930" xr:uid="{00000000-0005-0000-0000-00007F320000}"/>
    <cellStyle name="Comma 2 4 2 9 3 2" xfId="12931" xr:uid="{00000000-0005-0000-0000-000080320000}"/>
    <cellStyle name="Comma 2 4 2 9 3 2 2" xfId="12932" xr:uid="{00000000-0005-0000-0000-000081320000}"/>
    <cellStyle name="Comma 2 4 2 9 3 2 3" xfId="12933" xr:uid="{00000000-0005-0000-0000-000082320000}"/>
    <cellStyle name="Comma 2 4 2 9 3 3" xfId="12934" xr:uid="{00000000-0005-0000-0000-000083320000}"/>
    <cellStyle name="Comma 2 4 2 9 3 4" xfId="12935" xr:uid="{00000000-0005-0000-0000-000084320000}"/>
    <cellStyle name="Comma 2 4 2 9 3 5" xfId="12936" xr:uid="{00000000-0005-0000-0000-000085320000}"/>
    <cellStyle name="Comma 2 4 2 9 3 6" xfId="12937" xr:uid="{00000000-0005-0000-0000-000086320000}"/>
    <cellStyle name="Comma 2 4 2 9 4" xfId="12938" xr:uid="{00000000-0005-0000-0000-000087320000}"/>
    <cellStyle name="Comma 2 4 2 9 4 2" xfId="12939" xr:uid="{00000000-0005-0000-0000-000088320000}"/>
    <cellStyle name="Comma 2 4 2 9 4 2 2" xfId="12940" xr:uid="{00000000-0005-0000-0000-000089320000}"/>
    <cellStyle name="Comma 2 4 2 9 4 3" xfId="12941" xr:uid="{00000000-0005-0000-0000-00008A320000}"/>
    <cellStyle name="Comma 2 4 2 9 4 4" xfId="12942" xr:uid="{00000000-0005-0000-0000-00008B320000}"/>
    <cellStyle name="Comma 2 4 2 9 4 5" xfId="12943" xr:uid="{00000000-0005-0000-0000-00008C320000}"/>
    <cellStyle name="Comma 2 4 2 9 5" xfId="12944" xr:uid="{00000000-0005-0000-0000-00008D320000}"/>
    <cellStyle name="Comma 2 4 2 9 5 2" xfId="12945" xr:uid="{00000000-0005-0000-0000-00008E320000}"/>
    <cellStyle name="Comma 2 4 2 9 5 3" xfId="12946" xr:uid="{00000000-0005-0000-0000-00008F320000}"/>
    <cellStyle name="Comma 2 4 2 9 5 4" xfId="12947" xr:uid="{00000000-0005-0000-0000-000090320000}"/>
    <cellStyle name="Comma 2 4 2 9 6" xfId="12948" xr:uid="{00000000-0005-0000-0000-000091320000}"/>
    <cellStyle name="Comma 2 4 2 9 6 2" xfId="12949" xr:uid="{00000000-0005-0000-0000-000092320000}"/>
    <cellStyle name="Comma 2 4 2 9 7" xfId="12950" xr:uid="{00000000-0005-0000-0000-000093320000}"/>
    <cellStyle name="Comma 2 4 2 9 8" xfId="12951" xr:uid="{00000000-0005-0000-0000-000094320000}"/>
    <cellStyle name="Comma 2 4 2 9 9" xfId="12952" xr:uid="{00000000-0005-0000-0000-000095320000}"/>
    <cellStyle name="Comma 2 4 20" xfId="12953" xr:uid="{00000000-0005-0000-0000-000096320000}"/>
    <cellStyle name="Comma 2 4 20 10" xfId="12954" xr:uid="{00000000-0005-0000-0000-000097320000}"/>
    <cellStyle name="Comma 2 4 20 2" xfId="12955" xr:uid="{00000000-0005-0000-0000-000098320000}"/>
    <cellStyle name="Comma 2 4 20 2 2" xfId="12956" xr:uid="{00000000-0005-0000-0000-000099320000}"/>
    <cellStyle name="Comma 2 4 20 2 2 2" xfId="12957" xr:uid="{00000000-0005-0000-0000-00009A320000}"/>
    <cellStyle name="Comma 2 4 20 2 2 3" xfId="12958" xr:uid="{00000000-0005-0000-0000-00009B320000}"/>
    <cellStyle name="Comma 2 4 20 2 3" xfId="12959" xr:uid="{00000000-0005-0000-0000-00009C320000}"/>
    <cellStyle name="Comma 2 4 20 2 4" xfId="12960" xr:uid="{00000000-0005-0000-0000-00009D320000}"/>
    <cellStyle name="Comma 2 4 20 2 5" xfId="12961" xr:uid="{00000000-0005-0000-0000-00009E320000}"/>
    <cellStyle name="Comma 2 4 20 2 6" xfId="12962" xr:uid="{00000000-0005-0000-0000-00009F320000}"/>
    <cellStyle name="Comma 2 4 20 3" xfId="12963" xr:uid="{00000000-0005-0000-0000-0000A0320000}"/>
    <cellStyle name="Comma 2 4 20 3 2" xfId="12964" xr:uid="{00000000-0005-0000-0000-0000A1320000}"/>
    <cellStyle name="Comma 2 4 20 3 2 2" xfId="12965" xr:uid="{00000000-0005-0000-0000-0000A2320000}"/>
    <cellStyle name="Comma 2 4 20 3 2 3" xfId="12966" xr:uid="{00000000-0005-0000-0000-0000A3320000}"/>
    <cellStyle name="Comma 2 4 20 3 3" xfId="12967" xr:uid="{00000000-0005-0000-0000-0000A4320000}"/>
    <cellStyle name="Comma 2 4 20 3 4" xfId="12968" xr:uid="{00000000-0005-0000-0000-0000A5320000}"/>
    <cellStyle name="Comma 2 4 20 3 5" xfId="12969" xr:uid="{00000000-0005-0000-0000-0000A6320000}"/>
    <cellStyle name="Comma 2 4 20 3 6" xfId="12970" xr:uid="{00000000-0005-0000-0000-0000A7320000}"/>
    <cellStyle name="Comma 2 4 20 4" xfId="12971" xr:uid="{00000000-0005-0000-0000-0000A8320000}"/>
    <cellStyle name="Comma 2 4 20 4 2" xfId="12972" xr:uid="{00000000-0005-0000-0000-0000A9320000}"/>
    <cellStyle name="Comma 2 4 20 4 2 2" xfId="12973" xr:uid="{00000000-0005-0000-0000-0000AA320000}"/>
    <cellStyle name="Comma 2 4 20 4 3" xfId="12974" xr:uid="{00000000-0005-0000-0000-0000AB320000}"/>
    <cellStyle name="Comma 2 4 20 4 4" xfId="12975" xr:uid="{00000000-0005-0000-0000-0000AC320000}"/>
    <cellStyle name="Comma 2 4 20 4 5" xfId="12976" xr:uid="{00000000-0005-0000-0000-0000AD320000}"/>
    <cellStyle name="Comma 2 4 20 5" xfId="12977" xr:uid="{00000000-0005-0000-0000-0000AE320000}"/>
    <cellStyle name="Comma 2 4 20 5 2" xfId="12978" xr:uid="{00000000-0005-0000-0000-0000AF320000}"/>
    <cellStyle name="Comma 2 4 20 5 3" xfId="12979" xr:uid="{00000000-0005-0000-0000-0000B0320000}"/>
    <cellStyle name="Comma 2 4 20 5 4" xfId="12980" xr:uid="{00000000-0005-0000-0000-0000B1320000}"/>
    <cellStyle name="Comma 2 4 20 6" xfId="12981" xr:uid="{00000000-0005-0000-0000-0000B2320000}"/>
    <cellStyle name="Comma 2 4 20 6 2" xfId="12982" xr:uid="{00000000-0005-0000-0000-0000B3320000}"/>
    <cellStyle name="Comma 2 4 20 7" xfId="12983" xr:uid="{00000000-0005-0000-0000-0000B4320000}"/>
    <cellStyle name="Comma 2 4 20 8" xfId="12984" xr:uid="{00000000-0005-0000-0000-0000B5320000}"/>
    <cellStyle name="Comma 2 4 20 9" xfId="12985" xr:uid="{00000000-0005-0000-0000-0000B6320000}"/>
    <cellStyle name="Comma 2 4 21" xfId="12986" xr:uid="{00000000-0005-0000-0000-0000B7320000}"/>
    <cellStyle name="Comma 2 4 21 10" xfId="12987" xr:uid="{00000000-0005-0000-0000-0000B8320000}"/>
    <cellStyle name="Comma 2 4 21 2" xfId="12988" xr:uid="{00000000-0005-0000-0000-0000B9320000}"/>
    <cellStyle name="Comma 2 4 21 2 2" xfId="12989" xr:uid="{00000000-0005-0000-0000-0000BA320000}"/>
    <cellStyle name="Comma 2 4 21 2 2 2" xfId="12990" xr:uid="{00000000-0005-0000-0000-0000BB320000}"/>
    <cellStyle name="Comma 2 4 21 2 2 3" xfId="12991" xr:uid="{00000000-0005-0000-0000-0000BC320000}"/>
    <cellStyle name="Comma 2 4 21 2 3" xfId="12992" xr:uid="{00000000-0005-0000-0000-0000BD320000}"/>
    <cellStyle name="Comma 2 4 21 2 4" xfId="12993" xr:uid="{00000000-0005-0000-0000-0000BE320000}"/>
    <cellStyle name="Comma 2 4 21 2 5" xfId="12994" xr:uid="{00000000-0005-0000-0000-0000BF320000}"/>
    <cellStyle name="Comma 2 4 21 2 6" xfId="12995" xr:uid="{00000000-0005-0000-0000-0000C0320000}"/>
    <cellStyle name="Comma 2 4 21 3" xfId="12996" xr:uid="{00000000-0005-0000-0000-0000C1320000}"/>
    <cellStyle name="Comma 2 4 21 3 2" xfId="12997" xr:uid="{00000000-0005-0000-0000-0000C2320000}"/>
    <cellStyle name="Comma 2 4 21 3 2 2" xfId="12998" xr:uid="{00000000-0005-0000-0000-0000C3320000}"/>
    <cellStyle name="Comma 2 4 21 3 2 3" xfId="12999" xr:uid="{00000000-0005-0000-0000-0000C4320000}"/>
    <cellStyle name="Comma 2 4 21 3 3" xfId="13000" xr:uid="{00000000-0005-0000-0000-0000C5320000}"/>
    <cellStyle name="Comma 2 4 21 3 4" xfId="13001" xr:uid="{00000000-0005-0000-0000-0000C6320000}"/>
    <cellStyle name="Comma 2 4 21 3 5" xfId="13002" xr:uid="{00000000-0005-0000-0000-0000C7320000}"/>
    <cellStyle name="Comma 2 4 21 3 6" xfId="13003" xr:uid="{00000000-0005-0000-0000-0000C8320000}"/>
    <cellStyle name="Comma 2 4 21 4" xfId="13004" xr:uid="{00000000-0005-0000-0000-0000C9320000}"/>
    <cellStyle name="Comma 2 4 21 4 2" xfId="13005" xr:uid="{00000000-0005-0000-0000-0000CA320000}"/>
    <cellStyle name="Comma 2 4 21 4 2 2" xfId="13006" xr:uid="{00000000-0005-0000-0000-0000CB320000}"/>
    <cellStyle name="Comma 2 4 21 4 3" xfId="13007" xr:uid="{00000000-0005-0000-0000-0000CC320000}"/>
    <cellStyle name="Comma 2 4 21 4 4" xfId="13008" xr:uid="{00000000-0005-0000-0000-0000CD320000}"/>
    <cellStyle name="Comma 2 4 21 4 5" xfId="13009" xr:uid="{00000000-0005-0000-0000-0000CE320000}"/>
    <cellStyle name="Comma 2 4 21 5" xfId="13010" xr:uid="{00000000-0005-0000-0000-0000CF320000}"/>
    <cellStyle name="Comma 2 4 21 5 2" xfId="13011" xr:uid="{00000000-0005-0000-0000-0000D0320000}"/>
    <cellStyle name="Comma 2 4 21 5 3" xfId="13012" xr:uid="{00000000-0005-0000-0000-0000D1320000}"/>
    <cellStyle name="Comma 2 4 21 5 4" xfId="13013" xr:uid="{00000000-0005-0000-0000-0000D2320000}"/>
    <cellStyle name="Comma 2 4 21 6" xfId="13014" xr:uid="{00000000-0005-0000-0000-0000D3320000}"/>
    <cellStyle name="Comma 2 4 21 6 2" xfId="13015" xr:uid="{00000000-0005-0000-0000-0000D4320000}"/>
    <cellStyle name="Comma 2 4 21 7" xfId="13016" xr:uid="{00000000-0005-0000-0000-0000D5320000}"/>
    <cellStyle name="Comma 2 4 21 8" xfId="13017" xr:uid="{00000000-0005-0000-0000-0000D6320000}"/>
    <cellStyle name="Comma 2 4 21 9" xfId="13018" xr:uid="{00000000-0005-0000-0000-0000D7320000}"/>
    <cellStyle name="Comma 2 4 22" xfId="13019" xr:uid="{00000000-0005-0000-0000-0000D8320000}"/>
    <cellStyle name="Comma 2 4 22 10" xfId="13020" xr:uid="{00000000-0005-0000-0000-0000D9320000}"/>
    <cellStyle name="Comma 2 4 22 2" xfId="13021" xr:uid="{00000000-0005-0000-0000-0000DA320000}"/>
    <cellStyle name="Comma 2 4 22 2 2" xfId="13022" xr:uid="{00000000-0005-0000-0000-0000DB320000}"/>
    <cellStyle name="Comma 2 4 22 2 2 2" xfId="13023" xr:uid="{00000000-0005-0000-0000-0000DC320000}"/>
    <cellStyle name="Comma 2 4 22 2 2 3" xfId="13024" xr:uid="{00000000-0005-0000-0000-0000DD320000}"/>
    <cellStyle name="Comma 2 4 22 2 3" xfId="13025" xr:uid="{00000000-0005-0000-0000-0000DE320000}"/>
    <cellStyle name="Comma 2 4 22 2 4" xfId="13026" xr:uid="{00000000-0005-0000-0000-0000DF320000}"/>
    <cellStyle name="Comma 2 4 22 2 5" xfId="13027" xr:uid="{00000000-0005-0000-0000-0000E0320000}"/>
    <cellStyle name="Comma 2 4 22 2 6" xfId="13028" xr:uid="{00000000-0005-0000-0000-0000E1320000}"/>
    <cellStyle name="Comma 2 4 22 3" xfId="13029" xr:uid="{00000000-0005-0000-0000-0000E2320000}"/>
    <cellStyle name="Comma 2 4 22 3 2" xfId="13030" xr:uid="{00000000-0005-0000-0000-0000E3320000}"/>
    <cellStyle name="Comma 2 4 22 3 2 2" xfId="13031" xr:uid="{00000000-0005-0000-0000-0000E4320000}"/>
    <cellStyle name="Comma 2 4 22 3 2 3" xfId="13032" xr:uid="{00000000-0005-0000-0000-0000E5320000}"/>
    <cellStyle name="Comma 2 4 22 3 3" xfId="13033" xr:uid="{00000000-0005-0000-0000-0000E6320000}"/>
    <cellStyle name="Comma 2 4 22 3 4" xfId="13034" xr:uid="{00000000-0005-0000-0000-0000E7320000}"/>
    <cellStyle name="Comma 2 4 22 3 5" xfId="13035" xr:uid="{00000000-0005-0000-0000-0000E8320000}"/>
    <cellStyle name="Comma 2 4 22 3 6" xfId="13036" xr:uid="{00000000-0005-0000-0000-0000E9320000}"/>
    <cellStyle name="Comma 2 4 22 4" xfId="13037" xr:uid="{00000000-0005-0000-0000-0000EA320000}"/>
    <cellStyle name="Comma 2 4 22 4 2" xfId="13038" xr:uid="{00000000-0005-0000-0000-0000EB320000}"/>
    <cellStyle name="Comma 2 4 22 4 2 2" xfId="13039" xr:uid="{00000000-0005-0000-0000-0000EC320000}"/>
    <cellStyle name="Comma 2 4 22 4 3" xfId="13040" xr:uid="{00000000-0005-0000-0000-0000ED320000}"/>
    <cellStyle name="Comma 2 4 22 4 4" xfId="13041" xr:uid="{00000000-0005-0000-0000-0000EE320000}"/>
    <cellStyle name="Comma 2 4 22 4 5" xfId="13042" xr:uid="{00000000-0005-0000-0000-0000EF320000}"/>
    <cellStyle name="Comma 2 4 22 5" xfId="13043" xr:uid="{00000000-0005-0000-0000-0000F0320000}"/>
    <cellStyle name="Comma 2 4 22 5 2" xfId="13044" xr:uid="{00000000-0005-0000-0000-0000F1320000}"/>
    <cellStyle name="Comma 2 4 22 5 3" xfId="13045" xr:uid="{00000000-0005-0000-0000-0000F2320000}"/>
    <cellStyle name="Comma 2 4 22 5 4" xfId="13046" xr:uid="{00000000-0005-0000-0000-0000F3320000}"/>
    <cellStyle name="Comma 2 4 22 6" xfId="13047" xr:uid="{00000000-0005-0000-0000-0000F4320000}"/>
    <cellStyle name="Comma 2 4 22 6 2" xfId="13048" xr:uid="{00000000-0005-0000-0000-0000F5320000}"/>
    <cellStyle name="Comma 2 4 22 7" xfId="13049" xr:uid="{00000000-0005-0000-0000-0000F6320000}"/>
    <cellStyle name="Comma 2 4 22 8" xfId="13050" xr:uid="{00000000-0005-0000-0000-0000F7320000}"/>
    <cellStyle name="Comma 2 4 22 9" xfId="13051" xr:uid="{00000000-0005-0000-0000-0000F8320000}"/>
    <cellStyle name="Comma 2 4 23" xfId="13052" xr:uid="{00000000-0005-0000-0000-0000F9320000}"/>
    <cellStyle name="Comma 2 4 23 10" xfId="13053" xr:uid="{00000000-0005-0000-0000-0000FA320000}"/>
    <cellStyle name="Comma 2 4 23 2" xfId="13054" xr:uid="{00000000-0005-0000-0000-0000FB320000}"/>
    <cellStyle name="Comma 2 4 23 2 2" xfId="13055" xr:uid="{00000000-0005-0000-0000-0000FC320000}"/>
    <cellStyle name="Comma 2 4 23 2 2 2" xfId="13056" xr:uid="{00000000-0005-0000-0000-0000FD320000}"/>
    <cellStyle name="Comma 2 4 23 2 2 3" xfId="13057" xr:uid="{00000000-0005-0000-0000-0000FE320000}"/>
    <cellStyle name="Comma 2 4 23 2 3" xfId="13058" xr:uid="{00000000-0005-0000-0000-0000FF320000}"/>
    <cellStyle name="Comma 2 4 23 2 4" xfId="13059" xr:uid="{00000000-0005-0000-0000-000000330000}"/>
    <cellStyle name="Comma 2 4 23 2 5" xfId="13060" xr:uid="{00000000-0005-0000-0000-000001330000}"/>
    <cellStyle name="Comma 2 4 23 2 6" xfId="13061" xr:uid="{00000000-0005-0000-0000-000002330000}"/>
    <cellStyle name="Comma 2 4 23 3" xfId="13062" xr:uid="{00000000-0005-0000-0000-000003330000}"/>
    <cellStyle name="Comma 2 4 23 3 2" xfId="13063" xr:uid="{00000000-0005-0000-0000-000004330000}"/>
    <cellStyle name="Comma 2 4 23 3 2 2" xfId="13064" xr:uid="{00000000-0005-0000-0000-000005330000}"/>
    <cellStyle name="Comma 2 4 23 3 2 3" xfId="13065" xr:uid="{00000000-0005-0000-0000-000006330000}"/>
    <cellStyle name="Comma 2 4 23 3 3" xfId="13066" xr:uid="{00000000-0005-0000-0000-000007330000}"/>
    <cellStyle name="Comma 2 4 23 3 4" xfId="13067" xr:uid="{00000000-0005-0000-0000-000008330000}"/>
    <cellStyle name="Comma 2 4 23 3 5" xfId="13068" xr:uid="{00000000-0005-0000-0000-000009330000}"/>
    <cellStyle name="Comma 2 4 23 3 6" xfId="13069" xr:uid="{00000000-0005-0000-0000-00000A330000}"/>
    <cellStyle name="Comma 2 4 23 4" xfId="13070" xr:uid="{00000000-0005-0000-0000-00000B330000}"/>
    <cellStyle name="Comma 2 4 23 4 2" xfId="13071" xr:uid="{00000000-0005-0000-0000-00000C330000}"/>
    <cellStyle name="Comma 2 4 23 4 2 2" xfId="13072" xr:uid="{00000000-0005-0000-0000-00000D330000}"/>
    <cellStyle name="Comma 2 4 23 4 3" xfId="13073" xr:uid="{00000000-0005-0000-0000-00000E330000}"/>
    <cellStyle name="Comma 2 4 23 4 4" xfId="13074" xr:uid="{00000000-0005-0000-0000-00000F330000}"/>
    <cellStyle name="Comma 2 4 23 4 5" xfId="13075" xr:uid="{00000000-0005-0000-0000-000010330000}"/>
    <cellStyle name="Comma 2 4 23 5" xfId="13076" xr:uid="{00000000-0005-0000-0000-000011330000}"/>
    <cellStyle name="Comma 2 4 23 5 2" xfId="13077" xr:uid="{00000000-0005-0000-0000-000012330000}"/>
    <cellStyle name="Comma 2 4 23 5 3" xfId="13078" xr:uid="{00000000-0005-0000-0000-000013330000}"/>
    <cellStyle name="Comma 2 4 23 5 4" xfId="13079" xr:uid="{00000000-0005-0000-0000-000014330000}"/>
    <cellStyle name="Comma 2 4 23 6" xfId="13080" xr:uid="{00000000-0005-0000-0000-000015330000}"/>
    <cellStyle name="Comma 2 4 23 6 2" xfId="13081" xr:uid="{00000000-0005-0000-0000-000016330000}"/>
    <cellStyle name="Comma 2 4 23 7" xfId="13082" xr:uid="{00000000-0005-0000-0000-000017330000}"/>
    <cellStyle name="Comma 2 4 23 8" xfId="13083" xr:uid="{00000000-0005-0000-0000-000018330000}"/>
    <cellStyle name="Comma 2 4 23 9" xfId="13084" xr:uid="{00000000-0005-0000-0000-000019330000}"/>
    <cellStyle name="Comma 2 4 24" xfId="13085" xr:uid="{00000000-0005-0000-0000-00001A330000}"/>
    <cellStyle name="Comma 2 4 24 10" xfId="13086" xr:uid="{00000000-0005-0000-0000-00001B330000}"/>
    <cellStyle name="Comma 2 4 24 2" xfId="13087" xr:uid="{00000000-0005-0000-0000-00001C330000}"/>
    <cellStyle name="Comma 2 4 24 2 2" xfId="13088" xr:uid="{00000000-0005-0000-0000-00001D330000}"/>
    <cellStyle name="Comma 2 4 24 2 2 2" xfId="13089" xr:uid="{00000000-0005-0000-0000-00001E330000}"/>
    <cellStyle name="Comma 2 4 24 2 2 3" xfId="13090" xr:uid="{00000000-0005-0000-0000-00001F330000}"/>
    <cellStyle name="Comma 2 4 24 2 3" xfId="13091" xr:uid="{00000000-0005-0000-0000-000020330000}"/>
    <cellStyle name="Comma 2 4 24 2 4" xfId="13092" xr:uid="{00000000-0005-0000-0000-000021330000}"/>
    <cellStyle name="Comma 2 4 24 2 5" xfId="13093" xr:uid="{00000000-0005-0000-0000-000022330000}"/>
    <cellStyle name="Comma 2 4 24 2 6" xfId="13094" xr:uid="{00000000-0005-0000-0000-000023330000}"/>
    <cellStyle name="Comma 2 4 24 3" xfId="13095" xr:uid="{00000000-0005-0000-0000-000024330000}"/>
    <cellStyle name="Comma 2 4 24 3 2" xfId="13096" xr:uid="{00000000-0005-0000-0000-000025330000}"/>
    <cellStyle name="Comma 2 4 24 3 2 2" xfId="13097" xr:uid="{00000000-0005-0000-0000-000026330000}"/>
    <cellStyle name="Comma 2 4 24 3 2 3" xfId="13098" xr:uid="{00000000-0005-0000-0000-000027330000}"/>
    <cellStyle name="Comma 2 4 24 3 3" xfId="13099" xr:uid="{00000000-0005-0000-0000-000028330000}"/>
    <cellStyle name="Comma 2 4 24 3 4" xfId="13100" xr:uid="{00000000-0005-0000-0000-000029330000}"/>
    <cellStyle name="Comma 2 4 24 3 5" xfId="13101" xr:uid="{00000000-0005-0000-0000-00002A330000}"/>
    <cellStyle name="Comma 2 4 24 3 6" xfId="13102" xr:uid="{00000000-0005-0000-0000-00002B330000}"/>
    <cellStyle name="Comma 2 4 24 4" xfId="13103" xr:uid="{00000000-0005-0000-0000-00002C330000}"/>
    <cellStyle name="Comma 2 4 24 4 2" xfId="13104" xr:uid="{00000000-0005-0000-0000-00002D330000}"/>
    <cellStyle name="Comma 2 4 24 4 2 2" xfId="13105" xr:uid="{00000000-0005-0000-0000-00002E330000}"/>
    <cellStyle name="Comma 2 4 24 4 3" xfId="13106" xr:uid="{00000000-0005-0000-0000-00002F330000}"/>
    <cellStyle name="Comma 2 4 24 4 4" xfId="13107" xr:uid="{00000000-0005-0000-0000-000030330000}"/>
    <cellStyle name="Comma 2 4 24 4 5" xfId="13108" xr:uid="{00000000-0005-0000-0000-000031330000}"/>
    <cellStyle name="Comma 2 4 24 5" xfId="13109" xr:uid="{00000000-0005-0000-0000-000032330000}"/>
    <cellStyle name="Comma 2 4 24 5 2" xfId="13110" xr:uid="{00000000-0005-0000-0000-000033330000}"/>
    <cellStyle name="Comma 2 4 24 5 3" xfId="13111" xr:uid="{00000000-0005-0000-0000-000034330000}"/>
    <cellStyle name="Comma 2 4 24 5 4" xfId="13112" xr:uid="{00000000-0005-0000-0000-000035330000}"/>
    <cellStyle name="Comma 2 4 24 6" xfId="13113" xr:uid="{00000000-0005-0000-0000-000036330000}"/>
    <cellStyle name="Comma 2 4 24 6 2" xfId="13114" xr:uid="{00000000-0005-0000-0000-000037330000}"/>
    <cellStyle name="Comma 2 4 24 7" xfId="13115" xr:uid="{00000000-0005-0000-0000-000038330000}"/>
    <cellStyle name="Comma 2 4 24 8" xfId="13116" xr:uid="{00000000-0005-0000-0000-000039330000}"/>
    <cellStyle name="Comma 2 4 24 9" xfId="13117" xr:uid="{00000000-0005-0000-0000-00003A330000}"/>
    <cellStyle name="Comma 2 4 25" xfId="13118" xr:uid="{00000000-0005-0000-0000-00003B330000}"/>
    <cellStyle name="Comma 2 4 25 10" xfId="13119" xr:uid="{00000000-0005-0000-0000-00003C330000}"/>
    <cellStyle name="Comma 2 4 25 2" xfId="13120" xr:uid="{00000000-0005-0000-0000-00003D330000}"/>
    <cellStyle name="Comma 2 4 25 2 2" xfId="13121" xr:uid="{00000000-0005-0000-0000-00003E330000}"/>
    <cellStyle name="Comma 2 4 25 2 2 2" xfId="13122" xr:uid="{00000000-0005-0000-0000-00003F330000}"/>
    <cellStyle name="Comma 2 4 25 2 2 3" xfId="13123" xr:uid="{00000000-0005-0000-0000-000040330000}"/>
    <cellStyle name="Comma 2 4 25 2 3" xfId="13124" xr:uid="{00000000-0005-0000-0000-000041330000}"/>
    <cellStyle name="Comma 2 4 25 2 4" xfId="13125" xr:uid="{00000000-0005-0000-0000-000042330000}"/>
    <cellStyle name="Comma 2 4 25 2 5" xfId="13126" xr:uid="{00000000-0005-0000-0000-000043330000}"/>
    <cellStyle name="Comma 2 4 25 2 6" xfId="13127" xr:uid="{00000000-0005-0000-0000-000044330000}"/>
    <cellStyle name="Comma 2 4 25 3" xfId="13128" xr:uid="{00000000-0005-0000-0000-000045330000}"/>
    <cellStyle name="Comma 2 4 25 3 2" xfId="13129" xr:uid="{00000000-0005-0000-0000-000046330000}"/>
    <cellStyle name="Comma 2 4 25 3 2 2" xfId="13130" xr:uid="{00000000-0005-0000-0000-000047330000}"/>
    <cellStyle name="Comma 2 4 25 3 2 3" xfId="13131" xr:uid="{00000000-0005-0000-0000-000048330000}"/>
    <cellStyle name="Comma 2 4 25 3 3" xfId="13132" xr:uid="{00000000-0005-0000-0000-000049330000}"/>
    <cellStyle name="Comma 2 4 25 3 4" xfId="13133" xr:uid="{00000000-0005-0000-0000-00004A330000}"/>
    <cellStyle name="Comma 2 4 25 3 5" xfId="13134" xr:uid="{00000000-0005-0000-0000-00004B330000}"/>
    <cellStyle name="Comma 2 4 25 3 6" xfId="13135" xr:uid="{00000000-0005-0000-0000-00004C330000}"/>
    <cellStyle name="Comma 2 4 25 4" xfId="13136" xr:uid="{00000000-0005-0000-0000-00004D330000}"/>
    <cellStyle name="Comma 2 4 25 4 2" xfId="13137" xr:uid="{00000000-0005-0000-0000-00004E330000}"/>
    <cellStyle name="Comma 2 4 25 4 2 2" xfId="13138" xr:uid="{00000000-0005-0000-0000-00004F330000}"/>
    <cellStyle name="Comma 2 4 25 4 3" xfId="13139" xr:uid="{00000000-0005-0000-0000-000050330000}"/>
    <cellStyle name="Comma 2 4 25 4 4" xfId="13140" xr:uid="{00000000-0005-0000-0000-000051330000}"/>
    <cellStyle name="Comma 2 4 25 4 5" xfId="13141" xr:uid="{00000000-0005-0000-0000-000052330000}"/>
    <cellStyle name="Comma 2 4 25 5" xfId="13142" xr:uid="{00000000-0005-0000-0000-000053330000}"/>
    <cellStyle name="Comma 2 4 25 5 2" xfId="13143" xr:uid="{00000000-0005-0000-0000-000054330000}"/>
    <cellStyle name="Comma 2 4 25 5 3" xfId="13144" xr:uid="{00000000-0005-0000-0000-000055330000}"/>
    <cellStyle name="Comma 2 4 25 5 4" xfId="13145" xr:uid="{00000000-0005-0000-0000-000056330000}"/>
    <cellStyle name="Comma 2 4 25 6" xfId="13146" xr:uid="{00000000-0005-0000-0000-000057330000}"/>
    <cellStyle name="Comma 2 4 25 6 2" xfId="13147" xr:uid="{00000000-0005-0000-0000-000058330000}"/>
    <cellStyle name="Comma 2 4 25 7" xfId="13148" xr:uid="{00000000-0005-0000-0000-000059330000}"/>
    <cellStyle name="Comma 2 4 25 8" xfId="13149" xr:uid="{00000000-0005-0000-0000-00005A330000}"/>
    <cellStyle name="Comma 2 4 25 9" xfId="13150" xr:uid="{00000000-0005-0000-0000-00005B330000}"/>
    <cellStyle name="Comma 2 4 26" xfId="13151" xr:uid="{00000000-0005-0000-0000-00005C330000}"/>
    <cellStyle name="Comma 2 4 26 10" xfId="13152" xr:uid="{00000000-0005-0000-0000-00005D330000}"/>
    <cellStyle name="Comma 2 4 26 2" xfId="13153" xr:uid="{00000000-0005-0000-0000-00005E330000}"/>
    <cellStyle name="Comma 2 4 26 2 2" xfId="13154" xr:uid="{00000000-0005-0000-0000-00005F330000}"/>
    <cellStyle name="Comma 2 4 26 2 2 2" xfId="13155" xr:uid="{00000000-0005-0000-0000-000060330000}"/>
    <cellStyle name="Comma 2 4 26 2 2 3" xfId="13156" xr:uid="{00000000-0005-0000-0000-000061330000}"/>
    <cellStyle name="Comma 2 4 26 2 3" xfId="13157" xr:uid="{00000000-0005-0000-0000-000062330000}"/>
    <cellStyle name="Comma 2 4 26 2 4" xfId="13158" xr:uid="{00000000-0005-0000-0000-000063330000}"/>
    <cellStyle name="Comma 2 4 26 2 5" xfId="13159" xr:uid="{00000000-0005-0000-0000-000064330000}"/>
    <cellStyle name="Comma 2 4 26 2 6" xfId="13160" xr:uid="{00000000-0005-0000-0000-000065330000}"/>
    <cellStyle name="Comma 2 4 26 3" xfId="13161" xr:uid="{00000000-0005-0000-0000-000066330000}"/>
    <cellStyle name="Comma 2 4 26 3 2" xfId="13162" xr:uid="{00000000-0005-0000-0000-000067330000}"/>
    <cellStyle name="Comma 2 4 26 3 2 2" xfId="13163" xr:uid="{00000000-0005-0000-0000-000068330000}"/>
    <cellStyle name="Comma 2 4 26 3 2 3" xfId="13164" xr:uid="{00000000-0005-0000-0000-000069330000}"/>
    <cellStyle name="Comma 2 4 26 3 3" xfId="13165" xr:uid="{00000000-0005-0000-0000-00006A330000}"/>
    <cellStyle name="Comma 2 4 26 3 4" xfId="13166" xr:uid="{00000000-0005-0000-0000-00006B330000}"/>
    <cellStyle name="Comma 2 4 26 3 5" xfId="13167" xr:uid="{00000000-0005-0000-0000-00006C330000}"/>
    <cellStyle name="Comma 2 4 26 3 6" xfId="13168" xr:uid="{00000000-0005-0000-0000-00006D330000}"/>
    <cellStyle name="Comma 2 4 26 4" xfId="13169" xr:uid="{00000000-0005-0000-0000-00006E330000}"/>
    <cellStyle name="Comma 2 4 26 4 2" xfId="13170" xr:uid="{00000000-0005-0000-0000-00006F330000}"/>
    <cellStyle name="Comma 2 4 26 4 2 2" xfId="13171" xr:uid="{00000000-0005-0000-0000-000070330000}"/>
    <cellStyle name="Comma 2 4 26 4 3" xfId="13172" xr:uid="{00000000-0005-0000-0000-000071330000}"/>
    <cellStyle name="Comma 2 4 26 4 4" xfId="13173" xr:uid="{00000000-0005-0000-0000-000072330000}"/>
    <cellStyle name="Comma 2 4 26 4 5" xfId="13174" xr:uid="{00000000-0005-0000-0000-000073330000}"/>
    <cellStyle name="Comma 2 4 26 5" xfId="13175" xr:uid="{00000000-0005-0000-0000-000074330000}"/>
    <cellStyle name="Comma 2 4 26 5 2" xfId="13176" xr:uid="{00000000-0005-0000-0000-000075330000}"/>
    <cellStyle name="Comma 2 4 26 5 3" xfId="13177" xr:uid="{00000000-0005-0000-0000-000076330000}"/>
    <cellStyle name="Comma 2 4 26 5 4" xfId="13178" xr:uid="{00000000-0005-0000-0000-000077330000}"/>
    <cellStyle name="Comma 2 4 26 6" xfId="13179" xr:uid="{00000000-0005-0000-0000-000078330000}"/>
    <cellStyle name="Comma 2 4 26 6 2" xfId="13180" xr:uid="{00000000-0005-0000-0000-000079330000}"/>
    <cellStyle name="Comma 2 4 26 7" xfId="13181" xr:uid="{00000000-0005-0000-0000-00007A330000}"/>
    <cellStyle name="Comma 2 4 26 8" xfId="13182" xr:uid="{00000000-0005-0000-0000-00007B330000}"/>
    <cellStyle name="Comma 2 4 26 9" xfId="13183" xr:uid="{00000000-0005-0000-0000-00007C330000}"/>
    <cellStyle name="Comma 2 4 27" xfId="13184" xr:uid="{00000000-0005-0000-0000-00007D330000}"/>
    <cellStyle name="Comma 2 4 27 10" xfId="13185" xr:uid="{00000000-0005-0000-0000-00007E330000}"/>
    <cellStyle name="Comma 2 4 27 2" xfId="13186" xr:uid="{00000000-0005-0000-0000-00007F330000}"/>
    <cellStyle name="Comma 2 4 27 2 2" xfId="13187" xr:uid="{00000000-0005-0000-0000-000080330000}"/>
    <cellStyle name="Comma 2 4 27 2 2 2" xfId="13188" xr:uid="{00000000-0005-0000-0000-000081330000}"/>
    <cellStyle name="Comma 2 4 27 2 2 3" xfId="13189" xr:uid="{00000000-0005-0000-0000-000082330000}"/>
    <cellStyle name="Comma 2 4 27 2 3" xfId="13190" xr:uid="{00000000-0005-0000-0000-000083330000}"/>
    <cellStyle name="Comma 2 4 27 2 4" xfId="13191" xr:uid="{00000000-0005-0000-0000-000084330000}"/>
    <cellStyle name="Comma 2 4 27 2 5" xfId="13192" xr:uid="{00000000-0005-0000-0000-000085330000}"/>
    <cellStyle name="Comma 2 4 27 2 6" xfId="13193" xr:uid="{00000000-0005-0000-0000-000086330000}"/>
    <cellStyle name="Comma 2 4 27 3" xfId="13194" xr:uid="{00000000-0005-0000-0000-000087330000}"/>
    <cellStyle name="Comma 2 4 27 3 2" xfId="13195" xr:uid="{00000000-0005-0000-0000-000088330000}"/>
    <cellStyle name="Comma 2 4 27 3 2 2" xfId="13196" xr:uid="{00000000-0005-0000-0000-000089330000}"/>
    <cellStyle name="Comma 2 4 27 3 2 3" xfId="13197" xr:uid="{00000000-0005-0000-0000-00008A330000}"/>
    <cellStyle name="Comma 2 4 27 3 3" xfId="13198" xr:uid="{00000000-0005-0000-0000-00008B330000}"/>
    <cellStyle name="Comma 2 4 27 3 4" xfId="13199" xr:uid="{00000000-0005-0000-0000-00008C330000}"/>
    <cellStyle name="Comma 2 4 27 3 5" xfId="13200" xr:uid="{00000000-0005-0000-0000-00008D330000}"/>
    <cellStyle name="Comma 2 4 27 3 6" xfId="13201" xr:uid="{00000000-0005-0000-0000-00008E330000}"/>
    <cellStyle name="Comma 2 4 27 4" xfId="13202" xr:uid="{00000000-0005-0000-0000-00008F330000}"/>
    <cellStyle name="Comma 2 4 27 4 2" xfId="13203" xr:uid="{00000000-0005-0000-0000-000090330000}"/>
    <cellStyle name="Comma 2 4 27 4 2 2" xfId="13204" xr:uid="{00000000-0005-0000-0000-000091330000}"/>
    <cellStyle name="Comma 2 4 27 4 3" xfId="13205" xr:uid="{00000000-0005-0000-0000-000092330000}"/>
    <cellStyle name="Comma 2 4 27 4 4" xfId="13206" xr:uid="{00000000-0005-0000-0000-000093330000}"/>
    <cellStyle name="Comma 2 4 27 4 5" xfId="13207" xr:uid="{00000000-0005-0000-0000-000094330000}"/>
    <cellStyle name="Comma 2 4 27 5" xfId="13208" xr:uid="{00000000-0005-0000-0000-000095330000}"/>
    <cellStyle name="Comma 2 4 27 5 2" xfId="13209" xr:uid="{00000000-0005-0000-0000-000096330000}"/>
    <cellStyle name="Comma 2 4 27 5 3" xfId="13210" xr:uid="{00000000-0005-0000-0000-000097330000}"/>
    <cellStyle name="Comma 2 4 27 5 4" xfId="13211" xr:uid="{00000000-0005-0000-0000-000098330000}"/>
    <cellStyle name="Comma 2 4 27 6" xfId="13212" xr:uid="{00000000-0005-0000-0000-000099330000}"/>
    <cellStyle name="Comma 2 4 27 6 2" xfId="13213" xr:uid="{00000000-0005-0000-0000-00009A330000}"/>
    <cellStyle name="Comma 2 4 27 7" xfId="13214" xr:uid="{00000000-0005-0000-0000-00009B330000}"/>
    <cellStyle name="Comma 2 4 27 8" xfId="13215" xr:uid="{00000000-0005-0000-0000-00009C330000}"/>
    <cellStyle name="Comma 2 4 27 9" xfId="13216" xr:uid="{00000000-0005-0000-0000-00009D330000}"/>
    <cellStyle name="Comma 2 4 28" xfId="13217" xr:uid="{00000000-0005-0000-0000-00009E330000}"/>
    <cellStyle name="Comma 2 4 28 10" xfId="13218" xr:uid="{00000000-0005-0000-0000-00009F330000}"/>
    <cellStyle name="Comma 2 4 28 2" xfId="13219" xr:uid="{00000000-0005-0000-0000-0000A0330000}"/>
    <cellStyle name="Comma 2 4 28 2 2" xfId="13220" xr:uid="{00000000-0005-0000-0000-0000A1330000}"/>
    <cellStyle name="Comma 2 4 28 2 2 2" xfId="13221" xr:uid="{00000000-0005-0000-0000-0000A2330000}"/>
    <cellStyle name="Comma 2 4 28 2 2 3" xfId="13222" xr:uid="{00000000-0005-0000-0000-0000A3330000}"/>
    <cellStyle name="Comma 2 4 28 2 3" xfId="13223" xr:uid="{00000000-0005-0000-0000-0000A4330000}"/>
    <cellStyle name="Comma 2 4 28 2 4" xfId="13224" xr:uid="{00000000-0005-0000-0000-0000A5330000}"/>
    <cellStyle name="Comma 2 4 28 2 5" xfId="13225" xr:uid="{00000000-0005-0000-0000-0000A6330000}"/>
    <cellStyle name="Comma 2 4 28 2 6" xfId="13226" xr:uid="{00000000-0005-0000-0000-0000A7330000}"/>
    <cellStyle name="Comma 2 4 28 3" xfId="13227" xr:uid="{00000000-0005-0000-0000-0000A8330000}"/>
    <cellStyle name="Comma 2 4 28 3 2" xfId="13228" xr:uid="{00000000-0005-0000-0000-0000A9330000}"/>
    <cellStyle name="Comma 2 4 28 3 2 2" xfId="13229" xr:uid="{00000000-0005-0000-0000-0000AA330000}"/>
    <cellStyle name="Comma 2 4 28 3 2 3" xfId="13230" xr:uid="{00000000-0005-0000-0000-0000AB330000}"/>
    <cellStyle name="Comma 2 4 28 3 3" xfId="13231" xr:uid="{00000000-0005-0000-0000-0000AC330000}"/>
    <cellStyle name="Comma 2 4 28 3 4" xfId="13232" xr:uid="{00000000-0005-0000-0000-0000AD330000}"/>
    <cellStyle name="Comma 2 4 28 3 5" xfId="13233" xr:uid="{00000000-0005-0000-0000-0000AE330000}"/>
    <cellStyle name="Comma 2 4 28 3 6" xfId="13234" xr:uid="{00000000-0005-0000-0000-0000AF330000}"/>
    <cellStyle name="Comma 2 4 28 4" xfId="13235" xr:uid="{00000000-0005-0000-0000-0000B0330000}"/>
    <cellStyle name="Comma 2 4 28 4 2" xfId="13236" xr:uid="{00000000-0005-0000-0000-0000B1330000}"/>
    <cellStyle name="Comma 2 4 28 4 2 2" xfId="13237" xr:uid="{00000000-0005-0000-0000-0000B2330000}"/>
    <cellStyle name="Comma 2 4 28 4 3" xfId="13238" xr:uid="{00000000-0005-0000-0000-0000B3330000}"/>
    <cellStyle name="Comma 2 4 28 4 4" xfId="13239" xr:uid="{00000000-0005-0000-0000-0000B4330000}"/>
    <cellStyle name="Comma 2 4 28 4 5" xfId="13240" xr:uid="{00000000-0005-0000-0000-0000B5330000}"/>
    <cellStyle name="Comma 2 4 28 5" xfId="13241" xr:uid="{00000000-0005-0000-0000-0000B6330000}"/>
    <cellStyle name="Comma 2 4 28 5 2" xfId="13242" xr:uid="{00000000-0005-0000-0000-0000B7330000}"/>
    <cellStyle name="Comma 2 4 28 5 3" xfId="13243" xr:uid="{00000000-0005-0000-0000-0000B8330000}"/>
    <cellStyle name="Comma 2 4 28 5 4" xfId="13244" xr:uid="{00000000-0005-0000-0000-0000B9330000}"/>
    <cellStyle name="Comma 2 4 28 6" xfId="13245" xr:uid="{00000000-0005-0000-0000-0000BA330000}"/>
    <cellStyle name="Comma 2 4 28 6 2" xfId="13246" xr:uid="{00000000-0005-0000-0000-0000BB330000}"/>
    <cellStyle name="Comma 2 4 28 7" xfId="13247" xr:uid="{00000000-0005-0000-0000-0000BC330000}"/>
    <cellStyle name="Comma 2 4 28 8" xfId="13248" xr:uid="{00000000-0005-0000-0000-0000BD330000}"/>
    <cellStyle name="Comma 2 4 28 9" xfId="13249" xr:uid="{00000000-0005-0000-0000-0000BE330000}"/>
    <cellStyle name="Comma 2 4 29" xfId="13250" xr:uid="{00000000-0005-0000-0000-0000BF330000}"/>
    <cellStyle name="Comma 2 4 29 2" xfId="13251" xr:uid="{00000000-0005-0000-0000-0000C0330000}"/>
    <cellStyle name="Comma 2 4 29 2 2" xfId="13252" xr:uid="{00000000-0005-0000-0000-0000C1330000}"/>
    <cellStyle name="Comma 2 4 29 2 2 2" xfId="13253" xr:uid="{00000000-0005-0000-0000-0000C2330000}"/>
    <cellStyle name="Comma 2 4 29 2 2 3" xfId="13254" xr:uid="{00000000-0005-0000-0000-0000C3330000}"/>
    <cellStyle name="Comma 2 4 29 2 3" xfId="13255" xr:uid="{00000000-0005-0000-0000-0000C4330000}"/>
    <cellStyle name="Comma 2 4 29 2 4" xfId="13256" xr:uid="{00000000-0005-0000-0000-0000C5330000}"/>
    <cellStyle name="Comma 2 4 29 2 5" xfId="13257" xr:uid="{00000000-0005-0000-0000-0000C6330000}"/>
    <cellStyle name="Comma 2 4 29 2 6" xfId="13258" xr:uid="{00000000-0005-0000-0000-0000C7330000}"/>
    <cellStyle name="Comma 2 4 29 3" xfId="13259" xr:uid="{00000000-0005-0000-0000-0000C8330000}"/>
    <cellStyle name="Comma 2 4 29 3 2" xfId="13260" xr:uid="{00000000-0005-0000-0000-0000C9330000}"/>
    <cellStyle name="Comma 2 4 29 3 2 2" xfId="13261" xr:uid="{00000000-0005-0000-0000-0000CA330000}"/>
    <cellStyle name="Comma 2 4 29 3 3" xfId="13262" xr:uid="{00000000-0005-0000-0000-0000CB330000}"/>
    <cellStyle name="Comma 2 4 29 3 4" xfId="13263" xr:uid="{00000000-0005-0000-0000-0000CC330000}"/>
    <cellStyle name="Comma 2 4 29 3 5" xfId="13264" xr:uid="{00000000-0005-0000-0000-0000CD330000}"/>
    <cellStyle name="Comma 2 4 29 4" xfId="13265" xr:uid="{00000000-0005-0000-0000-0000CE330000}"/>
    <cellStyle name="Comma 2 4 29 4 2" xfId="13266" xr:uid="{00000000-0005-0000-0000-0000CF330000}"/>
    <cellStyle name="Comma 2 4 29 4 3" xfId="13267" xr:uid="{00000000-0005-0000-0000-0000D0330000}"/>
    <cellStyle name="Comma 2 4 29 4 4" xfId="13268" xr:uid="{00000000-0005-0000-0000-0000D1330000}"/>
    <cellStyle name="Comma 2 4 29 5" xfId="13269" xr:uid="{00000000-0005-0000-0000-0000D2330000}"/>
    <cellStyle name="Comma 2 4 29 5 2" xfId="13270" xr:uid="{00000000-0005-0000-0000-0000D3330000}"/>
    <cellStyle name="Comma 2 4 29 6" xfId="13271" xr:uid="{00000000-0005-0000-0000-0000D4330000}"/>
    <cellStyle name="Comma 2 4 29 7" xfId="13272" xr:uid="{00000000-0005-0000-0000-0000D5330000}"/>
    <cellStyle name="Comma 2 4 29 8" xfId="13273" xr:uid="{00000000-0005-0000-0000-0000D6330000}"/>
    <cellStyle name="Comma 2 4 29 9" xfId="13274" xr:uid="{00000000-0005-0000-0000-0000D7330000}"/>
    <cellStyle name="Comma 2 4 3" xfId="13275" xr:uid="{00000000-0005-0000-0000-0000D8330000}"/>
    <cellStyle name="Comma 2 4 3 10" xfId="13276" xr:uid="{00000000-0005-0000-0000-0000D9330000}"/>
    <cellStyle name="Comma 2 4 3 10 10" xfId="13277" xr:uid="{00000000-0005-0000-0000-0000DA330000}"/>
    <cellStyle name="Comma 2 4 3 10 2" xfId="13278" xr:uid="{00000000-0005-0000-0000-0000DB330000}"/>
    <cellStyle name="Comma 2 4 3 10 2 2" xfId="13279" xr:uid="{00000000-0005-0000-0000-0000DC330000}"/>
    <cellStyle name="Comma 2 4 3 10 2 2 2" xfId="13280" xr:uid="{00000000-0005-0000-0000-0000DD330000}"/>
    <cellStyle name="Comma 2 4 3 10 2 2 3" xfId="13281" xr:uid="{00000000-0005-0000-0000-0000DE330000}"/>
    <cellStyle name="Comma 2 4 3 10 2 3" xfId="13282" xr:uid="{00000000-0005-0000-0000-0000DF330000}"/>
    <cellStyle name="Comma 2 4 3 10 2 4" xfId="13283" xr:uid="{00000000-0005-0000-0000-0000E0330000}"/>
    <cellStyle name="Comma 2 4 3 10 2 5" xfId="13284" xr:uid="{00000000-0005-0000-0000-0000E1330000}"/>
    <cellStyle name="Comma 2 4 3 10 2 6" xfId="13285" xr:uid="{00000000-0005-0000-0000-0000E2330000}"/>
    <cellStyle name="Comma 2 4 3 10 3" xfId="13286" xr:uid="{00000000-0005-0000-0000-0000E3330000}"/>
    <cellStyle name="Comma 2 4 3 10 3 2" xfId="13287" xr:uid="{00000000-0005-0000-0000-0000E4330000}"/>
    <cellStyle name="Comma 2 4 3 10 3 2 2" xfId="13288" xr:uid="{00000000-0005-0000-0000-0000E5330000}"/>
    <cellStyle name="Comma 2 4 3 10 3 2 3" xfId="13289" xr:uid="{00000000-0005-0000-0000-0000E6330000}"/>
    <cellStyle name="Comma 2 4 3 10 3 3" xfId="13290" xr:uid="{00000000-0005-0000-0000-0000E7330000}"/>
    <cellStyle name="Comma 2 4 3 10 3 4" xfId="13291" xr:uid="{00000000-0005-0000-0000-0000E8330000}"/>
    <cellStyle name="Comma 2 4 3 10 3 5" xfId="13292" xr:uid="{00000000-0005-0000-0000-0000E9330000}"/>
    <cellStyle name="Comma 2 4 3 10 3 6" xfId="13293" xr:uid="{00000000-0005-0000-0000-0000EA330000}"/>
    <cellStyle name="Comma 2 4 3 10 4" xfId="13294" xr:uid="{00000000-0005-0000-0000-0000EB330000}"/>
    <cellStyle name="Comma 2 4 3 10 4 2" xfId="13295" xr:uid="{00000000-0005-0000-0000-0000EC330000}"/>
    <cellStyle name="Comma 2 4 3 10 4 2 2" xfId="13296" xr:uid="{00000000-0005-0000-0000-0000ED330000}"/>
    <cellStyle name="Comma 2 4 3 10 4 3" xfId="13297" xr:uid="{00000000-0005-0000-0000-0000EE330000}"/>
    <cellStyle name="Comma 2 4 3 10 4 4" xfId="13298" xr:uid="{00000000-0005-0000-0000-0000EF330000}"/>
    <cellStyle name="Comma 2 4 3 10 4 5" xfId="13299" xr:uid="{00000000-0005-0000-0000-0000F0330000}"/>
    <cellStyle name="Comma 2 4 3 10 5" xfId="13300" xr:uid="{00000000-0005-0000-0000-0000F1330000}"/>
    <cellStyle name="Comma 2 4 3 10 5 2" xfId="13301" xr:uid="{00000000-0005-0000-0000-0000F2330000}"/>
    <cellStyle name="Comma 2 4 3 10 5 3" xfId="13302" xr:uid="{00000000-0005-0000-0000-0000F3330000}"/>
    <cellStyle name="Comma 2 4 3 10 5 4" xfId="13303" xr:uid="{00000000-0005-0000-0000-0000F4330000}"/>
    <cellStyle name="Comma 2 4 3 10 6" xfId="13304" xr:uid="{00000000-0005-0000-0000-0000F5330000}"/>
    <cellStyle name="Comma 2 4 3 10 6 2" xfId="13305" xr:uid="{00000000-0005-0000-0000-0000F6330000}"/>
    <cellStyle name="Comma 2 4 3 10 7" xfId="13306" xr:uid="{00000000-0005-0000-0000-0000F7330000}"/>
    <cellStyle name="Comma 2 4 3 10 8" xfId="13307" xr:uid="{00000000-0005-0000-0000-0000F8330000}"/>
    <cellStyle name="Comma 2 4 3 10 9" xfId="13308" xr:uid="{00000000-0005-0000-0000-0000F9330000}"/>
    <cellStyle name="Comma 2 4 3 11" xfId="13309" xr:uid="{00000000-0005-0000-0000-0000FA330000}"/>
    <cellStyle name="Comma 2 4 3 11 10" xfId="13310" xr:uid="{00000000-0005-0000-0000-0000FB330000}"/>
    <cellStyle name="Comma 2 4 3 11 2" xfId="13311" xr:uid="{00000000-0005-0000-0000-0000FC330000}"/>
    <cellStyle name="Comma 2 4 3 11 2 2" xfId="13312" xr:uid="{00000000-0005-0000-0000-0000FD330000}"/>
    <cellStyle name="Comma 2 4 3 11 2 2 2" xfId="13313" xr:uid="{00000000-0005-0000-0000-0000FE330000}"/>
    <cellStyle name="Comma 2 4 3 11 2 2 3" xfId="13314" xr:uid="{00000000-0005-0000-0000-0000FF330000}"/>
    <cellStyle name="Comma 2 4 3 11 2 3" xfId="13315" xr:uid="{00000000-0005-0000-0000-000000340000}"/>
    <cellStyle name="Comma 2 4 3 11 2 4" xfId="13316" xr:uid="{00000000-0005-0000-0000-000001340000}"/>
    <cellStyle name="Comma 2 4 3 11 2 5" xfId="13317" xr:uid="{00000000-0005-0000-0000-000002340000}"/>
    <cellStyle name="Comma 2 4 3 11 2 6" xfId="13318" xr:uid="{00000000-0005-0000-0000-000003340000}"/>
    <cellStyle name="Comma 2 4 3 11 3" xfId="13319" xr:uid="{00000000-0005-0000-0000-000004340000}"/>
    <cellStyle name="Comma 2 4 3 11 3 2" xfId="13320" xr:uid="{00000000-0005-0000-0000-000005340000}"/>
    <cellStyle name="Comma 2 4 3 11 3 2 2" xfId="13321" xr:uid="{00000000-0005-0000-0000-000006340000}"/>
    <cellStyle name="Comma 2 4 3 11 3 2 3" xfId="13322" xr:uid="{00000000-0005-0000-0000-000007340000}"/>
    <cellStyle name="Comma 2 4 3 11 3 3" xfId="13323" xr:uid="{00000000-0005-0000-0000-000008340000}"/>
    <cellStyle name="Comma 2 4 3 11 3 4" xfId="13324" xr:uid="{00000000-0005-0000-0000-000009340000}"/>
    <cellStyle name="Comma 2 4 3 11 3 5" xfId="13325" xr:uid="{00000000-0005-0000-0000-00000A340000}"/>
    <cellStyle name="Comma 2 4 3 11 3 6" xfId="13326" xr:uid="{00000000-0005-0000-0000-00000B340000}"/>
    <cellStyle name="Comma 2 4 3 11 4" xfId="13327" xr:uid="{00000000-0005-0000-0000-00000C340000}"/>
    <cellStyle name="Comma 2 4 3 11 4 2" xfId="13328" xr:uid="{00000000-0005-0000-0000-00000D340000}"/>
    <cellStyle name="Comma 2 4 3 11 4 2 2" xfId="13329" xr:uid="{00000000-0005-0000-0000-00000E340000}"/>
    <cellStyle name="Comma 2 4 3 11 4 3" xfId="13330" xr:uid="{00000000-0005-0000-0000-00000F340000}"/>
    <cellStyle name="Comma 2 4 3 11 4 4" xfId="13331" xr:uid="{00000000-0005-0000-0000-000010340000}"/>
    <cellStyle name="Comma 2 4 3 11 4 5" xfId="13332" xr:uid="{00000000-0005-0000-0000-000011340000}"/>
    <cellStyle name="Comma 2 4 3 11 5" xfId="13333" xr:uid="{00000000-0005-0000-0000-000012340000}"/>
    <cellStyle name="Comma 2 4 3 11 5 2" xfId="13334" xr:uid="{00000000-0005-0000-0000-000013340000}"/>
    <cellStyle name="Comma 2 4 3 11 5 3" xfId="13335" xr:uid="{00000000-0005-0000-0000-000014340000}"/>
    <cellStyle name="Comma 2 4 3 11 5 4" xfId="13336" xr:uid="{00000000-0005-0000-0000-000015340000}"/>
    <cellStyle name="Comma 2 4 3 11 6" xfId="13337" xr:uid="{00000000-0005-0000-0000-000016340000}"/>
    <cellStyle name="Comma 2 4 3 11 6 2" xfId="13338" xr:uid="{00000000-0005-0000-0000-000017340000}"/>
    <cellStyle name="Comma 2 4 3 11 7" xfId="13339" xr:uid="{00000000-0005-0000-0000-000018340000}"/>
    <cellStyle name="Comma 2 4 3 11 8" xfId="13340" xr:uid="{00000000-0005-0000-0000-000019340000}"/>
    <cellStyle name="Comma 2 4 3 11 9" xfId="13341" xr:uid="{00000000-0005-0000-0000-00001A340000}"/>
    <cellStyle name="Comma 2 4 3 12" xfId="13342" xr:uid="{00000000-0005-0000-0000-00001B340000}"/>
    <cellStyle name="Comma 2 4 3 12 10" xfId="13343" xr:uid="{00000000-0005-0000-0000-00001C340000}"/>
    <cellStyle name="Comma 2 4 3 12 2" xfId="13344" xr:uid="{00000000-0005-0000-0000-00001D340000}"/>
    <cellStyle name="Comma 2 4 3 12 2 2" xfId="13345" xr:uid="{00000000-0005-0000-0000-00001E340000}"/>
    <cellStyle name="Comma 2 4 3 12 2 2 2" xfId="13346" xr:uid="{00000000-0005-0000-0000-00001F340000}"/>
    <cellStyle name="Comma 2 4 3 12 2 2 3" xfId="13347" xr:uid="{00000000-0005-0000-0000-000020340000}"/>
    <cellStyle name="Comma 2 4 3 12 2 3" xfId="13348" xr:uid="{00000000-0005-0000-0000-000021340000}"/>
    <cellStyle name="Comma 2 4 3 12 2 4" xfId="13349" xr:uid="{00000000-0005-0000-0000-000022340000}"/>
    <cellStyle name="Comma 2 4 3 12 2 5" xfId="13350" xr:uid="{00000000-0005-0000-0000-000023340000}"/>
    <cellStyle name="Comma 2 4 3 12 2 6" xfId="13351" xr:uid="{00000000-0005-0000-0000-000024340000}"/>
    <cellStyle name="Comma 2 4 3 12 3" xfId="13352" xr:uid="{00000000-0005-0000-0000-000025340000}"/>
    <cellStyle name="Comma 2 4 3 12 3 2" xfId="13353" xr:uid="{00000000-0005-0000-0000-000026340000}"/>
    <cellStyle name="Comma 2 4 3 12 3 2 2" xfId="13354" xr:uid="{00000000-0005-0000-0000-000027340000}"/>
    <cellStyle name="Comma 2 4 3 12 3 2 3" xfId="13355" xr:uid="{00000000-0005-0000-0000-000028340000}"/>
    <cellStyle name="Comma 2 4 3 12 3 3" xfId="13356" xr:uid="{00000000-0005-0000-0000-000029340000}"/>
    <cellStyle name="Comma 2 4 3 12 3 4" xfId="13357" xr:uid="{00000000-0005-0000-0000-00002A340000}"/>
    <cellStyle name="Comma 2 4 3 12 3 5" xfId="13358" xr:uid="{00000000-0005-0000-0000-00002B340000}"/>
    <cellStyle name="Comma 2 4 3 12 3 6" xfId="13359" xr:uid="{00000000-0005-0000-0000-00002C340000}"/>
    <cellStyle name="Comma 2 4 3 12 4" xfId="13360" xr:uid="{00000000-0005-0000-0000-00002D340000}"/>
    <cellStyle name="Comma 2 4 3 12 4 2" xfId="13361" xr:uid="{00000000-0005-0000-0000-00002E340000}"/>
    <cellStyle name="Comma 2 4 3 12 4 2 2" xfId="13362" xr:uid="{00000000-0005-0000-0000-00002F340000}"/>
    <cellStyle name="Comma 2 4 3 12 4 3" xfId="13363" xr:uid="{00000000-0005-0000-0000-000030340000}"/>
    <cellStyle name="Comma 2 4 3 12 4 4" xfId="13364" xr:uid="{00000000-0005-0000-0000-000031340000}"/>
    <cellStyle name="Comma 2 4 3 12 4 5" xfId="13365" xr:uid="{00000000-0005-0000-0000-000032340000}"/>
    <cellStyle name="Comma 2 4 3 12 5" xfId="13366" xr:uid="{00000000-0005-0000-0000-000033340000}"/>
    <cellStyle name="Comma 2 4 3 12 5 2" xfId="13367" xr:uid="{00000000-0005-0000-0000-000034340000}"/>
    <cellStyle name="Comma 2 4 3 12 5 3" xfId="13368" xr:uid="{00000000-0005-0000-0000-000035340000}"/>
    <cellStyle name="Comma 2 4 3 12 5 4" xfId="13369" xr:uid="{00000000-0005-0000-0000-000036340000}"/>
    <cellStyle name="Comma 2 4 3 12 6" xfId="13370" xr:uid="{00000000-0005-0000-0000-000037340000}"/>
    <cellStyle name="Comma 2 4 3 12 6 2" xfId="13371" xr:uid="{00000000-0005-0000-0000-000038340000}"/>
    <cellStyle name="Comma 2 4 3 12 7" xfId="13372" xr:uid="{00000000-0005-0000-0000-000039340000}"/>
    <cellStyle name="Comma 2 4 3 12 8" xfId="13373" xr:uid="{00000000-0005-0000-0000-00003A340000}"/>
    <cellStyle name="Comma 2 4 3 12 9" xfId="13374" xr:uid="{00000000-0005-0000-0000-00003B340000}"/>
    <cellStyle name="Comma 2 4 3 13" xfId="13375" xr:uid="{00000000-0005-0000-0000-00003C340000}"/>
    <cellStyle name="Comma 2 4 3 13 2" xfId="13376" xr:uid="{00000000-0005-0000-0000-00003D340000}"/>
    <cellStyle name="Comma 2 4 3 13 2 2" xfId="13377" xr:uid="{00000000-0005-0000-0000-00003E340000}"/>
    <cellStyle name="Comma 2 4 3 13 2 2 2" xfId="13378" xr:uid="{00000000-0005-0000-0000-00003F340000}"/>
    <cellStyle name="Comma 2 4 3 13 2 2 3" xfId="13379" xr:uid="{00000000-0005-0000-0000-000040340000}"/>
    <cellStyle name="Comma 2 4 3 13 2 3" xfId="13380" xr:uid="{00000000-0005-0000-0000-000041340000}"/>
    <cellStyle name="Comma 2 4 3 13 2 4" xfId="13381" xr:uid="{00000000-0005-0000-0000-000042340000}"/>
    <cellStyle name="Comma 2 4 3 13 2 5" xfId="13382" xr:uid="{00000000-0005-0000-0000-000043340000}"/>
    <cellStyle name="Comma 2 4 3 13 2 6" xfId="13383" xr:uid="{00000000-0005-0000-0000-000044340000}"/>
    <cellStyle name="Comma 2 4 3 13 3" xfId="13384" xr:uid="{00000000-0005-0000-0000-000045340000}"/>
    <cellStyle name="Comma 2 4 3 13 3 2" xfId="13385" xr:uid="{00000000-0005-0000-0000-000046340000}"/>
    <cellStyle name="Comma 2 4 3 13 3 2 2" xfId="13386" xr:uid="{00000000-0005-0000-0000-000047340000}"/>
    <cellStyle name="Comma 2 4 3 13 3 3" xfId="13387" xr:uid="{00000000-0005-0000-0000-000048340000}"/>
    <cellStyle name="Comma 2 4 3 13 3 4" xfId="13388" xr:uid="{00000000-0005-0000-0000-000049340000}"/>
    <cellStyle name="Comma 2 4 3 13 3 5" xfId="13389" xr:uid="{00000000-0005-0000-0000-00004A340000}"/>
    <cellStyle name="Comma 2 4 3 13 4" xfId="13390" xr:uid="{00000000-0005-0000-0000-00004B340000}"/>
    <cellStyle name="Comma 2 4 3 13 4 2" xfId="13391" xr:uid="{00000000-0005-0000-0000-00004C340000}"/>
    <cellStyle name="Comma 2 4 3 13 4 3" xfId="13392" xr:uid="{00000000-0005-0000-0000-00004D340000}"/>
    <cellStyle name="Comma 2 4 3 13 4 4" xfId="13393" xr:uid="{00000000-0005-0000-0000-00004E340000}"/>
    <cellStyle name="Comma 2 4 3 13 5" xfId="13394" xr:uid="{00000000-0005-0000-0000-00004F340000}"/>
    <cellStyle name="Comma 2 4 3 13 5 2" xfId="13395" xr:uid="{00000000-0005-0000-0000-000050340000}"/>
    <cellStyle name="Comma 2 4 3 13 6" xfId="13396" xr:uid="{00000000-0005-0000-0000-000051340000}"/>
    <cellStyle name="Comma 2 4 3 13 7" xfId="13397" xr:uid="{00000000-0005-0000-0000-000052340000}"/>
    <cellStyle name="Comma 2 4 3 13 8" xfId="13398" xr:uid="{00000000-0005-0000-0000-000053340000}"/>
    <cellStyle name="Comma 2 4 3 13 9" xfId="13399" xr:uid="{00000000-0005-0000-0000-000054340000}"/>
    <cellStyle name="Comma 2 4 3 14" xfId="13400" xr:uid="{00000000-0005-0000-0000-000055340000}"/>
    <cellStyle name="Comma 2 4 3 14 2" xfId="13401" xr:uid="{00000000-0005-0000-0000-000056340000}"/>
    <cellStyle name="Comma 2 4 3 14 2 2" xfId="13402" xr:uid="{00000000-0005-0000-0000-000057340000}"/>
    <cellStyle name="Comma 2 4 3 14 2 2 2" xfId="13403" xr:uid="{00000000-0005-0000-0000-000058340000}"/>
    <cellStyle name="Comma 2 4 3 14 2 2 3" xfId="13404" xr:uid="{00000000-0005-0000-0000-000059340000}"/>
    <cellStyle name="Comma 2 4 3 14 2 3" xfId="13405" xr:uid="{00000000-0005-0000-0000-00005A340000}"/>
    <cellStyle name="Comma 2 4 3 14 2 4" xfId="13406" xr:uid="{00000000-0005-0000-0000-00005B340000}"/>
    <cellStyle name="Comma 2 4 3 14 2 5" xfId="13407" xr:uid="{00000000-0005-0000-0000-00005C340000}"/>
    <cellStyle name="Comma 2 4 3 14 2 6" xfId="13408" xr:uid="{00000000-0005-0000-0000-00005D340000}"/>
    <cellStyle name="Comma 2 4 3 14 3" xfId="13409" xr:uid="{00000000-0005-0000-0000-00005E340000}"/>
    <cellStyle name="Comma 2 4 3 14 3 2" xfId="13410" xr:uid="{00000000-0005-0000-0000-00005F340000}"/>
    <cellStyle name="Comma 2 4 3 14 3 2 2" xfId="13411" xr:uid="{00000000-0005-0000-0000-000060340000}"/>
    <cellStyle name="Comma 2 4 3 14 3 3" xfId="13412" xr:uid="{00000000-0005-0000-0000-000061340000}"/>
    <cellStyle name="Comma 2 4 3 14 3 4" xfId="13413" xr:uid="{00000000-0005-0000-0000-000062340000}"/>
    <cellStyle name="Comma 2 4 3 14 3 5" xfId="13414" xr:uid="{00000000-0005-0000-0000-000063340000}"/>
    <cellStyle name="Comma 2 4 3 14 4" xfId="13415" xr:uid="{00000000-0005-0000-0000-000064340000}"/>
    <cellStyle name="Comma 2 4 3 14 4 2" xfId="13416" xr:uid="{00000000-0005-0000-0000-000065340000}"/>
    <cellStyle name="Comma 2 4 3 14 4 3" xfId="13417" xr:uid="{00000000-0005-0000-0000-000066340000}"/>
    <cellStyle name="Comma 2 4 3 14 4 4" xfId="13418" xr:uid="{00000000-0005-0000-0000-000067340000}"/>
    <cellStyle name="Comma 2 4 3 14 5" xfId="13419" xr:uid="{00000000-0005-0000-0000-000068340000}"/>
    <cellStyle name="Comma 2 4 3 14 5 2" xfId="13420" xr:uid="{00000000-0005-0000-0000-000069340000}"/>
    <cellStyle name="Comma 2 4 3 14 6" xfId="13421" xr:uid="{00000000-0005-0000-0000-00006A340000}"/>
    <cellStyle name="Comma 2 4 3 14 7" xfId="13422" xr:uid="{00000000-0005-0000-0000-00006B340000}"/>
    <cellStyle name="Comma 2 4 3 14 8" xfId="13423" xr:uid="{00000000-0005-0000-0000-00006C340000}"/>
    <cellStyle name="Comma 2 4 3 14 9" xfId="13424" xr:uid="{00000000-0005-0000-0000-00006D340000}"/>
    <cellStyle name="Comma 2 4 3 15" xfId="13425" xr:uid="{00000000-0005-0000-0000-00006E340000}"/>
    <cellStyle name="Comma 2 4 3 15 2" xfId="13426" xr:uid="{00000000-0005-0000-0000-00006F340000}"/>
    <cellStyle name="Comma 2 4 3 15 2 2" xfId="13427" xr:uid="{00000000-0005-0000-0000-000070340000}"/>
    <cellStyle name="Comma 2 4 3 15 2 3" xfId="13428" xr:uid="{00000000-0005-0000-0000-000071340000}"/>
    <cellStyle name="Comma 2 4 3 15 3" xfId="13429" xr:uid="{00000000-0005-0000-0000-000072340000}"/>
    <cellStyle name="Comma 2 4 3 15 4" xfId="13430" xr:uid="{00000000-0005-0000-0000-000073340000}"/>
    <cellStyle name="Comma 2 4 3 15 5" xfId="13431" xr:uid="{00000000-0005-0000-0000-000074340000}"/>
    <cellStyle name="Comma 2 4 3 15 6" xfId="13432" xr:uid="{00000000-0005-0000-0000-000075340000}"/>
    <cellStyle name="Comma 2 4 3 16" xfId="13433" xr:uid="{00000000-0005-0000-0000-000076340000}"/>
    <cellStyle name="Comma 2 4 3 16 2" xfId="13434" xr:uid="{00000000-0005-0000-0000-000077340000}"/>
    <cellStyle name="Comma 2 4 3 16 2 2" xfId="13435" xr:uid="{00000000-0005-0000-0000-000078340000}"/>
    <cellStyle name="Comma 2 4 3 16 3" xfId="13436" xr:uid="{00000000-0005-0000-0000-000079340000}"/>
    <cellStyle name="Comma 2 4 3 16 4" xfId="13437" xr:uid="{00000000-0005-0000-0000-00007A340000}"/>
    <cellStyle name="Comma 2 4 3 16 5" xfId="13438" xr:uid="{00000000-0005-0000-0000-00007B340000}"/>
    <cellStyle name="Comma 2 4 3 17" xfId="13439" xr:uid="{00000000-0005-0000-0000-00007C340000}"/>
    <cellStyle name="Comma 2 4 3 17 2" xfId="13440" xr:uid="{00000000-0005-0000-0000-00007D340000}"/>
    <cellStyle name="Comma 2 4 3 17 2 2" xfId="13441" xr:uid="{00000000-0005-0000-0000-00007E340000}"/>
    <cellStyle name="Comma 2 4 3 17 3" xfId="13442" xr:uid="{00000000-0005-0000-0000-00007F340000}"/>
    <cellStyle name="Comma 2 4 3 17 4" xfId="13443" xr:uid="{00000000-0005-0000-0000-000080340000}"/>
    <cellStyle name="Comma 2 4 3 17 5" xfId="13444" xr:uid="{00000000-0005-0000-0000-000081340000}"/>
    <cellStyle name="Comma 2 4 3 18" xfId="13445" xr:uid="{00000000-0005-0000-0000-000082340000}"/>
    <cellStyle name="Comma 2 4 3 18 2" xfId="13446" xr:uid="{00000000-0005-0000-0000-000083340000}"/>
    <cellStyle name="Comma 2 4 3 19" xfId="13447" xr:uid="{00000000-0005-0000-0000-000084340000}"/>
    <cellStyle name="Comma 2 4 3 2" xfId="13448" xr:uid="{00000000-0005-0000-0000-000085340000}"/>
    <cellStyle name="Comma 2 4 3 2 10" xfId="13449" xr:uid="{00000000-0005-0000-0000-000086340000}"/>
    <cellStyle name="Comma 2 4 3 2 11" xfId="13450" xr:uid="{00000000-0005-0000-0000-000087340000}"/>
    <cellStyle name="Comma 2 4 3 2 2" xfId="13451" xr:uid="{00000000-0005-0000-0000-000088340000}"/>
    <cellStyle name="Comma 2 4 3 2 2 2" xfId="13452" xr:uid="{00000000-0005-0000-0000-000089340000}"/>
    <cellStyle name="Comma 2 4 3 2 2 2 2" xfId="13453" xr:uid="{00000000-0005-0000-0000-00008A340000}"/>
    <cellStyle name="Comma 2 4 3 2 2 2 2 2" xfId="13454" xr:uid="{00000000-0005-0000-0000-00008B340000}"/>
    <cellStyle name="Comma 2 4 3 2 2 2 2 3" xfId="13455" xr:uid="{00000000-0005-0000-0000-00008C340000}"/>
    <cellStyle name="Comma 2 4 3 2 2 2 3" xfId="13456" xr:uid="{00000000-0005-0000-0000-00008D340000}"/>
    <cellStyle name="Comma 2 4 3 2 2 2 4" xfId="13457" xr:uid="{00000000-0005-0000-0000-00008E340000}"/>
    <cellStyle name="Comma 2 4 3 2 2 2 5" xfId="13458" xr:uid="{00000000-0005-0000-0000-00008F340000}"/>
    <cellStyle name="Comma 2 4 3 2 2 2 6" xfId="13459" xr:uid="{00000000-0005-0000-0000-000090340000}"/>
    <cellStyle name="Comma 2 4 3 2 2 3" xfId="13460" xr:uid="{00000000-0005-0000-0000-000091340000}"/>
    <cellStyle name="Comma 2 4 3 2 2 3 2" xfId="13461" xr:uid="{00000000-0005-0000-0000-000092340000}"/>
    <cellStyle name="Comma 2 4 3 2 2 3 2 2" xfId="13462" xr:uid="{00000000-0005-0000-0000-000093340000}"/>
    <cellStyle name="Comma 2 4 3 2 2 3 3" xfId="13463" xr:uid="{00000000-0005-0000-0000-000094340000}"/>
    <cellStyle name="Comma 2 4 3 2 2 3 4" xfId="13464" xr:uid="{00000000-0005-0000-0000-000095340000}"/>
    <cellStyle name="Comma 2 4 3 2 2 3 5" xfId="13465" xr:uid="{00000000-0005-0000-0000-000096340000}"/>
    <cellStyle name="Comma 2 4 3 2 2 4" xfId="13466" xr:uid="{00000000-0005-0000-0000-000097340000}"/>
    <cellStyle name="Comma 2 4 3 2 2 4 2" xfId="13467" xr:uid="{00000000-0005-0000-0000-000098340000}"/>
    <cellStyle name="Comma 2 4 3 2 2 4 3" xfId="13468" xr:uid="{00000000-0005-0000-0000-000099340000}"/>
    <cellStyle name="Comma 2 4 3 2 2 4 4" xfId="13469" xr:uid="{00000000-0005-0000-0000-00009A340000}"/>
    <cellStyle name="Comma 2 4 3 2 2 5" xfId="13470" xr:uid="{00000000-0005-0000-0000-00009B340000}"/>
    <cellStyle name="Comma 2 4 3 2 2 5 2" xfId="13471" xr:uid="{00000000-0005-0000-0000-00009C340000}"/>
    <cellStyle name="Comma 2 4 3 2 2 6" xfId="13472" xr:uid="{00000000-0005-0000-0000-00009D340000}"/>
    <cellStyle name="Comma 2 4 3 2 2 7" xfId="13473" xr:uid="{00000000-0005-0000-0000-00009E340000}"/>
    <cellStyle name="Comma 2 4 3 2 2 8" xfId="13474" xr:uid="{00000000-0005-0000-0000-00009F340000}"/>
    <cellStyle name="Comma 2 4 3 2 2 9" xfId="13475" xr:uid="{00000000-0005-0000-0000-0000A0340000}"/>
    <cellStyle name="Comma 2 4 3 2 3" xfId="13476" xr:uid="{00000000-0005-0000-0000-0000A1340000}"/>
    <cellStyle name="Comma 2 4 3 2 3 2" xfId="13477" xr:uid="{00000000-0005-0000-0000-0000A2340000}"/>
    <cellStyle name="Comma 2 4 3 2 3 2 2" xfId="13478" xr:uid="{00000000-0005-0000-0000-0000A3340000}"/>
    <cellStyle name="Comma 2 4 3 2 3 2 2 2" xfId="13479" xr:uid="{00000000-0005-0000-0000-0000A4340000}"/>
    <cellStyle name="Comma 2 4 3 2 3 2 2 3" xfId="13480" xr:uid="{00000000-0005-0000-0000-0000A5340000}"/>
    <cellStyle name="Comma 2 4 3 2 3 2 3" xfId="13481" xr:uid="{00000000-0005-0000-0000-0000A6340000}"/>
    <cellStyle name="Comma 2 4 3 2 3 2 4" xfId="13482" xr:uid="{00000000-0005-0000-0000-0000A7340000}"/>
    <cellStyle name="Comma 2 4 3 2 3 2 5" xfId="13483" xr:uid="{00000000-0005-0000-0000-0000A8340000}"/>
    <cellStyle name="Comma 2 4 3 2 3 2 6" xfId="13484" xr:uid="{00000000-0005-0000-0000-0000A9340000}"/>
    <cellStyle name="Comma 2 4 3 2 3 3" xfId="13485" xr:uid="{00000000-0005-0000-0000-0000AA340000}"/>
    <cellStyle name="Comma 2 4 3 2 3 3 2" xfId="13486" xr:uid="{00000000-0005-0000-0000-0000AB340000}"/>
    <cellStyle name="Comma 2 4 3 2 3 3 2 2" xfId="13487" xr:uid="{00000000-0005-0000-0000-0000AC340000}"/>
    <cellStyle name="Comma 2 4 3 2 3 3 3" xfId="13488" xr:uid="{00000000-0005-0000-0000-0000AD340000}"/>
    <cellStyle name="Comma 2 4 3 2 3 3 4" xfId="13489" xr:uid="{00000000-0005-0000-0000-0000AE340000}"/>
    <cellStyle name="Comma 2 4 3 2 3 3 5" xfId="13490" xr:uid="{00000000-0005-0000-0000-0000AF340000}"/>
    <cellStyle name="Comma 2 4 3 2 3 4" xfId="13491" xr:uid="{00000000-0005-0000-0000-0000B0340000}"/>
    <cellStyle name="Comma 2 4 3 2 3 4 2" xfId="13492" xr:uid="{00000000-0005-0000-0000-0000B1340000}"/>
    <cellStyle name="Comma 2 4 3 2 3 4 3" xfId="13493" xr:uid="{00000000-0005-0000-0000-0000B2340000}"/>
    <cellStyle name="Comma 2 4 3 2 3 4 4" xfId="13494" xr:uid="{00000000-0005-0000-0000-0000B3340000}"/>
    <cellStyle name="Comma 2 4 3 2 3 5" xfId="13495" xr:uid="{00000000-0005-0000-0000-0000B4340000}"/>
    <cellStyle name="Comma 2 4 3 2 3 5 2" xfId="13496" xr:uid="{00000000-0005-0000-0000-0000B5340000}"/>
    <cellStyle name="Comma 2 4 3 2 3 6" xfId="13497" xr:uid="{00000000-0005-0000-0000-0000B6340000}"/>
    <cellStyle name="Comma 2 4 3 2 3 7" xfId="13498" xr:uid="{00000000-0005-0000-0000-0000B7340000}"/>
    <cellStyle name="Comma 2 4 3 2 3 8" xfId="13499" xr:uid="{00000000-0005-0000-0000-0000B8340000}"/>
    <cellStyle name="Comma 2 4 3 2 3 9" xfId="13500" xr:uid="{00000000-0005-0000-0000-0000B9340000}"/>
    <cellStyle name="Comma 2 4 3 2 4" xfId="13501" xr:uid="{00000000-0005-0000-0000-0000BA340000}"/>
    <cellStyle name="Comma 2 4 3 2 4 2" xfId="13502" xr:uid="{00000000-0005-0000-0000-0000BB340000}"/>
    <cellStyle name="Comma 2 4 3 2 4 2 2" xfId="13503" xr:uid="{00000000-0005-0000-0000-0000BC340000}"/>
    <cellStyle name="Comma 2 4 3 2 4 2 3" xfId="13504" xr:uid="{00000000-0005-0000-0000-0000BD340000}"/>
    <cellStyle name="Comma 2 4 3 2 4 3" xfId="13505" xr:uid="{00000000-0005-0000-0000-0000BE340000}"/>
    <cellStyle name="Comma 2 4 3 2 4 4" xfId="13506" xr:uid="{00000000-0005-0000-0000-0000BF340000}"/>
    <cellStyle name="Comma 2 4 3 2 4 5" xfId="13507" xr:uid="{00000000-0005-0000-0000-0000C0340000}"/>
    <cellStyle name="Comma 2 4 3 2 4 6" xfId="13508" xr:uid="{00000000-0005-0000-0000-0000C1340000}"/>
    <cellStyle name="Comma 2 4 3 2 5" xfId="13509" xr:uid="{00000000-0005-0000-0000-0000C2340000}"/>
    <cellStyle name="Comma 2 4 3 2 5 2" xfId="13510" xr:uid="{00000000-0005-0000-0000-0000C3340000}"/>
    <cellStyle name="Comma 2 4 3 2 5 2 2" xfId="13511" xr:uid="{00000000-0005-0000-0000-0000C4340000}"/>
    <cellStyle name="Comma 2 4 3 2 5 3" xfId="13512" xr:uid="{00000000-0005-0000-0000-0000C5340000}"/>
    <cellStyle name="Comma 2 4 3 2 5 4" xfId="13513" xr:uid="{00000000-0005-0000-0000-0000C6340000}"/>
    <cellStyle name="Comma 2 4 3 2 5 5" xfId="13514" xr:uid="{00000000-0005-0000-0000-0000C7340000}"/>
    <cellStyle name="Comma 2 4 3 2 6" xfId="13515" xr:uid="{00000000-0005-0000-0000-0000C8340000}"/>
    <cellStyle name="Comma 2 4 3 2 6 2" xfId="13516" xr:uid="{00000000-0005-0000-0000-0000C9340000}"/>
    <cellStyle name="Comma 2 4 3 2 6 3" xfId="13517" xr:uid="{00000000-0005-0000-0000-0000CA340000}"/>
    <cellStyle name="Comma 2 4 3 2 6 4" xfId="13518" xr:uid="{00000000-0005-0000-0000-0000CB340000}"/>
    <cellStyle name="Comma 2 4 3 2 7" xfId="13519" xr:uid="{00000000-0005-0000-0000-0000CC340000}"/>
    <cellStyle name="Comma 2 4 3 2 7 2" xfId="13520" xr:uid="{00000000-0005-0000-0000-0000CD340000}"/>
    <cellStyle name="Comma 2 4 3 2 8" xfId="13521" xr:uid="{00000000-0005-0000-0000-0000CE340000}"/>
    <cellStyle name="Comma 2 4 3 2 9" xfId="13522" xr:uid="{00000000-0005-0000-0000-0000CF340000}"/>
    <cellStyle name="Comma 2 4 3 20" xfId="13523" xr:uid="{00000000-0005-0000-0000-0000D0340000}"/>
    <cellStyle name="Comma 2 4 3 21" xfId="13524" xr:uid="{00000000-0005-0000-0000-0000D1340000}"/>
    <cellStyle name="Comma 2 4 3 22" xfId="13525" xr:uid="{00000000-0005-0000-0000-0000D2340000}"/>
    <cellStyle name="Comma 2 4 3 3" xfId="13526" xr:uid="{00000000-0005-0000-0000-0000D3340000}"/>
    <cellStyle name="Comma 2 4 3 3 10" xfId="13527" xr:uid="{00000000-0005-0000-0000-0000D4340000}"/>
    <cellStyle name="Comma 2 4 3 3 11" xfId="13528" xr:uid="{00000000-0005-0000-0000-0000D5340000}"/>
    <cellStyle name="Comma 2 4 3 3 2" xfId="13529" xr:uid="{00000000-0005-0000-0000-0000D6340000}"/>
    <cellStyle name="Comma 2 4 3 3 2 2" xfId="13530" xr:uid="{00000000-0005-0000-0000-0000D7340000}"/>
    <cellStyle name="Comma 2 4 3 3 2 2 2" xfId="13531" xr:uid="{00000000-0005-0000-0000-0000D8340000}"/>
    <cellStyle name="Comma 2 4 3 3 2 2 2 2" xfId="13532" xr:uid="{00000000-0005-0000-0000-0000D9340000}"/>
    <cellStyle name="Comma 2 4 3 3 2 2 2 3" xfId="13533" xr:uid="{00000000-0005-0000-0000-0000DA340000}"/>
    <cellStyle name="Comma 2 4 3 3 2 2 3" xfId="13534" xr:uid="{00000000-0005-0000-0000-0000DB340000}"/>
    <cellStyle name="Comma 2 4 3 3 2 2 4" xfId="13535" xr:uid="{00000000-0005-0000-0000-0000DC340000}"/>
    <cellStyle name="Comma 2 4 3 3 2 2 5" xfId="13536" xr:uid="{00000000-0005-0000-0000-0000DD340000}"/>
    <cellStyle name="Comma 2 4 3 3 2 2 6" xfId="13537" xr:uid="{00000000-0005-0000-0000-0000DE340000}"/>
    <cellStyle name="Comma 2 4 3 3 2 3" xfId="13538" xr:uid="{00000000-0005-0000-0000-0000DF340000}"/>
    <cellStyle name="Comma 2 4 3 3 2 3 2" xfId="13539" xr:uid="{00000000-0005-0000-0000-0000E0340000}"/>
    <cellStyle name="Comma 2 4 3 3 2 3 2 2" xfId="13540" xr:uid="{00000000-0005-0000-0000-0000E1340000}"/>
    <cellStyle name="Comma 2 4 3 3 2 3 3" xfId="13541" xr:uid="{00000000-0005-0000-0000-0000E2340000}"/>
    <cellStyle name="Comma 2 4 3 3 2 3 4" xfId="13542" xr:uid="{00000000-0005-0000-0000-0000E3340000}"/>
    <cellStyle name="Comma 2 4 3 3 2 3 5" xfId="13543" xr:uid="{00000000-0005-0000-0000-0000E4340000}"/>
    <cellStyle name="Comma 2 4 3 3 2 4" xfId="13544" xr:uid="{00000000-0005-0000-0000-0000E5340000}"/>
    <cellStyle name="Comma 2 4 3 3 2 4 2" xfId="13545" xr:uid="{00000000-0005-0000-0000-0000E6340000}"/>
    <cellStyle name="Comma 2 4 3 3 2 4 3" xfId="13546" xr:uid="{00000000-0005-0000-0000-0000E7340000}"/>
    <cellStyle name="Comma 2 4 3 3 2 4 4" xfId="13547" xr:uid="{00000000-0005-0000-0000-0000E8340000}"/>
    <cellStyle name="Comma 2 4 3 3 2 5" xfId="13548" xr:uid="{00000000-0005-0000-0000-0000E9340000}"/>
    <cellStyle name="Comma 2 4 3 3 2 5 2" xfId="13549" xr:uid="{00000000-0005-0000-0000-0000EA340000}"/>
    <cellStyle name="Comma 2 4 3 3 2 6" xfId="13550" xr:uid="{00000000-0005-0000-0000-0000EB340000}"/>
    <cellStyle name="Comma 2 4 3 3 2 7" xfId="13551" xr:uid="{00000000-0005-0000-0000-0000EC340000}"/>
    <cellStyle name="Comma 2 4 3 3 2 8" xfId="13552" xr:uid="{00000000-0005-0000-0000-0000ED340000}"/>
    <cellStyle name="Comma 2 4 3 3 2 9" xfId="13553" xr:uid="{00000000-0005-0000-0000-0000EE340000}"/>
    <cellStyle name="Comma 2 4 3 3 3" xfId="13554" xr:uid="{00000000-0005-0000-0000-0000EF340000}"/>
    <cellStyle name="Comma 2 4 3 3 3 2" xfId="13555" xr:uid="{00000000-0005-0000-0000-0000F0340000}"/>
    <cellStyle name="Comma 2 4 3 3 3 2 2" xfId="13556" xr:uid="{00000000-0005-0000-0000-0000F1340000}"/>
    <cellStyle name="Comma 2 4 3 3 3 2 2 2" xfId="13557" xr:uid="{00000000-0005-0000-0000-0000F2340000}"/>
    <cellStyle name="Comma 2 4 3 3 3 2 2 3" xfId="13558" xr:uid="{00000000-0005-0000-0000-0000F3340000}"/>
    <cellStyle name="Comma 2 4 3 3 3 2 3" xfId="13559" xr:uid="{00000000-0005-0000-0000-0000F4340000}"/>
    <cellStyle name="Comma 2 4 3 3 3 2 4" xfId="13560" xr:uid="{00000000-0005-0000-0000-0000F5340000}"/>
    <cellStyle name="Comma 2 4 3 3 3 2 5" xfId="13561" xr:uid="{00000000-0005-0000-0000-0000F6340000}"/>
    <cellStyle name="Comma 2 4 3 3 3 2 6" xfId="13562" xr:uid="{00000000-0005-0000-0000-0000F7340000}"/>
    <cellStyle name="Comma 2 4 3 3 3 3" xfId="13563" xr:uid="{00000000-0005-0000-0000-0000F8340000}"/>
    <cellStyle name="Comma 2 4 3 3 3 3 2" xfId="13564" xr:uid="{00000000-0005-0000-0000-0000F9340000}"/>
    <cellStyle name="Comma 2 4 3 3 3 3 2 2" xfId="13565" xr:uid="{00000000-0005-0000-0000-0000FA340000}"/>
    <cellStyle name="Comma 2 4 3 3 3 3 3" xfId="13566" xr:uid="{00000000-0005-0000-0000-0000FB340000}"/>
    <cellStyle name="Comma 2 4 3 3 3 3 4" xfId="13567" xr:uid="{00000000-0005-0000-0000-0000FC340000}"/>
    <cellStyle name="Comma 2 4 3 3 3 3 5" xfId="13568" xr:uid="{00000000-0005-0000-0000-0000FD340000}"/>
    <cellStyle name="Comma 2 4 3 3 3 4" xfId="13569" xr:uid="{00000000-0005-0000-0000-0000FE340000}"/>
    <cellStyle name="Comma 2 4 3 3 3 4 2" xfId="13570" xr:uid="{00000000-0005-0000-0000-0000FF340000}"/>
    <cellStyle name="Comma 2 4 3 3 3 4 3" xfId="13571" xr:uid="{00000000-0005-0000-0000-000000350000}"/>
    <cellStyle name="Comma 2 4 3 3 3 4 4" xfId="13572" xr:uid="{00000000-0005-0000-0000-000001350000}"/>
    <cellStyle name="Comma 2 4 3 3 3 5" xfId="13573" xr:uid="{00000000-0005-0000-0000-000002350000}"/>
    <cellStyle name="Comma 2 4 3 3 3 5 2" xfId="13574" xr:uid="{00000000-0005-0000-0000-000003350000}"/>
    <cellStyle name="Comma 2 4 3 3 3 6" xfId="13575" xr:uid="{00000000-0005-0000-0000-000004350000}"/>
    <cellStyle name="Comma 2 4 3 3 3 7" xfId="13576" xr:uid="{00000000-0005-0000-0000-000005350000}"/>
    <cellStyle name="Comma 2 4 3 3 3 8" xfId="13577" xr:uid="{00000000-0005-0000-0000-000006350000}"/>
    <cellStyle name="Comma 2 4 3 3 3 9" xfId="13578" xr:uid="{00000000-0005-0000-0000-000007350000}"/>
    <cellStyle name="Comma 2 4 3 3 4" xfId="13579" xr:uid="{00000000-0005-0000-0000-000008350000}"/>
    <cellStyle name="Comma 2 4 3 3 4 2" xfId="13580" xr:uid="{00000000-0005-0000-0000-000009350000}"/>
    <cellStyle name="Comma 2 4 3 3 4 2 2" xfId="13581" xr:uid="{00000000-0005-0000-0000-00000A350000}"/>
    <cellStyle name="Comma 2 4 3 3 4 2 3" xfId="13582" xr:uid="{00000000-0005-0000-0000-00000B350000}"/>
    <cellStyle name="Comma 2 4 3 3 4 3" xfId="13583" xr:uid="{00000000-0005-0000-0000-00000C350000}"/>
    <cellStyle name="Comma 2 4 3 3 4 4" xfId="13584" xr:uid="{00000000-0005-0000-0000-00000D350000}"/>
    <cellStyle name="Comma 2 4 3 3 4 5" xfId="13585" xr:uid="{00000000-0005-0000-0000-00000E350000}"/>
    <cellStyle name="Comma 2 4 3 3 4 6" xfId="13586" xr:uid="{00000000-0005-0000-0000-00000F350000}"/>
    <cellStyle name="Comma 2 4 3 3 5" xfId="13587" xr:uid="{00000000-0005-0000-0000-000010350000}"/>
    <cellStyle name="Comma 2 4 3 3 5 2" xfId="13588" xr:uid="{00000000-0005-0000-0000-000011350000}"/>
    <cellStyle name="Comma 2 4 3 3 5 2 2" xfId="13589" xr:uid="{00000000-0005-0000-0000-000012350000}"/>
    <cellStyle name="Comma 2 4 3 3 5 3" xfId="13590" xr:uid="{00000000-0005-0000-0000-000013350000}"/>
    <cellStyle name="Comma 2 4 3 3 5 4" xfId="13591" xr:uid="{00000000-0005-0000-0000-000014350000}"/>
    <cellStyle name="Comma 2 4 3 3 5 5" xfId="13592" xr:uid="{00000000-0005-0000-0000-000015350000}"/>
    <cellStyle name="Comma 2 4 3 3 6" xfId="13593" xr:uid="{00000000-0005-0000-0000-000016350000}"/>
    <cellStyle name="Comma 2 4 3 3 6 2" xfId="13594" xr:uid="{00000000-0005-0000-0000-000017350000}"/>
    <cellStyle name="Comma 2 4 3 3 6 3" xfId="13595" xr:uid="{00000000-0005-0000-0000-000018350000}"/>
    <cellStyle name="Comma 2 4 3 3 6 4" xfId="13596" xr:uid="{00000000-0005-0000-0000-000019350000}"/>
    <cellStyle name="Comma 2 4 3 3 7" xfId="13597" xr:uid="{00000000-0005-0000-0000-00001A350000}"/>
    <cellStyle name="Comma 2 4 3 3 7 2" xfId="13598" xr:uid="{00000000-0005-0000-0000-00001B350000}"/>
    <cellStyle name="Comma 2 4 3 3 8" xfId="13599" xr:uid="{00000000-0005-0000-0000-00001C350000}"/>
    <cellStyle name="Comma 2 4 3 3 9" xfId="13600" xr:uid="{00000000-0005-0000-0000-00001D350000}"/>
    <cellStyle name="Comma 2 4 3 4" xfId="13601" xr:uid="{00000000-0005-0000-0000-00001E350000}"/>
    <cellStyle name="Comma 2 4 3 4 10" xfId="13602" xr:uid="{00000000-0005-0000-0000-00001F350000}"/>
    <cellStyle name="Comma 2 4 3 4 11" xfId="13603" xr:uid="{00000000-0005-0000-0000-000020350000}"/>
    <cellStyle name="Comma 2 4 3 4 2" xfId="13604" xr:uid="{00000000-0005-0000-0000-000021350000}"/>
    <cellStyle name="Comma 2 4 3 4 2 2" xfId="13605" xr:uid="{00000000-0005-0000-0000-000022350000}"/>
    <cellStyle name="Comma 2 4 3 4 2 2 2" xfId="13606" xr:uid="{00000000-0005-0000-0000-000023350000}"/>
    <cellStyle name="Comma 2 4 3 4 2 2 2 2" xfId="13607" xr:uid="{00000000-0005-0000-0000-000024350000}"/>
    <cellStyle name="Comma 2 4 3 4 2 2 2 3" xfId="13608" xr:uid="{00000000-0005-0000-0000-000025350000}"/>
    <cellStyle name="Comma 2 4 3 4 2 2 3" xfId="13609" xr:uid="{00000000-0005-0000-0000-000026350000}"/>
    <cellStyle name="Comma 2 4 3 4 2 2 4" xfId="13610" xr:uid="{00000000-0005-0000-0000-000027350000}"/>
    <cellStyle name="Comma 2 4 3 4 2 2 5" xfId="13611" xr:uid="{00000000-0005-0000-0000-000028350000}"/>
    <cellStyle name="Comma 2 4 3 4 2 2 6" xfId="13612" xr:uid="{00000000-0005-0000-0000-000029350000}"/>
    <cellStyle name="Comma 2 4 3 4 2 3" xfId="13613" xr:uid="{00000000-0005-0000-0000-00002A350000}"/>
    <cellStyle name="Comma 2 4 3 4 2 3 2" xfId="13614" xr:uid="{00000000-0005-0000-0000-00002B350000}"/>
    <cellStyle name="Comma 2 4 3 4 2 3 2 2" xfId="13615" xr:uid="{00000000-0005-0000-0000-00002C350000}"/>
    <cellStyle name="Comma 2 4 3 4 2 3 3" xfId="13616" xr:uid="{00000000-0005-0000-0000-00002D350000}"/>
    <cellStyle name="Comma 2 4 3 4 2 3 4" xfId="13617" xr:uid="{00000000-0005-0000-0000-00002E350000}"/>
    <cellStyle name="Comma 2 4 3 4 2 3 5" xfId="13618" xr:uid="{00000000-0005-0000-0000-00002F350000}"/>
    <cellStyle name="Comma 2 4 3 4 2 4" xfId="13619" xr:uid="{00000000-0005-0000-0000-000030350000}"/>
    <cellStyle name="Comma 2 4 3 4 2 4 2" xfId="13620" xr:uid="{00000000-0005-0000-0000-000031350000}"/>
    <cellStyle name="Comma 2 4 3 4 2 4 3" xfId="13621" xr:uid="{00000000-0005-0000-0000-000032350000}"/>
    <cellStyle name="Comma 2 4 3 4 2 4 4" xfId="13622" xr:uid="{00000000-0005-0000-0000-000033350000}"/>
    <cellStyle name="Comma 2 4 3 4 2 5" xfId="13623" xr:uid="{00000000-0005-0000-0000-000034350000}"/>
    <cellStyle name="Comma 2 4 3 4 2 5 2" xfId="13624" xr:uid="{00000000-0005-0000-0000-000035350000}"/>
    <cellStyle name="Comma 2 4 3 4 2 6" xfId="13625" xr:uid="{00000000-0005-0000-0000-000036350000}"/>
    <cellStyle name="Comma 2 4 3 4 2 7" xfId="13626" xr:uid="{00000000-0005-0000-0000-000037350000}"/>
    <cellStyle name="Comma 2 4 3 4 2 8" xfId="13627" xr:uid="{00000000-0005-0000-0000-000038350000}"/>
    <cellStyle name="Comma 2 4 3 4 2 9" xfId="13628" xr:uid="{00000000-0005-0000-0000-000039350000}"/>
    <cellStyle name="Comma 2 4 3 4 3" xfId="13629" xr:uid="{00000000-0005-0000-0000-00003A350000}"/>
    <cellStyle name="Comma 2 4 3 4 3 2" xfId="13630" xr:uid="{00000000-0005-0000-0000-00003B350000}"/>
    <cellStyle name="Comma 2 4 3 4 3 2 2" xfId="13631" xr:uid="{00000000-0005-0000-0000-00003C350000}"/>
    <cellStyle name="Comma 2 4 3 4 3 2 2 2" xfId="13632" xr:uid="{00000000-0005-0000-0000-00003D350000}"/>
    <cellStyle name="Comma 2 4 3 4 3 2 2 3" xfId="13633" xr:uid="{00000000-0005-0000-0000-00003E350000}"/>
    <cellStyle name="Comma 2 4 3 4 3 2 3" xfId="13634" xr:uid="{00000000-0005-0000-0000-00003F350000}"/>
    <cellStyle name="Comma 2 4 3 4 3 2 4" xfId="13635" xr:uid="{00000000-0005-0000-0000-000040350000}"/>
    <cellStyle name="Comma 2 4 3 4 3 2 5" xfId="13636" xr:uid="{00000000-0005-0000-0000-000041350000}"/>
    <cellStyle name="Comma 2 4 3 4 3 2 6" xfId="13637" xr:uid="{00000000-0005-0000-0000-000042350000}"/>
    <cellStyle name="Comma 2 4 3 4 3 3" xfId="13638" xr:uid="{00000000-0005-0000-0000-000043350000}"/>
    <cellStyle name="Comma 2 4 3 4 3 3 2" xfId="13639" xr:uid="{00000000-0005-0000-0000-000044350000}"/>
    <cellStyle name="Comma 2 4 3 4 3 3 2 2" xfId="13640" xr:uid="{00000000-0005-0000-0000-000045350000}"/>
    <cellStyle name="Comma 2 4 3 4 3 3 3" xfId="13641" xr:uid="{00000000-0005-0000-0000-000046350000}"/>
    <cellStyle name="Comma 2 4 3 4 3 3 4" xfId="13642" xr:uid="{00000000-0005-0000-0000-000047350000}"/>
    <cellStyle name="Comma 2 4 3 4 3 3 5" xfId="13643" xr:uid="{00000000-0005-0000-0000-000048350000}"/>
    <cellStyle name="Comma 2 4 3 4 3 4" xfId="13644" xr:uid="{00000000-0005-0000-0000-000049350000}"/>
    <cellStyle name="Comma 2 4 3 4 3 4 2" xfId="13645" xr:uid="{00000000-0005-0000-0000-00004A350000}"/>
    <cellStyle name="Comma 2 4 3 4 3 4 3" xfId="13646" xr:uid="{00000000-0005-0000-0000-00004B350000}"/>
    <cellStyle name="Comma 2 4 3 4 3 4 4" xfId="13647" xr:uid="{00000000-0005-0000-0000-00004C350000}"/>
    <cellStyle name="Comma 2 4 3 4 3 5" xfId="13648" xr:uid="{00000000-0005-0000-0000-00004D350000}"/>
    <cellStyle name="Comma 2 4 3 4 3 5 2" xfId="13649" xr:uid="{00000000-0005-0000-0000-00004E350000}"/>
    <cellStyle name="Comma 2 4 3 4 3 6" xfId="13650" xr:uid="{00000000-0005-0000-0000-00004F350000}"/>
    <cellStyle name="Comma 2 4 3 4 3 7" xfId="13651" xr:uid="{00000000-0005-0000-0000-000050350000}"/>
    <cellStyle name="Comma 2 4 3 4 3 8" xfId="13652" xr:uid="{00000000-0005-0000-0000-000051350000}"/>
    <cellStyle name="Comma 2 4 3 4 3 9" xfId="13653" xr:uid="{00000000-0005-0000-0000-000052350000}"/>
    <cellStyle name="Comma 2 4 3 4 4" xfId="13654" xr:uid="{00000000-0005-0000-0000-000053350000}"/>
    <cellStyle name="Comma 2 4 3 4 4 2" xfId="13655" xr:uid="{00000000-0005-0000-0000-000054350000}"/>
    <cellStyle name="Comma 2 4 3 4 4 2 2" xfId="13656" xr:uid="{00000000-0005-0000-0000-000055350000}"/>
    <cellStyle name="Comma 2 4 3 4 4 2 3" xfId="13657" xr:uid="{00000000-0005-0000-0000-000056350000}"/>
    <cellStyle name="Comma 2 4 3 4 4 3" xfId="13658" xr:uid="{00000000-0005-0000-0000-000057350000}"/>
    <cellStyle name="Comma 2 4 3 4 4 4" xfId="13659" xr:uid="{00000000-0005-0000-0000-000058350000}"/>
    <cellStyle name="Comma 2 4 3 4 4 5" xfId="13660" xr:uid="{00000000-0005-0000-0000-000059350000}"/>
    <cellStyle name="Comma 2 4 3 4 4 6" xfId="13661" xr:uid="{00000000-0005-0000-0000-00005A350000}"/>
    <cellStyle name="Comma 2 4 3 4 5" xfId="13662" xr:uid="{00000000-0005-0000-0000-00005B350000}"/>
    <cellStyle name="Comma 2 4 3 4 5 2" xfId="13663" xr:uid="{00000000-0005-0000-0000-00005C350000}"/>
    <cellStyle name="Comma 2 4 3 4 5 2 2" xfId="13664" xr:uid="{00000000-0005-0000-0000-00005D350000}"/>
    <cellStyle name="Comma 2 4 3 4 5 3" xfId="13665" xr:uid="{00000000-0005-0000-0000-00005E350000}"/>
    <cellStyle name="Comma 2 4 3 4 5 4" xfId="13666" xr:uid="{00000000-0005-0000-0000-00005F350000}"/>
    <cellStyle name="Comma 2 4 3 4 5 5" xfId="13667" xr:uid="{00000000-0005-0000-0000-000060350000}"/>
    <cellStyle name="Comma 2 4 3 4 6" xfId="13668" xr:uid="{00000000-0005-0000-0000-000061350000}"/>
    <cellStyle name="Comma 2 4 3 4 6 2" xfId="13669" xr:uid="{00000000-0005-0000-0000-000062350000}"/>
    <cellStyle name="Comma 2 4 3 4 6 3" xfId="13670" xr:uid="{00000000-0005-0000-0000-000063350000}"/>
    <cellStyle name="Comma 2 4 3 4 6 4" xfId="13671" xr:uid="{00000000-0005-0000-0000-000064350000}"/>
    <cellStyle name="Comma 2 4 3 4 7" xfId="13672" xr:uid="{00000000-0005-0000-0000-000065350000}"/>
    <cellStyle name="Comma 2 4 3 4 7 2" xfId="13673" xr:uid="{00000000-0005-0000-0000-000066350000}"/>
    <cellStyle name="Comma 2 4 3 4 8" xfId="13674" xr:uid="{00000000-0005-0000-0000-000067350000}"/>
    <cellStyle name="Comma 2 4 3 4 9" xfId="13675" xr:uid="{00000000-0005-0000-0000-000068350000}"/>
    <cellStyle name="Comma 2 4 3 5" xfId="13676" xr:uid="{00000000-0005-0000-0000-000069350000}"/>
    <cellStyle name="Comma 2 4 3 5 10" xfId="13677" xr:uid="{00000000-0005-0000-0000-00006A350000}"/>
    <cellStyle name="Comma 2 4 3 5 11" xfId="13678" xr:uid="{00000000-0005-0000-0000-00006B350000}"/>
    <cellStyle name="Comma 2 4 3 5 2" xfId="13679" xr:uid="{00000000-0005-0000-0000-00006C350000}"/>
    <cellStyle name="Comma 2 4 3 5 2 2" xfId="13680" xr:uid="{00000000-0005-0000-0000-00006D350000}"/>
    <cellStyle name="Comma 2 4 3 5 2 2 2" xfId="13681" xr:uid="{00000000-0005-0000-0000-00006E350000}"/>
    <cellStyle name="Comma 2 4 3 5 2 2 2 2" xfId="13682" xr:uid="{00000000-0005-0000-0000-00006F350000}"/>
    <cellStyle name="Comma 2 4 3 5 2 2 2 3" xfId="13683" xr:uid="{00000000-0005-0000-0000-000070350000}"/>
    <cellStyle name="Comma 2 4 3 5 2 2 3" xfId="13684" xr:uid="{00000000-0005-0000-0000-000071350000}"/>
    <cellStyle name="Comma 2 4 3 5 2 2 4" xfId="13685" xr:uid="{00000000-0005-0000-0000-000072350000}"/>
    <cellStyle name="Comma 2 4 3 5 2 2 5" xfId="13686" xr:uid="{00000000-0005-0000-0000-000073350000}"/>
    <cellStyle name="Comma 2 4 3 5 2 2 6" xfId="13687" xr:uid="{00000000-0005-0000-0000-000074350000}"/>
    <cellStyle name="Comma 2 4 3 5 2 3" xfId="13688" xr:uid="{00000000-0005-0000-0000-000075350000}"/>
    <cellStyle name="Comma 2 4 3 5 2 3 2" xfId="13689" xr:uid="{00000000-0005-0000-0000-000076350000}"/>
    <cellStyle name="Comma 2 4 3 5 2 3 2 2" xfId="13690" xr:uid="{00000000-0005-0000-0000-000077350000}"/>
    <cellStyle name="Comma 2 4 3 5 2 3 3" xfId="13691" xr:uid="{00000000-0005-0000-0000-000078350000}"/>
    <cellStyle name="Comma 2 4 3 5 2 3 4" xfId="13692" xr:uid="{00000000-0005-0000-0000-000079350000}"/>
    <cellStyle name="Comma 2 4 3 5 2 3 5" xfId="13693" xr:uid="{00000000-0005-0000-0000-00007A350000}"/>
    <cellStyle name="Comma 2 4 3 5 2 4" xfId="13694" xr:uid="{00000000-0005-0000-0000-00007B350000}"/>
    <cellStyle name="Comma 2 4 3 5 2 4 2" xfId="13695" xr:uid="{00000000-0005-0000-0000-00007C350000}"/>
    <cellStyle name="Comma 2 4 3 5 2 4 3" xfId="13696" xr:uid="{00000000-0005-0000-0000-00007D350000}"/>
    <cellStyle name="Comma 2 4 3 5 2 4 4" xfId="13697" xr:uid="{00000000-0005-0000-0000-00007E350000}"/>
    <cellStyle name="Comma 2 4 3 5 2 5" xfId="13698" xr:uid="{00000000-0005-0000-0000-00007F350000}"/>
    <cellStyle name="Comma 2 4 3 5 2 5 2" xfId="13699" xr:uid="{00000000-0005-0000-0000-000080350000}"/>
    <cellStyle name="Comma 2 4 3 5 2 6" xfId="13700" xr:uid="{00000000-0005-0000-0000-000081350000}"/>
    <cellStyle name="Comma 2 4 3 5 2 7" xfId="13701" xr:uid="{00000000-0005-0000-0000-000082350000}"/>
    <cellStyle name="Comma 2 4 3 5 2 8" xfId="13702" xr:uid="{00000000-0005-0000-0000-000083350000}"/>
    <cellStyle name="Comma 2 4 3 5 2 9" xfId="13703" xr:uid="{00000000-0005-0000-0000-000084350000}"/>
    <cellStyle name="Comma 2 4 3 5 3" xfId="13704" xr:uid="{00000000-0005-0000-0000-000085350000}"/>
    <cellStyle name="Comma 2 4 3 5 3 2" xfId="13705" xr:uid="{00000000-0005-0000-0000-000086350000}"/>
    <cellStyle name="Comma 2 4 3 5 3 2 2" xfId="13706" xr:uid="{00000000-0005-0000-0000-000087350000}"/>
    <cellStyle name="Comma 2 4 3 5 3 2 2 2" xfId="13707" xr:uid="{00000000-0005-0000-0000-000088350000}"/>
    <cellStyle name="Comma 2 4 3 5 3 2 2 3" xfId="13708" xr:uid="{00000000-0005-0000-0000-000089350000}"/>
    <cellStyle name="Comma 2 4 3 5 3 2 3" xfId="13709" xr:uid="{00000000-0005-0000-0000-00008A350000}"/>
    <cellStyle name="Comma 2 4 3 5 3 2 4" xfId="13710" xr:uid="{00000000-0005-0000-0000-00008B350000}"/>
    <cellStyle name="Comma 2 4 3 5 3 2 5" xfId="13711" xr:uid="{00000000-0005-0000-0000-00008C350000}"/>
    <cellStyle name="Comma 2 4 3 5 3 2 6" xfId="13712" xr:uid="{00000000-0005-0000-0000-00008D350000}"/>
    <cellStyle name="Comma 2 4 3 5 3 3" xfId="13713" xr:uid="{00000000-0005-0000-0000-00008E350000}"/>
    <cellStyle name="Comma 2 4 3 5 3 3 2" xfId="13714" xr:uid="{00000000-0005-0000-0000-00008F350000}"/>
    <cellStyle name="Comma 2 4 3 5 3 3 2 2" xfId="13715" xr:uid="{00000000-0005-0000-0000-000090350000}"/>
    <cellStyle name="Comma 2 4 3 5 3 3 3" xfId="13716" xr:uid="{00000000-0005-0000-0000-000091350000}"/>
    <cellStyle name="Comma 2 4 3 5 3 3 4" xfId="13717" xr:uid="{00000000-0005-0000-0000-000092350000}"/>
    <cellStyle name="Comma 2 4 3 5 3 3 5" xfId="13718" xr:uid="{00000000-0005-0000-0000-000093350000}"/>
    <cellStyle name="Comma 2 4 3 5 3 4" xfId="13719" xr:uid="{00000000-0005-0000-0000-000094350000}"/>
    <cellStyle name="Comma 2 4 3 5 3 4 2" xfId="13720" xr:uid="{00000000-0005-0000-0000-000095350000}"/>
    <cellStyle name="Comma 2 4 3 5 3 4 3" xfId="13721" xr:uid="{00000000-0005-0000-0000-000096350000}"/>
    <cellStyle name="Comma 2 4 3 5 3 4 4" xfId="13722" xr:uid="{00000000-0005-0000-0000-000097350000}"/>
    <cellStyle name="Comma 2 4 3 5 3 5" xfId="13723" xr:uid="{00000000-0005-0000-0000-000098350000}"/>
    <cellStyle name="Comma 2 4 3 5 3 5 2" xfId="13724" xr:uid="{00000000-0005-0000-0000-000099350000}"/>
    <cellStyle name="Comma 2 4 3 5 3 6" xfId="13725" xr:uid="{00000000-0005-0000-0000-00009A350000}"/>
    <cellStyle name="Comma 2 4 3 5 3 7" xfId="13726" xr:uid="{00000000-0005-0000-0000-00009B350000}"/>
    <cellStyle name="Comma 2 4 3 5 3 8" xfId="13727" xr:uid="{00000000-0005-0000-0000-00009C350000}"/>
    <cellStyle name="Comma 2 4 3 5 3 9" xfId="13728" xr:uid="{00000000-0005-0000-0000-00009D350000}"/>
    <cellStyle name="Comma 2 4 3 5 4" xfId="13729" xr:uid="{00000000-0005-0000-0000-00009E350000}"/>
    <cellStyle name="Comma 2 4 3 5 4 2" xfId="13730" xr:uid="{00000000-0005-0000-0000-00009F350000}"/>
    <cellStyle name="Comma 2 4 3 5 4 2 2" xfId="13731" xr:uid="{00000000-0005-0000-0000-0000A0350000}"/>
    <cellStyle name="Comma 2 4 3 5 4 2 3" xfId="13732" xr:uid="{00000000-0005-0000-0000-0000A1350000}"/>
    <cellStyle name="Comma 2 4 3 5 4 3" xfId="13733" xr:uid="{00000000-0005-0000-0000-0000A2350000}"/>
    <cellStyle name="Comma 2 4 3 5 4 4" xfId="13734" xr:uid="{00000000-0005-0000-0000-0000A3350000}"/>
    <cellStyle name="Comma 2 4 3 5 4 5" xfId="13735" xr:uid="{00000000-0005-0000-0000-0000A4350000}"/>
    <cellStyle name="Comma 2 4 3 5 4 6" xfId="13736" xr:uid="{00000000-0005-0000-0000-0000A5350000}"/>
    <cellStyle name="Comma 2 4 3 5 5" xfId="13737" xr:uid="{00000000-0005-0000-0000-0000A6350000}"/>
    <cellStyle name="Comma 2 4 3 5 5 2" xfId="13738" xr:uid="{00000000-0005-0000-0000-0000A7350000}"/>
    <cellStyle name="Comma 2 4 3 5 5 2 2" xfId="13739" xr:uid="{00000000-0005-0000-0000-0000A8350000}"/>
    <cellStyle name="Comma 2 4 3 5 5 3" xfId="13740" xr:uid="{00000000-0005-0000-0000-0000A9350000}"/>
    <cellStyle name="Comma 2 4 3 5 5 4" xfId="13741" xr:uid="{00000000-0005-0000-0000-0000AA350000}"/>
    <cellStyle name="Comma 2 4 3 5 5 5" xfId="13742" xr:uid="{00000000-0005-0000-0000-0000AB350000}"/>
    <cellStyle name="Comma 2 4 3 5 6" xfId="13743" xr:uid="{00000000-0005-0000-0000-0000AC350000}"/>
    <cellStyle name="Comma 2 4 3 5 6 2" xfId="13744" xr:uid="{00000000-0005-0000-0000-0000AD350000}"/>
    <cellStyle name="Comma 2 4 3 5 6 3" xfId="13745" xr:uid="{00000000-0005-0000-0000-0000AE350000}"/>
    <cellStyle name="Comma 2 4 3 5 6 4" xfId="13746" xr:uid="{00000000-0005-0000-0000-0000AF350000}"/>
    <cellStyle name="Comma 2 4 3 5 7" xfId="13747" xr:uid="{00000000-0005-0000-0000-0000B0350000}"/>
    <cellStyle name="Comma 2 4 3 5 7 2" xfId="13748" xr:uid="{00000000-0005-0000-0000-0000B1350000}"/>
    <cellStyle name="Comma 2 4 3 5 8" xfId="13749" xr:uid="{00000000-0005-0000-0000-0000B2350000}"/>
    <cellStyle name="Comma 2 4 3 5 9" xfId="13750" xr:uid="{00000000-0005-0000-0000-0000B3350000}"/>
    <cellStyle name="Comma 2 4 3 6" xfId="13751" xr:uid="{00000000-0005-0000-0000-0000B4350000}"/>
    <cellStyle name="Comma 2 4 3 6 10" xfId="13752" xr:uid="{00000000-0005-0000-0000-0000B5350000}"/>
    <cellStyle name="Comma 2 4 3 6 11" xfId="13753" xr:uid="{00000000-0005-0000-0000-0000B6350000}"/>
    <cellStyle name="Comma 2 4 3 6 2" xfId="13754" xr:uid="{00000000-0005-0000-0000-0000B7350000}"/>
    <cellStyle name="Comma 2 4 3 6 2 2" xfId="13755" xr:uid="{00000000-0005-0000-0000-0000B8350000}"/>
    <cellStyle name="Comma 2 4 3 6 2 2 2" xfId="13756" xr:uid="{00000000-0005-0000-0000-0000B9350000}"/>
    <cellStyle name="Comma 2 4 3 6 2 2 2 2" xfId="13757" xr:uid="{00000000-0005-0000-0000-0000BA350000}"/>
    <cellStyle name="Comma 2 4 3 6 2 2 2 3" xfId="13758" xr:uid="{00000000-0005-0000-0000-0000BB350000}"/>
    <cellStyle name="Comma 2 4 3 6 2 2 3" xfId="13759" xr:uid="{00000000-0005-0000-0000-0000BC350000}"/>
    <cellStyle name="Comma 2 4 3 6 2 2 4" xfId="13760" xr:uid="{00000000-0005-0000-0000-0000BD350000}"/>
    <cellStyle name="Comma 2 4 3 6 2 2 5" xfId="13761" xr:uid="{00000000-0005-0000-0000-0000BE350000}"/>
    <cellStyle name="Comma 2 4 3 6 2 2 6" xfId="13762" xr:uid="{00000000-0005-0000-0000-0000BF350000}"/>
    <cellStyle name="Comma 2 4 3 6 2 3" xfId="13763" xr:uid="{00000000-0005-0000-0000-0000C0350000}"/>
    <cellStyle name="Comma 2 4 3 6 2 3 2" xfId="13764" xr:uid="{00000000-0005-0000-0000-0000C1350000}"/>
    <cellStyle name="Comma 2 4 3 6 2 3 2 2" xfId="13765" xr:uid="{00000000-0005-0000-0000-0000C2350000}"/>
    <cellStyle name="Comma 2 4 3 6 2 3 3" xfId="13766" xr:uid="{00000000-0005-0000-0000-0000C3350000}"/>
    <cellStyle name="Comma 2 4 3 6 2 3 4" xfId="13767" xr:uid="{00000000-0005-0000-0000-0000C4350000}"/>
    <cellStyle name="Comma 2 4 3 6 2 3 5" xfId="13768" xr:uid="{00000000-0005-0000-0000-0000C5350000}"/>
    <cellStyle name="Comma 2 4 3 6 2 4" xfId="13769" xr:uid="{00000000-0005-0000-0000-0000C6350000}"/>
    <cellStyle name="Comma 2 4 3 6 2 4 2" xfId="13770" xr:uid="{00000000-0005-0000-0000-0000C7350000}"/>
    <cellStyle name="Comma 2 4 3 6 2 4 3" xfId="13771" xr:uid="{00000000-0005-0000-0000-0000C8350000}"/>
    <cellStyle name="Comma 2 4 3 6 2 4 4" xfId="13772" xr:uid="{00000000-0005-0000-0000-0000C9350000}"/>
    <cellStyle name="Comma 2 4 3 6 2 5" xfId="13773" xr:uid="{00000000-0005-0000-0000-0000CA350000}"/>
    <cellStyle name="Comma 2 4 3 6 2 5 2" xfId="13774" xr:uid="{00000000-0005-0000-0000-0000CB350000}"/>
    <cellStyle name="Comma 2 4 3 6 2 6" xfId="13775" xr:uid="{00000000-0005-0000-0000-0000CC350000}"/>
    <cellStyle name="Comma 2 4 3 6 2 7" xfId="13776" xr:uid="{00000000-0005-0000-0000-0000CD350000}"/>
    <cellStyle name="Comma 2 4 3 6 2 8" xfId="13777" xr:uid="{00000000-0005-0000-0000-0000CE350000}"/>
    <cellStyle name="Comma 2 4 3 6 2 9" xfId="13778" xr:uid="{00000000-0005-0000-0000-0000CF350000}"/>
    <cellStyle name="Comma 2 4 3 6 3" xfId="13779" xr:uid="{00000000-0005-0000-0000-0000D0350000}"/>
    <cellStyle name="Comma 2 4 3 6 3 2" xfId="13780" xr:uid="{00000000-0005-0000-0000-0000D1350000}"/>
    <cellStyle name="Comma 2 4 3 6 3 2 2" xfId="13781" xr:uid="{00000000-0005-0000-0000-0000D2350000}"/>
    <cellStyle name="Comma 2 4 3 6 3 2 2 2" xfId="13782" xr:uid="{00000000-0005-0000-0000-0000D3350000}"/>
    <cellStyle name="Comma 2 4 3 6 3 2 2 3" xfId="13783" xr:uid="{00000000-0005-0000-0000-0000D4350000}"/>
    <cellStyle name="Comma 2 4 3 6 3 2 3" xfId="13784" xr:uid="{00000000-0005-0000-0000-0000D5350000}"/>
    <cellStyle name="Comma 2 4 3 6 3 2 4" xfId="13785" xr:uid="{00000000-0005-0000-0000-0000D6350000}"/>
    <cellStyle name="Comma 2 4 3 6 3 2 5" xfId="13786" xr:uid="{00000000-0005-0000-0000-0000D7350000}"/>
    <cellStyle name="Comma 2 4 3 6 3 2 6" xfId="13787" xr:uid="{00000000-0005-0000-0000-0000D8350000}"/>
    <cellStyle name="Comma 2 4 3 6 3 3" xfId="13788" xr:uid="{00000000-0005-0000-0000-0000D9350000}"/>
    <cellStyle name="Comma 2 4 3 6 3 3 2" xfId="13789" xr:uid="{00000000-0005-0000-0000-0000DA350000}"/>
    <cellStyle name="Comma 2 4 3 6 3 3 2 2" xfId="13790" xr:uid="{00000000-0005-0000-0000-0000DB350000}"/>
    <cellStyle name="Comma 2 4 3 6 3 3 3" xfId="13791" xr:uid="{00000000-0005-0000-0000-0000DC350000}"/>
    <cellStyle name="Comma 2 4 3 6 3 3 4" xfId="13792" xr:uid="{00000000-0005-0000-0000-0000DD350000}"/>
    <cellStyle name="Comma 2 4 3 6 3 3 5" xfId="13793" xr:uid="{00000000-0005-0000-0000-0000DE350000}"/>
    <cellStyle name="Comma 2 4 3 6 3 4" xfId="13794" xr:uid="{00000000-0005-0000-0000-0000DF350000}"/>
    <cellStyle name="Comma 2 4 3 6 3 4 2" xfId="13795" xr:uid="{00000000-0005-0000-0000-0000E0350000}"/>
    <cellStyle name="Comma 2 4 3 6 3 4 3" xfId="13796" xr:uid="{00000000-0005-0000-0000-0000E1350000}"/>
    <cellStyle name="Comma 2 4 3 6 3 4 4" xfId="13797" xr:uid="{00000000-0005-0000-0000-0000E2350000}"/>
    <cellStyle name="Comma 2 4 3 6 3 5" xfId="13798" xr:uid="{00000000-0005-0000-0000-0000E3350000}"/>
    <cellStyle name="Comma 2 4 3 6 3 5 2" xfId="13799" xr:uid="{00000000-0005-0000-0000-0000E4350000}"/>
    <cellStyle name="Comma 2 4 3 6 3 6" xfId="13800" xr:uid="{00000000-0005-0000-0000-0000E5350000}"/>
    <cellStyle name="Comma 2 4 3 6 3 7" xfId="13801" xr:uid="{00000000-0005-0000-0000-0000E6350000}"/>
    <cellStyle name="Comma 2 4 3 6 3 8" xfId="13802" xr:uid="{00000000-0005-0000-0000-0000E7350000}"/>
    <cellStyle name="Comma 2 4 3 6 3 9" xfId="13803" xr:uid="{00000000-0005-0000-0000-0000E8350000}"/>
    <cellStyle name="Comma 2 4 3 6 4" xfId="13804" xr:uid="{00000000-0005-0000-0000-0000E9350000}"/>
    <cellStyle name="Comma 2 4 3 6 4 2" xfId="13805" xr:uid="{00000000-0005-0000-0000-0000EA350000}"/>
    <cellStyle name="Comma 2 4 3 6 4 2 2" xfId="13806" xr:uid="{00000000-0005-0000-0000-0000EB350000}"/>
    <cellStyle name="Comma 2 4 3 6 4 2 3" xfId="13807" xr:uid="{00000000-0005-0000-0000-0000EC350000}"/>
    <cellStyle name="Comma 2 4 3 6 4 3" xfId="13808" xr:uid="{00000000-0005-0000-0000-0000ED350000}"/>
    <cellStyle name="Comma 2 4 3 6 4 4" xfId="13809" xr:uid="{00000000-0005-0000-0000-0000EE350000}"/>
    <cellStyle name="Comma 2 4 3 6 4 5" xfId="13810" xr:uid="{00000000-0005-0000-0000-0000EF350000}"/>
    <cellStyle name="Comma 2 4 3 6 4 6" xfId="13811" xr:uid="{00000000-0005-0000-0000-0000F0350000}"/>
    <cellStyle name="Comma 2 4 3 6 5" xfId="13812" xr:uid="{00000000-0005-0000-0000-0000F1350000}"/>
    <cellStyle name="Comma 2 4 3 6 5 2" xfId="13813" xr:uid="{00000000-0005-0000-0000-0000F2350000}"/>
    <cellStyle name="Comma 2 4 3 6 5 2 2" xfId="13814" xr:uid="{00000000-0005-0000-0000-0000F3350000}"/>
    <cellStyle name="Comma 2 4 3 6 5 3" xfId="13815" xr:uid="{00000000-0005-0000-0000-0000F4350000}"/>
    <cellStyle name="Comma 2 4 3 6 5 4" xfId="13816" xr:uid="{00000000-0005-0000-0000-0000F5350000}"/>
    <cellStyle name="Comma 2 4 3 6 5 5" xfId="13817" xr:uid="{00000000-0005-0000-0000-0000F6350000}"/>
    <cellStyle name="Comma 2 4 3 6 6" xfId="13818" xr:uid="{00000000-0005-0000-0000-0000F7350000}"/>
    <cellStyle name="Comma 2 4 3 6 6 2" xfId="13819" xr:uid="{00000000-0005-0000-0000-0000F8350000}"/>
    <cellStyle name="Comma 2 4 3 6 6 3" xfId="13820" xr:uid="{00000000-0005-0000-0000-0000F9350000}"/>
    <cellStyle name="Comma 2 4 3 6 6 4" xfId="13821" xr:uid="{00000000-0005-0000-0000-0000FA350000}"/>
    <cellStyle name="Comma 2 4 3 6 7" xfId="13822" xr:uid="{00000000-0005-0000-0000-0000FB350000}"/>
    <cellStyle name="Comma 2 4 3 6 7 2" xfId="13823" xr:uid="{00000000-0005-0000-0000-0000FC350000}"/>
    <cellStyle name="Comma 2 4 3 6 8" xfId="13824" xr:uid="{00000000-0005-0000-0000-0000FD350000}"/>
    <cellStyle name="Comma 2 4 3 6 9" xfId="13825" xr:uid="{00000000-0005-0000-0000-0000FE350000}"/>
    <cellStyle name="Comma 2 4 3 7" xfId="13826" xr:uid="{00000000-0005-0000-0000-0000FF350000}"/>
    <cellStyle name="Comma 2 4 3 7 10" xfId="13827" xr:uid="{00000000-0005-0000-0000-000000360000}"/>
    <cellStyle name="Comma 2 4 3 7 11" xfId="13828" xr:uid="{00000000-0005-0000-0000-000001360000}"/>
    <cellStyle name="Comma 2 4 3 7 2" xfId="13829" xr:uid="{00000000-0005-0000-0000-000002360000}"/>
    <cellStyle name="Comma 2 4 3 7 2 2" xfId="13830" xr:uid="{00000000-0005-0000-0000-000003360000}"/>
    <cellStyle name="Comma 2 4 3 7 2 2 2" xfId="13831" xr:uid="{00000000-0005-0000-0000-000004360000}"/>
    <cellStyle name="Comma 2 4 3 7 2 2 2 2" xfId="13832" xr:uid="{00000000-0005-0000-0000-000005360000}"/>
    <cellStyle name="Comma 2 4 3 7 2 2 2 3" xfId="13833" xr:uid="{00000000-0005-0000-0000-000006360000}"/>
    <cellStyle name="Comma 2 4 3 7 2 2 3" xfId="13834" xr:uid="{00000000-0005-0000-0000-000007360000}"/>
    <cellStyle name="Comma 2 4 3 7 2 2 4" xfId="13835" xr:uid="{00000000-0005-0000-0000-000008360000}"/>
    <cellStyle name="Comma 2 4 3 7 2 2 5" xfId="13836" xr:uid="{00000000-0005-0000-0000-000009360000}"/>
    <cellStyle name="Comma 2 4 3 7 2 2 6" xfId="13837" xr:uid="{00000000-0005-0000-0000-00000A360000}"/>
    <cellStyle name="Comma 2 4 3 7 2 3" xfId="13838" xr:uid="{00000000-0005-0000-0000-00000B360000}"/>
    <cellStyle name="Comma 2 4 3 7 2 3 2" xfId="13839" xr:uid="{00000000-0005-0000-0000-00000C360000}"/>
    <cellStyle name="Comma 2 4 3 7 2 3 2 2" xfId="13840" xr:uid="{00000000-0005-0000-0000-00000D360000}"/>
    <cellStyle name="Comma 2 4 3 7 2 3 3" xfId="13841" xr:uid="{00000000-0005-0000-0000-00000E360000}"/>
    <cellStyle name="Comma 2 4 3 7 2 3 4" xfId="13842" xr:uid="{00000000-0005-0000-0000-00000F360000}"/>
    <cellStyle name="Comma 2 4 3 7 2 3 5" xfId="13843" xr:uid="{00000000-0005-0000-0000-000010360000}"/>
    <cellStyle name="Comma 2 4 3 7 2 4" xfId="13844" xr:uid="{00000000-0005-0000-0000-000011360000}"/>
    <cellStyle name="Comma 2 4 3 7 2 4 2" xfId="13845" xr:uid="{00000000-0005-0000-0000-000012360000}"/>
    <cellStyle name="Comma 2 4 3 7 2 4 3" xfId="13846" xr:uid="{00000000-0005-0000-0000-000013360000}"/>
    <cellStyle name="Comma 2 4 3 7 2 4 4" xfId="13847" xr:uid="{00000000-0005-0000-0000-000014360000}"/>
    <cellStyle name="Comma 2 4 3 7 2 5" xfId="13848" xr:uid="{00000000-0005-0000-0000-000015360000}"/>
    <cellStyle name="Comma 2 4 3 7 2 5 2" xfId="13849" xr:uid="{00000000-0005-0000-0000-000016360000}"/>
    <cellStyle name="Comma 2 4 3 7 2 6" xfId="13850" xr:uid="{00000000-0005-0000-0000-000017360000}"/>
    <cellStyle name="Comma 2 4 3 7 2 7" xfId="13851" xr:uid="{00000000-0005-0000-0000-000018360000}"/>
    <cellStyle name="Comma 2 4 3 7 2 8" xfId="13852" xr:uid="{00000000-0005-0000-0000-000019360000}"/>
    <cellStyle name="Comma 2 4 3 7 2 9" xfId="13853" xr:uid="{00000000-0005-0000-0000-00001A360000}"/>
    <cellStyle name="Comma 2 4 3 7 3" xfId="13854" xr:uid="{00000000-0005-0000-0000-00001B360000}"/>
    <cellStyle name="Comma 2 4 3 7 3 2" xfId="13855" xr:uid="{00000000-0005-0000-0000-00001C360000}"/>
    <cellStyle name="Comma 2 4 3 7 3 2 2" xfId="13856" xr:uid="{00000000-0005-0000-0000-00001D360000}"/>
    <cellStyle name="Comma 2 4 3 7 3 2 2 2" xfId="13857" xr:uid="{00000000-0005-0000-0000-00001E360000}"/>
    <cellStyle name="Comma 2 4 3 7 3 2 2 3" xfId="13858" xr:uid="{00000000-0005-0000-0000-00001F360000}"/>
    <cellStyle name="Comma 2 4 3 7 3 2 3" xfId="13859" xr:uid="{00000000-0005-0000-0000-000020360000}"/>
    <cellStyle name="Comma 2 4 3 7 3 2 4" xfId="13860" xr:uid="{00000000-0005-0000-0000-000021360000}"/>
    <cellStyle name="Comma 2 4 3 7 3 2 5" xfId="13861" xr:uid="{00000000-0005-0000-0000-000022360000}"/>
    <cellStyle name="Comma 2 4 3 7 3 2 6" xfId="13862" xr:uid="{00000000-0005-0000-0000-000023360000}"/>
    <cellStyle name="Comma 2 4 3 7 3 3" xfId="13863" xr:uid="{00000000-0005-0000-0000-000024360000}"/>
    <cellStyle name="Comma 2 4 3 7 3 3 2" xfId="13864" xr:uid="{00000000-0005-0000-0000-000025360000}"/>
    <cellStyle name="Comma 2 4 3 7 3 3 2 2" xfId="13865" xr:uid="{00000000-0005-0000-0000-000026360000}"/>
    <cellStyle name="Comma 2 4 3 7 3 3 3" xfId="13866" xr:uid="{00000000-0005-0000-0000-000027360000}"/>
    <cellStyle name="Comma 2 4 3 7 3 3 4" xfId="13867" xr:uid="{00000000-0005-0000-0000-000028360000}"/>
    <cellStyle name="Comma 2 4 3 7 3 3 5" xfId="13868" xr:uid="{00000000-0005-0000-0000-000029360000}"/>
    <cellStyle name="Comma 2 4 3 7 3 4" xfId="13869" xr:uid="{00000000-0005-0000-0000-00002A360000}"/>
    <cellStyle name="Comma 2 4 3 7 3 4 2" xfId="13870" xr:uid="{00000000-0005-0000-0000-00002B360000}"/>
    <cellStyle name="Comma 2 4 3 7 3 4 3" xfId="13871" xr:uid="{00000000-0005-0000-0000-00002C360000}"/>
    <cellStyle name="Comma 2 4 3 7 3 4 4" xfId="13872" xr:uid="{00000000-0005-0000-0000-00002D360000}"/>
    <cellStyle name="Comma 2 4 3 7 3 5" xfId="13873" xr:uid="{00000000-0005-0000-0000-00002E360000}"/>
    <cellStyle name="Comma 2 4 3 7 3 5 2" xfId="13874" xr:uid="{00000000-0005-0000-0000-00002F360000}"/>
    <cellStyle name="Comma 2 4 3 7 3 6" xfId="13875" xr:uid="{00000000-0005-0000-0000-000030360000}"/>
    <cellStyle name="Comma 2 4 3 7 3 7" xfId="13876" xr:uid="{00000000-0005-0000-0000-000031360000}"/>
    <cellStyle name="Comma 2 4 3 7 3 8" xfId="13877" xr:uid="{00000000-0005-0000-0000-000032360000}"/>
    <cellStyle name="Comma 2 4 3 7 3 9" xfId="13878" xr:uid="{00000000-0005-0000-0000-000033360000}"/>
    <cellStyle name="Comma 2 4 3 7 4" xfId="13879" xr:uid="{00000000-0005-0000-0000-000034360000}"/>
    <cellStyle name="Comma 2 4 3 7 4 2" xfId="13880" xr:uid="{00000000-0005-0000-0000-000035360000}"/>
    <cellStyle name="Comma 2 4 3 7 4 2 2" xfId="13881" xr:uid="{00000000-0005-0000-0000-000036360000}"/>
    <cellStyle name="Comma 2 4 3 7 4 2 3" xfId="13882" xr:uid="{00000000-0005-0000-0000-000037360000}"/>
    <cellStyle name="Comma 2 4 3 7 4 3" xfId="13883" xr:uid="{00000000-0005-0000-0000-000038360000}"/>
    <cellStyle name="Comma 2 4 3 7 4 4" xfId="13884" xr:uid="{00000000-0005-0000-0000-000039360000}"/>
    <cellStyle name="Comma 2 4 3 7 4 5" xfId="13885" xr:uid="{00000000-0005-0000-0000-00003A360000}"/>
    <cellStyle name="Comma 2 4 3 7 4 6" xfId="13886" xr:uid="{00000000-0005-0000-0000-00003B360000}"/>
    <cellStyle name="Comma 2 4 3 7 5" xfId="13887" xr:uid="{00000000-0005-0000-0000-00003C360000}"/>
    <cellStyle name="Comma 2 4 3 7 5 2" xfId="13888" xr:uid="{00000000-0005-0000-0000-00003D360000}"/>
    <cellStyle name="Comma 2 4 3 7 5 2 2" xfId="13889" xr:uid="{00000000-0005-0000-0000-00003E360000}"/>
    <cellStyle name="Comma 2 4 3 7 5 3" xfId="13890" xr:uid="{00000000-0005-0000-0000-00003F360000}"/>
    <cellStyle name="Comma 2 4 3 7 5 4" xfId="13891" xr:uid="{00000000-0005-0000-0000-000040360000}"/>
    <cellStyle name="Comma 2 4 3 7 5 5" xfId="13892" xr:uid="{00000000-0005-0000-0000-000041360000}"/>
    <cellStyle name="Comma 2 4 3 7 6" xfId="13893" xr:uid="{00000000-0005-0000-0000-000042360000}"/>
    <cellStyle name="Comma 2 4 3 7 6 2" xfId="13894" xr:uid="{00000000-0005-0000-0000-000043360000}"/>
    <cellStyle name="Comma 2 4 3 7 6 3" xfId="13895" xr:uid="{00000000-0005-0000-0000-000044360000}"/>
    <cellStyle name="Comma 2 4 3 7 6 4" xfId="13896" xr:uid="{00000000-0005-0000-0000-000045360000}"/>
    <cellStyle name="Comma 2 4 3 7 7" xfId="13897" xr:uid="{00000000-0005-0000-0000-000046360000}"/>
    <cellStyle name="Comma 2 4 3 7 7 2" xfId="13898" xr:uid="{00000000-0005-0000-0000-000047360000}"/>
    <cellStyle name="Comma 2 4 3 7 8" xfId="13899" xr:uid="{00000000-0005-0000-0000-000048360000}"/>
    <cellStyle name="Comma 2 4 3 7 9" xfId="13900" xr:uid="{00000000-0005-0000-0000-000049360000}"/>
    <cellStyle name="Comma 2 4 3 8" xfId="13901" xr:uid="{00000000-0005-0000-0000-00004A360000}"/>
    <cellStyle name="Comma 2 4 3 8 10" xfId="13902" xr:uid="{00000000-0005-0000-0000-00004B360000}"/>
    <cellStyle name="Comma 2 4 3 8 2" xfId="13903" xr:uid="{00000000-0005-0000-0000-00004C360000}"/>
    <cellStyle name="Comma 2 4 3 8 2 2" xfId="13904" xr:uid="{00000000-0005-0000-0000-00004D360000}"/>
    <cellStyle name="Comma 2 4 3 8 2 2 2" xfId="13905" xr:uid="{00000000-0005-0000-0000-00004E360000}"/>
    <cellStyle name="Comma 2 4 3 8 2 2 3" xfId="13906" xr:uid="{00000000-0005-0000-0000-00004F360000}"/>
    <cellStyle name="Comma 2 4 3 8 2 3" xfId="13907" xr:uid="{00000000-0005-0000-0000-000050360000}"/>
    <cellStyle name="Comma 2 4 3 8 2 4" xfId="13908" xr:uid="{00000000-0005-0000-0000-000051360000}"/>
    <cellStyle name="Comma 2 4 3 8 2 5" xfId="13909" xr:uid="{00000000-0005-0000-0000-000052360000}"/>
    <cellStyle name="Comma 2 4 3 8 2 6" xfId="13910" xr:uid="{00000000-0005-0000-0000-000053360000}"/>
    <cellStyle name="Comma 2 4 3 8 3" xfId="13911" xr:uid="{00000000-0005-0000-0000-000054360000}"/>
    <cellStyle name="Comma 2 4 3 8 3 2" xfId="13912" xr:uid="{00000000-0005-0000-0000-000055360000}"/>
    <cellStyle name="Comma 2 4 3 8 3 2 2" xfId="13913" xr:uid="{00000000-0005-0000-0000-000056360000}"/>
    <cellStyle name="Comma 2 4 3 8 3 2 3" xfId="13914" xr:uid="{00000000-0005-0000-0000-000057360000}"/>
    <cellStyle name="Comma 2 4 3 8 3 3" xfId="13915" xr:uid="{00000000-0005-0000-0000-000058360000}"/>
    <cellStyle name="Comma 2 4 3 8 3 4" xfId="13916" xr:uid="{00000000-0005-0000-0000-000059360000}"/>
    <cellStyle name="Comma 2 4 3 8 3 5" xfId="13917" xr:uid="{00000000-0005-0000-0000-00005A360000}"/>
    <cellStyle name="Comma 2 4 3 8 3 6" xfId="13918" xr:uid="{00000000-0005-0000-0000-00005B360000}"/>
    <cellStyle name="Comma 2 4 3 8 4" xfId="13919" xr:uid="{00000000-0005-0000-0000-00005C360000}"/>
    <cellStyle name="Comma 2 4 3 8 4 2" xfId="13920" xr:uid="{00000000-0005-0000-0000-00005D360000}"/>
    <cellStyle name="Comma 2 4 3 8 4 2 2" xfId="13921" xr:uid="{00000000-0005-0000-0000-00005E360000}"/>
    <cellStyle name="Comma 2 4 3 8 4 3" xfId="13922" xr:uid="{00000000-0005-0000-0000-00005F360000}"/>
    <cellStyle name="Comma 2 4 3 8 4 4" xfId="13923" xr:uid="{00000000-0005-0000-0000-000060360000}"/>
    <cellStyle name="Comma 2 4 3 8 4 5" xfId="13924" xr:uid="{00000000-0005-0000-0000-000061360000}"/>
    <cellStyle name="Comma 2 4 3 8 5" xfId="13925" xr:uid="{00000000-0005-0000-0000-000062360000}"/>
    <cellStyle name="Comma 2 4 3 8 5 2" xfId="13926" xr:uid="{00000000-0005-0000-0000-000063360000}"/>
    <cellStyle name="Comma 2 4 3 8 5 3" xfId="13927" xr:uid="{00000000-0005-0000-0000-000064360000}"/>
    <cellStyle name="Comma 2 4 3 8 5 4" xfId="13928" xr:uid="{00000000-0005-0000-0000-000065360000}"/>
    <cellStyle name="Comma 2 4 3 8 6" xfId="13929" xr:uid="{00000000-0005-0000-0000-000066360000}"/>
    <cellStyle name="Comma 2 4 3 8 6 2" xfId="13930" xr:uid="{00000000-0005-0000-0000-000067360000}"/>
    <cellStyle name="Comma 2 4 3 8 7" xfId="13931" xr:uid="{00000000-0005-0000-0000-000068360000}"/>
    <cellStyle name="Comma 2 4 3 8 8" xfId="13932" xr:uid="{00000000-0005-0000-0000-000069360000}"/>
    <cellStyle name="Comma 2 4 3 8 9" xfId="13933" xr:uid="{00000000-0005-0000-0000-00006A360000}"/>
    <cellStyle name="Comma 2 4 3 9" xfId="13934" xr:uid="{00000000-0005-0000-0000-00006B360000}"/>
    <cellStyle name="Comma 2 4 3 9 10" xfId="13935" xr:uid="{00000000-0005-0000-0000-00006C360000}"/>
    <cellStyle name="Comma 2 4 3 9 2" xfId="13936" xr:uid="{00000000-0005-0000-0000-00006D360000}"/>
    <cellStyle name="Comma 2 4 3 9 2 2" xfId="13937" xr:uid="{00000000-0005-0000-0000-00006E360000}"/>
    <cellStyle name="Comma 2 4 3 9 2 2 2" xfId="13938" xr:uid="{00000000-0005-0000-0000-00006F360000}"/>
    <cellStyle name="Comma 2 4 3 9 2 2 3" xfId="13939" xr:uid="{00000000-0005-0000-0000-000070360000}"/>
    <cellStyle name="Comma 2 4 3 9 2 3" xfId="13940" xr:uid="{00000000-0005-0000-0000-000071360000}"/>
    <cellStyle name="Comma 2 4 3 9 2 4" xfId="13941" xr:uid="{00000000-0005-0000-0000-000072360000}"/>
    <cellStyle name="Comma 2 4 3 9 2 5" xfId="13942" xr:uid="{00000000-0005-0000-0000-000073360000}"/>
    <cellStyle name="Comma 2 4 3 9 2 6" xfId="13943" xr:uid="{00000000-0005-0000-0000-000074360000}"/>
    <cellStyle name="Comma 2 4 3 9 3" xfId="13944" xr:uid="{00000000-0005-0000-0000-000075360000}"/>
    <cellStyle name="Comma 2 4 3 9 3 2" xfId="13945" xr:uid="{00000000-0005-0000-0000-000076360000}"/>
    <cellStyle name="Comma 2 4 3 9 3 2 2" xfId="13946" xr:uid="{00000000-0005-0000-0000-000077360000}"/>
    <cellStyle name="Comma 2 4 3 9 3 2 3" xfId="13947" xr:uid="{00000000-0005-0000-0000-000078360000}"/>
    <cellStyle name="Comma 2 4 3 9 3 3" xfId="13948" xr:uid="{00000000-0005-0000-0000-000079360000}"/>
    <cellStyle name="Comma 2 4 3 9 3 4" xfId="13949" xr:uid="{00000000-0005-0000-0000-00007A360000}"/>
    <cellStyle name="Comma 2 4 3 9 3 5" xfId="13950" xr:uid="{00000000-0005-0000-0000-00007B360000}"/>
    <cellStyle name="Comma 2 4 3 9 3 6" xfId="13951" xr:uid="{00000000-0005-0000-0000-00007C360000}"/>
    <cellStyle name="Comma 2 4 3 9 4" xfId="13952" xr:uid="{00000000-0005-0000-0000-00007D360000}"/>
    <cellStyle name="Comma 2 4 3 9 4 2" xfId="13953" xr:uid="{00000000-0005-0000-0000-00007E360000}"/>
    <cellStyle name="Comma 2 4 3 9 4 2 2" xfId="13954" xr:uid="{00000000-0005-0000-0000-00007F360000}"/>
    <cellStyle name="Comma 2 4 3 9 4 3" xfId="13955" xr:uid="{00000000-0005-0000-0000-000080360000}"/>
    <cellStyle name="Comma 2 4 3 9 4 4" xfId="13956" xr:uid="{00000000-0005-0000-0000-000081360000}"/>
    <cellStyle name="Comma 2 4 3 9 4 5" xfId="13957" xr:uid="{00000000-0005-0000-0000-000082360000}"/>
    <cellStyle name="Comma 2 4 3 9 5" xfId="13958" xr:uid="{00000000-0005-0000-0000-000083360000}"/>
    <cellStyle name="Comma 2 4 3 9 5 2" xfId="13959" xr:uid="{00000000-0005-0000-0000-000084360000}"/>
    <cellStyle name="Comma 2 4 3 9 5 3" xfId="13960" xr:uid="{00000000-0005-0000-0000-000085360000}"/>
    <cellStyle name="Comma 2 4 3 9 5 4" xfId="13961" xr:uid="{00000000-0005-0000-0000-000086360000}"/>
    <cellStyle name="Comma 2 4 3 9 6" xfId="13962" xr:uid="{00000000-0005-0000-0000-000087360000}"/>
    <cellStyle name="Comma 2 4 3 9 6 2" xfId="13963" xr:uid="{00000000-0005-0000-0000-000088360000}"/>
    <cellStyle name="Comma 2 4 3 9 7" xfId="13964" xr:uid="{00000000-0005-0000-0000-000089360000}"/>
    <cellStyle name="Comma 2 4 3 9 8" xfId="13965" xr:uid="{00000000-0005-0000-0000-00008A360000}"/>
    <cellStyle name="Comma 2 4 3 9 9" xfId="13966" xr:uid="{00000000-0005-0000-0000-00008B360000}"/>
    <cellStyle name="Comma 2 4 30" xfId="13967" xr:uid="{00000000-0005-0000-0000-00008C360000}"/>
    <cellStyle name="Comma 2 4 30 2" xfId="13968" xr:uid="{00000000-0005-0000-0000-00008D360000}"/>
    <cellStyle name="Comma 2 4 30 2 2" xfId="13969" xr:uid="{00000000-0005-0000-0000-00008E360000}"/>
    <cellStyle name="Comma 2 4 30 2 2 2" xfId="13970" xr:uid="{00000000-0005-0000-0000-00008F360000}"/>
    <cellStyle name="Comma 2 4 30 2 2 3" xfId="13971" xr:uid="{00000000-0005-0000-0000-000090360000}"/>
    <cellStyle name="Comma 2 4 30 2 3" xfId="13972" xr:uid="{00000000-0005-0000-0000-000091360000}"/>
    <cellStyle name="Comma 2 4 30 2 4" xfId="13973" xr:uid="{00000000-0005-0000-0000-000092360000}"/>
    <cellStyle name="Comma 2 4 30 2 5" xfId="13974" xr:uid="{00000000-0005-0000-0000-000093360000}"/>
    <cellStyle name="Comma 2 4 30 2 6" xfId="13975" xr:uid="{00000000-0005-0000-0000-000094360000}"/>
    <cellStyle name="Comma 2 4 30 3" xfId="13976" xr:uid="{00000000-0005-0000-0000-000095360000}"/>
    <cellStyle name="Comma 2 4 30 3 2" xfId="13977" xr:uid="{00000000-0005-0000-0000-000096360000}"/>
    <cellStyle name="Comma 2 4 30 3 2 2" xfId="13978" xr:uid="{00000000-0005-0000-0000-000097360000}"/>
    <cellStyle name="Comma 2 4 30 3 3" xfId="13979" xr:uid="{00000000-0005-0000-0000-000098360000}"/>
    <cellStyle name="Comma 2 4 30 3 4" xfId="13980" xr:uid="{00000000-0005-0000-0000-000099360000}"/>
    <cellStyle name="Comma 2 4 30 3 5" xfId="13981" xr:uid="{00000000-0005-0000-0000-00009A360000}"/>
    <cellStyle name="Comma 2 4 30 4" xfId="13982" xr:uid="{00000000-0005-0000-0000-00009B360000}"/>
    <cellStyle name="Comma 2 4 30 4 2" xfId="13983" xr:uid="{00000000-0005-0000-0000-00009C360000}"/>
    <cellStyle name="Comma 2 4 30 4 3" xfId="13984" xr:uid="{00000000-0005-0000-0000-00009D360000}"/>
    <cellStyle name="Comma 2 4 30 4 4" xfId="13985" xr:uid="{00000000-0005-0000-0000-00009E360000}"/>
    <cellStyle name="Comma 2 4 30 5" xfId="13986" xr:uid="{00000000-0005-0000-0000-00009F360000}"/>
    <cellStyle name="Comma 2 4 30 5 2" xfId="13987" xr:uid="{00000000-0005-0000-0000-0000A0360000}"/>
    <cellStyle name="Comma 2 4 30 6" xfId="13988" xr:uid="{00000000-0005-0000-0000-0000A1360000}"/>
    <cellStyle name="Comma 2 4 30 7" xfId="13989" xr:uid="{00000000-0005-0000-0000-0000A2360000}"/>
    <cellStyle name="Comma 2 4 30 8" xfId="13990" xr:uid="{00000000-0005-0000-0000-0000A3360000}"/>
    <cellStyle name="Comma 2 4 30 9" xfId="13991" xr:uid="{00000000-0005-0000-0000-0000A4360000}"/>
    <cellStyle name="Comma 2 4 31" xfId="13992" xr:uid="{00000000-0005-0000-0000-0000A5360000}"/>
    <cellStyle name="Comma 2 4 31 2" xfId="13993" xr:uid="{00000000-0005-0000-0000-0000A6360000}"/>
    <cellStyle name="Comma 2 4 31 2 2" xfId="13994" xr:uid="{00000000-0005-0000-0000-0000A7360000}"/>
    <cellStyle name="Comma 2 4 31 2 3" xfId="13995" xr:uid="{00000000-0005-0000-0000-0000A8360000}"/>
    <cellStyle name="Comma 2 4 31 3" xfId="13996" xr:uid="{00000000-0005-0000-0000-0000A9360000}"/>
    <cellStyle name="Comma 2 4 31 4" xfId="13997" xr:uid="{00000000-0005-0000-0000-0000AA360000}"/>
    <cellStyle name="Comma 2 4 31 5" xfId="13998" xr:uid="{00000000-0005-0000-0000-0000AB360000}"/>
    <cellStyle name="Comma 2 4 31 6" xfId="13999" xr:uid="{00000000-0005-0000-0000-0000AC360000}"/>
    <cellStyle name="Comma 2 4 32" xfId="14000" xr:uid="{00000000-0005-0000-0000-0000AD360000}"/>
    <cellStyle name="Comma 2 4 32 2" xfId="14001" xr:uid="{00000000-0005-0000-0000-0000AE360000}"/>
    <cellStyle name="Comma 2 4 32 2 2" xfId="14002" xr:uid="{00000000-0005-0000-0000-0000AF360000}"/>
    <cellStyle name="Comma 2 4 32 3" xfId="14003" xr:uid="{00000000-0005-0000-0000-0000B0360000}"/>
    <cellStyle name="Comma 2 4 32 4" xfId="14004" xr:uid="{00000000-0005-0000-0000-0000B1360000}"/>
    <cellStyle name="Comma 2 4 32 5" xfId="14005" xr:uid="{00000000-0005-0000-0000-0000B2360000}"/>
    <cellStyle name="Comma 2 4 33" xfId="14006" xr:uid="{00000000-0005-0000-0000-0000B3360000}"/>
    <cellStyle name="Comma 2 4 33 2" xfId="14007" xr:uid="{00000000-0005-0000-0000-0000B4360000}"/>
    <cellStyle name="Comma 2 4 33 2 2" xfId="14008" xr:uid="{00000000-0005-0000-0000-0000B5360000}"/>
    <cellStyle name="Comma 2 4 33 3" xfId="14009" xr:uid="{00000000-0005-0000-0000-0000B6360000}"/>
    <cellStyle name="Comma 2 4 33 4" xfId="14010" xr:uid="{00000000-0005-0000-0000-0000B7360000}"/>
    <cellStyle name="Comma 2 4 33 5" xfId="14011" xr:uid="{00000000-0005-0000-0000-0000B8360000}"/>
    <cellStyle name="Comma 2 4 34" xfId="14012" xr:uid="{00000000-0005-0000-0000-0000B9360000}"/>
    <cellStyle name="Comma 2 4 34 2" xfId="14013" xr:uid="{00000000-0005-0000-0000-0000BA360000}"/>
    <cellStyle name="Comma 2 4 35" xfId="14014" xr:uid="{00000000-0005-0000-0000-0000BB360000}"/>
    <cellStyle name="Comma 2 4 36" xfId="14015" xr:uid="{00000000-0005-0000-0000-0000BC360000}"/>
    <cellStyle name="Comma 2 4 37" xfId="14016" xr:uid="{00000000-0005-0000-0000-0000BD360000}"/>
    <cellStyle name="Comma 2 4 38" xfId="14017" xr:uid="{00000000-0005-0000-0000-0000BE360000}"/>
    <cellStyle name="Comma 2 4 4" xfId="14018" xr:uid="{00000000-0005-0000-0000-0000BF360000}"/>
    <cellStyle name="Comma 2 4 4 10" xfId="14019" xr:uid="{00000000-0005-0000-0000-0000C0360000}"/>
    <cellStyle name="Comma 2 4 4 11" xfId="14020" xr:uid="{00000000-0005-0000-0000-0000C1360000}"/>
    <cellStyle name="Comma 2 4 4 2" xfId="14021" xr:uid="{00000000-0005-0000-0000-0000C2360000}"/>
    <cellStyle name="Comma 2 4 4 2 2" xfId="14022" xr:uid="{00000000-0005-0000-0000-0000C3360000}"/>
    <cellStyle name="Comma 2 4 4 2 2 2" xfId="14023" xr:uid="{00000000-0005-0000-0000-0000C4360000}"/>
    <cellStyle name="Comma 2 4 4 2 2 2 2" xfId="14024" xr:uid="{00000000-0005-0000-0000-0000C5360000}"/>
    <cellStyle name="Comma 2 4 4 2 2 2 3" xfId="14025" xr:uid="{00000000-0005-0000-0000-0000C6360000}"/>
    <cellStyle name="Comma 2 4 4 2 2 3" xfId="14026" xr:uid="{00000000-0005-0000-0000-0000C7360000}"/>
    <cellStyle name="Comma 2 4 4 2 2 4" xfId="14027" xr:uid="{00000000-0005-0000-0000-0000C8360000}"/>
    <cellStyle name="Comma 2 4 4 2 2 5" xfId="14028" xr:uid="{00000000-0005-0000-0000-0000C9360000}"/>
    <cellStyle name="Comma 2 4 4 2 2 6" xfId="14029" xr:uid="{00000000-0005-0000-0000-0000CA360000}"/>
    <cellStyle name="Comma 2 4 4 2 3" xfId="14030" xr:uid="{00000000-0005-0000-0000-0000CB360000}"/>
    <cellStyle name="Comma 2 4 4 2 3 2" xfId="14031" xr:uid="{00000000-0005-0000-0000-0000CC360000}"/>
    <cellStyle name="Comma 2 4 4 2 3 2 2" xfId="14032" xr:uid="{00000000-0005-0000-0000-0000CD360000}"/>
    <cellStyle name="Comma 2 4 4 2 3 3" xfId="14033" xr:uid="{00000000-0005-0000-0000-0000CE360000}"/>
    <cellStyle name="Comma 2 4 4 2 3 4" xfId="14034" xr:uid="{00000000-0005-0000-0000-0000CF360000}"/>
    <cellStyle name="Comma 2 4 4 2 3 5" xfId="14035" xr:uid="{00000000-0005-0000-0000-0000D0360000}"/>
    <cellStyle name="Comma 2 4 4 2 4" xfId="14036" xr:uid="{00000000-0005-0000-0000-0000D1360000}"/>
    <cellStyle name="Comma 2 4 4 2 4 2" xfId="14037" xr:uid="{00000000-0005-0000-0000-0000D2360000}"/>
    <cellStyle name="Comma 2 4 4 2 4 3" xfId="14038" xr:uid="{00000000-0005-0000-0000-0000D3360000}"/>
    <cellStyle name="Comma 2 4 4 2 4 4" xfId="14039" xr:uid="{00000000-0005-0000-0000-0000D4360000}"/>
    <cellStyle name="Comma 2 4 4 2 5" xfId="14040" xr:uid="{00000000-0005-0000-0000-0000D5360000}"/>
    <cellStyle name="Comma 2 4 4 2 5 2" xfId="14041" xr:uid="{00000000-0005-0000-0000-0000D6360000}"/>
    <cellStyle name="Comma 2 4 4 2 6" xfId="14042" xr:uid="{00000000-0005-0000-0000-0000D7360000}"/>
    <cellStyle name="Comma 2 4 4 2 7" xfId="14043" xr:uid="{00000000-0005-0000-0000-0000D8360000}"/>
    <cellStyle name="Comma 2 4 4 2 8" xfId="14044" xr:uid="{00000000-0005-0000-0000-0000D9360000}"/>
    <cellStyle name="Comma 2 4 4 2 9" xfId="14045" xr:uid="{00000000-0005-0000-0000-0000DA360000}"/>
    <cellStyle name="Comma 2 4 4 3" xfId="14046" xr:uid="{00000000-0005-0000-0000-0000DB360000}"/>
    <cellStyle name="Comma 2 4 4 3 2" xfId="14047" xr:uid="{00000000-0005-0000-0000-0000DC360000}"/>
    <cellStyle name="Comma 2 4 4 3 2 2" xfId="14048" xr:uid="{00000000-0005-0000-0000-0000DD360000}"/>
    <cellStyle name="Comma 2 4 4 3 2 2 2" xfId="14049" xr:uid="{00000000-0005-0000-0000-0000DE360000}"/>
    <cellStyle name="Comma 2 4 4 3 2 2 3" xfId="14050" xr:uid="{00000000-0005-0000-0000-0000DF360000}"/>
    <cellStyle name="Comma 2 4 4 3 2 3" xfId="14051" xr:uid="{00000000-0005-0000-0000-0000E0360000}"/>
    <cellStyle name="Comma 2 4 4 3 2 4" xfId="14052" xr:uid="{00000000-0005-0000-0000-0000E1360000}"/>
    <cellStyle name="Comma 2 4 4 3 2 5" xfId="14053" xr:uid="{00000000-0005-0000-0000-0000E2360000}"/>
    <cellStyle name="Comma 2 4 4 3 2 6" xfId="14054" xr:uid="{00000000-0005-0000-0000-0000E3360000}"/>
    <cellStyle name="Comma 2 4 4 3 3" xfId="14055" xr:uid="{00000000-0005-0000-0000-0000E4360000}"/>
    <cellStyle name="Comma 2 4 4 3 3 2" xfId="14056" xr:uid="{00000000-0005-0000-0000-0000E5360000}"/>
    <cellStyle name="Comma 2 4 4 3 3 2 2" xfId="14057" xr:uid="{00000000-0005-0000-0000-0000E6360000}"/>
    <cellStyle name="Comma 2 4 4 3 3 3" xfId="14058" xr:uid="{00000000-0005-0000-0000-0000E7360000}"/>
    <cellStyle name="Comma 2 4 4 3 3 4" xfId="14059" xr:uid="{00000000-0005-0000-0000-0000E8360000}"/>
    <cellStyle name="Comma 2 4 4 3 3 5" xfId="14060" xr:uid="{00000000-0005-0000-0000-0000E9360000}"/>
    <cellStyle name="Comma 2 4 4 3 4" xfId="14061" xr:uid="{00000000-0005-0000-0000-0000EA360000}"/>
    <cellStyle name="Comma 2 4 4 3 4 2" xfId="14062" xr:uid="{00000000-0005-0000-0000-0000EB360000}"/>
    <cellStyle name="Comma 2 4 4 3 4 3" xfId="14063" xr:uid="{00000000-0005-0000-0000-0000EC360000}"/>
    <cellStyle name="Comma 2 4 4 3 4 4" xfId="14064" xr:uid="{00000000-0005-0000-0000-0000ED360000}"/>
    <cellStyle name="Comma 2 4 4 3 5" xfId="14065" xr:uid="{00000000-0005-0000-0000-0000EE360000}"/>
    <cellStyle name="Comma 2 4 4 3 5 2" xfId="14066" xr:uid="{00000000-0005-0000-0000-0000EF360000}"/>
    <cellStyle name="Comma 2 4 4 3 6" xfId="14067" xr:uid="{00000000-0005-0000-0000-0000F0360000}"/>
    <cellStyle name="Comma 2 4 4 3 7" xfId="14068" xr:uid="{00000000-0005-0000-0000-0000F1360000}"/>
    <cellStyle name="Comma 2 4 4 3 8" xfId="14069" xr:uid="{00000000-0005-0000-0000-0000F2360000}"/>
    <cellStyle name="Comma 2 4 4 3 9" xfId="14070" xr:uid="{00000000-0005-0000-0000-0000F3360000}"/>
    <cellStyle name="Comma 2 4 4 4" xfId="14071" xr:uid="{00000000-0005-0000-0000-0000F4360000}"/>
    <cellStyle name="Comma 2 4 4 4 2" xfId="14072" xr:uid="{00000000-0005-0000-0000-0000F5360000}"/>
    <cellStyle name="Comma 2 4 4 4 2 2" xfId="14073" xr:uid="{00000000-0005-0000-0000-0000F6360000}"/>
    <cellStyle name="Comma 2 4 4 4 2 3" xfId="14074" xr:uid="{00000000-0005-0000-0000-0000F7360000}"/>
    <cellStyle name="Comma 2 4 4 4 3" xfId="14075" xr:uid="{00000000-0005-0000-0000-0000F8360000}"/>
    <cellStyle name="Comma 2 4 4 4 4" xfId="14076" xr:uid="{00000000-0005-0000-0000-0000F9360000}"/>
    <cellStyle name="Comma 2 4 4 4 5" xfId="14077" xr:uid="{00000000-0005-0000-0000-0000FA360000}"/>
    <cellStyle name="Comma 2 4 4 4 6" xfId="14078" xr:uid="{00000000-0005-0000-0000-0000FB360000}"/>
    <cellStyle name="Comma 2 4 4 5" xfId="14079" xr:uid="{00000000-0005-0000-0000-0000FC360000}"/>
    <cellStyle name="Comma 2 4 4 5 2" xfId="14080" xr:uid="{00000000-0005-0000-0000-0000FD360000}"/>
    <cellStyle name="Comma 2 4 4 5 2 2" xfId="14081" xr:uid="{00000000-0005-0000-0000-0000FE360000}"/>
    <cellStyle name="Comma 2 4 4 5 3" xfId="14082" xr:uid="{00000000-0005-0000-0000-0000FF360000}"/>
    <cellStyle name="Comma 2 4 4 5 4" xfId="14083" xr:uid="{00000000-0005-0000-0000-000000370000}"/>
    <cellStyle name="Comma 2 4 4 5 5" xfId="14084" xr:uid="{00000000-0005-0000-0000-000001370000}"/>
    <cellStyle name="Comma 2 4 4 6" xfId="14085" xr:uid="{00000000-0005-0000-0000-000002370000}"/>
    <cellStyle name="Comma 2 4 4 6 2" xfId="14086" xr:uid="{00000000-0005-0000-0000-000003370000}"/>
    <cellStyle name="Comma 2 4 4 6 3" xfId="14087" xr:uid="{00000000-0005-0000-0000-000004370000}"/>
    <cellStyle name="Comma 2 4 4 6 4" xfId="14088" xr:uid="{00000000-0005-0000-0000-000005370000}"/>
    <cellStyle name="Comma 2 4 4 7" xfId="14089" xr:uid="{00000000-0005-0000-0000-000006370000}"/>
    <cellStyle name="Comma 2 4 4 7 2" xfId="14090" xr:uid="{00000000-0005-0000-0000-000007370000}"/>
    <cellStyle name="Comma 2 4 4 8" xfId="14091" xr:uid="{00000000-0005-0000-0000-000008370000}"/>
    <cellStyle name="Comma 2 4 4 9" xfId="14092" xr:uid="{00000000-0005-0000-0000-000009370000}"/>
    <cellStyle name="Comma 2 4 5" xfId="14093" xr:uid="{00000000-0005-0000-0000-00000A370000}"/>
    <cellStyle name="Comma 2 4 5 10" xfId="14094" xr:uid="{00000000-0005-0000-0000-00000B370000}"/>
    <cellStyle name="Comma 2 4 5 11" xfId="14095" xr:uid="{00000000-0005-0000-0000-00000C370000}"/>
    <cellStyle name="Comma 2 4 5 2" xfId="14096" xr:uid="{00000000-0005-0000-0000-00000D370000}"/>
    <cellStyle name="Comma 2 4 5 2 2" xfId="14097" xr:uid="{00000000-0005-0000-0000-00000E370000}"/>
    <cellStyle name="Comma 2 4 5 2 2 2" xfId="14098" xr:uid="{00000000-0005-0000-0000-00000F370000}"/>
    <cellStyle name="Comma 2 4 5 2 2 2 2" xfId="14099" xr:uid="{00000000-0005-0000-0000-000010370000}"/>
    <cellStyle name="Comma 2 4 5 2 2 2 3" xfId="14100" xr:uid="{00000000-0005-0000-0000-000011370000}"/>
    <cellStyle name="Comma 2 4 5 2 2 3" xfId="14101" xr:uid="{00000000-0005-0000-0000-000012370000}"/>
    <cellStyle name="Comma 2 4 5 2 2 4" xfId="14102" xr:uid="{00000000-0005-0000-0000-000013370000}"/>
    <cellStyle name="Comma 2 4 5 2 2 5" xfId="14103" xr:uid="{00000000-0005-0000-0000-000014370000}"/>
    <cellStyle name="Comma 2 4 5 2 2 6" xfId="14104" xr:uid="{00000000-0005-0000-0000-000015370000}"/>
    <cellStyle name="Comma 2 4 5 2 3" xfId="14105" xr:uid="{00000000-0005-0000-0000-000016370000}"/>
    <cellStyle name="Comma 2 4 5 2 3 2" xfId="14106" xr:uid="{00000000-0005-0000-0000-000017370000}"/>
    <cellStyle name="Comma 2 4 5 2 3 2 2" xfId="14107" xr:uid="{00000000-0005-0000-0000-000018370000}"/>
    <cellStyle name="Comma 2 4 5 2 3 3" xfId="14108" xr:uid="{00000000-0005-0000-0000-000019370000}"/>
    <cellStyle name="Comma 2 4 5 2 3 4" xfId="14109" xr:uid="{00000000-0005-0000-0000-00001A370000}"/>
    <cellStyle name="Comma 2 4 5 2 3 5" xfId="14110" xr:uid="{00000000-0005-0000-0000-00001B370000}"/>
    <cellStyle name="Comma 2 4 5 2 4" xfId="14111" xr:uid="{00000000-0005-0000-0000-00001C370000}"/>
    <cellStyle name="Comma 2 4 5 2 4 2" xfId="14112" xr:uid="{00000000-0005-0000-0000-00001D370000}"/>
    <cellStyle name="Comma 2 4 5 2 4 3" xfId="14113" xr:uid="{00000000-0005-0000-0000-00001E370000}"/>
    <cellStyle name="Comma 2 4 5 2 4 4" xfId="14114" xr:uid="{00000000-0005-0000-0000-00001F370000}"/>
    <cellStyle name="Comma 2 4 5 2 5" xfId="14115" xr:uid="{00000000-0005-0000-0000-000020370000}"/>
    <cellStyle name="Comma 2 4 5 2 5 2" xfId="14116" xr:uid="{00000000-0005-0000-0000-000021370000}"/>
    <cellStyle name="Comma 2 4 5 2 6" xfId="14117" xr:uid="{00000000-0005-0000-0000-000022370000}"/>
    <cellStyle name="Comma 2 4 5 2 7" xfId="14118" xr:uid="{00000000-0005-0000-0000-000023370000}"/>
    <cellStyle name="Comma 2 4 5 2 8" xfId="14119" xr:uid="{00000000-0005-0000-0000-000024370000}"/>
    <cellStyle name="Comma 2 4 5 2 9" xfId="14120" xr:uid="{00000000-0005-0000-0000-000025370000}"/>
    <cellStyle name="Comma 2 4 5 3" xfId="14121" xr:uid="{00000000-0005-0000-0000-000026370000}"/>
    <cellStyle name="Comma 2 4 5 3 2" xfId="14122" xr:uid="{00000000-0005-0000-0000-000027370000}"/>
    <cellStyle name="Comma 2 4 5 3 2 2" xfId="14123" xr:uid="{00000000-0005-0000-0000-000028370000}"/>
    <cellStyle name="Comma 2 4 5 3 2 2 2" xfId="14124" xr:uid="{00000000-0005-0000-0000-000029370000}"/>
    <cellStyle name="Comma 2 4 5 3 2 2 3" xfId="14125" xr:uid="{00000000-0005-0000-0000-00002A370000}"/>
    <cellStyle name="Comma 2 4 5 3 2 3" xfId="14126" xr:uid="{00000000-0005-0000-0000-00002B370000}"/>
    <cellStyle name="Comma 2 4 5 3 2 4" xfId="14127" xr:uid="{00000000-0005-0000-0000-00002C370000}"/>
    <cellStyle name="Comma 2 4 5 3 2 5" xfId="14128" xr:uid="{00000000-0005-0000-0000-00002D370000}"/>
    <cellStyle name="Comma 2 4 5 3 2 6" xfId="14129" xr:uid="{00000000-0005-0000-0000-00002E370000}"/>
    <cellStyle name="Comma 2 4 5 3 3" xfId="14130" xr:uid="{00000000-0005-0000-0000-00002F370000}"/>
    <cellStyle name="Comma 2 4 5 3 3 2" xfId="14131" xr:uid="{00000000-0005-0000-0000-000030370000}"/>
    <cellStyle name="Comma 2 4 5 3 3 2 2" xfId="14132" xr:uid="{00000000-0005-0000-0000-000031370000}"/>
    <cellStyle name="Comma 2 4 5 3 3 3" xfId="14133" xr:uid="{00000000-0005-0000-0000-000032370000}"/>
    <cellStyle name="Comma 2 4 5 3 3 4" xfId="14134" xr:uid="{00000000-0005-0000-0000-000033370000}"/>
    <cellStyle name="Comma 2 4 5 3 3 5" xfId="14135" xr:uid="{00000000-0005-0000-0000-000034370000}"/>
    <cellStyle name="Comma 2 4 5 3 4" xfId="14136" xr:uid="{00000000-0005-0000-0000-000035370000}"/>
    <cellStyle name="Comma 2 4 5 3 4 2" xfId="14137" xr:uid="{00000000-0005-0000-0000-000036370000}"/>
    <cellStyle name="Comma 2 4 5 3 4 3" xfId="14138" xr:uid="{00000000-0005-0000-0000-000037370000}"/>
    <cellStyle name="Comma 2 4 5 3 4 4" xfId="14139" xr:uid="{00000000-0005-0000-0000-000038370000}"/>
    <cellStyle name="Comma 2 4 5 3 5" xfId="14140" xr:uid="{00000000-0005-0000-0000-000039370000}"/>
    <cellStyle name="Comma 2 4 5 3 5 2" xfId="14141" xr:uid="{00000000-0005-0000-0000-00003A370000}"/>
    <cellStyle name="Comma 2 4 5 3 6" xfId="14142" xr:uid="{00000000-0005-0000-0000-00003B370000}"/>
    <cellStyle name="Comma 2 4 5 3 7" xfId="14143" xr:uid="{00000000-0005-0000-0000-00003C370000}"/>
    <cellStyle name="Comma 2 4 5 3 8" xfId="14144" xr:uid="{00000000-0005-0000-0000-00003D370000}"/>
    <cellStyle name="Comma 2 4 5 3 9" xfId="14145" xr:uid="{00000000-0005-0000-0000-00003E370000}"/>
    <cellStyle name="Comma 2 4 5 4" xfId="14146" xr:uid="{00000000-0005-0000-0000-00003F370000}"/>
    <cellStyle name="Comma 2 4 5 4 2" xfId="14147" xr:uid="{00000000-0005-0000-0000-000040370000}"/>
    <cellStyle name="Comma 2 4 5 4 2 2" xfId="14148" xr:uid="{00000000-0005-0000-0000-000041370000}"/>
    <cellStyle name="Comma 2 4 5 4 2 3" xfId="14149" xr:uid="{00000000-0005-0000-0000-000042370000}"/>
    <cellStyle name="Comma 2 4 5 4 3" xfId="14150" xr:uid="{00000000-0005-0000-0000-000043370000}"/>
    <cellStyle name="Comma 2 4 5 4 4" xfId="14151" xr:uid="{00000000-0005-0000-0000-000044370000}"/>
    <cellStyle name="Comma 2 4 5 4 5" xfId="14152" xr:uid="{00000000-0005-0000-0000-000045370000}"/>
    <cellStyle name="Comma 2 4 5 4 6" xfId="14153" xr:uid="{00000000-0005-0000-0000-000046370000}"/>
    <cellStyle name="Comma 2 4 5 5" xfId="14154" xr:uid="{00000000-0005-0000-0000-000047370000}"/>
    <cellStyle name="Comma 2 4 5 5 2" xfId="14155" xr:uid="{00000000-0005-0000-0000-000048370000}"/>
    <cellStyle name="Comma 2 4 5 5 2 2" xfId="14156" xr:uid="{00000000-0005-0000-0000-000049370000}"/>
    <cellStyle name="Comma 2 4 5 5 3" xfId="14157" xr:uid="{00000000-0005-0000-0000-00004A370000}"/>
    <cellStyle name="Comma 2 4 5 5 4" xfId="14158" xr:uid="{00000000-0005-0000-0000-00004B370000}"/>
    <cellStyle name="Comma 2 4 5 5 5" xfId="14159" xr:uid="{00000000-0005-0000-0000-00004C370000}"/>
    <cellStyle name="Comma 2 4 5 6" xfId="14160" xr:uid="{00000000-0005-0000-0000-00004D370000}"/>
    <cellStyle name="Comma 2 4 5 6 2" xfId="14161" xr:uid="{00000000-0005-0000-0000-00004E370000}"/>
    <cellStyle name="Comma 2 4 5 6 3" xfId="14162" xr:uid="{00000000-0005-0000-0000-00004F370000}"/>
    <cellStyle name="Comma 2 4 5 6 4" xfId="14163" xr:uid="{00000000-0005-0000-0000-000050370000}"/>
    <cellStyle name="Comma 2 4 5 7" xfId="14164" xr:uid="{00000000-0005-0000-0000-000051370000}"/>
    <cellStyle name="Comma 2 4 5 7 2" xfId="14165" xr:uid="{00000000-0005-0000-0000-000052370000}"/>
    <cellStyle name="Comma 2 4 5 8" xfId="14166" xr:uid="{00000000-0005-0000-0000-000053370000}"/>
    <cellStyle name="Comma 2 4 5 9" xfId="14167" xr:uid="{00000000-0005-0000-0000-000054370000}"/>
    <cellStyle name="Comma 2 4 6" xfId="14168" xr:uid="{00000000-0005-0000-0000-000055370000}"/>
    <cellStyle name="Comma 2 4 6 10" xfId="14169" xr:uid="{00000000-0005-0000-0000-000056370000}"/>
    <cellStyle name="Comma 2 4 6 11" xfId="14170" xr:uid="{00000000-0005-0000-0000-000057370000}"/>
    <cellStyle name="Comma 2 4 6 2" xfId="14171" xr:uid="{00000000-0005-0000-0000-000058370000}"/>
    <cellStyle name="Comma 2 4 6 2 2" xfId="14172" xr:uid="{00000000-0005-0000-0000-000059370000}"/>
    <cellStyle name="Comma 2 4 6 2 2 2" xfId="14173" xr:uid="{00000000-0005-0000-0000-00005A370000}"/>
    <cellStyle name="Comma 2 4 6 2 2 2 2" xfId="14174" xr:uid="{00000000-0005-0000-0000-00005B370000}"/>
    <cellStyle name="Comma 2 4 6 2 2 2 3" xfId="14175" xr:uid="{00000000-0005-0000-0000-00005C370000}"/>
    <cellStyle name="Comma 2 4 6 2 2 3" xfId="14176" xr:uid="{00000000-0005-0000-0000-00005D370000}"/>
    <cellStyle name="Comma 2 4 6 2 2 4" xfId="14177" xr:uid="{00000000-0005-0000-0000-00005E370000}"/>
    <cellStyle name="Comma 2 4 6 2 2 5" xfId="14178" xr:uid="{00000000-0005-0000-0000-00005F370000}"/>
    <cellStyle name="Comma 2 4 6 2 2 6" xfId="14179" xr:uid="{00000000-0005-0000-0000-000060370000}"/>
    <cellStyle name="Comma 2 4 6 2 3" xfId="14180" xr:uid="{00000000-0005-0000-0000-000061370000}"/>
    <cellStyle name="Comma 2 4 6 2 3 2" xfId="14181" xr:uid="{00000000-0005-0000-0000-000062370000}"/>
    <cellStyle name="Comma 2 4 6 2 3 2 2" xfId="14182" xr:uid="{00000000-0005-0000-0000-000063370000}"/>
    <cellStyle name="Comma 2 4 6 2 3 3" xfId="14183" xr:uid="{00000000-0005-0000-0000-000064370000}"/>
    <cellStyle name="Comma 2 4 6 2 3 4" xfId="14184" xr:uid="{00000000-0005-0000-0000-000065370000}"/>
    <cellStyle name="Comma 2 4 6 2 3 5" xfId="14185" xr:uid="{00000000-0005-0000-0000-000066370000}"/>
    <cellStyle name="Comma 2 4 6 2 4" xfId="14186" xr:uid="{00000000-0005-0000-0000-000067370000}"/>
    <cellStyle name="Comma 2 4 6 2 4 2" xfId="14187" xr:uid="{00000000-0005-0000-0000-000068370000}"/>
    <cellStyle name="Comma 2 4 6 2 4 3" xfId="14188" xr:uid="{00000000-0005-0000-0000-000069370000}"/>
    <cellStyle name="Comma 2 4 6 2 4 4" xfId="14189" xr:uid="{00000000-0005-0000-0000-00006A370000}"/>
    <cellStyle name="Comma 2 4 6 2 5" xfId="14190" xr:uid="{00000000-0005-0000-0000-00006B370000}"/>
    <cellStyle name="Comma 2 4 6 2 5 2" xfId="14191" xr:uid="{00000000-0005-0000-0000-00006C370000}"/>
    <cellStyle name="Comma 2 4 6 2 6" xfId="14192" xr:uid="{00000000-0005-0000-0000-00006D370000}"/>
    <cellStyle name="Comma 2 4 6 2 7" xfId="14193" xr:uid="{00000000-0005-0000-0000-00006E370000}"/>
    <cellStyle name="Comma 2 4 6 2 8" xfId="14194" xr:uid="{00000000-0005-0000-0000-00006F370000}"/>
    <cellStyle name="Comma 2 4 6 2 9" xfId="14195" xr:uid="{00000000-0005-0000-0000-000070370000}"/>
    <cellStyle name="Comma 2 4 6 3" xfId="14196" xr:uid="{00000000-0005-0000-0000-000071370000}"/>
    <cellStyle name="Comma 2 4 6 3 2" xfId="14197" xr:uid="{00000000-0005-0000-0000-000072370000}"/>
    <cellStyle name="Comma 2 4 6 3 2 2" xfId="14198" xr:uid="{00000000-0005-0000-0000-000073370000}"/>
    <cellStyle name="Comma 2 4 6 3 2 2 2" xfId="14199" xr:uid="{00000000-0005-0000-0000-000074370000}"/>
    <cellStyle name="Comma 2 4 6 3 2 2 3" xfId="14200" xr:uid="{00000000-0005-0000-0000-000075370000}"/>
    <cellStyle name="Comma 2 4 6 3 2 3" xfId="14201" xr:uid="{00000000-0005-0000-0000-000076370000}"/>
    <cellStyle name="Comma 2 4 6 3 2 4" xfId="14202" xr:uid="{00000000-0005-0000-0000-000077370000}"/>
    <cellStyle name="Comma 2 4 6 3 2 5" xfId="14203" xr:uid="{00000000-0005-0000-0000-000078370000}"/>
    <cellStyle name="Comma 2 4 6 3 2 6" xfId="14204" xr:uid="{00000000-0005-0000-0000-000079370000}"/>
    <cellStyle name="Comma 2 4 6 3 3" xfId="14205" xr:uid="{00000000-0005-0000-0000-00007A370000}"/>
    <cellStyle name="Comma 2 4 6 3 3 2" xfId="14206" xr:uid="{00000000-0005-0000-0000-00007B370000}"/>
    <cellStyle name="Comma 2 4 6 3 3 2 2" xfId="14207" xr:uid="{00000000-0005-0000-0000-00007C370000}"/>
    <cellStyle name="Comma 2 4 6 3 3 3" xfId="14208" xr:uid="{00000000-0005-0000-0000-00007D370000}"/>
    <cellStyle name="Comma 2 4 6 3 3 4" xfId="14209" xr:uid="{00000000-0005-0000-0000-00007E370000}"/>
    <cellStyle name="Comma 2 4 6 3 3 5" xfId="14210" xr:uid="{00000000-0005-0000-0000-00007F370000}"/>
    <cellStyle name="Comma 2 4 6 3 4" xfId="14211" xr:uid="{00000000-0005-0000-0000-000080370000}"/>
    <cellStyle name="Comma 2 4 6 3 4 2" xfId="14212" xr:uid="{00000000-0005-0000-0000-000081370000}"/>
    <cellStyle name="Comma 2 4 6 3 4 3" xfId="14213" xr:uid="{00000000-0005-0000-0000-000082370000}"/>
    <cellStyle name="Comma 2 4 6 3 4 4" xfId="14214" xr:uid="{00000000-0005-0000-0000-000083370000}"/>
    <cellStyle name="Comma 2 4 6 3 5" xfId="14215" xr:uid="{00000000-0005-0000-0000-000084370000}"/>
    <cellStyle name="Comma 2 4 6 3 5 2" xfId="14216" xr:uid="{00000000-0005-0000-0000-000085370000}"/>
    <cellStyle name="Comma 2 4 6 3 6" xfId="14217" xr:uid="{00000000-0005-0000-0000-000086370000}"/>
    <cellStyle name="Comma 2 4 6 3 7" xfId="14218" xr:uid="{00000000-0005-0000-0000-000087370000}"/>
    <cellStyle name="Comma 2 4 6 3 8" xfId="14219" xr:uid="{00000000-0005-0000-0000-000088370000}"/>
    <cellStyle name="Comma 2 4 6 3 9" xfId="14220" xr:uid="{00000000-0005-0000-0000-000089370000}"/>
    <cellStyle name="Comma 2 4 6 4" xfId="14221" xr:uid="{00000000-0005-0000-0000-00008A370000}"/>
    <cellStyle name="Comma 2 4 6 4 2" xfId="14222" xr:uid="{00000000-0005-0000-0000-00008B370000}"/>
    <cellStyle name="Comma 2 4 6 4 2 2" xfId="14223" xr:uid="{00000000-0005-0000-0000-00008C370000}"/>
    <cellStyle name="Comma 2 4 6 4 2 3" xfId="14224" xr:uid="{00000000-0005-0000-0000-00008D370000}"/>
    <cellStyle name="Comma 2 4 6 4 3" xfId="14225" xr:uid="{00000000-0005-0000-0000-00008E370000}"/>
    <cellStyle name="Comma 2 4 6 4 4" xfId="14226" xr:uid="{00000000-0005-0000-0000-00008F370000}"/>
    <cellStyle name="Comma 2 4 6 4 5" xfId="14227" xr:uid="{00000000-0005-0000-0000-000090370000}"/>
    <cellStyle name="Comma 2 4 6 4 6" xfId="14228" xr:uid="{00000000-0005-0000-0000-000091370000}"/>
    <cellStyle name="Comma 2 4 6 5" xfId="14229" xr:uid="{00000000-0005-0000-0000-000092370000}"/>
    <cellStyle name="Comma 2 4 6 5 2" xfId="14230" xr:uid="{00000000-0005-0000-0000-000093370000}"/>
    <cellStyle name="Comma 2 4 6 5 2 2" xfId="14231" xr:uid="{00000000-0005-0000-0000-000094370000}"/>
    <cellStyle name="Comma 2 4 6 5 3" xfId="14232" xr:uid="{00000000-0005-0000-0000-000095370000}"/>
    <cellStyle name="Comma 2 4 6 5 4" xfId="14233" xr:uid="{00000000-0005-0000-0000-000096370000}"/>
    <cellStyle name="Comma 2 4 6 5 5" xfId="14234" xr:uid="{00000000-0005-0000-0000-000097370000}"/>
    <cellStyle name="Comma 2 4 6 6" xfId="14235" xr:uid="{00000000-0005-0000-0000-000098370000}"/>
    <cellStyle name="Comma 2 4 6 6 2" xfId="14236" xr:uid="{00000000-0005-0000-0000-000099370000}"/>
    <cellStyle name="Comma 2 4 6 6 3" xfId="14237" xr:uid="{00000000-0005-0000-0000-00009A370000}"/>
    <cellStyle name="Comma 2 4 6 6 4" xfId="14238" xr:uid="{00000000-0005-0000-0000-00009B370000}"/>
    <cellStyle name="Comma 2 4 6 7" xfId="14239" xr:uid="{00000000-0005-0000-0000-00009C370000}"/>
    <cellStyle name="Comma 2 4 6 7 2" xfId="14240" xr:uid="{00000000-0005-0000-0000-00009D370000}"/>
    <cellStyle name="Comma 2 4 6 8" xfId="14241" xr:uid="{00000000-0005-0000-0000-00009E370000}"/>
    <cellStyle name="Comma 2 4 6 9" xfId="14242" xr:uid="{00000000-0005-0000-0000-00009F370000}"/>
    <cellStyle name="Comma 2 4 7" xfId="14243" xr:uid="{00000000-0005-0000-0000-0000A0370000}"/>
    <cellStyle name="Comma 2 4 7 10" xfId="14244" xr:uid="{00000000-0005-0000-0000-0000A1370000}"/>
    <cellStyle name="Comma 2 4 7 11" xfId="14245" xr:uid="{00000000-0005-0000-0000-0000A2370000}"/>
    <cellStyle name="Comma 2 4 7 2" xfId="14246" xr:uid="{00000000-0005-0000-0000-0000A3370000}"/>
    <cellStyle name="Comma 2 4 7 2 2" xfId="14247" xr:uid="{00000000-0005-0000-0000-0000A4370000}"/>
    <cellStyle name="Comma 2 4 7 2 2 2" xfId="14248" xr:uid="{00000000-0005-0000-0000-0000A5370000}"/>
    <cellStyle name="Comma 2 4 7 2 2 2 2" xfId="14249" xr:uid="{00000000-0005-0000-0000-0000A6370000}"/>
    <cellStyle name="Comma 2 4 7 2 2 2 3" xfId="14250" xr:uid="{00000000-0005-0000-0000-0000A7370000}"/>
    <cellStyle name="Comma 2 4 7 2 2 3" xfId="14251" xr:uid="{00000000-0005-0000-0000-0000A8370000}"/>
    <cellStyle name="Comma 2 4 7 2 2 4" xfId="14252" xr:uid="{00000000-0005-0000-0000-0000A9370000}"/>
    <cellStyle name="Comma 2 4 7 2 2 5" xfId="14253" xr:uid="{00000000-0005-0000-0000-0000AA370000}"/>
    <cellStyle name="Comma 2 4 7 2 2 6" xfId="14254" xr:uid="{00000000-0005-0000-0000-0000AB370000}"/>
    <cellStyle name="Comma 2 4 7 2 3" xfId="14255" xr:uid="{00000000-0005-0000-0000-0000AC370000}"/>
    <cellStyle name="Comma 2 4 7 2 3 2" xfId="14256" xr:uid="{00000000-0005-0000-0000-0000AD370000}"/>
    <cellStyle name="Comma 2 4 7 2 3 2 2" xfId="14257" xr:uid="{00000000-0005-0000-0000-0000AE370000}"/>
    <cellStyle name="Comma 2 4 7 2 3 3" xfId="14258" xr:uid="{00000000-0005-0000-0000-0000AF370000}"/>
    <cellStyle name="Comma 2 4 7 2 3 4" xfId="14259" xr:uid="{00000000-0005-0000-0000-0000B0370000}"/>
    <cellStyle name="Comma 2 4 7 2 3 5" xfId="14260" xr:uid="{00000000-0005-0000-0000-0000B1370000}"/>
    <cellStyle name="Comma 2 4 7 2 4" xfId="14261" xr:uid="{00000000-0005-0000-0000-0000B2370000}"/>
    <cellStyle name="Comma 2 4 7 2 4 2" xfId="14262" xr:uid="{00000000-0005-0000-0000-0000B3370000}"/>
    <cellStyle name="Comma 2 4 7 2 4 3" xfId="14263" xr:uid="{00000000-0005-0000-0000-0000B4370000}"/>
    <cellStyle name="Comma 2 4 7 2 4 4" xfId="14264" xr:uid="{00000000-0005-0000-0000-0000B5370000}"/>
    <cellStyle name="Comma 2 4 7 2 5" xfId="14265" xr:uid="{00000000-0005-0000-0000-0000B6370000}"/>
    <cellStyle name="Comma 2 4 7 2 5 2" xfId="14266" xr:uid="{00000000-0005-0000-0000-0000B7370000}"/>
    <cellStyle name="Comma 2 4 7 2 6" xfId="14267" xr:uid="{00000000-0005-0000-0000-0000B8370000}"/>
    <cellStyle name="Comma 2 4 7 2 7" xfId="14268" xr:uid="{00000000-0005-0000-0000-0000B9370000}"/>
    <cellStyle name="Comma 2 4 7 2 8" xfId="14269" xr:uid="{00000000-0005-0000-0000-0000BA370000}"/>
    <cellStyle name="Comma 2 4 7 2 9" xfId="14270" xr:uid="{00000000-0005-0000-0000-0000BB370000}"/>
    <cellStyle name="Comma 2 4 7 3" xfId="14271" xr:uid="{00000000-0005-0000-0000-0000BC370000}"/>
    <cellStyle name="Comma 2 4 7 3 2" xfId="14272" xr:uid="{00000000-0005-0000-0000-0000BD370000}"/>
    <cellStyle name="Comma 2 4 7 3 2 2" xfId="14273" xr:uid="{00000000-0005-0000-0000-0000BE370000}"/>
    <cellStyle name="Comma 2 4 7 3 2 2 2" xfId="14274" xr:uid="{00000000-0005-0000-0000-0000BF370000}"/>
    <cellStyle name="Comma 2 4 7 3 2 2 3" xfId="14275" xr:uid="{00000000-0005-0000-0000-0000C0370000}"/>
    <cellStyle name="Comma 2 4 7 3 2 3" xfId="14276" xr:uid="{00000000-0005-0000-0000-0000C1370000}"/>
    <cellStyle name="Comma 2 4 7 3 2 4" xfId="14277" xr:uid="{00000000-0005-0000-0000-0000C2370000}"/>
    <cellStyle name="Comma 2 4 7 3 2 5" xfId="14278" xr:uid="{00000000-0005-0000-0000-0000C3370000}"/>
    <cellStyle name="Comma 2 4 7 3 2 6" xfId="14279" xr:uid="{00000000-0005-0000-0000-0000C4370000}"/>
    <cellStyle name="Comma 2 4 7 3 3" xfId="14280" xr:uid="{00000000-0005-0000-0000-0000C5370000}"/>
    <cellStyle name="Comma 2 4 7 3 3 2" xfId="14281" xr:uid="{00000000-0005-0000-0000-0000C6370000}"/>
    <cellStyle name="Comma 2 4 7 3 3 2 2" xfId="14282" xr:uid="{00000000-0005-0000-0000-0000C7370000}"/>
    <cellStyle name="Comma 2 4 7 3 3 3" xfId="14283" xr:uid="{00000000-0005-0000-0000-0000C8370000}"/>
    <cellStyle name="Comma 2 4 7 3 3 4" xfId="14284" xr:uid="{00000000-0005-0000-0000-0000C9370000}"/>
    <cellStyle name="Comma 2 4 7 3 3 5" xfId="14285" xr:uid="{00000000-0005-0000-0000-0000CA370000}"/>
    <cellStyle name="Comma 2 4 7 3 4" xfId="14286" xr:uid="{00000000-0005-0000-0000-0000CB370000}"/>
    <cellStyle name="Comma 2 4 7 3 4 2" xfId="14287" xr:uid="{00000000-0005-0000-0000-0000CC370000}"/>
    <cellStyle name="Comma 2 4 7 3 4 3" xfId="14288" xr:uid="{00000000-0005-0000-0000-0000CD370000}"/>
    <cellStyle name="Comma 2 4 7 3 4 4" xfId="14289" xr:uid="{00000000-0005-0000-0000-0000CE370000}"/>
    <cellStyle name="Comma 2 4 7 3 5" xfId="14290" xr:uid="{00000000-0005-0000-0000-0000CF370000}"/>
    <cellStyle name="Comma 2 4 7 3 5 2" xfId="14291" xr:uid="{00000000-0005-0000-0000-0000D0370000}"/>
    <cellStyle name="Comma 2 4 7 3 6" xfId="14292" xr:uid="{00000000-0005-0000-0000-0000D1370000}"/>
    <cellStyle name="Comma 2 4 7 3 7" xfId="14293" xr:uid="{00000000-0005-0000-0000-0000D2370000}"/>
    <cellStyle name="Comma 2 4 7 3 8" xfId="14294" xr:uid="{00000000-0005-0000-0000-0000D3370000}"/>
    <cellStyle name="Comma 2 4 7 3 9" xfId="14295" xr:uid="{00000000-0005-0000-0000-0000D4370000}"/>
    <cellStyle name="Comma 2 4 7 4" xfId="14296" xr:uid="{00000000-0005-0000-0000-0000D5370000}"/>
    <cellStyle name="Comma 2 4 7 4 2" xfId="14297" xr:uid="{00000000-0005-0000-0000-0000D6370000}"/>
    <cellStyle name="Comma 2 4 7 4 2 2" xfId="14298" xr:uid="{00000000-0005-0000-0000-0000D7370000}"/>
    <cellStyle name="Comma 2 4 7 4 2 3" xfId="14299" xr:uid="{00000000-0005-0000-0000-0000D8370000}"/>
    <cellStyle name="Comma 2 4 7 4 3" xfId="14300" xr:uid="{00000000-0005-0000-0000-0000D9370000}"/>
    <cellStyle name="Comma 2 4 7 4 4" xfId="14301" xr:uid="{00000000-0005-0000-0000-0000DA370000}"/>
    <cellStyle name="Comma 2 4 7 4 5" xfId="14302" xr:uid="{00000000-0005-0000-0000-0000DB370000}"/>
    <cellStyle name="Comma 2 4 7 4 6" xfId="14303" xr:uid="{00000000-0005-0000-0000-0000DC370000}"/>
    <cellStyle name="Comma 2 4 7 5" xfId="14304" xr:uid="{00000000-0005-0000-0000-0000DD370000}"/>
    <cellStyle name="Comma 2 4 7 5 2" xfId="14305" xr:uid="{00000000-0005-0000-0000-0000DE370000}"/>
    <cellStyle name="Comma 2 4 7 5 2 2" xfId="14306" xr:uid="{00000000-0005-0000-0000-0000DF370000}"/>
    <cellStyle name="Comma 2 4 7 5 3" xfId="14307" xr:uid="{00000000-0005-0000-0000-0000E0370000}"/>
    <cellStyle name="Comma 2 4 7 5 4" xfId="14308" xr:uid="{00000000-0005-0000-0000-0000E1370000}"/>
    <cellStyle name="Comma 2 4 7 5 5" xfId="14309" xr:uid="{00000000-0005-0000-0000-0000E2370000}"/>
    <cellStyle name="Comma 2 4 7 6" xfId="14310" xr:uid="{00000000-0005-0000-0000-0000E3370000}"/>
    <cellStyle name="Comma 2 4 7 6 2" xfId="14311" xr:uid="{00000000-0005-0000-0000-0000E4370000}"/>
    <cellStyle name="Comma 2 4 7 6 3" xfId="14312" xr:uid="{00000000-0005-0000-0000-0000E5370000}"/>
    <cellStyle name="Comma 2 4 7 6 4" xfId="14313" xr:uid="{00000000-0005-0000-0000-0000E6370000}"/>
    <cellStyle name="Comma 2 4 7 7" xfId="14314" xr:uid="{00000000-0005-0000-0000-0000E7370000}"/>
    <cellStyle name="Comma 2 4 7 7 2" xfId="14315" xr:uid="{00000000-0005-0000-0000-0000E8370000}"/>
    <cellStyle name="Comma 2 4 7 8" xfId="14316" xr:uid="{00000000-0005-0000-0000-0000E9370000}"/>
    <cellStyle name="Comma 2 4 7 9" xfId="14317" xr:uid="{00000000-0005-0000-0000-0000EA370000}"/>
    <cellStyle name="Comma 2 4 8" xfId="14318" xr:uid="{00000000-0005-0000-0000-0000EB370000}"/>
    <cellStyle name="Comma 2 4 8 10" xfId="14319" xr:uid="{00000000-0005-0000-0000-0000EC370000}"/>
    <cellStyle name="Comma 2 4 8 11" xfId="14320" xr:uid="{00000000-0005-0000-0000-0000ED370000}"/>
    <cellStyle name="Comma 2 4 8 2" xfId="14321" xr:uid="{00000000-0005-0000-0000-0000EE370000}"/>
    <cellStyle name="Comma 2 4 8 2 2" xfId="14322" xr:uid="{00000000-0005-0000-0000-0000EF370000}"/>
    <cellStyle name="Comma 2 4 8 2 2 2" xfId="14323" xr:uid="{00000000-0005-0000-0000-0000F0370000}"/>
    <cellStyle name="Comma 2 4 8 2 2 2 2" xfId="14324" xr:uid="{00000000-0005-0000-0000-0000F1370000}"/>
    <cellStyle name="Comma 2 4 8 2 2 2 3" xfId="14325" xr:uid="{00000000-0005-0000-0000-0000F2370000}"/>
    <cellStyle name="Comma 2 4 8 2 2 3" xfId="14326" xr:uid="{00000000-0005-0000-0000-0000F3370000}"/>
    <cellStyle name="Comma 2 4 8 2 2 4" xfId="14327" xr:uid="{00000000-0005-0000-0000-0000F4370000}"/>
    <cellStyle name="Comma 2 4 8 2 2 5" xfId="14328" xr:uid="{00000000-0005-0000-0000-0000F5370000}"/>
    <cellStyle name="Comma 2 4 8 2 2 6" xfId="14329" xr:uid="{00000000-0005-0000-0000-0000F6370000}"/>
    <cellStyle name="Comma 2 4 8 2 3" xfId="14330" xr:uid="{00000000-0005-0000-0000-0000F7370000}"/>
    <cellStyle name="Comma 2 4 8 2 3 2" xfId="14331" xr:uid="{00000000-0005-0000-0000-0000F8370000}"/>
    <cellStyle name="Comma 2 4 8 2 3 2 2" xfId="14332" xr:uid="{00000000-0005-0000-0000-0000F9370000}"/>
    <cellStyle name="Comma 2 4 8 2 3 3" xfId="14333" xr:uid="{00000000-0005-0000-0000-0000FA370000}"/>
    <cellStyle name="Comma 2 4 8 2 3 4" xfId="14334" xr:uid="{00000000-0005-0000-0000-0000FB370000}"/>
    <cellStyle name="Comma 2 4 8 2 3 5" xfId="14335" xr:uid="{00000000-0005-0000-0000-0000FC370000}"/>
    <cellStyle name="Comma 2 4 8 2 4" xfId="14336" xr:uid="{00000000-0005-0000-0000-0000FD370000}"/>
    <cellStyle name="Comma 2 4 8 2 4 2" xfId="14337" xr:uid="{00000000-0005-0000-0000-0000FE370000}"/>
    <cellStyle name="Comma 2 4 8 2 4 3" xfId="14338" xr:uid="{00000000-0005-0000-0000-0000FF370000}"/>
    <cellStyle name="Comma 2 4 8 2 4 4" xfId="14339" xr:uid="{00000000-0005-0000-0000-000000380000}"/>
    <cellStyle name="Comma 2 4 8 2 5" xfId="14340" xr:uid="{00000000-0005-0000-0000-000001380000}"/>
    <cellStyle name="Comma 2 4 8 2 5 2" xfId="14341" xr:uid="{00000000-0005-0000-0000-000002380000}"/>
    <cellStyle name="Comma 2 4 8 2 6" xfId="14342" xr:uid="{00000000-0005-0000-0000-000003380000}"/>
    <cellStyle name="Comma 2 4 8 2 7" xfId="14343" xr:uid="{00000000-0005-0000-0000-000004380000}"/>
    <cellStyle name="Comma 2 4 8 2 8" xfId="14344" xr:uid="{00000000-0005-0000-0000-000005380000}"/>
    <cellStyle name="Comma 2 4 8 2 9" xfId="14345" xr:uid="{00000000-0005-0000-0000-000006380000}"/>
    <cellStyle name="Comma 2 4 8 3" xfId="14346" xr:uid="{00000000-0005-0000-0000-000007380000}"/>
    <cellStyle name="Comma 2 4 8 3 2" xfId="14347" xr:uid="{00000000-0005-0000-0000-000008380000}"/>
    <cellStyle name="Comma 2 4 8 3 2 2" xfId="14348" xr:uid="{00000000-0005-0000-0000-000009380000}"/>
    <cellStyle name="Comma 2 4 8 3 2 2 2" xfId="14349" xr:uid="{00000000-0005-0000-0000-00000A380000}"/>
    <cellStyle name="Comma 2 4 8 3 2 2 3" xfId="14350" xr:uid="{00000000-0005-0000-0000-00000B380000}"/>
    <cellStyle name="Comma 2 4 8 3 2 3" xfId="14351" xr:uid="{00000000-0005-0000-0000-00000C380000}"/>
    <cellStyle name="Comma 2 4 8 3 2 4" xfId="14352" xr:uid="{00000000-0005-0000-0000-00000D380000}"/>
    <cellStyle name="Comma 2 4 8 3 2 5" xfId="14353" xr:uid="{00000000-0005-0000-0000-00000E380000}"/>
    <cellStyle name="Comma 2 4 8 3 2 6" xfId="14354" xr:uid="{00000000-0005-0000-0000-00000F380000}"/>
    <cellStyle name="Comma 2 4 8 3 3" xfId="14355" xr:uid="{00000000-0005-0000-0000-000010380000}"/>
    <cellStyle name="Comma 2 4 8 3 3 2" xfId="14356" xr:uid="{00000000-0005-0000-0000-000011380000}"/>
    <cellStyle name="Comma 2 4 8 3 3 2 2" xfId="14357" xr:uid="{00000000-0005-0000-0000-000012380000}"/>
    <cellStyle name="Comma 2 4 8 3 3 3" xfId="14358" xr:uid="{00000000-0005-0000-0000-000013380000}"/>
    <cellStyle name="Comma 2 4 8 3 3 4" xfId="14359" xr:uid="{00000000-0005-0000-0000-000014380000}"/>
    <cellStyle name="Comma 2 4 8 3 3 5" xfId="14360" xr:uid="{00000000-0005-0000-0000-000015380000}"/>
    <cellStyle name="Comma 2 4 8 3 4" xfId="14361" xr:uid="{00000000-0005-0000-0000-000016380000}"/>
    <cellStyle name="Comma 2 4 8 3 4 2" xfId="14362" xr:uid="{00000000-0005-0000-0000-000017380000}"/>
    <cellStyle name="Comma 2 4 8 3 4 3" xfId="14363" xr:uid="{00000000-0005-0000-0000-000018380000}"/>
    <cellStyle name="Comma 2 4 8 3 4 4" xfId="14364" xr:uid="{00000000-0005-0000-0000-000019380000}"/>
    <cellStyle name="Comma 2 4 8 3 5" xfId="14365" xr:uid="{00000000-0005-0000-0000-00001A380000}"/>
    <cellStyle name="Comma 2 4 8 3 5 2" xfId="14366" xr:uid="{00000000-0005-0000-0000-00001B380000}"/>
    <cellStyle name="Comma 2 4 8 3 6" xfId="14367" xr:uid="{00000000-0005-0000-0000-00001C380000}"/>
    <cellStyle name="Comma 2 4 8 3 7" xfId="14368" xr:uid="{00000000-0005-0000-0000-00001D380000}"/>
    <cellStyle name="Comma 2 4 8 3 8" xfId="14369" xr:uid="{00000000-0005-0000-0000-00001E380000}"/>
    <cellStyle name="Comma 2 4 8 3 9" xfId="14370" xr:uid="{00000000-0005-0000-0000-00001F380000}"/>
    <cellStyle name="Comma 2 4 8 4" xfId="14371" xr:uid="{00000000-0005-0000-0000-000020380000}"/>
    <cellStyle name="Comma 2 4 8 4 2" xfId="14372" xr:uid="{00000000-0005-0000-0000-000021380000}"/>
    <cellStyle name="Comma 2 4 8 4 2 2" xfId="14373" xr:uid="{00000000-0005-0000-0000-000022380000}"/>
    <cellStyle name="Comma 2 4 8 4 2 3" xfId="14374" xr:uid="{00000000-0005-0000-0000-000023380000}"/>
    <cellStyle name="Comma 2 4 8 4 3" xfId="14375" xr:uid="{00000000-0005-0000-0000-000024380000}"/>
    <cellStyle name="Comma 2 4 8 4 4" xfId="14376" xr:uid="{00000000-0005-0000-0000-000025380000}"/>
    <cellStyle name="Comma 2 4 8 4 5" xfId="14377" xr:uid="{00000000-0005-0000-0000-000026380000}"/>
    <cellStyle name="Comma 2 4 8 4 6" xfId="14378" xr:uid="{00000000-0005-0000-0000-000027380000}"/>
    <cellStyle name="Comma 2 4 8 5" xfId="14379" xr:uid="{00000000-0005-0000-0000-000028380000}"/>
    <cellStyle name="Comma 2 4 8 5 2" xfId="14380" xr:uid="{00000000-0005-0000-0000-000029380000}"/>
    <cellStyle name="Comma 2 4 8 5 2 2" xfId="14381" xr:uid="{00000000-0005-0000-0000-00002A380000}"/>
    <cellStyle name="Comma 2 4 8 5 3" xfId="14382" xr:uid="{00000000-0005-0000-0000-00002B380000}"/>
    <cellStyle name="Comma 2 4 8 5 4" xfId="14383" xr:uid="{00000000-0005-0000-0000-00002C380000}"/>
    <cellStyle name="Comma 2 4 8 5 5" xfId="14384" xr:uid="{00000000-0005-0000-0000-00002D380000}"/>
    <cellStyle name="Comma 2 4 8 6" xfId="14385" xr:uid="{00000000-0005-0000-0000-00002E380000}"/>
    <cellStyle name="Comma 2 4 8 6 2" xfId="14386" xr:uid="{00000000-0005-0000-0000-00002F380000}"/>
    <cellStyle name="Comma 2 4 8 6 3" xfId="14387" xr:uid="{00000000-0005-0000-0000-000030380000}"/>
    <cellStyle name="Comma 2 4 8 6 4" xfId="14388" xr:uid="{00000000-0005-0000-0000-000031380000}"/>
    <cellStyle name="Comma 2 4 8 7" xfId="14389" xr:uid="{00000000-0005-0000-0000-000032380000}"/>
    <cellStyle name="Comma 2 4 8 7 2" xfId="14390" xr:uid="{00000000-0005-0000-0000-000033380000}"/>
    <cellStyle name="Comma 2 4 8 8" xfId="14391" xr:uid="{00000000-0005-0000-0000-000034380000}"/>
    <cellStyle name="Comma 2 4 8 9" xfId="14392" xr:uid="{00000000-0005-0000-0000-000035380000}"/>
    <cellStyle name="Comma 2 4 9" xfId="14393" xr:uid="{00000000-0005-0000-0000-000036380000}"/>
    <cellStyle name="Comma 2 4 9 10" xfId="14394" xr:uid="{00000000-0005-0000-0000-000037380000}"/>
    <cellStyle name="Comma 2 4 9 11" xfId="14395" xr:uid="{00000000-0005-0000-0000-000038380000}"/>
    <cellStyle name="Comma 2 4 9 2" xfId="14396" xr:uid="{00000000-0005-0000-0000-000039380000}"/>
    <cellStyle name="Comma 2 4 9 2 2" xfId="14397" xr:uid="{00000000-0005-0000-0000-00003A380000}"/>
    <cellStyle name="Comma 2 4 9 2 2 2" xfId="14398" xr:uid="{00000000-0005-0000-0000-00003B380000}"/>
    <cellStyle name="Comma 2 4 9 2 2 2 2" xfId="14399" xr:uid="{00000000-0005-0000-0000-00003C380000}"/>
    <cellStyle name="Comma 2 4 9 2 2 2 3" xfId="14400" xr:uid="{00000000-0005-0000-0000-00003D380000}"/>
    <cellStyle name="Comma 2 4 9 2 2 3" xfId="14401" xr:uid="{00000000-0005-0000-0000-00003E380000}"/>
    <cellStyle name="Comma 2 4 9 2 2 4" xfId="14402" xr:uid="{00000000-0005-0000-0000-00003F380000}"/>
    <cellStyle name="Comma 2 4 9 2 2 5" xfId="14403" xr:uid="{00000000-0005-0000-0000-000040380000}"/>
    <cellStyle name="Comma 2 4 9 2 2 6" xfId="14404" xr:uid="{00000000-0005-0000-0000-000041380000}"/>
    <cellStyle name="Comma 2 4 9 2 3" xfId="14405" xr:uid="{00000000-0005-0000-0000-000042380000}"/>
    <cellStyle name="Comma 2 4 9 2 3 2" xfId="14406" xr:uid="{00000000-0005-0000-0000-000043380000}"/>
    <cellStyle name="Comma 2 4 9 2 3 2 2" xfId="14407" xr:uid="{00000000-0005-0000-0000-000044380000}"/>
    <cellStyle name="Comma 2 4 9 2 3 3" xfId="14408" xr:uid="{00000000-0005-0000-0000-000045380000}"/>
    <cellStyle name="Comma 2 4 9 2 3 4" xfId="14409" xr:uid="{00000000-0005-0000-0000-000046380000}"/>
    <cellStyle name="Comma 2 4 9 2 3 5" xfId="14410" xr:uid="{00000000-0005-0000-0000-000047380000}"/>
    <cellStyle name="Comma 2 4 9 2 4" xfId="14411" xr:uid="{00000000-0005-0000-0000-000048380000}"/>
    <cellStyle name="Comma 2 4 9 2 4 2" xfId="14412" xr:uid="{00000000-0005-0000-0000-000049380000}"/>
    <cellStyle name="Comma 2 4 9 2 4 3" xfId="14413" xr:uid="{00000000-0005-0000-0000-00004A380000}"/>
    <cellStyle name="Comma 2 4 9 2 4 4" xfId="14414" xr:uid="{00000000-0005-0000-0000-00004B380000}"/>
    <cellStyle name="Comma 2 4 9 2 5" xfId="14415" xr:uid="{00000000-0005-0000-0000-00004C380000}"/>
    <cellStyle name="Comma 2 4 9 2 5 2" xfId="14416" xr:uid="{00000000-0005-0000-0000-00004D380000}"/>
    <cellStyle name="Comma 2 4 9 2 6" xfId="14417" xr:uid="{00000000-0005-0000-0000-00004E380000}"/>
    <cellStyle name="Comma 2 4 9 2 7" xfId="14418" xr:uid="{00000000-0005-0000-0000-00004F380000}"/>
    <cellStyle name="Comma 2 4 9 2 8" xfId="14419" xr:uid="{00000000-0005-0000-0000-000050380000}"/>
    <cellStyle name="Comma 2 4 9 2 9" xfId="14420" xr:uid="{00000000-0005-0000-0000-000051380000}"/>
    <cellStyle name="Comma 2 4 9 3" xfId="14421" xr:uid="{00000000-0005-0000-0000-000052380000}"/>
    <cellStyle name="Comma 2 4 9 3 2" xfId="14422" xr:uid="{00000000-0005-0000-0000-000053380000}"/>
    <cellStyle name="Comma 2 4 9 3 2 2" xfId="14423" xr:uid="{00000000-0005-0000-0000-000054380000}"/>
    <cellStyle name="Comma 2 4 9 3 2 2 2" xfId="14424" xr:uid="{00000000-0005-0000-0000-000055380000}"/>
    <cellStyle name="Comma 2 4 9 3 2 2 3" xfId="14425" xr:uid="{00000000-0005-0000-0000-000056380000}"/>
    <cellStyle name="Comma 2 4 9 3 2 3" xfId="14426" xr:uid="{00000000-0005-0000-0000-000057380000}"/>
    <cellStyle name="Comma 2 4 9 3 2 4" xfId="14427" xr:uid="{00000000-0005-0000-0000-000058380000}"/>
    <cellStyle name="Comma 2 4 9 3 2 5" xfId="14428" xr:uid="{00000000-0005-0000-0000-000059380000}"/>
    <cellStyle name="Comma 2 4 9 3 2 6" xfId="14429" xr:uid="{00000000-0005-0000-0000-00005A380000}"/>
    <cellStyle name="Comma 2 4 9 3 3" xfId="14430" xr:uid="{00000000-0005-0000-0000-00005B380000}"/>
    <cellStyle name="Comma 2 4 9 3 3 2" xfId="14431" xr:uid="{00000000-0005-0000-0000-00005C380000}"/>
    <cellStyle name="Comma 2 4 9 3 3 2 2" xfId="14432" xr:uid="{00000000-0005-0000-0000-00005D380000}"/>
    <cellStyle name="Comma 2 4 9 3 3 3" xfId="14433" xr:uid="{00000000-0005-0000-0000-00005E380000}"/>
    <cellStyle name="Comma 2 4 9 3 3 4" xfId="14434" xr:uid="{00000000-0005-0000-0000-00005F380000}"/>
    <cellStyle name="Comma 2 4 9 3 3 5" xfId="14435" xr:uid="{00000000-0005-0000-0000-000060380000}"/>
    <cellStyle name="Comma 2 4 9 3 4" xfId="14436" xr:uid="{00000000-0005-0000-0000-000061380000}"/>
    <cellStyle name="Comma 2 4 9 3 4 2" xfId="14437" xr:uid="{00000000-0005-0000-0000-000062380000}"/>
    <cellStyle name="Comma 2 4 9 3 4 3" xfId="14438" xr:uid="{00000000-0005-0000-0000-000063380000}"/>
    <cellStyle name="Comma 2 4 9 3 4 4" xfId="14439" xr:uid="{00000000-0005-0000-0000-000064380000}"/>
    <cellStyle name="Comma 2 4 9 3 5" xfId="14440" xr:uid="{00000000-0005-0000-0000-000065380000}"/>
    <cellStyle name="Comma 2 4 9 3 5 2" xfId="14441" xr:uid="{00000000-0005-0000-0000-000066380000}"/>
    <cellStyle name="Comma 2 4 9 3 6" xfId="14442" xr:uid="{00000000-0005-0000-0000-000067380000}"/>
    <cellStyle name="Comma 2 4 9 3 7" xfId="14443" xr:uid="{00000000-0005-0000-0000-000068380000}"/>
    <cellStyle name="Comma 2 4 9 3 8" xfId="14444" xr:uid="{00000000-0005-0000-0000-000069380000}"/>
    <cellStyle name="Comma 2 4 9 3 9" xfId="14445" xr:uid="{00000000-0005-0000-0000-00006A380000}"/>
    <cellStyle name="Comma 2 4 9 4" xfId="14446" xr:uid="{00000000-0005-0000-0000-00006B380000}"/>
    <cellStyle name="Comma 2 4 9 4 2" xfId="14447" xr:uid="{00000000-0005-0000-0000-00006C380000}"/>
    <cellStyle name="Comma 2 4 9 4 2 2" xfId="14448" xr:uid="{00000000-0005-0000-0000-00006D380000}"/>
    <cellStyle name="Comma 2 4 9 4 2 3" xfId="14449" xr:uid="{00000000-0005-0000-0000-00006E380000}"/>
    <cellStyle name="Comma 2 4 9 4 3" xfId="14450" xr:uid="{00000000-0005-0000-0000-00006F380000}"/>
    <cellStyle name="Comma 2 4 9 4 4" xfId="14451" xr:uid="{00000000-0005-0000-0000-000070380000}"/>
    <cellStyle name="Comma 2 4 9 4 5" xfId="14452" xr:uid="{00000000-0005-0000-0000-000071380000}"/>
    <cellStyle name="Comma 2 4 9 4 6" xfId="14453" xr:uid="{00000000-0005-0000-0000-000072380000}"/>
    <cellStyle name="Comma 2 4 9 5" xfId="14454" xr:uid="{00000000-0005-0000-0000-000073380000}"/>
    <cellStyle name="Comma 2 4 9 5 2" xfId="14455" xr:uid="{00000000-0005-0000-0000-000074380000}"/>
    <cellStyle name="Comma 2 4 9 5 2 2" xfId="14456" xr:uid="{00000000-0005-0000-0000-000075380000}"/>
    <cellStyle name="Comma 2 4 9 5 3" xfId="14457" xr:uid="{00000000-0005-0000-0000-000076380000}"/>
    <cellStyle name="Comma 2 4 9 5 4" xfId="14458" xr:uid="{00000000-0005-0000-0000-000077380000}"/>
    <cellStyle name="Comma 2 4 9 5 5" xfId="14459" xr:uid="{00000000-0005-0000-0000-000078380000}"/>
    <cellStyle name="Comma 2 4 9 6" xfId="14460" xr:uid="{00000000-0005-0000-0000-000079380000}"/>
    <cellStyle name="Comma 2 4 9 6 2" xfId="14461" xr:uid="{00000000-0005-0000-0000-00007A380000}"/>
    <cellStyle name="Comma 2 4 9 6 3" xfId="14462" xr:uid="{00000000-0005-0000-0000-00007B380000}"/>
    <cellStyle name="Comma 2 4 9 6 4" xfId="14463" xr:uid="{00000000-0005-0000-0000-00007C380000}"/>
    <cellStyle name="Comma 2 4 9 7" xfId="14464" xr:uid="{00000000-0005-0000-0000-00007D380000}"/>
    <cellStyle name="Comma 2 4 9 7 2" xfId="14465" xr:uid="{00000000-0005-0000-0000-00007E380000}"/>
    <cellStyle name="Comma 2 4 9 8" xfId="14466" xr:uid="{00000000-0005-0000-0000-00007F380000}"/>
    <cellStyle name="Comma 2 4 9 9" xfId="14467" xr:uid="{00000000-0005-0000-0000-000080380000}"/>
    <cellStyle name="Comma 2 40" xfId="14468" xr:uid="{00000000-0005-0000-0000-000081380000}"/>
    <cellStyle name="Comma 2 40 10" xfId="14469" xr:uid="{00000000-0005-0000-0000-000082380000}"/>
    <cellStyle name="Comma 2 40 2" xfId="14470" xr:uid="{00000000-0005-0000-0000-000083380000}"/>
    <cellStyle name="Comma 2 40 2 2" xfId="14471" xr:uid="{00000000-0005-0000-0000-000084380000}"/>
    <cellStyle name="Comma 2 40 2 2 2" xfId="14472" xr:uid="{00000000-0005-0000-0000-000085380000}"/>
    <cellStyle name="Comma 2 40 2 3" xfId="14473" xr:uid="{00000000-0005-0000-0000-000086380000}"/>
    <cellStyle name="Comma 2 40 2 4" xfId="14474" xr:uid="{00000000-0005-0000-0000-000087380000}"/>
    <cellStyle name="Comma 2 40 3" xfId="14475" xr:uid="{00000000-0005-0000-0000-000088380000}"/>
    <cellStyle name="Comma 2 40 3 2" xfId="14476" xr:uid="{00000000-0005-0000-0000-000089380000}"/>
    <cellStyle name="Comma 2 40 4" xfId="14477" xr:uid="{00000000-0005-0000-0000-00008A380000}"/>
    <cellStyle name="Comma 2 40 4 2" xfId="14478" xr:uid="{00000000-0005-0000-0000-00008B380000}"/>
    <cellStyle name="Comma 2 40 5" xfId="14479" xr:uid="{00000000-0005-0000-0000-00008C380000}"/>
    <cellStyle name="Comma 2 40 6" xfId="14480" xr:uid="{00000000-0005-0000-0000-00008D380000}"/>
    <cellStyle name="Comma 2 40 7" xfId="14481" xr:uid="{00000000-0005-0000-0000-00008E380000}"/>
    <cellStyle name="Comma 2 40 8" xfId="14482" xr:uid="{00000000-0005-0000-0000-00008F380000}"/>
    <cellStyle name="Comma 2 40 9" xfId="14483" xr:uid="{00000000-0005-0000-0000-000090380000}"/>
    <cellStyle name="Comma 2 41" xfId="14484" xr:uid="{00000000-0005-0000-0000-000091380000}"/>
    <cellStyle name="Comma 2 41 2" xfId="14485" xr:uid="{00000000-0005-0000-0000-000092380000}"/>
    <cellStyle name="Comma 2 41 2 2" xfId="14486" xr:uid="{00000000-0005-0000-0000-000093380000}"/>
    <cellStyle name="Comma 2 41 2 3" xfId="14487" xr:uid="{00000000-0005-0000-0000-000094380000}"/>
    <cellStyle name="Comma 2 41 3" xfId="14488" xr:uid="{00000000-0005-0000-0000-000095380000}"/>
    <cellStyle name="Comma 2 41 3 2" xfId="14489" xr:uid="{00000000-0005-0000-0000-000096380000}"/>
    <cellStyle name="Comma 2 41 4" xfId="14490" xr:uid="{00000000-0005-0000-0000-000097380000}"/>
    <cellStyle name="Comma 2 41 5" xfId="14491" xr:uid="{00000000-0005-0000-0000-000098380000}"/>
    <cellStyle name="Comma 2 41 6" xfId="14492" xr:uid="{00000000-0005-0000-0000-000099380000}"/>
    <cellStyle name="Comma 2 41 7" xfId="14493" xr:uid="{00000000-0005-0000-0000-00009A380000}"/>
    <cellStyle name="Comma 2 41 8" xfId="14494" xr:uid="{00000000-0005-0000-0000-00009B380000}"/>
    <cellStyle name="Comma 2 41 9" xfId="14495" xr:uid="{00000000-0005-0000-0000-00009C380000}"/>
    <cellStyle name="Comma 2 42" xfId="14496" xr:uid="{00000000-0005-0000-0000-00009D380000}"/>
    <cellStyle name="Comma 2 42 2" xfId="14497" xr:uid="{00000000-0005-0000-0000-00009E380000}"/>
    <cellStyle name="Comma 2 42 2 2" xfId="14498" xr:uid="{00000000-0005-0000-0000-00009F380000}"/>
    <cellStyle name="Comma 2 42 3" xfId="14499" xr:uid="{00000000-0005-0000-0000-0000A0380000}"/>
    <cellStyle name="Comma 2 42 3 2" xfId="14500" xr:uid="{00000000-0005-0000-0000-0000A1380000}"/>
    <cellStyle name="Comma 2 42 4" xfId="14501" xr:uid="{00000000-0005-0000-0000-0000A2380000}"/>
    <cellStyle name="Comma 2 42 5" xfId="14502" xr:uid="{00000000-0005-0000-0000-0000A3380000}"/>
    <cellStyle name="Comma 2 42 6" xfId="14503" xr:uid="{00000000-0005-0000-0000-0000A4380000}"/>
    <cellStyle name="Comma 2 42 7" xfId="14504" xr:uid="{00000000-0005-0000-0000-0000A5380000}"/>
    <cellStyle name="Comma 2 42 8" xfId="14505" xr:uid="{00000000-0005-0000-0000-0000A6380000}"/>
    <cellStyle name="Comma 2 42 9" xfId="14506" xr:uid="{00000000-0005-0000-0000-0000A7380000}"/>
    <cellStyle name="Comma 2 43" xfId="14507" xr:uid="{00000000-0005-0000-0000-0000A8380000}"/>
    <cellStyle name="Comma 2 43 2" xfId="14508" xr:uid="{00000000-0005-0000-0000-0000A9380000}"/>
    <cellStyle name="Comma 2 43 2 2" xfId="14509" xr:uid="{00000000-0005-0000-0000-0000AA380000}"/>
    <cellStyle name="Comma 2 43 3" xfId="14510" xr:uid="{00000000-0005-0000-0000-0000AB380000}"/>
    <cellStyle name="Comma 2 43 3 2" xfId="14511" xr:uid="{00000000-0005-0000-0000-0000AC380000}"/>
    <cellStyle name="Comma 2 43 4" xfId="14512" xr:uid="{00000000-0005-0000-0000-0000AD380000}"/>
    <cellStyle name="Comma 2 43 5" xfId="14513" xr:uid="{00000000-0005-0000-0000-0000AE380000}"/>
    <cellStyle name="Comma 2 43 6" xfId="14514" xr:uid="{00000000-0005-0000-0000-0000AF380000}"/>
    <cellStyle name="Comma 2 43 7" xfId="14515" xr:uid="{00000000-0005-0000-0000-0000B0380000}"/>
    <cellStyle name="Comma 2 43 8" xfId="14516" xr:uid="{00000000-0005-0000-0000-0000B1380000}"/>
    <cellStyle name="Comma 2 44" xfId="14517" xr:uid="{00000000-0005-0000-0000-0000B2380000}"/>
    <cellStyle name="Comma 2 44 2" xfId="14518" xr:uid="{00000000-0005-0000-0000-0000B3380000}"/>
    <cellStyle name="Comma 2 44 2 2" xfId="14519" xr:uid="{00000000-0005-0000-0000-0000B4380000}"/>
    <cellStyle name="Comma 2 44 3" xfId="14520" xr:uid="{00000000-0005-0000-0000-0000B5380000}"/>
    <cellStyle name="Comma 2 44 4" xfId="14521" xr:uid="{00000000-0005-0000-0000-0000B6380000}"/>
    <cellStyle name="Comma 2 44 5" xfId="14522" xr:uid="{00000000-0005-0000-0000-0000B7380000}"/>
    <cellStyle name="Comma 2 44 6" xfId="14523" xr:uid="{00000000-0005-0000-0000-0000B8380000}"/>
    <cellStyle name="Comma 2 44 7" xfId="14524" xr:uid="{00000000-0005-0000-0000-0000B9380000}"/>
    <cellStyle name="Comma 2 45" xfId="14525" xr:uid="{00000000-0005-0000-0000-0000BA380000}"/>
    <cellStyle name="Comma 2 45 2" xfId="14526" xr:uid="{00000000-0005-0000-0000-0000BB380000}"/>
    <cellStyle name="Comma 2 45 2 2" xfId="14527" xr:uid="{00000000-0005-0000-0000-0000BC380000}"/>
    <cellStyle name="Comma 2 45 3" xfId="14528" xr:uid="{00000000-0005-0000-0000-0000BD380000}"/>
    <cellStyle name="Comma 2 45 4" xfId="14529" xr:uid="{00000000-0005-0000-0000-0000BE380000}"/>
    <cellStyle name="Comma 2 45 5" xfId="14530" xr:uid="{00000000-0005-0000-0000-0000BF380000}"/>
    <cellStyle name="Comma 2 45 6" xfId="14531" xr:uid="{00000000-0005-0000-0000-0000C0380000}"/>
    <cellStyle name="Comma 2 45 7" xfId="14532" xr:uid="{00000000-0005-0000-0000-0000C1380000}"/>
    <cellStyle name="Comma 2 46" xfId="14533" xr:uid="{00000000-0005-0000-0000-0000C2380000}"/>
    <cellStyle name="Comma 2 46 2" xfId="14534" xr:uid="{00000000-0005-0000-0000-0000C3380000}"/>
    <cellStyle name="Comma 2 46 2 2" xfId="14535" xr:uid="{00000000-0005-0000-0000-0000C4380000}"/>
    <cellStyle name="Comma 2 46 3" xfId="14536" xr:uid="{00000000-0005-0000-0000-0000C5380000}"/>
    <cellStyle name="Comma 2 46 4" xfId="14537" xr:uid="{00000000-0005-0000-0000-0000C6380000}"/>
    <cellStyle name="Comma 2 46 5" xfId="14538" xr:uid="{00000000-0005-0000-0000-0000C7380000}"/>
    <cellStyle name="Comma 2 46 6" xfId="14539" xr:uid="{00000000-0005-0000-0000-0000C8380000}"/>
    <cellStyle name="Comma 2 46 7" xfId="14540" xr:uid="{00000000-0005-0000-0000-0000C9380000}"/>
    <cellStyle name="Comma 2 47" xfId="14541" xr:uid="{00000000-0005-0000-0000-0000CA380000}"/>
    <cellStyle name="Comma 2 47 2" xfId="14542" xr:uid="{00000000-0005-0000-0000-0000CB380000}"/>
    <cellStyle name="Comma 2 47 2 2" xfId="14543" xr:uid="{00000000-0005-0000-0000-0000CC380000}"/>
    <cellStyle name="Comma 2 47 3" xfId="14544" xr:uid="{00000000-0005-0000-0000-0000CD380000}"/>
    <cellStyle name="Comma 2 47 4" xfId="14545" xr:uid="{00000000-0005-0000-0000-0000CE380000}"/>
    <cellStyle name="Comma 2 47 5" xfId="14546" xr:uid="{00000000-0005-0000-0000-0000CF380000}"/>
    <cellStyle name="Comma 2 47 6" xfId="14547" xr:uid="{00000000-0005-0000-0000-0000D0380000}"/>
    <cellStyle name="Comma 2 47 7" xfId="14548" xr:uid="{00000000-0005-0000-0000-0000D1380000}"/>
    <cellStyle name="Comma 2 48" xfId="14549" xr:uid="{00000000-0005-0000-0000-0000D2380000}"/>
    <cellStyle name="Comma 2 48 2" xfId="14550" xr:uid="{00000000-0005-0000-0000-0000D3380000}"/>
    <cellStyle name="Comma 2 48 2 2" xfId="14551" xr:uid="{00000000-0005-0000-0000-0000D4380000}"/>
    <cellStyle name="Comma 2 48 3" xfId="14552" xr:uid="{00000000-0005-0000-0000-0000D5380000}"/>
    <cellStyle name="Comma 2 48 4" xfId="14553" xr:uid="{00000000-0005-0000-0000-0000D6380000}"/>
    <cellStyle name="Comma 2 48 5" xfId="14554" xr:uid="{00000000-0005-0000-0000-0000D7380000}"/>
    <cellStyle name="Comma 2 48 6" xfId="14555" xr:uid="{00000000-0005-0000-0000-0000D8380000}"/>
    <cellStyle name="Comma 2 48 7" xfId="14556" xr:uid="{00000000-0005-0000-0000-0000D9380000}"/>
    <cellStyle name="Comma 2 49" xfId="14557" xr:uid="{00000000-0005-0000-0000-0000DA380000}"/>
    <cellStyle name="Comma 2 49 2" xfId="14558" xr:uid="{00000000-0005-0000-0000-0000DB380000}"/>
    <cellStyle name="Comma 2 49 2 2" xfId="14559" xr:uid="{00000000-0005-0000-0000-0000DC380000}"/>
    <cellStyle name="Comma 2 49 3" xfId="14560" xr:uid="{00000000-0005-0000-0000-0000DD380000}"/>
    <cellStyle name="Comma 2 49 4" xfId="14561" xr:uid="{00000000-0005-0000-0000-0000DE380000}"/>
    <cellStyle name="Comma 2 49 5" xfId="14562" xr:uid="{00000000-0005-0000-0000-0000DF380000}"/>
    <cellStyle name="Comma 2 49 6" xfId="14563" xr:uid="{00000000-0005-0000-0000-0000E0380000}"/>
    <cellStyle name="Comma 2 49 7" xfId="14564" xr:uid="{00000000-0005-0000-0000-0000E1380000}"/>
    <cellStyle name="Comma 2 5" xfId="14565" xr:uid="{00000000-0005-0000-0000-0000E2380000}"/>
    <cellStyle name="Comma 2 5 10" xfId="14566" xr:uid="{00000000-0005-0000-0000-0000E3380000}"/>
    <cellStyle name="Comma 2 5 10 10" xfId="14567" xr:uid="{00000000-0005-0000-0000-0000E4380000}"/>
    <cellStyle name="Comma 2 5 10 2" xfId="14568" xr:uid="{00000000-0005-0000-0000-0000E5380000}"/>
    <cellStyle name="Comma 2 5 10 2 2" xfId="14569" xr:uid="{00000000-0005-0000-0000-0000E6380000}"/>
    <cellStyle name="Comma 2 5 10 2 2 2" xfId="14570" xr:uid="{00000000-0005-0000-0000-0000E7380000}"/>
    <cellStyle name="Comma 2 5 10 2 2 3" xfId="14571" xr:uid="{00000000-0005-0000-0000-0000E8380000}"/>
    <cellStyle name="Comma 2 5 10 2 3" xfId="14572" xr:uid="{00000000-0005-0000-0000-0000E9380000}"/>
    <cellStyle name="Comma 2 5 10 2 4" xfId="14573" xr:uid="{00000000-0005-0000-0000-0000EA380000}"/>
    <cellStyle name="Comma 2 5 10 2 5" xfId="14574" xr:uid="{00000000-0005-0000-0000-0000EB380000}"/>
    <cellStyle name="Comma 2 5 10 2 6" xfId="14575" xr:uid="{00000000-0005-0000-0000-0000EC380000}"/>
    <cellStyle name="Comma 2 5 10 3" xfId="14576" xr:uid="{00000000-0005-0000-0000-0000ED380000}"/>
    <cellStyle name="Comma 2 5 10 3 2" xfId="14577" xr:uid="{00000000-0005-0000-0000-0000EE380000}"/>
    <cellStyle name="Comma 2 5 10 3 2 2" xfId="14578" xr:uid="{00000000-0005-0000-0000-0000EF380000}"/>
    <cellStyle name="Comma 2 5 10 3 2 3" xfId="14579" xr:uid="{00000000-0005-0000-0000-0000F0380000}"/>
    <cellStyle name="Comma 2 5 10 3 3" xfId="14580" xr:uid="{00000000-0005-0000-0000-0000F1380000}"/>
    <cellStyle name="Comma 2 5 10 3 4" xfId="14581" xr:uid="{00000000-0005-0000-0000-0000F2380000}"/>
    <cellStyle name="Comma 2 5 10 3 5" xfId="14582" xr:uid="{00000000-0005-0000-0000-0000F3380000}"/>
    <cellStyle name="Comma 2 5 10 3 6" xfId="14583" xr:uid="{00000000-0005-0000-0000-0000F4380000}"/>
    <cellStyle name="Comma 2 5 10 4" xfId="14584" xr:uid="{00000000-0005-0000-0000-0000F5380000}"/>
    <cellStyle name="Comma 2 5 10 4 2" xfId="14585" xr:uid="{00000000-0005-0000-0000-0000F6380000}"/>
    <cellStyle name="Comma 2 5 10 4 2 2" xfId="14586" xr:uid="{00000000-0005-0000-0000-0000F7380000}"/>
    <cellStyle name="Comma 2 5 10 4 3" xfId="14587" xr:uid="{00000000-0005-0000-0000-0000F8380000}"/>
    <cellStyle name="Comma 2 5 10 4 4" xfId="14588" xr:uid="{00000000-0005-0000-0000-0000F9380000}"/>
    <cellStyle name="Comma 2 5 10 4 5" xfId="14589" xr:uid="{00000000-0005-0000-0000-0000FA380000}"/>
    <cellStyle name="Comma 2 5 10 5" xfId="14590" xr:uid="{00000000-0005-0000-0000-0000FB380000}"/>
    <cellStyle name="Comma 2 5 10 5 2" xfId="14591" xr:uid="{00000000-0005-0000-0000-0000FC380000}"/>
    <cellStyle name="Comma 2 5 10 5 3" xfId="14592" xr:uid="{00000000-0005-0000-0000-0000FD380000}"/>
    <cellStyle name="Comma 2 5 10 5 4" xfId="14593" xr:uid="{00000000-0005-0000-0000-0000FE380000}"/>
    <cellStyle name="Comma 2 5 10 6" xfId="14594" xr:uid="{00000000-0005-0000-0000-0000FF380000}"/>
    <cellStyle name="Comma 2 5 10 6 2" xfId="14595" xr:uid="{00000000-0005-0000-0000-000000390000}"/>
    <cellStyle name="Comma 2 5 10 7" xfId="14596" xr:uid="{00000000-0005-0000-0000-000001390000}"/>
    <cellStyle name="Comma 2 5 10 8" xfId="14597" xr:uid="{00000000-0005-0000-0000-000002390000}"/>
    <cellStyle name="Comma 2 5 10 9" xfId="14598" xr:uid="{00000000-0005-0000-0000-000003390000}"/>
    <cellStyle name="Comma 2 5 11" xfId="14599" xr:uid="{00000000-0005-0000-0000-000004390000}"/>
    <cellStyle name="Comma 2 5 11 10" xfId="14600" xr:uid="{00000000-0005-0000-0000-000005390000}"/>
    <cellStyle name="Comma 2 5 11 2" xfId="14601" xr:uid="{00000000-0005-0000-0000-000006390000}"/>
    <cellStyle name="Comma 2 5 11 2 2" xfId="14602" xr:uid="{00000000-0005-0000-0000-000007390000}"/>
    <cellStyle name="Comma 2 5 11 2 2 2" xfId="14603" xr:uid="{00000000-0005-0000-0000-000008390000}"/>
    <cellStyle name="Comma 2 5 11 2 2 3" xfId="14604" xr:uid="{00000000-0005-0000-0000-000009390000}"/>
    <cellStyle name="Comma 2 5 11 2 3" xfId="14605" xr:uid="{00000000-0005-0000-0000-00000A390000}"/>
    <cellStyle name="Comma 2 5 11 2 4" xfId="14606" xr:uid="{00000000-0005-0000-0000-00000B390000}"/>
    <cellStyle name="Comma 2 5 11 2 5" xfId="14607" xr:uid="{00000000-0005-0000-0000-00000C390000}"/>
    <cellStyle name="Comma 2 5 11 2 6" xfId="14608" xr:uid="{00000000-0005-0000-0000-00000D390000}"/>
    <cellStyle name="Comma 2 5 11 3" xfId="14609" xr:uid="{00000000-0005-0000-0000-00000E390000}"/>
    <cellStyle name="Comma 2 5 11 3 2" xfId="14610" xr:uid="{00000000-0005-0000-0000-00000F390000}"/>
    <cellStyle name="Comma 2 5 11 3 2 2" xfId="14611" xr:uid="{00000000-0005-0000-0000-000010390000}"/>
    <cellStyle name="Comma 2 5 11 3 2 3" xfId="14612" xr:uid="{00000000-0005-0000-0000-000011390000}"/>
    <cellStyle name="Comma 2 5 11 3 3" xfId="14613" xr:uid="{00000000-0005-0000-0000-000012390000}"/>
    <cellStyle name="Comma 2 5 11 3 4" xfId="14614" xr:uid="{00000000-0005-0000-0000-000013390000}"/>
    <cellStyle name="Comma 2 5 11 3 5" xfId="14615" xr:uid="{00000000-0005-0000-0000-000014390000}"/>
    <cellStyle name="Comma 2 5 11 3 6" xfId="14616" xr:uid="{00000000-0005-0000-0000-000015390000}"/>
    <cellStyle name="Comma 2 5 11 4" xfId="14617" xr:uid="{00000000-0005-0000-0000-000016390000}"/>
    <cellStyle name="Comma 2 5 11 4 2" xfId="14618" xr:uid="{00000000-0005-0000-0000-000017390000}"/>
    <cellStyle name="Comma 2 5 11 4 2 2" xfId="14619" xr:uid="{00000000-0005-0000-0000-000018390000}"/>
    <cellStyle name="Comma 2 5 11 4 3" xfId="14620" xr:uid="{00000000-0005-0000-0000-000019390000}"/>
    <cellStyle name="Comma 2 5 11 4 4" xfId="14621" xr:uid="{00000000-0005-0000-0000-00001A390000}"/>
    <cellStyle name="Comma 2 5 11 4 5" xfId="14622" xr:uid="{00000000-0005-0000-0000-00001B390000}"/>
    <cellStyle name="Comma 2 5 11 5" xfId="14623" xr:uid="{00000000-0005-0000-0000-00001C390000}"/>
    <cellStyle name="Comma 2 5 11 5 2" xfId="14624" xr:uid="{00000000-0005-0000-0000-00001D390000}"/>
    <cellStyle name="Comma 2 5 11 5 3" xfId="14625" xr:uid="{00000000-0005-0000-0000-00001E390000}"/>
    <cellStyle name="Comma 2 5 11 5 4" xfId="14626" xr:uid="{00000000-0005-0000-0000-00001F390000}"/>
    <cellStyle name="Comma 2 5 11 6" xfId="14627" xr:uid="{00000000-0005-0000-0000-000020390000}"/>
    <cellStyle name="Comma 2 5 11 6 2" xfId="14628" xr:uid="{00000000-0005-0000-0000-000021390000}"/>
    <cellStyle name="Comma 2 5 11 7" xfId="14629" xr:uid="{00000000-0005-0000-0000-000022390000}"/>
    <cellStyle name="Comma 2 5 11 8" xfId="14630" xr:uid="{00000000-0005-0000-0000-000023390000}"/>
    <cellStyle name="Comma 2 5 11 9" xfId="14631" xr:uid="{00000000-0005-0000-0000-000024390000}"/>
    <cellStyle name="Comma 2 5 12" xfId="14632" xr:uid="{00000000-0005-0000-0000-000025390000}"/>
    <cellStyle name="Comma 2 5 12 10" xfId="14633" xr:uid="{00000000-0005-0000-0000-000026390000}"/>
    <cellStyle name="Comma 2 5 12 2" xfId="14634" xr:uid="{00000000-0005-0000-0000-000027390000}"/>
    <cellStyle name="Comma 2 5 12 2 2" xfId="14635" xr:uid="{00000000-0005-0000-0000-000028390000}"/>
    <cellStyle name="Comma 2 5 12 2 2 2" xfId="14636" xr:uid="{00000000-0005-0000-0000-000029390000}"/>
    <cellStyle name="Comma 2 5 12 2 2 3" xfId="14637" xr:uid="{00000000-0005-0000-0000-00002A390000}"/>
    <cellStyle name="Comma 2 5 12 2 3" xfId="14638" xr:uid="{00000000-0005-0000-0000-00002B390000}"/>
    <cellStyle name="Comma 2 5 12 2 4" xfId="14639" xr:uid="{00000000-0005-0000-0000-00002C390000}"/>
    <cellStyle name="Comma 2 5 12 2 5" xfId="14640" xr:uid="{00000000-0005-0000-0000-00002D390000}"/>
    <cellStyle name="Comma 2 5 12 2 6" xfId="14641" xr:uid="{00000000-0005-0000-0000-00002E390000}"/>
    <cellStyle name="Comma 2 5 12 3" xfId="14642" xr:uid="{00000000-0005-0000-0000-00002F390000}"/>
    <cellStyle name="Comma 2 5 12 3 2" xfId="14643" xr:uid="{00000000-0005-0000-0000-000030390000}"/>
    <cellStyle name="Comma 2 5 12 3 2 2" xfId="14644" xr:uid="{00000000-0005-0000-0000-000031390000}"/>
    <cellStyle name="Comma 2 5 12 3 2 3" xfId="14645" xr:uid="{00000000-0005-0000-0000-000032390000}"/>
    <cellStyle name="Comma 2 5 12 3 3" xfId="14646" xr:uid="{00000000-0005-0000-0000-000033390000}"/>
    <cellStyle name="Comma 2 5 12 3 4" xfId="14647" xr:uid="{00000000-0005-0000-0000-000034390000}"/>
    <cellStyle name="Comma 2 5 12 3 5" xfId="14648" xr:uid="{00000000-0005-0000-0000-000035390000}"/>
    <cellStyle name="Comma 2 5 12 3 6" xfId="14649" xr:uid="{00000000-0005-0000-0000-000036390000}"/>
    <cellStyle name="Comma 2 5 12 4" xfId="14650" xr:uid="{00000000-0005-0000-0000-000037390000}"/>
    <cellStyle name="Comma 2 5 12 4 2" xfId="14651" xr:uid="{00000000-0005-0000-0000-000038390000}"/>
    <cellStyle name="Comma 2 5 12 4 2 2" xfId="14652" xr:uid="{00000000-0005-0000-0000-000039390000}"/>
    <cellStyle name="Comma 2 5 12 4 3" xfId="14653" xr:uid="{00000000-0005-0000-0000-00003A390000}"/>
    <cellStyle name="Comma 2 5 12 4 4" xfId="14654" xr:uid="{00000000-0005-0000-0000-00003B390000}"/>
    <cellStyle name="Comma 2 5 12 4 5" xfId="14655" xr:uid="{00000000-0005-0000-0000-00003C390000}"/>
    <cellStyle name="Comma 2 5 12 5" xfId="14656" xr:uid="{00000000-0005-0000-0000-00003D390000}"/>
    <cellStyle name="Comma 2 5 12 5 2" xfId="14657" xr:uid="{00000000-0005-0000-0000-00003E390000}"/>
    <cellStyle name="Comma 2 5 12 5 3" xfId="14658" xr:uid="{00000000-0005-0000-0000-00003F390000}"/>
    <cellStyle name="Comma 2 5 12 5 4" xfId="14659" xr:uid="{00000000-0005-0000-0000-000040390000}"/>
    <cellStyle name="Comma 2 5 12 6" xfId="14660" xr:uid="{00000000-0005-0000-0000-000041390000}"/>
    <cellStyle name="Comma 2 5 12 6 2" xfId="14661" xr:uid="{00000000-0005-0000-0000-000042390000}"/>
    <cellStyle name="Comma 2 5 12 7" xfId="14662" xr:uid="{00000000-0005-0000-0000-000043390000}"/>
    <cellStyle name="Comma 2 5 12 8" xfId="14663" xr:uid="{00000000-0005-0000-0000-000044390000}"/>
    <cellStyle name="Comma 2 5 12 9" xfId="14664" xr:uid="{00000000-0005-0000-0000-000045390000}"/>
    <cellStyle name="Comma 2 5 13" xfId="14665" xr:uid="{00000000-0005-0000-0000-000046390000}"/>
    <cellStyle name="Comma 2 5 13 2" xfId="14666" xr:uid="{00000000-0005-0000-0000-000047390000}"/>
    <cellStyle name="Comma 2 5 13 2 2" xfId="14667" xr:uid="{00000000-0005-0000-0000-000048390000}"/>
    <cellStyle name="Comma 2 5 13 2 2 2" xfId="14668" xr:uid="{00000000-0005-0000-0000-000049390000}"/>
    <cellStyle name="Comma 2 5 13 2 2 3" xfId="14669" xr:uid="{00000000-0005-0000-0000-00004A390000}"/>
    <cellStyle name="Comma 2 5 13 2 3" xfId="14670" xr:uid="{00000000-0005-0000-0000-00004B390000}"/>
    <cellStyle name="Comma 2 5 13 2 4" xfId="14671" xr:uid="{00000000-0005-0000-0000-00004C390000}"/>
    <cellStyle name="Comma 2 5 13 2 5" xfId="14672" xr:uid="{00000000-0005-0000-0000-00004D390000}"/>
    <cellStyle name="Comma 2 5 13 2 6" xfId="14673" xr:uid="{00000000-0005-0000-0000-00004E390000}"/>
    <cellStyle name="Comma 2 5 13 3" xfId="14674" xr:uid="{00000000-0005-0000-0000-00004F390000}"/>
    <cellStyle name="Comma 2 5 13 3 2" xfId="14675" xr:uid="{00000000-0005-0000-0000-000050390000}"/>
    <cellStyle name="Comma 2 5 13 3 2 2" xfId="14676" xr:uid="{00000000-0005-0000-0000-000051390000}"/>
    <cellStyle name="Comma 2 5 13 3 3" xfId="14677" xr:uid="{00000000-0005-0000-0000-000052390000}"/>
    <cellStyle name="Comma 2 5 13 3 4" xfId="14678" xr:uid="{00000000-0005-0000-0000-000053390000}"/>
    <cellStyle name="Comma 2 5 13 3 5" xfId="14679" xr:uid="{00000000-0005-0000-0000-000054390000}"/>
    <cellStyle name="Comma 2 5 13 4" xfId="14680" xr:uid="{00000000-0005-0000-0000-000055390000}"/>
    <cellStyle name="Comma 2 5 13 4 2" xfId="14681" xr:uid="{00000000-0005-0000-0000-000056390000}"/>
    <cellStyle name="Comma 2 5 13 4 3" xfId="14682" xr:uid="{00000000-0005-0000-0000-000057390000}"/>
    <cellStyle name="Comma 2 5 13 4 4" xfId="14683" xr:uid="{00000000-0005-0000-0000-000058390000}"/>
    <cellStyle name="Comma 2 5 13 5" xfId="14684" xr:uid="{00000000-0005-0000-0000-000059390000}"/>
    <cellStyle name="Comma 2 5 13 5 2" xfId="14685" xr:uid="{00000000-0005-0000-0000-00005A390000}"/>
    <cellStyle name="Comma 2 5 13 6" xfId="14686" xr:uid="{00000000-0005-0000-0000-00005B390000}"/>
    <cellStyle name="Comma 2 5 13 7" xfId="14687" xr:uid="{00000000-0005-0000-0000-00005C390000}"/>
    <cellStyle name="Comma 2 5 13 8" xfId="14688" xr:uid="{00000000-0005-0000-0000-00005D390000}"/>
    <cellStyle name="Comma 2 5 13 9" xfId="14689" xr:uid="{00000000-0005-0000-0000-00005E390000}"/>
    <cellStyle name="Comma 2 5 14" xfId="14690" xr:uid="{00000000-0005-0000-0000-00005F390000}"/>
    <cellStyle name="Comma 2 5 14 2" xfId="14691" xr:uid="{00000000-0005-0000-0000-000060390000}"/>
    <cellStyle name="Comma 2 5 14 2 2" xfId="14692" xr:uid="{00000000-0005-0000-0000-000061390000}"/>
    <cellStyle name="Comma 2 5 14 2 2 2" xfId="14693" xr:uid="{00000000-0005-0000-0000-000062390000}"/>
    <cellStyle name="Comma 2 5 14 2 2 3" xfId="14694" xr:uid="{00000000-0005-0000-0000-000063390000}"/>
    <cellStyle name="Comma 2 5 14 2 3" xfId="14695" xr:uid="{00000000-0005-0000-0000-000064390000}"/>
    <cellStyle name="Comma 2 5 14 2 4" xfId="14696" xr:uid="{00000000-0005-0000-0000-000065390000}"/>
    <cellStyle name="Comma 2 5 14 2 5" xfId="14697" xr:uid="{00000000-0005-0000-0000-000066390000}"/>
    <cellStyle name="Comma 2 5 14 2 6" xfId="14698" xr:uid="{00000000-0005-0000-0000-000067390000}"/>
    <cellStyle name="Comma 2 5 14 3" xfId="14699" xr:uid="{00000000-0005-0000-0000-000068390000}"/>
    <cellStyle name="Comma 2 5 14 3 2" xfId="14700" xr:uid="{00000000-0005-0000-0000-000069390000}"/>
    <cellStyle name="Comma 2 5 14 3 2 2" xfId="14701" xr:uid="{00000000-0005-0000-0000-00006A390000}"/>
    <cellStyle name="Comma 2 5 14 3 3" xfId="14702" xr:uid="{00000000-0005-0000-0000-00006B390000}"/>
    <cellStyle name="Comma 2 5 14 3 4" xfId="14703" xr:uid="{00000000-0005-0000-0000-00006C390000}"/>
    <cellStyle name="Comma 2 5 14 3 5" xfId="14704" xr:uid="{00000000-0005-0000-0000-00006D390000}"/>
    <cellStyle name="Comma 2 5 14 4" xfId="14705" xr:uid="{00000000-0005-0000-0000-00006E390000}"/>
    <cellStyle name="Comma 2 5 14 4 2" xfId="14706" xr:uid="{00000000-0005-0000-0000-00006F390000}"/>
    <cellStyle name="Comma 2 5 14 4 3" xfId="14707" xr:uid="{00000000-0005-0000-0000-000070390000}"/>
    <cellStyle name="Comma 2 5 14 4 4" xfId="14708" xr:uid="{00000000-0005-0000-0000-000071390000}"/>
    <cellStyle name="Comma 2 5 14 5" xfId="14709" xr:uid="{00000000-0005-0000-0000-000072390000}"/>
    <cellStyle name="Comma 2 5 14 5 2" xfId="14710" xr:uid="{00000000-0005-0000-0000-000073390000}"/>
    <cellStyle name="Comma 2 5 14 6" xfId="14711" xr:uid="{00000000-0005-0000-0000-000074390000}"/>
    <cellStyle name="Comma 2 5 14 7" xfId="14712" xr:uid="{00000000-0005-0000-0000-000075390000}"/>
    <cellStyle name="Comma 2 5 14 8" xfId="14713" xr:uid="{00000000-0005-0000-0000-000076390000}"/>
    <cellStyle name="Comma 2 5 14 9" xfId="14714" xr:uid="{00000000-0005-0000-0000-000077390000}"/>
    <cellStyle name="Comma 2 5 15" xfId="14715" xr:uid="{00000000-0005-0000-0000-000078390000}"/>
    <cellStyle name="Comma 2 5 15 2" xfId="14716" xr:uid="{00000000-0005-0000-0000-000079390000}"/>
    <cellStyle name="Comma 2 5 15 2 2" xfId="14717" xr:uid="{00000000-0005-0000-0000-00007A390000}"/>
    <cellStyle name="Comma 2 5 15 2 3" xfId="14718" xr:uid="{00000000-0005-0000-0000-00007B390000}"/>
    <cellStyle name="Comma 2 5 15 3" xfId="14719" xr:uid="{00000000-0005-0000-0000-00007C390000}"/>
    <cellStyle name="Comma 2 5 15 4" xfId="14720" xr:uid="{00000000-0005-0000-0000-00007D390000}"/>
    <cellStyle name="Comma 2 5 15 5" xfId="14721" xr:uid="{00000000-0005-0000-0000-00007E390000}"/>
    <cellStyle name="Comma 2 5 15 6" xfId="14722" xr:uid="{00000000-0005-0000-0000-00007F390000}"/>
    <cellStyle name="Comma 2 5 16" xfId="14723" xr:uid="{00000000-0005-0000-0000-000080390000}"/>
    <cellStyle name="Comma 2 5 16 2" xfId="14724" xr:uid="{00000000-0005-0000-0000-000081390000}"/>
    <cellStyle name="Comma 2 5 16 2 2" xfId="14725" xr:uid="{00000000-0005-0000-0000-000082390000}"/>
    <cellStyle name="Comma 2 5 16 3" xfId="14726" xr:uid="{00000000-0005-0000-0000-000083390000}"/>
    <cellStyle name="Comma 2 5 16 4" xfId="14727" xr:uid="{00000000-0005-0000-0000-000084390000}"/>
    <cellStyle name="Comma 2 5 16 5" xfId="14728" xr:uid="{00000000-0005-0000-0000-000085390000}"/>
    <cellStyle name="Comma 2 5 17" xfId="14729" xr:uid="{00000000-0005-0000-0000-000086390000}"/>
    <cellStyle name="Comma 2 5 17 2" xfId="14730" xr:uid="{00000000-0005-0000-0000-000087390000}"/>
    <cellStyle name="Comma 2 5 17 2 2" xfId="14731" xr:uid="{00000000-0005-0000-0000-000088390000}"/>
    <cellStyle name="Comma 2 5 17 3" xfId="14732" xr:uid="{00000000-0005-0000-0000-000089390000}"/>
    <cellStyle name="Comma 2 5 17 4" xfId="14733" xr:uid="{00000000-0005-0000-0000-00008A390000}"/>
    <cellStyle name="Comma 2 5 17 5" xfId="14734" xr:uid="{00000000-0005-0000-0000-00008B390000}"/>
    <cellStyle name="Comma 2 5 18" xfId="14735" xr:uid="{00000000-0005-0000-0000-00008C390000}"/>
    <cellStyle name="Comma 2 5 18 2" xfId="14736" xr:uid="{00000000-0005-0000-0000-00008D390000}"/>
    <cellStyle name="Comma 2 5 19" xfId="14737" xr:uid="{00000000-0005-0000-0000-00008E390000}"/>
    <cellStyle name="Comma 2 5 2" xfId="14738" xr:uid="{00000000-0005-0000-0000-00008F390000}"/>
    <cellStyle name="Comma 2 5 2 10" xfId="14739" xr:uid="{00000000-0005-0000-0000-000090390000}"/>
    <cellStyle name="Comma 2 5 2 11" xfId="14740" xr:uid="{00000000-0005-0000-0000-000091390000}"/>
    <cellStyle name="Comma 2 5 2 2" xfId="14741" xr:uid="{00000000-0005-0000-0000-000092390000}"/>
    <cellStyle name="Comma 2 5 2 2 2" xfId="14742" xr:uid="{00000000-0005-0000-0000-000093390000}"/>
    <cellStyle name="Comma 2 5 2 2 2 2" xfId="14743" xr:uid="{00000000-0005-0000-0000-000094390000}"/>
    <cellStyle name="Comma 2 5 2 2 2 2 2" xfId="14744" xr:uid="{00000000-0005-0000-0000-000095390000}"/>
    <cellStyle name="Comma 2 5 2 2 2 2 3" xfId="14745" xr:uid="{00000000-0005-0000-0000-000096390000}"/>
    <cellStyle name="Comma 2 5 2 2 2 3" xfId="14746" xr:uid="{00000000-0005-0000-0000-000097390000}"/>
    <cellStyle name="Comma 2 5 2 2 2 4" xfId="14747" xr:uid="{00000000-0005-0000-0000-000098390000}"/>
    <cellStyle name="Comma 2 5 2 2 2 5" xfId="14748" xr:uid="{00000000-0005-0000-0000-000099390000}"/>
    <cellStyle name="Comma 2 5 2 2 2 6" xfId="14749" xr:uid="{00000000-0005-0000-0000-00009A390000}"/>
    <cellStyle name="Comma 2 5 2 2 3" xfId="14750" xr:uid="{00000000-0005-0000-0000-00009B390000}"/>
    <cellStyle name="Comma 2 5 2 2 3 2" xfId="14751" xr:uid="{00000000-0005-0000-0000-00009C390000}"/>
    <cellStyle name="Comma 2 5 2 2 3 2 2" xfId="14752" xr:uid="{00000000-0005-0000-0000-00009D390000}"/>
    <cellStyle name="Comma 2 5 2 2 3 3" xfId="14753" xr:uid="{00000000-0005-0000-0000-00009E390000}"/>
    <cellStyle name="Comma 2 5 2 2 3 4" xfId="14754" xr:uid="{00000000-0005-0000-0000-00009F390000}"/>
    <cellStyle name="Comma 2 5 2 2 3 5" xfId="14755" xr:uid="{00000000-0005-0000-0000-0000A0390000}"/>
    <cellStyle name="Comma 2 5 2 2 4" xfId="14756" xr:uid="{00000000-0005-0000-0000-0000A1390000}"/>
    <cellStyle name="Comma 2 5 2 2 4 2" xfId="14757" xr:uid="{00000000-0005-0000-0000-0000A2390000}"/>
    <cellStyle name="Comma 2 5 2 2 4 3" xfId="14758" xr:uid="{00000000-0005-0000-0000-0000A3390000}"/>
    <cellStyle name="Comma 2 5 2 2 4 4" xfId="14759" xr:uid="{00000000-0005-0000-0000-0000A4390000}"/>
    <cellStyle name="Comma 2 5 2 2 5" xfId="14760" xr:uid="{00000000-0005-0000-0000-0000A5390000}"/>
    <cellStyle name="Comma 2 5 2 2 5 2" xfId="14761" xr:uid="{00000000-0005-0000-0000-0000A6390000}"/>
    <cellStyle name="Comma 2 5 2 2 6" xfId="14762" xr:uid="{00000000-0005-0000-0000-0000A7390000}"/>
    <cellStyle name="Comma 2 5 2 2 7" xfId="14763" xr:uid="{00000000-0005-0000-0000-0000A8390000}"/>
    <cellStyle name="Comma 2 5 2 2 8" xfId="14764" xr:uid="{00000000-0005-0000-0000-0000A9390000}"/>
    <cellStyle name="Comma 2 5 2 2 9" xfId="14765" xr:uid="{00000000-0005-0000-0000-0000AA390000}"/>
    <cellStyle name="Comma 2 5 2 3" xfId="14766" xr:uid="{00000000-0005-0000-0000-0000AB390000}"/>
    <cellStyle name="Comma 2 5 2 3 2" xfId="14767" xr:uid="{00000000-0005-0000-0000-0000AC390000}"/>
    <cellStyle name="Comma 2 5 2 3 2 2" xfId="14768" xr:uid="{00000000-0005-0000-0000-0000AD390000}"/>
    <cellStyle name="Comma 2 5 2 3 2 2 2" xfId="14769" xr:uid="{00000000-0005-0000-0000-0000AE390000}"/>
    <cellStyle name="Comma 2 5 2 3 2 2 3" xfId="14770" xr:uid="{00000000-0005-0000-0000-0000AF390000}"/>
    <cellStyle name="Comma 2 5 2 3 2 3" xfId="14771" xr:uid="{00000000-0005-0000-0000-0000B0390000}"/>
    <cellStyle name="Comma 2 5 2 3 2 4" xfId="14772" xr:uid="{00000000-0005-0000-0000-0000B1390000}"/>
    <cellStyle name="Comma 2 5 2 3 2 5" xfId="14773" xr:uid="{00000000-0005-0000-0000-0000B2390000}"/>
    <cellStyle name="Comma 2 5 2 3 2 6" xfId="14774" xr:uid="{00000000-0005-0000-0000-0000B3390000}"/>
    <cellStyle name="Comma 2 5 2 3 3" xfId="14775" xr:uid="{00000000-0005-0000-0000-0000B4390000}"/>
    <cellStyle name="Comma 2 5 2 3 3 2" xfId="14776" xr:uid="{00000000-0005-0000-0000-0000B5390000}"/>
    <cellStyle name="Comma 2 5 2 3 3 2 2" xfId="14777" xr:uid="{00000000-0005-0000-0000-0000B6390000}"/>
    <cellStyle name="Comma 2 5 2 3 3 3" xfId="14778" xr:uid="{00000000-0005-0000-0000-0000B7390000}"/>
    <cellStyle name="Comma 2 5 2 3 3 4" xfId="14779" xr:uid="{00000000-0005-0000-0000-0000B8390000}"/>
    <cellStyle name="Comma 2 5 2 3 3 5" xfId="14780" xr:uid="{00000000-0005-0000-0000-0000B9390000}"/>
    <cellStyle name="Comma 2 5 2 3 4" xfId="14781" xr:uid="{00000000-0005-0000-0000-0000BA390000}"/>
    <cellStyle name="Comma 2 5 2 3 4 2" xfId="14782" xr:uid="{00000000-0005-0000-0000-0000BB390000}"/>
    <cellStyle name="Comma 2 5 2 3 4 3" xfId="14783" xr:uid="{00000000-0005-0000-0000-0000BC390000}"/>
    <cellStyle name="Comma 2 5 2 3 4 4" xfId="14784" xr:uid="{00000000-0005-0000-0000-0000BD390000}"/>
    <cellStyle name="Comma 2 5 2 3 5" xfId="14785" xr:uid="{00000000-0005-0000-0000-0000BE390000}"/>
    <cellStyle name="Comma 2 5 2 3 5 2" xfId="14786" xr:uid="{00000000-0005-0000-0000-0000BF390000}"/>
    <cellStyle name="Comma 2 5 2 3 6" xfId="14787" xr:uid="{00000000-0005-0000-0000-0000C0390000}"/>
    <cellStyle name="Comma 2 5 2 3 7" xfId="14788" xr:uid="{00000000-0005-0000-0000-0000C1390000}"/>
    <cellStyle name="Comma 2 5 2 3 8" xfId="14789" xr:uid="{00000000-0005-0000-0000-0000C2390000}"/>
    <cellStyle name="Comma 2 5 2 3 9" xfId="14790" xr:uid="{00000000-0005-0000-0000-0000C3390000}"/>
    <cellStyle name="Comma 2 5 2 4" xfId="14791" xr:uid="{00000000-0005-0000-0000-0000C4390000}"/>
    <cellStyle name="Comma 2 5 2 4 2" xfId="14792" xr:uid="{00000000-0005-0000-0000-0000C5390000}"/>
    <cellStyle name="Comma 2 5 2 4 2 2" xfId="14793" xr:uid="{00000000-0005-0000-0000-0000C6390000}"/>
    <cellStyle name="Comma 2 5 2 4 2 3" xfId="14794" xr:uid="{00000000-0005-0000-0000-0000C7390000}"/>
    <cellStyle name="Comma 2 5 2 4 3" xfId="14795" xr:uid="{00000000-0005-0000-0000-0000C8390000}"/>
    <cellStyle name="Comma 2 5 2 4 4" xfId="14796" xr:uid="{00000000-0005-0000-0000-0000C9390000}"/>
    <cellStyle name="Comma 2 5 2 4 5" xfId="14797" xr:uid="{00000000-0005-0000-0000-0000CA390000}"/>
    <cellStyle name="Comma 2 5 2 4 6" xfId="14798" xr:uid="{00000000-0005-0000-0000-0000CB390000}"/>
    <cellStyle name="Comma 2 5 2 5" xfId="14799" xr:uid="{00000000-0005-0000-0000-0000CC390000}"/>
    <cellStyle name="Comma 2 5 2 5 2" xfId="14800" xr:uid="{00000000-0005-0000-0000-0000CD390000}"/>
    <cellStyle name="Comma 2 5 2 5 2 2" xfId="14801" xr:uid="{00000000-0005-0000-0000-0000CE390000}"/>
    <cellStyle name="Comma 2 5 2 5 3" xfId="14802" xr:uid="{00000000-0005-0000-0000-0000CF390000}"/>
    <cellStyle name="Comma 2 5 2 5 4" xfId="14803" xr:uid="{00000000-0005-0000-0000-0000D0390000}"/>
    <cellStyle name="Comma 2 5 2 5 5" xfId="14804" xr:uid="{00000000-0005-0000-0000-0000D1390000}"/>
    <cellStyle name="Comma 2 5 2 6" xfId="14805" xr:uid="{00000000-0005-0000-0000-0000D2390000}"/>
    <cellStyle name="Comma 2 5 2 6 2" xfId="14806" xr:uid="{00000000-0005-0000-0000-0000D3390000}"/>
    <cellStyle name="Comma 2 5 2 6 3" xfId="14807" xr:uid="{00000000-0005-0000-0000-0000D4390000}"/>
    <cellStyle name="Comma 2 5 2 6 4" xfId="14808" xr:uid="{00000000-0005-0000-0000-0000D5390000}"/>
    <cellStyle name="Comma 2 5 2 7" xfId="14809" xr:uid="{00000000-0005-0000-0000-0000D6390000}"/>
    <cellStyle name="Comma 2 5 2 7 2" xfId="14810" xr:uid="{00000000-0005-0000-0000-0000D7390000}"/>
    <cellStyle name="Comma 2 5 2 8" xfId="14811" xr:uid="{00000000-0005-0000-0000-0000D8390000}"/>
    <cellStyle name="Comma 2 5 2 9" xfId="14812" xr:uid="{00000000-0005-0000-0000-0000D9390000}"/>
    <cellStyle name="Comma 2 5 20" xfId="14813" xr:uid="{00000000-0005-0000-0000-0000DA390000}"/>
    <cellStyle name="Comma 2 5 21" xfId="14814" xr:uid="{00000000-0005-0000-0000-0000DB390000}"/>
    <cellStyle name="Comma 2 5 22" xfId="14815" xr:uid="{00000000-0005-0000-0000-0000DC390000}"/>
    <cellStyle name="Comma 2 5 3" xfId="14816" xr:uid="{00000000-0005-0000-0000-0000DD390000}"/>
    <cellStyle name="Comma 2 5 3 10" xfId="14817" xr:uid="{00000000-0005-0000-0000-0000DE390000}"/>
    <cellStyle name="Comma 2 5 3 11" xfId="14818" xr:uid="{00000000-0005-0000-0000-0000DF390000}"/>
    <cellStyle name="Comma 2 5 3 2" xfId="14819" xr:uid="{00000000-0005-0000-0000-0000E0390000}"/>
    <cellStyle name="Comma 2 5 3 2 2" xfId="14820" xr:uid="{00000000-0005-0000-0000-0000E1390000}"/>
    <cellStyle name="Comma 2 5 3 2 2 2" xfId="14821" xr:uid="{00000000-0005-0000-0000-0000E2390000}"/>
    <cellStyle name="Comma 2 5 3 2 2 2 2" xfId="14822" xr:uid="{00000000-0005-0000-0000-0000E3390000}"/>
    <cellStyle name="Comma 2 5 3 2 2 2 3" xfId="14823" xr:uid="{00000000-0005-0000-0000-0000E4390000}"/>
    <cellStyle name="Comma 2 5 3 2 2 3" xfId="14824" xr:uid="{00000000-0005-0000-0000-0000E5390000}"/>
    <cellStyle name="Comma 2 5 3 2 2 4" xfId="14825" xr:uid="{00000000-0005-0000-0000-0000E6390000}"/>
    <cellStyle name="Comma 2 5 3 2 2 5" xfId="14826" xr:uid="{00000000-0005-0000-0000-0000E7390000}"/>
    <cellStyle name="Comma 2 5 3 2 2 6" xfId="14827" xr:uid="{00000000-0005-0000-0000-0000E8390000}"/>
    <cellStyle name="Comma 2 5 3 2 3" xfId="14828" xr:uid="{00000000-0005-0000-0000-0000E9390000}"/>
    <cellStyle name="Comma 2 5 3 2 3 2" xfId="14829" xr:uid="{00000000-0005-0000-0000-0000EA390000}"/>
    <cellStyle name="Comma 2 5 3 2 3 2 2" xfId="14830" xr:uid="{00000000-0005-0000-0000-0000EB390000}"/>
    <cellStyle name="Comma 2 5 3 2 3 3" xfId="14831" xr:uid="{00000000-0005-0000-0000-0000EC390000}"/>
    <cellStyle name="Comma 2 5 3 2 3 4" xfId="14832" xr:uid="{00000000-0005-0000-0000-0000ED390000}"/>
    <cellStyle name="Comma 2 5 3 2 3 5" xfId="14833" xr:uid="{00000000-0005-0000-0000-0000EE390000}"/>
    <cellStyle name="Comma 2 5 3 2 4" xfId="14834" xr:uid="{00000000-0005-0000-0000-0000EF390000}"/>
    <cellStyle name="Comma 2 5 3 2 4 2" xfId="14835" xr:uid="{00000000-0005-0000-0000-0000F0390000}"/>
    <cellStyle name="Comma 2 5 3 2 4 3" xfId="14836" xr:uid="{00000000-0005-0000-0000-0000F1390000}"/>
    <cellStyle name="Comma 2 5 3 2 4 4" xfId="14837" xr:uid="{00000000-0005-0000-0000-0000F2390000}"/>
    <cellStyle name="Comma 2 5 3 2 5" xfId="14838" xr:uid="{00000000-0005-0000-0000-0000F3390000}"/>
    <cellStyle name="Comma 2 5 3 2 5 2" xfId="14839" xr:uid="{00000000-0005-0000-0000-0000F4390000}"/>
    <cellStyle name="Comma 2 5 3 2 6" xfId="14840" xr:uid="{00000000-0005-0000-0000-0000F5390000}"/>
    <cellStyle name="Comma 2 5 3 2 7" xfId="14841" xr:uid="{00000000-0005-0000-0000-0000F6390000}"/>
    <cellStyle name="Comma 2 5 3 2 8" xfId="14842" xr:uid="{00000000-0005-0000-0000-0000F7390000}"/>
    <cellStyle name="Comma 2 5 3 2 9" xfId="14843" xr:uid="{00000000-0005-0000-0000-0000F8390000}"/>
    <cellStyle name="Comma 2 5 3 3" xfId="14844" xr:uid="{00000000-0005-0000-0000-0000F9390000}"/>
    <cellStyle name="Comma 2 5 3 3 2" xfId="14845" xr:uid="{00000000-0005-0000-0000-0000FA390000}"/>
    <cellStyle name="Comma 2 5 3 3 2 2" xfId="14846" xr:uid="{00000000-0005-0000-0000-0000FB390000}"/>
    <cellStyle name="Comma 2 5 3 3 2 2 2" xfId="14847" xr:uid="{00000000-0005-0000-0000-0000FC390000}"/>
    <cellStyle name="Comma 2 5 3 3 2 2 3" xfId="14848" xr:uid="{00000000-0005-0000-0000-0000FD390000}"/>
    <cellStyle name="Comma 2 5 3 3 2 3" xfId="14849" xr:uid="{00000000-0005-0000-0000-0000FE390000}"/>
    <cellStyle name="Comma 2 5 3 3 2 4" xfId="14850" xr:uid="{00000000-0005-0000-0000-0000FF390000}"/>
    <cellStyle name="Comma 2 5 3 3 2 5" xfId="14851" xr:uid="{00000000-0005-0000-0000-0000003A0000}"/>
    <cellStyle name="Comma 2 5 3 3 2 6" xfId="14852" xr:uid="{00000000-0005-0000-0000-0000013A0000}"/>
    <cellStyle name="Comma 2 5 3 3 3" xfId="14853" xr:uid="{00000000-0005-0000-0000-0000023A0000}"/>
    <cellStyle name="Comma 2 5 3 3 3 2" xfId="14854" xr:uid="{00000000-0005-0000-0000-0000033A0000}"/>
    <cellStyle name="Comma 2 5 3 3 3 2 2" xfId="14855" xr:uid="{00000000-0005-0000-0000-0000043A0000}"/>
    <cellStyle name="Comma 2 5 3 3 3 3" xfId="14856" xr:uid="{00000000-0005-0000-0000-0000053A0000}"/>
    <cellStyle name="Comma 2 5 3 3 3 4" xfId="14857" xr:uid="{00000000-0005-0000-0000-0000063A0000}"/>
    <cellStyle name="Comma 2 5 3 3 3 5" xfId="14858" xr:uid="{00000000-0005-0000-0000-0000073A0000}"/>
    <cellStyle name="Comma 2 5 3 3 4" xfId="14859" xr:uid="{00000000-0005-0000-0000-0000083A0000}"/>
    <cellStyle name="Comma 2 5 3 3 4 2" xfId="14860" xr:uid="{00000000-0005-0000-0000-0000093A0000}"/>
    <cellStyle name="Comma 2 5 3 3 4 3" xfId="14861" xr:uid="{00000000-0005-0000-0000-00000A3A0000}"/>
    <cellStyle name="Comma 2 5 3 3 4 4" xfId="14862" xr:uid="{00000000-0005-0000-0000-00000B3A0000}"/>
    <cellStyle name="Comma 2 5 3 3 5" xfId="14863" xr:uid="{00000000-0005-0000-0000-00000C3A0000}"/>
    <cellStyle name="Comma 2 5 3 3 5 2" xfId="14864" xr:uid="{00000000-0005-0000-0000-00000D3A0000}"/>
    <cellStyle name="Comma 2 5 3 3 6" xfId="14865" xr:uid="{00000000-0005-0000-0000-00000E3A0000}"/>
    <cellStyle name="Comma 2 5 3 3 7" xfId="14866" xr:uid="{00000000-0005-0000-0000-00000F3A0000}"/>
    <cellStyle name="Comma 2 5 3 3 8" xfId="14867" xr:uid="{00000000-0005-0000-0000-0000103A0000}"/>
    <cellStyle name="Comma 2 5 3 3 9" xfId="14868" xr:uid="{00000000-0005-0000-0000-0000113A0000}"/>
    <cellStyle name="Comma 2 5 3 4" xfId="14869" xr:uid="{00000000-0005-0000-0000-0000123A0000}"/>
    <cellStyle name="Comma 2 5 3 4 2" xfId="14870" xr:uid="{00000000-0005-0000-0000-0000133A0000}"/>
    <cellStyle name="Comma 2 5 3 4 2 2" xfId="14871" xr:uid="{00000000-0005-0000-0000-0000143A0000}"/>
    <cellStyle name="Comma 2 5 3 4 2 3" xfId="14872" xr:uid="{00000000-0005-0000-0000-0000153A0000}"/>
    <cellStyle name="Comma 2 5 3 4 3" xfId="14873" xr:uid="{00000000-0005-0000-0000-0000163A0000}"/>
    <cellStyle name="Comma 2 5 3 4 4" xfId="14874" xr:uid="{00000000-0005-0000-0000-0000173A0000}"/>
    <cellStyle name="Comma 2 5 3 4 5" xfId="14875" xr:uid="{00000000-0005-0000-0000-0000183A0000}"/>
    <cellStyle name="Comma 2 5 3 4 6" xfId="14876" xr:uid="{00000000-0005-0000-0000-0000193A0000}"/>
    <cellStyle name="Comma 2 5 3 5" xfId="14877" xr:uid="{00000000-0005-0000-0000-00001A3A0000}"/>
    <cellStyle name="Comma 2 5 3 5 2" xfId="14878" xr:uid="{00000000-0005-0000-0000-00001B3A0000}"/>
    <cellStyle name="Comma 2 5 3 5 2 2" xfId="14879" xr:uid="{00000000-0005-0000-0000-00001C3A0000}"/>
    <cellStyle name="Comma 2 5 3 5 3" xfId="14880" xr:uid="{00000000-0005-0000-0000-00001D3A0000}"/>
    <cellStyle name="Comma 2 5 3 5 4" xfId="14881" xr:uid="{00000000-0005-0000-0000-00001E3A0000}"/>
    <cellStyle name="Comma 2 5 3 5 5" xfId="14882" xr:uid="{00000000-0005-0000-0000-00001F3A0000}"/>
    <cellStyle name="Comma 2 5 3 6" xfId="14883" xr:uid="{00000000-0005-0000-0000-0000203A0000}"/>
    <cellStyle name="Comma 2 5 3 6 2" xfId="14884" xr:uid="{00000000-0005-0000-0000-0000213A0000}"/>
    <cellStyle name="Comma 2 5 3 6 3" xfId="14885" xr:uid="{00000000-0005-0000-0000-0000223A0000}"/>
    <cellStyle name="Comma 2 5 3 6 4" xfId="14886" xr:uid="{00000000-0005-0000-0000-0000233A0000}"/>
    <cellStyle name="Comma 2 5 3 7" xfId="14887" xr:uid="{00000000-0005-0000-0000-0000243A0000}"/>
    <cellStyle name="Comma 2 5 3 7 2" xfId="14888" xr:uid="{00000000-0005-0000-0000-0000253A0000}"/>
    <cellStyle name="Comma 2 5 3 8" xfId="14889" xr:uid="{00000000-0005-0000-0000-0000263A0000}"/>
    <cellStyle name="Comma 2 5 3 9" xfId="14890" xr:uid="{00000000-0005-0000-0000-0000273A0000}"/>
    <cellStyle name="Comma 2 5 4" xfId="14891" xr:uid="{00000000-0005-0000-0000-0000283A0000}"/>
    <cellStyle name="Comma 2 5 4 10" xfId="14892" xr:uid="{00000000-0005-0000-0000-0000293A0000}"/>
    <cellStyle name="Comma 2 5 4 11" xfId="14893" xr:uid="{00000000-0005-0000-0000-00002A3A0000}"/>
    <cellStyle name="Comma 2 5 4 2" xfId="14894" xr:uid="{00000000-0005-0000-0000-00002B3A0000}"/>
    <cellStyle name="Comma 2 5 4 2 2" xfId="14895" xr:uid="{00000000-0005-0000-0000-00002C3A0000}"/>
    <cellStyle name="Comma 2 5 4 2 2 2" xfId="14896" xr:uid="{00000000-0005-0000-0000-00002D3A0000}"/>
    <cellStyle name="Comma 2 5 4 2 2 2 2" xfId="14897" xr:uid="{00000000-0005-0000-0000-00002E3A0000}"/>
    <cellStyle name="Comma 2 5 4 2 2 2 3" xfId="14898" xr:uid="{00000000-0005-0000-0000-00002F3A0000}"/>
    <cellStyle name="Comma 2 5 4 2 2 3" xfId="14899" xr:uid="{00000000-0005-0000-0000-0000303A0000}"/>
    <cellStyle name="Comma 2 5 4 2 2 4" xfId="14900" xr:uid="{00000000-0005-0000-0000-0000313A0000}"/>
    <cellStyle name="Comma 2 5 4 2 2 5" xfId="14901" xr:uid="{00000000-0005-0000-0000-0000323A0000}"/>
    <cellStyle name="Comma 2 5 4 2 2 6" xfId="14902" xr:uid="{00000000-0005-0000-0000-0000333A0000}"/>
    <cellStyle name="Comma 2 5 4 2 3" xfId="14903" xr:uid="{00000000-0005-0000-0000-0000343A0000}"/>
    <cellStyle name="Comma 2 5 4 2 3 2" xfId="14904" xr:uid="{00000000-0005-0000-0000-0000353A0000}"/>
    <cellStyle name="Comma 2 5 4 2 3 2 2" xfId="14905" xr:uid="{00000000-0005-0000-0000-0000363A0000}"/>
    <cellStyle name="Comma 2 5 4 2 3 3" xfId="14906" xr:uid="{00000000-0005-0000-0000-0000373A0000}"/>
    <cellStyle name="Comma 2 5 4 2 3 4" xfId="14907" xr:uid="{00000000-0005-0000-0000-0000383A0000}"/>
    <cellStyle name="Comma 2 5 4 2 3 5" xfId="14908" xr:uid="{00000000-0005-0000-0000-0000393A0000}"/>
    <cellStyle name="Comma 2 5 4 2 4" xfId="14909" xr:uid="{00000000-0005-0000-0000-00003A3A0000}"/>
    <cellStyle name="Comma 2 5 4 2 4 2" xfId="14910" xr:uid="{00000000-0005-0000-0000-00003B3A0000}"/>
    <cellStyle name="Comma 2 5 4 2 4 3" xfId="14911" xr:uid="{00000000-0005-0000-0000-00003C3A0000}"/>
    <cellStyle name="Comma 2 5 4 2 4 4" xfId="14912" xr:uid="{00000000-0005-0000-0000-00003D3A0000}"/>
    <cellStyle name="Comma 2 5 4 2 5" xfId="14913" xr:uid="{00000000-0005-0000-0000-00003E3A0000}"/>
    <cellStyle name="Comma 2 5 4 2 5 2" xfId="14914" xr:uid="{00000000-0005-0000-0000-00003F3A0000}"/>
    <cellStyle name="Comma 2 5 4 2 6" xfId="14915" xr:uid="{00000000-0005-0000-0000-0000403A0000}"/>
    <cellStyle name="Comma 2 5 4 2 7" xfId="14916" xr:uid="{00000000-0005-0000-0000-0000413A0000}"/>
    <cellStyle name="Comma 2 5 4 2 8" xfId="14917" xr:uid="{00000000-0005-0000-0000-0000423A0000}"/>
    <cellStyle name="Comma 2 5 4 2 9" xfId="14918" xr:uid="{00000000-0005-0000-0000-0000433A0000}"/>
    <cellStyle name="Comma 2 5 4 3" xfId="14919" xr:uid="{00000000-0005-0000-0000-0000443A0000}"/>
    <cellStyle name="Comma 2 5 4 3 2" xfId="14920" xr:uid="{00000000-0005-0000-0000-0000453A0000}"/>
    <cellStyle name="Comma 2 5 4 3 2 2" xfId="14921" xr:uid="{00000000-0005-0000-0000-0000463A0000}"/>
    <cellStyle name="Comma 2 5 4 3 2 2 2" xfId="14922" xr:uid="{00000000-0005-0000-0000-0000473A0000}"/>
    <cellStyle name="Comma 2 5 4 3 2 2 3" xfId="14923" xr:uid="{00000000-0005-0000-0000-0000483A0000}"/>
    <cellStyle name="Comma 2 5 4 3 2 3" xfId="14924" xr:uid="{00000000-0005-0000-0000-0000493A0000}"/>
    <cellStyle name="Comma 2 5 4 3 2 4" xfId="14925" xr:uid="{00000000-0005-0000-0000-00004A3A0000}"/>
    <cellStyle name="Comma 2 5 4 3 2 5" xfId="14926" xr:uid="{00000000-0005-0000-0000-00004B3A0000}"/>
    <cellStyle name="Comma 2 5 4 3 2 6" xfId="14927" xr:uid="{00000000-0005-0000-0000-00004C3A0000}"/>
    <cellStyle name="Comma 2 5 4 3 3" xfId="14928" xr:uid="{00000000-0005-0000-0000-00004D3A0000}"/>
    <cellStyle name="Comma 2 5 4 3 3 2" xfId="14929" xr:uid="{00000000-0005-0000-0000-00004E3A0000}"/>
    <cellStyle name="Comma 2 5 4 3 3 2 2" xfId="14930" xr:uid="{00000000-0005-0000-0000-00004F3A0000}"/>
    <cellStyle name="Comma 2 5 4 3 3 3" xfId="14931" xr:uid="{00000000-0005-0000-0000-0000503A0000}"/>
    <cellStyle name="Comma 2 5 4 3 3 4" xfId="14932" xr:uid="{00000000-0005-0000-0000-0000513A0000}"/>
    <cellStyle name="Comma 2 5 4 3 3 5" xfId="14933" xr:uid="{00000000-0005-0000-0000-0000523A0000}"/>
    <cellStyle name="Comma 2 5 4 3 4" xfId="14934" xr:uid="{00000000-0005-0000-0000-0000533A0000}"/>
    <cellStyle name="Comma 2 5 4 3 4 2" xfId="14935" xr:uid="{00000000-0005-0000-0000-0000543A0000}"/>
    <cellStyle name="Comma 2 5 4 3 4 3" xfId="14936" xr:uid="{00000000-0005-0000-0000-0000553A0000}"/>
    <cellStyle name="Comma 2 5 4 3 4 4" xfId="14937" xr:uid="{00000000-0005-0000-0000-0000563A0000}"/>
    <cellStyle name="Comma 2 5 4 3 5" xfId="14938" xr:uid="{00000000-0005-0000-0000-0000573A0000}"/>
    <cellStyle name="Comma 2 5 4 3 5 2" xfId="14939" xr:uid="{00000000-0005-0000-0000-0000583A0000}"/>
    <cellStyle name="Comma 2 5 4 3 6" xfId="14940" xr:uid="{00000000-0005-0000-0000-0000593A0000}"/>
    <cellStyle name="Comma 2 5 4 3 7" xfId="14941" xr:uid="{00000000-0005-0000-0000-00005A3A0000}"/>
    <cellStyle name="Comma 2 5 4 3 8" xfId="14942" xr:uid="{00000000-0005-0000-0000-00005B3A0000}"/>
    <cellStyle name="Comma 2 5 4 3 9" xfId="14943" xr:uid="{00000000-0005-0000-0000-00005C3A0000}"/>
    <cellStyle name="Comma 2 5 4 4" xfId="14944" xr:uid="{00000000-0005-0000-0000-00005D3A0000}"/>
    <cellStyle name="Comma 2 5 4 4 2" xfId="14945" xr:uid="{00000000-0005-0000-0000-00005E3A0000}"/>
    <cellStyle name="Comma 2 5 4 4 2 2" xfId="14946" xr:uid="{00000000-0005-0000-0000-00005F3A0000}"/>
    <cellStyle name="Comma 2 5 4 4 2 3" xfId="14947" xr:uid="{00000000-0005-0000-0000-0000603A0000}"/>
    <cellStyle name="Comma 2 5 4 4 3" xfId="14948" xr:uid="{00000000-0005-0000-0000-0000613A0000}"/>
    <cellStyle name="Comma 2 5 4 4 4" xfId="14949" xr:uid="{00000000-0005-0000-0000-0000623A0000}"/>
    <cellStyle name="Comma 2 5 4 4 5" xfId="14950" xr:uid="{00000000-0005-0000-0000-0000633A0000}"/>
    <cellStyle name="Comma 2 5 4 4 6" xfId="14951" xr:uid="{00000000-0005-0000-0000-0000643A0000}"/>
    <cellStyle name="Comma 2 5 4 5" xfId="14952" xr:uid="{00000000-0005-0000-0000-0000653A0000}"/>
    <cellStyle name="Comma 2 5 4 5 2" xfId="14953" xr:uid="{00000000-0005-0000-0000-0000663A0000}"/>
    <cellStyle name="Comma 2 5 4 5 2 2" xfId="14954" xr:uid="{00000000-0005-0000-0000-0000673A0000}"/>
    <cellStyle name="Comma 2 5 4 5 3" xfId="14955" xr:uid="{00000000-0005-0000-0000-0000683A0000}"/>
    <cellStyle name="Comma 2 5 4 5 4" xfId="14956" xr:uid="{00000000-0005-0000-0000-0000693A0000}"/>
    <cellStyle name="Comma 2 5 4 5 5" xfId="14957" xr:uid="{00000000-0005-0000-0000-00006A3A0000}"/>
    <cellStyle name="Comma 2 5 4 6" xfId="14958" xr:uid="{00000000-0005-0000-0000-00006B3A0000}"/>
    <cellStyle name="Comma 2 5 4 6 2" xfId="14959" xr:uid="{00000000-0005-0000-0000-00006C3A0000}"/>
    <cellStyle name="Comma 2 5 4 6 3" xfId="14960" xr:uid="{00000000-0005-0000-0000-00006D3A0000}"/>
    <cellStyle name="Comma 2 5 4 6 4" xfId="14961" xr:uid="{00000000-0005-0000-0000-00006E3A0000}"/>
    <cellStyle name="Comma 2 5 4 7" xfId="14962" xr:uid="{00000000-0005-0000-0000-00006F3A0000}"/>
    <cellStyle name="Comma 2 5 4 7 2" xfId="14963" xr:uid="{00000000-0005-0000-0000-0000703A0000}"/>
    <cellStyle name="Comma 2 5 4 8" xfId="14964" xr:uid="{00000000-0005-0000-0000-0000713A0000}"/>
    <cellStyle name="Comma 2 5 4 9" xfId="14965" xr:uid="{00000000-0005-0000-0000-0000723A0000}"/>
    <cellStyle name="Comma 2 5 5" xfId="14966" xr:uid="{00000000-0005-0000-0000-0000733A0000}"/>
    <cellStyle name="Comma 2 5 5 10" xfId="14967" xr:uid="{00000000-0005-0000-0000-0000743A0000}"/>
    <cellStyle name="Comma 2 5 5 11" xfId="14968" xr:uid="{00000000-0005-0000-0000-0000753A0000}"/>
    <cellStyle name="Comma 2 5 5 2" xfId="14969" xr:uid="{00000000-0005-0000-0000-0000763A0000}"/>
    <cellStyle name="Comma 2 5 5 2 2" xfId="14970" xr:uid="{00000000-0005-0000-0000-0000773A0000}"/>
    <cellStyle name="Comma 2 5 5 2 2 2" xfId="14971" xr:uid="{00000000-0005-0000-0000-0000783A0000}"/>
    <cellStyle name="Comma 2 5 5 2 2 2 2" xfId="14972" xr:uid="{00000000-0005-0000-0000-0000793A0000}"/>
    <cellStyle name="Comma 2 5 5 2 2 2 3" xfId="14973" xr:uid="{00000000-0005-0000-0000-00007A3A0000}"/>
    <cellStyle name="Comma 2 5 5 2 2 3" xfId="14974" xr:uid="{00000000-0005-0000-0000-00007B3A0000}"/>
    <cellStyle name="Comma 2 5 5 2 2 4" xfId="14975" xr:uid="{00000000-0005-0000-0000-00007C3A0000}"/>
    <cellStyle name="Comma 2 5 5 2 2 5" xfId="14976" xr:uid="{00000000-0005-0000-0000-00007D3A0000}"/>
    <cellStyle name="Comma 2 5 5 2 2 6" xfId="14977" xr:uid="{00000000-0005-0000-0000-00007E3A0000}"/>
    <cellStyle name="Comma 2 5 5 2 3" xfId="14978" xr:uid="{00000000-0005-0000-0000-00007F3A0000}"/>
    <cellStyle name="Comma 2 5 5 2 3 2" xfId="14979" xr:uid="{00000000-0005-0000-0000-0000803A0000}"/>
    <cellStyle name="Comma 2 5 5 2 3 2 2" xfId="14980" xr:uid="{00000000-0005-0000-0000-0000813A0000}"/>
    <cellStyle name="Comma 2 5 5 2 3 3" xfId="14981" xr:uid="{00000000-0005-0000-0000-0000823A0000}"/>
    <cellStyle name="Comma 2 5 5 2 3 4" xfId="14982" xr:uid="{00000000-0005-0000-0000-0000833A0000}"/>
    <cellStyle name="Comma 2 5 5 2 3 5" xfId="14983" xr:uid="{00000000-0005-0000-0000-0000843A0000}"/>
    <cellStyle name="Comma 2 5 5 2 4" xfId="14984" xr:uid="{00000000-0005-0000-0000-0000853A0000}"/>
    <cellStyle name="Comma 2 5 5 2 4 2" xfId="14985" xr:uid="{00000000-0005-0000-0000-0000863A0000}"/>
    <cellStyle name="Comma 2 5 5 2 4 3" xfId="14986" xr:uid="{00000000-0005-0000-0000-0000873A0000}"/>
    <cellStyle name="Comma 2 5 5 2 4 4" xfId="14987" xr:uid="{00000000-0005-0000-0000-0000883A0000}"/>
    <cellStyle name="Comma 2 5 5 2 5" xfId="14988" xr:uid="{00000000-0005-0000-0000-0000893A0000}"/>
    <cellStyle name="Comma 2 5 5 2 5 2" xfId="14989" xr:uid="{00000000-0005-0000-0000-00008A3A0000}"/>
    <cellStyle name="Comma 2 5 5 2 6" xfId="14990" xr:uid="{00000000-0005-0000-0000-00008B3A0000}"/>
    <cellStyle name="Comma 2 5 5 2 7" xfId="14991" xr:uid="{00000000-0005-0000-0000-00008C3A0000}"/>
    <cellStyle name="Comma 2 5 5 2 8" xfId="14992" xr:uid="{00000000-0005-0000-0000-00008D3A0000}"/>
    <cellStyle name="Comma 2 5 5 2 9" xfId="14993" xr:uid="{00000000-0005-0000-0000-00008E3A0000}"/>
    <cellStyle name="Comma 2 5 5 3" xfId="14994" xr:uid="{00000000-0005-0000-0000-00008F3A0000}"/>
    <cellStyle name="Comma 2 5 5 3 2" xfId="14995" xr:uid="{00000000-0005-0000-0000-0000903A0000}"/>
    <cellStyle name="Comma 2 5 5 3 2 2" xfId="14996" xr:uid="{00000000-0005-0000-0000-0000913A0000}"/>
    <cellStyle name="Comma 2 5 5 3 2 2 2" xfId="14997" xr:uid="{00000000-0005-0000-0000-0000923A0000}"/>
    <cellStyle name="Comma 2 5 5 3 2 2 3" xfId="14998" xr:uid="{00000000-0005-0000-0000-0000933A0000}"/>
    <cellStyle name="Comma 2 5 5 3 2 3" xfId="14999" xr:uid="{00000000-0005-0000-0000-0000943A0000}"/>
    <cellStyle name="Comma 2 5 5 3 2 4" xfId="15000" xr:uid="{00000000-0005-0000-0000-0000953A0000}"/>
    <cellStyle name="Comma 2 5 5 3 2 5" xfId="15001" xr:uid="{00000000-0005-0000-0000-0000963A0000}"/>
    <cellStyle name="Comma 2 5 5 3 2 6" xfId="15002" xr:uid="{00000000-0005-0000-0000-0000973A0000}"/>
    <cellStyle name="Comma 2 5 5 3 3" xfId="15003" xr:uid="{00000000-0005-0000-0000-0000983A0000}"/>
    <cellStyle name="Comma 2 5 5 3 3 2" xfId="15004" xr:uid="{00000000-0005-0000-0000-0000993A0000}"/>
    <cellStyle name="Comma 2 5 5 3 3 2 2" xfId="15005" xr:uid="{00000000-0005-0000-0000-00009A3A0000}"/>
    <cellStyle name="Comma 2 5 5 3 3 3" xfId="15006" xr:uid="{00000000-0005-0000-0000-00009B3A0000}"/>
    <cellStyle name="Comma 2 5 5 3 3 4" xfId="15007" xr:uid="{00000000-0005-0000-0000-00009C3A0000}"/>
    <cellStyle name="Comma 2 5 5 3 3 5" xfId="15008" xr:uid="{00000000-0005-0000-0000-00009D3A0000}"/>
    <cellStyle name="Comma 2 5 5 3 4" xfId="15009" xr:uid="{00000000-0005-0000-0000-00009E3A0000}"/>
    <cellStyle name="Comma 2 5 5 3 4 2" xfId="15010" xr:uid="{00000000-0005-0000-0000-00009F3A0000}"/>
    <cellStyle name="Comma 2 5 5 3 4 3" xfId="15011" xr:uid="{00000000-0005-0000-0000-0000A03A0000}"/>
    <cellStyle name="Comma 2 5 5 3 4 4" xfId="15012" xr:uid="{00000000-0005-0000-0000-0000A13A0000}"/>
    <cellStyle name="Comma 2 5 5 3 5" xfId="15013" xr:uid="{00000000-0005-0000-0000-0000A23A0000}"/>
    <cellStyle name="Comma 2 5 5 3 5 2" xfId="15014" xr:uid="{00000000-0005-0000-0000-0000A33A0000}"/>
    <cellStyle name="Comma 2 5 5 3 6" xfId="15015" xr:uid="{00000000-0005-0000-0000-0000A43A0000}"/>
    <cellStyle name="Comma 2 5 5 3 7" xfId="15016" xr:uid="{00000000-0005-0000-0000-0000A53A0000}"/>
    <cellStyle name="Comma 2 5 5 3 8" xfId="15017" xr:uid="{00000000-0005-0000-0000-0000A63A0000}"/>
    <cellStyle name="Comma 2 5 5 3 9" xfId="15018" xr:uid="{00000000-0005-0000-0000-0000A73A0000}"/>
    <cellStyle name="Comma 2 5 5 4" xfId="15019" xr:uid="{00000000-0005-0000-0000-0000A83A0000}"/>
    <cellStyle name="Comma 2 5 5 4 2" xfId="15020" xr:uid="{00000000-0005-0000-0000-0000A93A0000}"/>
    <cellStyle name="Comma 2 5 5 4 2 2" xfId="15021" xr:uid="{00000000-0005-0000-0000-0000AA3A0000}"/>
    <cellStyle name="Comma 2 5 5 4 2 3" xfId="15022" xr:uid="{00000000-0005-0000-0000-0000AB3A0000}"/>
    <cellStyle name="Comma 2 5 5 4 3" xfId="15023" xr:uid="{00000000-0005-0000-0000-0000AC3A0000}"/>
    <cellStyle name="Comma 2 5 5 4 4" xfId="15024" xr:uid="{00000000-0005-0000-0000-0000AD3A0000}"/>
    <cellStyle name="Comma 2 5 5 4 5" xfId="15025" xr:uid="{00000000-0005-0000-0000-0000AE3A0000}"/>
    <cellStyle name="Comma 2 5 5 4 6" xfId="15026" xr:uid="{00000000-0005-0000-0000-0000AF3A0000}"/>
    <cellStyle name="Comma 2 5 5 5" xfId="15027" xr:uid="{00000000-0005-0000-0000-0000B03A0000}"/>
    <cellStyle name="Comma 2 5 5 5 2" xfId="15028" xr:uid="{00000000-0005-0000-0000-0000B13A0000}"/>
    <cellStyle name="Comma 2 5 5 5 2 2" xfId="15029" xr:uid="{00000000-0005-0000-0000-0000B23A0000}"/>
    <cellStyle name="Comma 2 5 5 5 3" xfId="15030" xr:uid="{00000000-0005-0000-0000-0000B33A0000}"/>
    <cellStyle name="Comma 2 5 5 5 4" xfId="15031" xr:uid="{00000000-0005-0000-0000-0000B43A0000}"/>
    <cellStyle name="Comma 2 5 5 5 5" xfId="15032" xr:uid="{00000000-0005-0000-0000-0000B53A0000}"/>
    <cellStyle name="Comma 2 5 5 6" xfId="15033" xr:uid="{00000000-0005-0000-0000-0000B63A0000}"/>
    <cellStyle name="Comma 2 5 5 6 2" xfId="15034" xr:uid="{00000000-0005-0000-0000-0000B73A0000}"/>
    <cellStyle name="Comma 2 5 5 6 3" xfId="15035" xr:uid="{00000000-0005-0000-0000-0000B83A0000}"/>
    <cellStyle name="Comma 2 5 5 6 4" xfId="15036" xr:uid="{00000000-0005-0000-0000-0000B93A0000}"/>
    <cellStyle name="Comma 2 5 5 7" xfId="15037" xr:uid="{00000000-0005-0000-0000-0000BA3A0000}"/>
    <cellStyle name="Comma 2 5 5 7 2" xfId="15038" xr:uid="{00000000-0005-0000-0000-0000BB3A0000}"/>
    <cellStyle name="Comma 2 5 5 8" xfId="15039" xr:uid="{00000000-0005-0000-0000-0000BC3A0000}"/>
    <cellStyle name="Comma 2 5 5 9" xfId="15040" xr:uid="{00000000-0005-0000-0000-0000BD3A0000}"/>
    <cellStyle name="Comma 2 5 6" xfId="15041" xr:uid="{00000000-0005-0000-0000-0000BE3A0000}"/>
    <cellStyle name="Comma 2 5 6 10" xfId="15042" xr:uid="{00000000-0005-0000-0000-0000BF3A0000}"/>
    <cellStyle name="Comma 2 5 6 11" xfId="15043" xr:uid="{00000000-0005-0000-0000-0000C03A0000}"/>
    <cellStyle name="Comma 2 5 6 2" xfId="15044" xr:uid="{00000000-0005-0000-0000-0000C13A0000}"/>
    <cellStyle name="Comma 2 5 6 2 2" xfId="15045" xr:uid="{00000000-0005-0000-0000-0000C23A0000}"/>
    <cellStyle name="Comma 2 5 6 2 2 2" xfId="15046" xr:uid="{00000000-0005-0000-0000-0000C33A0000}"/>
    <cellStyle name="Comma 2 5 6 2 2 2 2" xfId="15047" xr:uid="{00000000-0005-0000-0000-0000C43A0000}"/>
    <cellStyle name="Comma 2 5 6 2 2 2 3" xfId="15048" xr:uid="{00000000-0005-0000-0000-0000C53A0000}"/>
    <cellStyle name="Comma 2 5 6 2 2 3" xfId="15049" xr:uid="{00000000-0005-0000-0000-0000C63A0000}"/>
    <cellStyle name="Comma 2 5 6 2 2 4" xfId="15050" xr:uid="{00000000-0005-0000-0000-0000C73A0000}"/>
    <cellStyle name="Comma 2 5 6 2 2 5" xfId="15051" xr:uid="{00000000-0005-0000-0000-0000C83A0000}"/>
    <cellStyle name="Comma 2 5 6 2 2 6" xfId="15052" xr:uid="{00000000-0005-0000-0000-0000C93A0000}"/>
    <cellStyle name="Comma 2 5 6 2 3" xfId="15053" xr:uid="{00000000-0005-0000-0000-0000CA3A0000}"/>
    <cellStyle name="Comma 2 5 6 2 3 2" xfId="15054" xr:uid="{00000000-0005-0000-0000-0000CB3A0000}"/>
    <cellStyle name="Comma 2 5 6 2 3 2 2" xfId="15055" xr:uid="{00000000-0005-0000-0000-0000CC3A0000}"/>
    <cellStyle name="Comma 2 5 6 2 3 3" xfId="15056" xr:uid="{00000000-0005-0000-0000-0000CD3A0000}"/>
    <cellStyle name="Comma 2 5 6 2 3 4" xfId="15057" xr:uid="{00000000-0005-0000-0000-0000CE3A0000}"/>
    <cellStyle name="Comma 2 5 6 2 3 5" xfId="15058" xr:uid="{00000000-0005-0000-0000-0000CF3A0000}"/>
    <cellStyle name="Comma 2 5 6 2 4" xfId="15059" xr:uid="{00000000-0005-0000-0000-0000D03A0000}"/>
    <cellStyle name="Comma 2 5 6 2 4 2" xfId="15060" xr:uid="{00000000-0005-0000-0000-0000D13A0000}"/>
    <cellStyle name="Comma 2 5 6 2 4 3" xfId="15061" xr:uid="{00000000-0005-0000-0000-0000D23A0000}"/>
    <cellStyle name="Comma 2 5 6 2 4 4" xfId="15062" xr:uid="{00000000-0005-0000-0000-0000D33A0000}"/>
    <cellStyle name="Comma 2 5 6 2 5" xfId="15063" xr:uid="{00000000-0005-0000-0000-0000D43A0000}"/>
    <cellStyle name="Comma 2 5 6 2 5 2" xfId="15064" xr:uid="{00000000-0005-0000-0000-0000D53A0000}"/>
    <cellStyle name="Comma 2 5 6 2 6" xfId="15065" xr:uid="{00000000-0005-0000-0000-0000D63A0000}"/>
    <cellStyle name="Comma 2 5 6 2 7" xfId="15066" xr:uid="{00000000-0005-0000-0000-0000D73A0000}"/>
    <cellStyle name="Comma 2 5 6 2 8" xfId="15067" xr:uid="{00000000-0005-0000-0000-0000D83A0000}"/>
    <cellStyle name="Comma 2 5 6 2 9" xfId="15068" xr:uid="{00000000-0005-0000-0000-0000D93A0000}"/>
    <cellStyle name="Comma 2 5 6 3" xfId="15069" xr:uid="{00000000-0005-0000-0000-0000DA3A0000}"/>
    <cellStyle name="Comma 2 5 6 3 2" xfId="15070" xr:uid="{00000000-0005-0000-0000-0000DB3A0000}"/>
    <cellStyle name="Comma 2 5 6 3 2 2" xfId="15071" xr:uid="{00000000-0005-0000-0000-0000DC3A0000}"/>
    <cellStyle name="Comma 2 5 6 3 2 2 2" xfId="15072" xr:uid="{00000000-0005-0000-0000-0000DD3A0000}"/>
    <cellStyle name="Comma 2 5 6 3 2 2 3" xfId="15073" xr:uid="{00000000-0005-0000-0000-0000DE3A0000}"/>
    <cellStyle name="Comma 2 5 6 3 2 3" xfId="15074" xr:uid="{00000000-0005-0000-0000-0000DF3A0000}"/>
    <cellStyle name="Comma 2 5 6 3 2 4" xfId="15075" xr:uid="{00000000-0005-0000-0000-0000E03A0000}"/>
    <cellStyle name="Comma 2 5 6 3 2 5" xfId="15076" xr:uid="{00000000-0005-0000-0000-0000E13A0000}"/>
    <cellStyle name="Comma 2 5 6 3 2 6" xfId="15077" xr:uid="{00000000-0005-0000-0000-0000E23A0000}"/>
    <cellStyle name="Comma 2 5 6 3 3" xfId="15078" xr:uid="{00000000-0005-0000-0000-0000E33A0000}"/>
    <cellStyle name="Comma 2 5 6 3 3 2" xfId="15079" xr:uid="{00000000-0005-0000-0000-0000E43A0000}"/>
    <cellStyle name="Comma 2 5 6 3 3 2 2" xfId="15080" xr:uid="{00000000-0005-0000-0000-0000E53A0000}"/>
    <cellStyle name="Comma 2 5 6 3 3 3" xfId="15081" xr:uid="{00000000-0005-0000-0000-0000E63A0000}"/>
    <cellStyle name="Comma 2 5 6 3 3 4" xfId="15082" xr:uid="{00000000-0005-0000-0000-0000E73A0000}"/>
    <cellStyle name="Comma 2 5 6 3 3 5" xfId="15083" xr:uid="{00000000-0005-0000-0000-0000E83A0000}"/>
    <cellStyle name="Comma 2 5 6 3 4" xfId="15084" xr:uid="{00000000-0005-0000-0000-0000E93A0000}"/>
    <cellStyle name="Comma 2 5 6 3 4 2" xfId="15085" xr:uid="{00000000-0005-0000-0000-0000EA3A0000}"/>
    <cellStyle name="Comma 2 5 6 3 4 3" xfId="15086" xr:uid="{00000000-0005-0000-0000-0000EB3A0000}"/>
    <cellStyle name="Comma 2 5 6 3 4 4" xfId="15087" xr:uid="{00000000-0005-0000-0000-0000EC3A0000}"/>
    <cellStyle name="Comma 2 5 6 3 5" xfId="15088" xr:uid="{00000000-0005-0000-0000-0000ED3A0000}"/>
    <cellStyle name="Comma 2 5 6 3 5 2" xfId="15089" xr:uid="{00000000-0005-0000-0000-0000EE3A0000}"/>
    <cellStyle name="Comma 2 5 6 3 6" xfId="15090" xr:uid="{00000000-0005-0000-0000-0000EF3A0000}"/>
    <cellStyle name="Comma 2 5 6 3 7" xfId="15091" xr:uid="{00000000-0005-0000-0000-0000F03A0000}"/>
    <cellStyle name="Comma 2 5 6 3 8" xfId="15092" xr:uid="{00000000-0005-0000-0000-0000F13A0000}"/>
    <cellStyle name="Comma 2 5 6 3 9" xfId="15093" xr:uid="{00000000-0005-0000-0000-0000F23A0000}"/>
    <cellStyle name="Comma 2 5 6 4" xfId="15094" xr:uid="{00000000-0005-0000-0000-0000F33A0000}"/>
    <cellStyle name="Comma 2 5 6 4 2" xfId="15095" xr:uid="{00000000-0005-0000-0000-0000F43A0000}"/>
    <cellStyle name="Comma 2 5 6 4 2 2" xfId="15096" xr:uid="{00000000-0005-0000-0000-0000F53A0000}"/>
    <cellStyle name="Comma 2 5 6 4 2 3" xfId="15097" xr:uid="{00000000-0005-0000-0000-0000F63A0000}"/>
    <cellStyle name="Comma 2 5 6 4 3" xfId="15098" xr:uid="{00000000-0005-0000-0000-0000F73A0000}"/>
    <cellStyle name="Comma 2 5 6 4 4" xfId="15099" xr:uid="{00000000-0005-0000-0000-0000F83A0000}"/>
    <cellStyle name="Comma 2 5 6 4 5" xfId="15100" xr:uid="{00000000-0005-0000-0000-0000F93A0000}"/>
    <cellStyle name="Comma 2 5 6 4 6" xfId="15101" xr:uid="{00000000-0005-0000-0000-0000FA3A0000}"/>
    <cellStyle name="Comma 2 5 6 5" xfId="15102" xr:uid="{00000000-0005-0000-0000-0000FB3A0000}"/>
    <cellStyle name="Comma 2 5 6 5 2" xfId="15103" xr:uid="{00000000-0005-0000-0000-0000FC3A0000}"/>
    <cellStyle name="Comma 2 5 6 5 2 2" xfId="15104" xr:uid="{00000000-0005-0000-0000-0000FD3A0000}"/>
    <cellStyle name="Comma 2 5 6 5 3" xfId="15105" xr:uid="{00000000-0005-0000-0000-0000FE3A0000}"/>
    <cellStyle name="Comma 2 5 6 5 4" xfId="15106" xr:uid="{00000000-0005-0000-0000-0000FF3A0000}"/>
    <cellStyle name="Comma 2 5 6 5 5" xfId="15107" xr:uid="{00000000-0005-0000-0000-0000003B0000}"/>
    <cellStyle name="Comma 2 5 6 6" xfId="15108" xr:uid="{00000000-0005-0000-0000-0000013B0000}"/>
    <cellStyle name="Comma 2 5 6 6 2" xfId="15109" xr:uid="{00000000-0005-0000-0000-0000023B0000}"/>
    <cellStyle name="Comma 2 5 6 6 3" xfId="15110" xr:uid="{00000000-0005-0000-0000-0000033B0000}"/>
    <cellStyle name="Comma 2 5 6 6 4" xfId="15111" xr:uid="{00000000-0005-0000-0000-0000043B0000}"/>
    <cellStyle name="Comma 2 5 6 7" xfId="15112" xr:uid="{00000000-0005-0000-0000-0000053B0000}"/>
    <cellStyle name="Comma 2 5 6 7 2" xfId="15113" xr:uid="{00000000-0005-0000-0000-0000063B0000}"/>
    <cellStyle name="Comma 2 5 6 8" xfId="15114" xr:uid="{00000000-0005-0000-0000-0000073B0000}"/>
    <cellStyle name="Comma 2 5 6 9" xfId="15115" xr:uid="{00000000-0005-0000-0000-0000083B0000}"/>
    <cellStyle name="Comma 2 5 7" xfId="15116" xr:uid="{00000000-0005-0000-0000-0000093B0000}"/>
    <cellStyle name="Comma 2 5 7 10" xfId="15117" xr:uid="{00000000-0005-0000-0000-00000A3B0000}"/>
    <cellStyle name="Comma 2 5 7 11" xfId="15118" xr:uid="{00000000-0005-0000-0000-00000B3B0000}"/>
    <cellStyle name="Comma 2 5 7 2" xfId="15119" xr:uid="{00000000-0005-0000-0000-00000C3B0000}"/>
    <cellStyle name="Comma 2 5 7 2 2" xfId="15120" xr:uid="{00000000-0005-0000-0000-00000D3B0000}"/>
    <cellStyle name="Comma 2 5 7 2 2 2" xfId="15121" xr:uid="{00000000-0005-0000-0000-00000E3B0000}"/>
    <cellStyle name="Comma 2 5 7 2 2 2 2" xfId="15122" xr:uid="{00000000-0005-0000-0000-00000F3B0000}"/>
    <cellStyle name="Comma 2 5 7 2 2 2 3" xfId="15123" xr:uid="{00000000-0005-0000-0000-0000103B0000}"/>
    <cellStyle name="Comma 2 5 7 2 2 3" xfId="15124" xr:uid="{00000000-0005-0000-0000-0000113B0000}"/>
    <cellStyle name="Comma 2 5 7 2 2 4" xfId="15125" xr:uid="{00000000-0005-0000-0000-0000123B0000}"/>
    <cellStyle name="Comma 2 5 7 2 2 5" xfId="15126" xr:uid="{00000000-0005-0000-0000-0000133B0000}"/>
    <cellStyle name="Comma 2 5 7 2 2 6" xfId="15127" xr:uid="{00000000-0005-0000-0000-0000143B0000}"/>
    <cellStyle name="Comma 2 5 7 2 3" xfId="15128" xr:uid="{00000000-0005-0000-0000-0000153B0000}"/>
    <cellStyle name="Comma 2 5 7 2 3 2" xfId="15129" xr:uid="{00000000-0005-0000-0000-0000163B0000}"/>
    <cellStyle name="Comma 2 5 7 2 3 2 2" xfId="15130" xr:uid="{00000000-0005-0000-0000-0000173B0000}"/>
    <cellStyle name="Comma 2 5 7 2 3 3" xfId="15131" xr:uid="{00000000-0005-0000-0000-0000183B0000}"/>
    <cellStyle name="Comma 2 5 7 2 3 4" xfId="15132" xr:uid="{00000000-0005-0000-0000-0000193B0000}"/>
    <cellStyle name="Comma 2 5 7 2 3 5" xfId="15133" xr:uid="{00000000-0005-0000-0000-00001A3B0000}"/>
    <cellStyle name="Comma 2 5 7 2 4" xfId="15134" xr:uid="{00000000-0005-0000-0000-00001B3B0000}"/>
    <cellStyle name="Comma 2 5 7 2 4 2" xfId="15135" xr:uid="{00000000-0005-0000-0000-00001C3B0000}"/>
    <cellStyle name="Comma 2 5 7 2 4 3" xfId="15136" xr:uid="{00000000-0005-0000-0000-00001D3B0000}"/>
    <cellStyle name="Comma 2 5 7 2 4 4" xfId="15137" xr:uid="{00000000-0005-0000-0000-00001E3B0000}"/>
    <cellStyle name="Comma 2 5 7 2 5" xfId="15138" xr:uid="{00000000-0005-0000-0000-00001F3B0000}"/>
    <cellStyle name="Comma 2 5 7 2 5 2" xfId="15139" xr:uid="{00000000-0005-0000-0000-0000203B0000}"/>
    <cellStyle name="Comma 2 5 7 2 6" xfId="15140" xr:uid="{00000000-0005-0000-0000-0000213B0000}"/>
    <cellStyle name="Comma 2 5 7 2 7" xfId="15141" xr:uid="{00000000-0005-0000-0000-0000223B0000}"/>
    <cellStyle name="Comma 2 5 7 2 8" xfId="15142" xr:uid="{00000000-0005-0000-0000-0000233B0000}"/>
    <cellStyle name="Comma 2 5 7 2 9" xfId="15143" xr:uid="{00000000-0005-0000-0000-0000243B0000}"/>
    <cellStyle name="Comma 2 5 7 3" xfId="15144" xr:uid="{00000000-0005-0000-0000-0000253B0000}"/>
    <cellStyle name="Comma 2 5 7 3 2" xfId="15145" xr:uid="{00000000-0005-0000-0000-0000263B0000}"/>
    <cellStyle name="Comma 2 5 7 3 2 2" xfId="15146" xr:uid="{00000000-0005-0000-0000-0000273B0000}"/>
    <cellStyle name="Comma 2 5 7 3 2 2 2" xfId="15147" xr:uid="{00000000-0005-0000-0000-0000283B0000}"/>
    <cellStyle name="Comma 2 5 7 3 2 2 3" xfId="15148" xr:uid="{00000000-0005-0000-0000-0000293B0000}"/>
    <cellStyle name="Comma 2 5 7 3 2 3" xfId="15149" xr:uid="{00000000-0005-0000-0000-00002A3B0000}"/>
    <cellStyle name="Comma 2 5 7 3 2 4" xfId="15150" xr:uid="{00000000-0005-0000-0000-00002B3B0000}"/>
    <cellStyle name="Comma 2 5 7 3 2 5" xfId="15151" xr:uid="{00000000-0005-0000-0000-00002C3B0000}"/>
    <cellStyle name="Comma 2 5 7 3 2 6" xfId="15152" xr:uid="{00000000-0005-0000-0000-00002D3B0000}"/>
    <cellStyle name="Comma 2 5 7 3 3" xfId="15153" xr:uid="{00000000-0005-0000-0000-00002E3B0000}"/>
    <cellStyle name="Comma 2 5 7 3 3 2" xfId="15154" xr:uid="{00000000-0005-0000-0000-00002F3B0000}"/>
    <cellStyle name="Comma 2 5 7 3 3 2 2" xfId="15155" xr:uid="{00000000-0005-0000-0000-0000303B0000}"/>
    <cellStyle name="Comma 2 5 7 3 3 3" xfId="15156" xr:uid="{00000000-0005-0000-0000-0000313B0000}"/>
    <cellStyle name="Comma 2 5 7 3 3 4" xfId="15157" xr:uid="{00000000-0005-0000-0000-0000323B0000}"/>
    <cellStyle name="Comma 2 5 7 3 3 5" xfId="15158" xr:uid="{00000000-0005-0000-0000-0000333B0000}"/>
    <cellStyle name="Comma 2 5 7 3 4" xfId="15159" xr:uid="{00000000-0005-0000-0000-0000343B0000}"/>
    <cellStyle name="Comma 2 5 7 3 4 2" xfId="15160" xr:uid="{00000000-0005-0000-0000-0000353B0000}"/>
    <cellStyle name="Comma 2 5 7 3 4 3" xfId="15161" xr:uid="{00000000-0005-0000-0000-0000363B0000}"/>
    <cellStyle name="Comma 2 5 7 3 4 4" xfId="15162" xr:uid="{00000000-0005-0000-0000-0000373B0000}"/>
    <cellStyle name="Comma 2 5 7 3 5" xfId="15163" xr:uid="{00000000-0005-0000-0000-0000383B0000}"/>
    <cellStyle name="Comma 2 5 7 3 5 2" xfId="15164" xr:uid="{00000000-0005-0000-0000-0000393B0000}"/>
    <cellStyle name="Comma 2 5 7 3 6" xfId="15165" xr:uid="{00000000-0005-0000-0000-00003A3B0000}"/>
    <cellStyle name="Comma 2 5 7 3 7" xfId="15166" xr:uid="{00000000-0005-0000-0000-00003B3B0000}"/>
    <cellStyle name="Comma 2 5 7 3 8" xfId="15167" xr:uid="{00000000-0005-0000-0000-00003C3B0000}"/>
    <cellStyle name="Comma 2 5 7 3 9" xfId="15168" xr:uid="{00000000-0005-0000-0000-00003D3B0000}"/>
    <cellStyle name="Comma 2 5 7 4" xfId="15169" xr:uid="{00000000-0005-0000-0000-00003E3B0000}"/>
    <cellStyle name="Comma 2 5 7 4 2" xfId="15170" xr:uid="{00000000-0005-0000-0000-00003F3B0000}"/>
    <cellStyle name="Comma 2 5 7 4 2 2" xfId="15171" xr:uid="{00000000-0005-0000-0000-0000403B0000}"/>
    <cellStyle name="Comma 2 5 7 4 2 3" xfId="15172" xr:uid="{00000000-0005-0000-0000-0000413B0000}"/>
    <cellStyle name="Comma 2 5 7 4 3" xfId="15173" xr:uid="{00000000-0005-0000-0000-0000423B0000}"/>
    <cellStyle name="Comma 2 5 7 4 4" xfId="15174" xr:uid="{00000000-0005-0000-0000-0000433B0000}"/>
    <cellStyle name="Comma 2 5 7 4 5" xfId="15175" xr:uid="{00000000-0005-0000-0000-0000443B0000}"/>
    <cellStyle name="Comma 2 5 7 4 6" xfId="15176" xr:uid="{00000000-0005-0000-0000-0000453B0000}"/>
    <cellStyle name="Comma 2 5 7 5" xfId="15177" xr:uid="{00000000-0005-0000-0000-0000463B0000}"/>
    <cellStyle name="Comma 2 5 7 5 2" xfId="15178" xr:uid="{00000000-0005-0000-0000-0000473B0000}"/>
    <cellStyle name="Comma 2 5 7 5 2 2" xfId="15179" xr:uid="{00000000-0005-0000-0000-0000483B0000}"/>
    <cellStyle name="Comma 2 5 7 5 3" xfId="15180" xr:uid="{00000000-0005-0000-0000-0000493B0000}"/>
    <cellStyle name="Comma 2 5 7 5 4" xfId="15181" xr:uid="{00000000-0005-0000-0000-00004A3B0000}"/>
    <cellStyle name="Comma 2 5 7 5 5" xfId="15182" xr:uid="{00000000-0005-0000-0000-00004B3B0000}"/>
    <cellStyle name="Comma 2 5 7 6" xfId="15183" xr:uid="{00000000-0005-0000-0000-00004C3B0000}"/>
    <cellStyle name="Comma 2 5 7 6 2" xfId="15184" xr:uid="{00000000-0005-0000-0000-00004D3B0000}"/>
    <cellStyle name="Comma 2 5 7 6 3" xfId="15185" xr:uid="{00000000-0005-0000-0000-00004E3B0000}"/>
    <cellStyle name="Comma 2 5 7 6 4" xfId="15186" xr:uid="{00000000-0005-0000-0000-00004F3B0000}"/>
    <cellStyle name="Comma 2 5 7 7" xfId="15187" xr:uid="{00000000-0005-0000-0000-0000503B0000}"/>
    <cellStyle name="Comma 2 5 7 7 2" xfId="15188" xr:uid="{00000000-0005-0000-0000-0000513B0000}"/>
    <cellStyle name="Comma 2 5 7 8" xfId="15189" xr:uid="{00000000-0005-0000-0000-0000523B0000}"/>
    <cellStyle name="Comma 2 5 7 9" xfId="15190" xr:uid="{00000000-0005-0000-0000-0000533B0000}"/>
    <cellStyle name="Comma 2 5 8" xfId="15191" xr:uid="{00000000-0005-0000-0000-0000543B0000}"/>
    <cellStyle name="Comma 2 5 8 10" xfId="15192" xr:uid="{00000000-0005-0000-0000-0000553B0000}"/>
    <cellStyle name="Comma 2 5 8 2" xfId="15193" xr:uid="{00000000-0005-0000-0000-0000563B0000}"/>
    <cellStyle name="Comma 2 5 8 2 2" xfId="15194" xr:uid="{00000000-0005-0000-0000-0000573B0000}"/>
    <cellStyle name="Comma 2 5 8 2 2 2" xfId="15195" xr:uid="{00000000-0005-0000-0000-0000583B0000}"/>
    <cellStyle name="Comma 2 5 8 2 2 3" xfId="15196" xr:uid="{00000000-0005-0000-0000-0000593B0000}"/>
    <cellStyle name="Comma 2 5 8 2 3" xfId="15197" xr:uid="{00000000-0005-0000-0000-00005A3B0000}"/>
    <cellStyle name="Comma 2 5 8 2 4" xfId="15198" xr:uid="{00000000-0005-0000-0000-00005B3B0000}"/>
    <cellStyle name="Comma 2 5 8 2 5" xfId="15199" xr:uid="{00000000-0005-0000-0000-00005C3B0000}"/>
    <cellStyle name="Comma 2 5 8 2 6" xfId="15200" xr:uid="{00000000-0005-0000-0000-00005D3B0000}"/>
    <cellStyle name="Comma 2 5 8 3" xfId="15201" xr:uid="{00000000-0005-0000-0000-00005E3B0000}"/>
    <cellStyle name="Comma 2 5 8 3 2" xfId="15202" xr:uid="{00000000-0005-0000-0000-00005F3B0000}"/>
    <cellStyle name="Comma 2 5 8 3 2 2" xfId="15203" xr:uid="{00000000-0005-0000-0000-0000603B0000}"/>
    <cellStyle name="Comma 2 5 8 3 2 3" xfId="15204" xr:uid="{00000000-0005-0000-0000-0000613B0000}"/>
    <cellStyle name="Comma 2 5 8 3 3" xfId="15205" xr:uid="{00000000-0005-0000-0000-0000623B0000}"/>
    <cellStyle name="Comma 2 5 8 3 4" xfId="15206" xr:uid="{00000000-0005-0000-0000-0000633B0000}"/>
    <cellStyle name="Comma 2 5 8 3 5" xfId="15207" xr:uid="{00000000-0005-0000-0000-0000643B0000}"/>
    <cellStyle name="Comma 2 5 8 3 6" xfId="15208" xr:uid="{00000000-0005-0000-0000-0000653B0000}"/>
    <cellStyle name="Comma 2 5 8 4" xfId="15209" xr:uid="{00000000-0005-0000-0000-0000663B0000}"/>
    <cellStyle name="Comma 2 5 8 4 2" xfId="15210" xr:uid="{00000000-0005-0000-0000-0000673B0000}"/>
    <cellStyle name="Comma 2 5 8 4 2 2" xfId="15211" xr:uid="{00000000-0005-0000-0000-0000683B0000}"/>
    <cellStyle name="Comma 2 5 8 4 3" xfId="15212" xr:uid="{00000000-0005-0000-0000-0000693B0000}"/>
    <cellStyle name="Comma 2 5 8 4 4" xfId="15213" xr:uid="{00000000-0005-0000-0000-00006A3B0000}"/>
    <cellStyle name="Comma 2 5 8 4 5" xfId="15214" xr:uid="{00000000-0005-0000-0000-00006B3B0000}"/>
    <cellStyle name="Comma 2 5 8 5" xfId="15215" xr:uid="{00000000-0005-0000-0000-00006C3B0000}"/>
    <cellStyle name="Comma 2 5 8 5 2" xfId="15216" xr:uid="{00000000-0005-0000-0000-00006D3B0000}"/>
    <cellStyle name="Comma 2 5 8 5 3" xfId="15217" xr:uid="{00000000-0005-0000-0000-00006E3B0000}"/>
    <cellStyle name="Comma 2 5 8 5 4" xfId="15218" xr:uid="{00000000-0005-0000-0000-00006F3B0000}"/>
    <cellStyle name="Comma 2 5 8 6" xfId="15219" xr:uid="{00000000-0005-0000-0000-0000703B0000}"/>
    <cellStyle name="Comma 2 5 8 6 2" xfId="15220" xr:uid="{00000000-0005-0000-0000-0000713B0000}"/>
    <cellStyle name="Comma 2 5 8 7" xfId="15221" xr:uid="{00000000-0005-0000-0000-0000723B0000}"/>
    <cellStyle name="Comma 2 5 8 8" xfId="15222" xr:uid="{00000000-0005-0000-0000-0000733B0000}"/>
    <cellStyle name="Comma 2 5 8 9" xfId="15223" xr:uid="{00000000-0005-0000-0000-0000743B0000}"/>
    <cellStyle name="Comma 2 5 9" xfId="15224" xr:uid="{00000000-0005-0000-0000-0000753B0000}"/>
    <cellStyle name="Comma 2 5 9 10" xfId="15225" xr:uid="{00000000-0005-0000-0000-0000763B0000}"/>
    <cellStyle name="Comma 2 5 9 2" xfId="15226" xr:uid="{00000000-0005-0000-0000-0000773B0000}"/>
    <cellStyle name="Comma 2 5 9 2 2" xfId="15227" xr:uid="{00000000-0005-0000-0000-0000783B0000}"/>
    <cellStyle name="Comma 2 5 9 2 2 2" xfId="15228" xr:uid="{00000000-0005-0000-0000-0000793B0000}"/>
    <cellStyle name="Comma 2 5 9 2 2 3" xfId="15229" xr:uid="{00000000-0005-0000-0000-00007A3B0000}"/>
    <cellStyle name="Comma 2 5 9 2 3" xfId="15230" xr:uid="{00000000-0005-0000-0000-00007B3B0000}"/>
    <cellStyle name="Comma 2 5 9 2 4" xfId="15231" xr:uid="{00000000-0005-0000-0000-00007C3B0000}"/>
    <cellStyle name="Comma 2 5 9 2 5" xfId="15232" xr:uid="{00000000-0005-0000-0000-00007D3B0000}"/>
    <cellStyle name="Comma 2 5 9 2 6" xfId="15233" xr:uid="{00000000-0005-0000-0000-00007E3B0000}"/>
    <cellStyle name="Comma 2 5 9 3" xfId="15234" xr:uid="{00000000-0005-0000-0000-00007F3B0000}"/>
    <cellStyle name="Comma 2 5 9 3 2" xfId="15235" xr:uid="{00000000-0005-0000-0000-0000803B0000}"/>
    <cellStyle name="Comma 2 5 9 3 2 2" xfId="15236" xr:uid="{00000000-0005-0000-0000-0000813B0000}"/>
    <cellStyle name="Comma 2 5 9 3 2 3" xfId="15237" xr:uid="{00000000-0005-0000-0000-0000823B0000}"/>
    <cellStyle name="Comma 2 5 9 3 3" xfId="15238" xr:uid="{00000000-0005-0000-0000-0000833B0000}"/>
    <cellStyle name="Comma 2 5 9 3 4" xfId="15239" xr:uid="{00000000-0005-0000-0000-0000843B0000}"/>
    <cellStyle name="Comma 2 5 9 3 5" xfId="15240" xr:uid="{00000000-0005-0000-0000-0000853B0000}"/>
    <cellStyle name="Comma 2 5 9 3 6" xfId="15241" xr:uid="{00000000-0005-0000-0000-0000863B0000}"/>
    <cellStyle name="Comma 2 5 9 4" xfId="15242" xr:uid="{00000000-0005-0000-0000-0000873B0000}"/>
    <cellStyle name="Comma 2 5 9 4 2" xfId="15243" xr:uid="{00000000-0005-0000-0000-0000883B0000}"/>
    <cellStyle name="Comma 2 5 9 4 2 2" xfId="15244" xr:uid="{00000000-0005-0000-0000-0000893B0000}"/>
    <cellStyle name="Comma 2 5 9 4 3" xfId="15245" xr:uid="{00000000-0005-0000-0000-00008A3B0000}"/>
    <cellStyle name="Comma 2 5 9 4 4" xfId="15246" xr:uid="{00000000-0005-0000-0000-00008B3B0000}"/>
    <cellStyle name="Comma 2 5 9 4 5" xfId="15247" xr:uid="{00000000-0005-0000-0000-00008C3B0000}"/>
    <cellStyle name="Comma 2 5 9 5" xfId="15248" xr:uid="{00000000-0005-0000-0000-00008D3B0000}"/>
    <cellStyle name="Comma 2 5 9 5 2" xfId="15249" xr:uid="{00000000-0005-0000-0000-00008E3B0000}"/>
    <cellStyle name="Comma 2 5 9 5 3" xfId="15250" xr:uid="{00000000-0005-0000-0000-00008F3B0000}"/>
    <cellStyle name="Comma 2 5 9 5 4" xfId="15251" xr:uid="{00000000-0005-0000-0000-0000903B0000}"/>
    <cellStyle name="Comma 2 5 9 6" xfId="15252" xr:uid="{00000000-0005-0000-0000-0000913B0000}"/>
    <cellStyle name="Comma 2 5 9 6 2" xfId="15253" xr:uid="{00000000-0005-0000-0000-0000923B0000}"/>
    <cellStyle name="Comma 2 5 9 7" xfId="15254" xr:uid="{00000000-0005-0000-0000-0000933B0000}"/>
    <cellStyle name="Comma 2 5 9 8" xfId="15255" xr:uid="{00000000-0005-0000-0000-0000943B0000}"/>
    <cellStyle name="Comma 2 5 9 9" xfId="15256" xr:uid="{00000000-0005-0000-0000-0000953B0000}"/>
    <cellStyle name="Comma 2 50" xfId="15257" xr:uid="{00000000-0005-0000-0000-0000963B0000}"/>
    <cellStyle name="Comma 2 50 2" xfId="15258" xr:uid="{00000000-0005-0000-0000-0000973B0000}"/>
    <cellStyle name="Comma 2 50 2 2" xfId="15259" xr:uid="{00000000-0005-0000-0000-0000983B0000}"/>
    <cellStyle name="Comma 2 50 3" xfId="15260" xr:uid="{00000000-0005-0000-0000-0000993B0000}"/>
    <cellStyle name="Comma 2 50 4" xfId="15261" xr:uid="{00000000-0005-0000-0000-00009A3B0000}"/>
    <cellStyle name="Comma 2 50 5" xfId="15262" xr:uid="{00000000-0005-0000-0000-00009B3B0000}"/>
    <cellStyle name="Comma 2 50 6" xfId="15263" xr:uid="{00000000-0005-0000-0000-00009C3B0000}"/>
    <cellStyle name="Comma 2 50 7" xfId="15264" xr:uid="{00000000-0005-0000-0000-00009D3B0000}"/>
    <cellStyle name="Comma 2 51" xfId="15265" xr:uid="{00000000-0005-0000-0000-00009E3B0000}"/>
    <cellStyle name="Comma 2 51 2" xfId="15266" xr:uid="{00000000-0005-0000-0000-00009F3B0000}"/>
    <cellStyle name="Comma 2 51 2 2" xfId="15267" xr:uid="{00000000-0005-0000-0000-0000A03B0000}"/>
    <cellStyle name="Comma 2 51 3" xfId="15268" xr:uid="{00000000-0005-0000-0000-0000A13B0000}"/>
    <cellStyle name="Comma 2 51 4" xfId="15269" xr:uid="{00000000-0005-0000-0000-0000A23B0000}"/>
    <cellStyle name="Comma 2 51 5" xfId="15270" xr:uid="{00000000-0005-0000-0000-0000A33B0000}"/>
    <cellStyle name="Comma 2 51 6" xfId="15271" xr:uid="{00000000-0005-0000-0000-0000A43B0000}"/>
    <cellStyle name="Comma 2 51 7" xfId="15272" xr:uid="{00000000-0005-0000-0000-0000A53B0000}"/>
    <cellStyle name="Comma 2 52" xfId="15273" xr:uid="{00000000-0005-0000-0000-0000A63B0000}"/>
    <cellStyle name="Comma 2 52 2" xfId="15274" xr:uid="{00000000-0005-0000-0000-0000A73B0000}"/>
    <cellStyle name="Comma 2 52 2 2" xfId="15275" xr:uid="{00000000-0005-0000-0000-0000A83B0000}"/>
    <cellStyle name="Comma 2 52 3" xfId="15276" xr:uid="{00000000-0005-0000-0000-0000A93B0000}"/>
    <cellStyle name="Comma 2 52 4" xfId="15277" xr:uid="{00000000-0005-0000-0000-0000AA3B0000}"/>
    <cellStyle name="Comma 2 52 5" xfId="15278" xr:uid="{00000000-0005-0000-0000-0000AB3B0000}"/>
    <cellStyle name="Comma 2 52 6" xfId="15279" xr:uid="{00000000-0005-0000-0000-0000AC3B0000}"/>
    <cellStyle name="Comma 2 52 7" xfId="15280" xr:uid="{00000000-0005-0000-0000-0000AD3B0000}"/>
    <cellStyle name="Comma 2 53" xfId="15281" xr:uid="{00000000-0005-0000-0000-0000AE3B0000}"/>
    <cellStyle name="Comma 2 53 2" xfId="15282" xr:uid="{00000000-0005-0000-0000-0000AF3B0000}"/>
    <cellStyle name="Comma 2 53 2 2" xfId="15283" xr:uid="{00000000-0005-0000-0000-0000B03B0000}"/>
    <cellStyle name="Comma 2 53 3" xfId="15284" xr:uid="{00000000-0005-0000-0000-0000B13B0000}"/>
    <cellStyle name="Comma 2 53 4" xfId="15285" xr:uid="{00000000-0005-0000-0000-0000B23B0000}"/>
    <cellStyle name="Comma 2 53 5" xfId="15286" xr:uid="{00000000-0005-0000-0000-0000B33B0000}"/>
    <cellStyle name="Comma 2 53 6" xfId="15287" xr:uid="{00000000-0005-0000-0000-0000B43B0000}"/>
    <cellStyle name="Comma 2 53 7" xfId="15288" xr:uid="{00000000-0005-0000-0000-0000B53B0000}"/>
    <cellStyle name="Comma 2 54" xfId="15289" xr:uid="{00000000-0005-0000-0000-0000B63B0000}"/>
    <cellStyle name="Comma 2 54 2" xfId="15290" xr:uid="{00000000-0005-0000-0000-0000B73B0000}"/>
    <cellStyle name="Comma 2 54 2 2" xfId="15291" xr:uid="{00000000-0005-0000-0000-0000B83B0000}"/>
    <cellStyle name="Comma 2 54 3" xfId="15292" xr:uid="{00000000-0005-0000-0000-0000B93B0000}"/>
    <cellStyle name="Comma 2 54 4" xfId="15293" xr:uid="{00000000-0005-0000-0000-0000BA3B0000}"/>
    <cellStyle name="Comma 2 54 5" xfId="15294" xr:uid="{00000000-0005-0000-0000-0000BB3B0000}"/>
    <cellStyle name="Comma 2 54 6" xfId="15295" xr:uid="{00000000-0005-0000-0000-0000BC3B0000}"/>
    <cellStyle name="Comma 2 54 7" xfId="15296" xr:uid="{00000000-0005-0000-0000-0000BD3B0000}"/>
    <cellStyle name="Comma 2 55" xfId="15297" xr:uid="{00000000-0005-0000-0000-0000BE3B0000}"/>
    <cellStyle name="Comma 2 55 2" xfId="15298" xr:uid="{00000000-0005-0000-0000-0000BF3B0000}"/>
    <cellStyle name="Comma 2 55 2 2" xfId="15299" xr:uid="{00000000-0005-0000-0000-0000C03B0000}"/>
    <cellStyle name="Comma 2 55 3" xfId="15300" xr:uid="{00000000-0005-0000-0000-0000C13B0000}"/>
    <cellStyle name="Comma 2 55 4" xfId="15301" xr:uid="{00000000-0005-0000-0000-0000C23B0000}"/>
    <cellStyle name="Comma 2 55 5" xfId="15302" xr:uid="{00000000-0005-0000-0000-0000C33B0000}"/>
    <cellStyle name="Comma 2 55 6" xfId="15303" xr:uid="{00000000-0005-0000-0000-0000C43B0000}"/>
    <cellStyle name="Comma 2 55 7" xfId="15304" xr:uid="{00000000-0005-0000-0000-0000C53B0000}"/>
    <cellStyle name="Comma 2 56" xfId="15305" xr:uid="{00000000-0005-0000-0000-0000C63B0000}"/>
    <cellStyle name="Comma 2 56 2" xfId="15306" xr:uid="{00000000-0005-0000-0000-0000C73B0000}"/>
    <cellStyle name="Comma 2 57" xfId="15307" xr:uid="{00000000-0005-0000-0000-0000C83B0000}"/>
    <cellStyle name="Comma 2 57 2" xfId="15308" xr:uid="{00000000-0005-0000-0000-0000C93B0000}"/>
    <cellStyle name="Comma 2 58" xfId="15309" xr:uid="{00000000-0005-0000-0000-0000CA3B0000}"/>
    <cellStyle name="Comma 2 58 2" xfId="15310" xr:uid="{00000000-0005-0000-0000-0000CB3B0000}"/>
    <cellStyle name="Comma 2 59" xfId="15311" xr:uid="{00000000-0005-0000-0000-0000CC3B0000}"/>
    <cellStyle name="Comma 2 59 2" xfId="15312" xr:uid="{00000000-0005-0000-0000-0000CD3B0000}"/>
    <cellStyle name="Comma 2 6" xfId="15313" xr:uid="{00000000-0005-0000-0000-0000CE3B0000}"/>
    <cellStyle name="Comma 2 6 10" xfId="15314" xr:uid="{00000000-0005-0000-0000-0000CF3B0000}"/>
    <cellStyle name="Comma 2 6 10 10" xfId="15315" xr:uid="{00000000-0005-0000-0000-0000D03B0000}"/>
    <cellStyle name="Comma 2 6 10 2" xfId="15316" xr:uid="{00000000-0005-0000-0000-0000D13B0000}"/>
    <cellStyle name="Comma 2 6 10 2 2" xfId="15317" xr:uid="{00000000-0005-0000-0000-0000D23B0000}"/>
    <cellStyle name="Comma 2 6 10 2 2 2" xfId="15318" xr:uid="{00000000-0005-0000-0000-0000D33B0000}"/>
    <cellStyle name="Comma 2 6 10 2 2 3" xfId="15319" xr:uid="{00000000-0005-0000-0000-0000D43B0000}"/>
    <cellStyle name="Comma 2 6 10 2 3" xfId="15320" xr:uid="{00000000-0005-0000-0000-0000D53B0000}"/>
    <cellStyle name="Comma 2 6 10 2 4" xfId="15321" xr:uid="{00000000-0005-0000-0000-0000D63B0000}"/>
    <cellStyle name="Comma 2 6 10 2 5" xfId="15322" xr:uid="{00000000-0005-0000-0000-0000D73B0000}"/>
    <cellStyle name="Comma 2 6 10 2 6" xfId="15323" xr:uid="{00000000-0005-0000-0000-0000D83B0000}"/>
    <cellStyle name="Comma 2 6 10 3" xfId="15324" xr:uid="{00000000-0005-0000-0000-0000D93B0000}"/>
    <cellStyle name="Comma 2 6 10 3 2" xfId="15325" xr:uid="{00000000-0005-0000-0000-0000DA3B0000}"/>
    <cellStyle name="Comma 2 6 10 3 2 2" xfId="15326" xr:uid="{00000000-0005-0000-0000-0000DB3B0000}"/>
    <cellStyle name="Comma 2 6 10 3 2 3" xfId="15327" xr:uid="{00000000-0005-0000-0000-0000DC3B0000}"/>
    <cellStyle name="Comma 2 6 10 3 3" xfId="15328" xr:uid="{00000000-0005-0000-0000-0000DD3B0000}"/>
    <cellStyle name="Comma 2 6 10 3 4" xfId="15329" xr:uid="{00000000-0005-0000-0000-0000DE3B0000}"/>
    <cellStyle name="Comma 2 6 10 3 5" xfId="15330" xr:uid="{00000000-0005-0000-0000-0000DF3B0000}"/>
    <cellStyle name="Comma 2 6 10 3 6" xfId="15331" xr:uid="{00000000-0005-0000-0000-0000E03B0000}"/>
    <cellStyle name="Comma 2 6 10 4" xfId="15332" xr:uid="{00000000-0005-0000-0000-0000E13B0000}"/>
    <cellStyle name="Comma 2 6 10 4 2" xfId="15333" xr:uid="{00000000-0005-0000-0000-0000E23B0000}"/>
    <cellStyle name="Comma 2 6 10 4 2 2" xfId="15334" xr:uid="{00000000-0005-0000-0000-0000E33B0000}"/>
    <cellStyle name="Comma 2 6 10 4 3" xfId="15335" xr:uid="{00000000-0005-0000-0000-0000E43B0000}"/>
    <cellStyle name="Comma 2 6 10 4 4" xfId="15336" xr:uid="{00000000-0005-0000-0000-0000E53B0000}"/>
    <cellStyle name="Comma 2 6 10 4 5" xfId="15337" xr:uid="{00000000-0005-0000-0000-0000E63B0000}"/>
    <cellStyle name="Comma 2 6 10 5" xfId="15338" xr:uid="{00000000-0005-0000-0000-0000E73B0000}"/>
    <cellStyle name="Comma 2 6 10 5 2" xfId="15339" xr:uid="{00000000-0005-0000-0000-0000E83B0000}"/>
    <cellStyle name="Comma 2 6 10 5 3" xfId="15340" xr:uid="{00000000-0005-0000-0000-0000E93B0000}"/>
    <cellStyle name="Comma 2 6 10 5 4" xfId="15341" xr:uid="{00000000-0005-0000-0000-0000EA3B0000}"/>
    <cellStyle name="Comma 2 6 10 6" xfId="15342" xr:uid="{00000000-0005-0000-0000-0000EB3B0000}"/>
    <cellStyle name="Comma 2 6 10 6 2" xfId="15343" xr:uid="{00000000-0005-0000-0000-0000EC3B0000}"/>
    <cellStyle name="Comma 2 6 10 7" xfId="15344" xr:uid="{00000000-0005-0000-0000-0000ED3B0000}"/>
    <cellStyle name="Comma 2 6 10 8" xfId="15345" xr:uid="{00000000-0005-0000-0000-0000EE3B0000}"/>
    <cellStyle name="Comma 2 6 10 9" xfId="15346" xr:uid="{00000000-0005-0000-0000-0000EF3B0000}"/>
    <cellStyle name="Comma 2 6 11" xfId="15347" xr:uid="{00000000-0005-0000-0000-0000F03B0000}"/>
    <cellStyle name="Comma 2 6 11 10" xfId="15348" xr:uid="{00000000-0005-0000-0000-0000F13B0000}"/>
    <cellStyle name="Comma 2 6 11 2" xfId="15349" xr:uid="{00000000-0005-0000-0000-0000F23B0000}"/>
    <cellStyle name="Comma 2 6 11 2 2" xfId="15350" xr:uid="{00000000-0005-0000-0000-0000F33B0000}"/>
    <cellStyle name="Comma 2 6 11 2 2 2" xfId="15351" xr:uid="{00000000-0005-0000-0000-0000F43B0000}"/>
    <cellStyle name="Comma 2 6 11 2 2 3" xfId="15352" xr:uid="{00000000-0005-0000-0000-0000F53B0000}"/>
    <cellStyle name="Comma 2 6 11 2 3" xfId="15353" xr:uid="{00000000-0005-0000-0000-0000F63B0000}"/>
    <cellStyle name="Comma 2 6 11 2 4" xfId="15354" xr:uid="{00000000-0005-0000-0000-0000F73B0000}"/>
    <cellStyle name="Comma 2 6 11 2 5" xfId="15355" xr:uid="{00000000-0005-0000-0000-0000F83B0000}"/>
    <cellStyle name="Comma 2 6 11 2 6" xfId="15356" xr:uid="{00000000-0005-0000-0000-0000F93B0000}"/>
    <cellStyle name="Comma 2 6 11 3" xfId="15357" xr:uid="{00000000-0005-0000-0000-0000FA3B0000}"/>
    <cellStyle name="Comma 2 6 11 3 2" xfId="15358" xr:uid="{00000000-0005-0000-0000-0000FB3B0000}"/>
    <cellStyle name="Comma 2 6 11 3 2 2" xfId="15359" xr:uid="{00000000-0005-0000-0000-0000FC3B0000}"/>
    <cellStyle name="Comma 2 6 11 3 2 3" xfId="15360" xr:uid="{00000000-0005-0000-0000-0000FD3B0000}"/>
    <cellStyle name="Comma 2 6 11 3 3" xfId="15361" xr:uid="{00000000-0005-0000-0000-0000FE3B0000}"/>
    <cellStyle name="Comma 2 6 11 3 4" xfId="15362" xr:uid="{00000000-0005-0000-0000-0000FF3B0000}"/>
    <cellStyle name="Comma 2 6 11 3 5" xfId="15363" xr:uid="{00000000-0005-0000-0000-0000003C0000}"/>
    <cellStyle name="Comma 2 6 11 3 6" xfId="15364" xr:uid="{00000000-0005-0000-0000-0000013C0000}"/>
    <cellStyle name="Comma 2 6 11 4" xfId="15365" xr:uid="{00000000-0005-0000-0000-0000023C0000}"/>
    <cellStyle name="Comma 2 6 11 4 2" xfId="15366" xr:uid="{00000000-0005-0000-0000-0000033C0000}"/>
    <cellStyle name="Comma 2 6 11 4 2 2" xfId="15367" xr:uid="{00000000-0005-0000-0000-0000043C0000}"/>
    <cellStyle name="Comma 2 6 11 4 3" xfId="15368" xr:uid="{00000000-0005-0000-0000-0000053C0000}"/>
    <cellStyle name="Comma 2 6 11 4 4" xfId="15369" xr:uid="{00000000-0005-0000-0000-0000063C0000}"/>
    <cellStyle name="Comma 2 6 11 4 5" xfId="15370" xr:uid="{00000000-0005-0000-0000-0000073C0000}"/>
    <cellStyle name="Comma 2 6 11 5" xfId="15371" xr:uid="{00000000-0005-0000-0000-0000083C0000}"/>
    <cellStyle name="Comma 2 6 11 5 2" xfId="15372" xr:uid="{00000000-0005-0000-0000-0000093C0000}"/>
    <cellStyle name="Comma 2 6 11 5 3" xfId="15373" xr:uid="{00000000-0005-0000-0000-00000A3C0000}"/>
    <cellStyle name="Comma 2 6 11 5 4" xfId="15374" xr:uid="{00000000-0005-0000-0000-00000B3C0000}"/>
    <cellStyle name="Comma 2 6 11 6" xfId="15375" xr:uid="{00000000-0005-0000-0000-00000C3C0000}"/>
    <cellStyle name="Comma 2 6 11 6 2" xfId="15376" xr:uid="{00000000-0005-0000-0000-00000D3C0000}"/>
    <cellStyle name="Comma 2 6 11 7" xfId="15377" xr:uid="{00000000-0005-0000-0000-00000E3C0000}"/>
    <cellStyle name="Comma 2 6 11 8" xfId="15378" xr:uid="{00000000-0005-0000-0000-00000F3C0000}"/>
    <cellStyle name="Comma 2 6 11 9" xfId="15379" xr:uid="{00000000-0005-0000-0000-0000103C0000}"/>
    <cellStyle name="Comma 2 6 12" xfId="15380" xr:uid="{00000000-0005-0000-0000-0000113C0000}"/>
    <cellStyle name="Comma 2 6 12 10" xfId="15381" xr:uid="{00000000-0005-0000-0000-0000123C0000}"/>
    <cellStyle name="Comma 2 6 12 2" xfId="15382" xr:uid="{00000000-0005-0000-0000-0000133C0000}"/>
    <cellStyle name="Comma 2 6 12 2 2" xfId="15383" xr:uid="{00000000-0005-0000-0000-0000143C0000}"/>
    <cellStyle name="Comma 2 6 12 2 2 2" xfId="15384" xr:uid="{00000000-0005-0000-0000-0000153C0000}"/>
    <cellStyle name="Comma 2 6 12 2 2 3" xfId="15385" xr:uid="{00000000-0005-0000-0000-0000163C0000}"/>
    <cellStyle name="Comma 2 6 12 2 3" xfId="15386" xr:uid="{00000000-0005-0000-0000-0000173C0000}"/>
    <cellStyle name="Comma 2 6 12 2 4" xfId="15387" xr:uid="{00000000-0005-0000-0000-0000183C0000}"/>
    <cellStyle name="Comma 2 6 12 2 5" xfId="15388" xr:uid="{00000000-0005-0000-0000-0000193C0000}"/>
    <cellStyle name="Comma 2 6 12 2 6" xfId="15389" xr:uid="{00000000-0005-0000-0000-00001A3C0000}"/>
    <cellStyle name="Comma 2 6 12 3" xfId="15390" xr:uid="{00000000-0005-0000-0000-00001B3C0000}"/>
    <cellStyle name="Comma 2 6 12 3 2" xfId="15391" xr:uid="{00000000-0005-0000-0000-00001C3C0000}"/>
    <cellStyle name="Comma 2 6 12 3 2 2" xfId="15392" xr:uid="{00000000-0005-0000-0000-00001D3C0000}"/>
    <cellStyle name="Comma 2 6 12 3 2 3" xfId="15393" xr:uid="{00000000-0005-0000-0000-00001E3C0000}"/>
    <cellStyle name="Comma 2 6 12 3 3" xfId="15394" xr:uid="{00000000-0005-0000-0000-00001F3C0000}"/>
    <cellStyle name="Comma 2 6 12 3 4" xfId="15395" xr:uid="{00000000-0005-0000-0000-0000203C0000}"/>
    <cellStyle name="Comma 2 6 12 3 5" xfId="15396" xr:uid="{00000000-0005-0000-0000-0000213C0000}"/>
    <cellStyle name="Comma 2 6 12 3 6" xfId="15397" xr:uid="{00000000-0005-0000-0000-0000223C0000}"/>
    <cellStyle name="Comma 2 6 12 4" xfId="15398" xr:uid="{00000000-0005-0000-0000-0000233C0000}"/>
    <cellStyle name="Comma 2 6 12 4 2" xfId="15399" xr:uid="{00000000-0005-0000-0000-0000243C0000}"/>
    <cellStyle name="Comma 2 6 12 4 2 2" xfId="15400" xr:uid="{00000000-0005-0000-0000-0000253C0000}"/>
    <cellStyle name="Comma 2 6 12 4 3" xfId="15401" xr:uid="{00000000-0005-0000-0000-0000263C0000}"/>
    <cellStyle name="Comma 2 6 12 4 4" xfId="15402" xr:uid="{00000000-0005-0000-0000-0000273C0000}"/>
    <cellStyle name="Comma 2 6 12 4 5" xfId="15403" xr:uid="{00000000-0005-0000-0000-0000283C0000}"/>
    <cellStyle name="Comma 2 6 12 5" xfId="15404" xr:uid="{00000000-0005-0000-0000-0000293C0000}"/>
    <cellStyle name="Comma 2 6 12 5 2" xfId="15405" xr:uid="{00000000-0005-0000-0000-00002A3C0000}"/>
    <cellStyle name="Comma 2 6 12 5 3" xfId="15406" xr:uid="{00000000-0005-0000-0000-00002B3C0000}"/>
    <cellStyle name="Comma 2 6 12 5 4" xfId="15407" xr:uid="{00000000-0005-0000-0000-00002C3C0000}"/>
    <cellStyle name="Comma 2 6 12 6" xfId="15408" xr:uid="{00000000-0005-0000-0000-00002D3C0000}"/>
    <cellStyle name="Comma 2 6 12 6 2" xfId="15409" xr:uid="{00000000-0005-0000-0000-00002E3C0000}"/>
    <cellStyle name="Comma 2 6 12 7" xfId="15410" xr:uid="{00000000-0005-0000-0000-00002F3C0000}"/>
    <cellStyle name="Comma 2 6 12 8" xfId="15411" xr:uid="{00000000-0005-0000-0000-0000303C0000}"/>
    <cellStyle name="Comma 2 6 12 9" xfId="15412" xr:uid="{00000000-0005-0000-0000-0000313C0000}"/>
    <cellStyle name="Comma 2 6 13" xfId="15413" xr:uid="{00000000-0005-0000-0000-0000323C0000}"/>
    <cellStyle name="Comma 2 6 13 2" xfId="15414" xr:uid="{00000000-0005-0000-0000-0000333C0000}"/>
    <cellStyle name="Comma 2 6 13 2 2" xfId="15415" xr:uid="{00000000-0005-0000-0000-0000343C0000}"/>
    <cellStyle name="Comma 2 6 13 2 2 2" xfId="15416" xr:uid="{00000000-0005-0000-0000-0000353C0000}"/>
    <cellStyle name="Comma 2 6 13 2 2 3" xfId="15417" xr:uid="{00000000-0005-0000-0000-0000363C0000}"/>
    <cellStyle name="Comma 2 6 13 2 3" xfId="15418" xr:uid="{00000000-0005-0000-0000-0000373C0000}"/>
    <cellStyle name="Comma 2 6 13 2 4" xfId="15419" xr:uid="{00000000-0005-0000-0000-0000383C0000}"/>
    <cellStyle name="Comma 2 6 13 2 5" xfId="15420" xr:uid="{00000000-0005-0000-0000-0000393C0000}"/>
    <cellStyle name="Comma 2 6 13 2 6" xfId="15421" xr:uid="{00000000-0005-0000-0000-00003A3C0000}"/>
    <cellStyle name="Comma 2 6 13 3" xfId="15422" xr:uid="{00000000-0005-0000-0000-00003B3C0000}"/>
    <cellStyle name="Comma 2 6 13 3 2" xfId="15423" xr:uid="{00000000-0005-0000-0000-00003C3C0000}"/>
    <cellStyle name="Comma 2 6 13 3 2 2" xfId="15424" xr:uid="{00000000-0005-0000-0000-00003D3C0000}"/>
    <cellStyle name="Comma 2 6 13 3 3" xfId="15425" xr:uid="{00000000-0005-0000-0000-00003E3C0000}"/>
    <cellStyle name="Comma 2 6 13 3 4" xfId="15426" xr:uid="{00000000-0005-0000-0000-00003F3C0000}"/>
    <cellStyle name="Comma 2 6 13 3 5" xfId="15427" xr:uid="{00000000-0005-0000-0000-0000403C0000}"/>
    <cellStyle name="Comma 2 6 13 4" xfId="15428" xr:uid="{00000000-0005-0000-0000-0000413C0000}"/>
    <cellStyle name="Comma 2 6 13 4 2" xfId="15429" xr:uid="{00000000-0005-0000-0000-0000423C0000}"/>
    <cellStyle name="Comma 2 6 13 4 3" xfId="15430" xr:uid="{00000000-0005-0000-0000-0000433C0000}"/>
    <cellStyle name="Comma 2 6 13 4 4" xfId="15431" xr:uid="{00000000-0005-0000-0000-0000443C0000}"/>
    <cellStyle name="Comma 2 6 13 5" xfId="15432" xr:uid="{00000000-0005-0000-0000-0000453C0000}"/>
    <cellStyle name="Comma 2 6 13 5 2" xfId="15433" xr:uid="{00000000-0005-0000-0000-0000463C0000}"/>
    <cellStyle name="Comma 2 6 13 6" xfId="15434" xr:uid="{00000000-0005-0000-0000-0000473C0000}"/>
    <cellStyle name="Comma 2 6 13 7" xfId="15435" xr:uid="{00000000-0005-0000-0000-0000483C0000}"/>
    <cellStyle name="Comma 2 6 13 8" xfId="15436" xr:uid="{00000000-0005-0000-0000-0000493C0000}"/>
    <cellStyle name="Comma 2 6 13 9" xfId="15437" xr:uid="{00000000-0005-0000-0000-00004A3C0000}"/>
    <cellStyle name="Comma 2 6 14" xfId="15438" xr:uid="{00000000-0005-0000-0000-00004B3C0000}"/>
    <cellStyle name="Comma 2 6 14 2" xfId="15439" xr:uid="{00000000-0005-0000-0000-00004C3C0000}"/>
    <cellStyle name="Comma 2 6 14 2 2" xfId="15440" xr:uid="{00000000-0005-0000-0000-00004D3C0000}"/>
    <cellStyle name="Comma 2 6 14 2 2 2" xfId="15441" xr:uid="{00000000-0005-0000-0000-00004E3C0000}"/>
    <cellStyle name="Comma 2 6 14 2 2 3" xfId="15442" xr:uid="{00000000-0005-0000-0000-00004F3C0000}"/>
    <cellStyle name="Comma 2 6 14 2 3" xfId="15443" xr:uid="{00000000-0005-0000-0000-0000503C0000}"/>
    <cellStyle name="Comma 2 6 14 2 4" xfId="15444" xr:uid="{00000000-0005-0000-0000-0000513C0000}"/>
    <cellStyle name="Comma 2 6 14 2 5" xfId="15445" xr:uid="{00000000-0005-0000-0000-0000523C0000}"/>
    <cellStyle name="Comma 2 6 14 2 6" xfId="15446" xr:uid="{00000000-0005-0000-0000-0000533C0000}"/>
    <cellStyle name="Comma 2 6 14 3" xfId="15447" xr:uid="{00000000-0005-0000-0000-0000543C0000}"/>
    <cellStyle name="Comma 2 6 14 3 2" xfId="15448" xr:uid="{00000000-0005-0000-0000-0000553C0000}"/>
    <cellStyle name="Comma 2 6 14 3 2 2" xfId="15449" xr:uid="{00000000-0005-0000-0000-0000563C0000}"/>
    <cellStyle name="Comma 2 6 14 3 3" xfId="15450" xr:uid="{00000000-0005-0000-0000-0000573C0000}"/>
    <cellStyle name="Comma 2 6 14 3 4" xfId="15451" xr:uid="{00000000-0005-0000-0000-0000583C0000}"/>
    <cellStyle name="Comma 2 6 14 3 5" xfId="15452" xr:uid="{00000000-0005-0000-0000-0000593C0000}"/>
    <cellStyle name="Comma 2 6 14 4" xfId="15453" xr:uid="{00000000-0005-0000-0000-00005A3C0000}"/>
    <cellStyle name="Comma 2 6 14 4 2" xfId="15454" xr:uid="{00000000-0005-0000-0000-00005B3C0000}"/>
    <cellStyle name="Comma 2 6 14 4 3" xfId="15455" xr:uid="{00000000-0005-0000-0000-00005C3C0000}"/>
    <cellStyle name="Comma 2 6 14 4 4" xfId="15456" xr:uid="{00000000-0005-0000-0000-00005D3C0000}"/>
    <cellStyle name="Comma 2 6 14 5" xfId="15457" xr:uid="{00000000-0005-0000-0000-00005E3C0000}"/>
    <cellStyle name="Comma 2 6 14 5 2" xfId="15458" xr:uid="{00000000-0005-0000-0000-00005F3C0000}"/>
    <cellStyle name="Comma 2 6 14 6" xfId="15459" xr:uid="{00000000-0005-0000-0000-0000603C0000}"/>
    <cellStyle name="Comma 2 6 14 7" xfId="15460" xr:uid="{00000000-0005-0000-0000-0000613C0000}"/>
    <cellStyle name="Comma 2 6 14 8" xfId="15461" xr:uid="{00000000-0005-0000-0000-0000623C0000}"/>
    <cellStyle name="Comma 2 6 14 9" xfId="15462" xr:uid="{00000000-0005-0000-0000-0000633C0000}"/>
    <cellStyle name="Comma 2 6 15" xfId="15463" xr:uid="{00000000-0005-0000-0000-0000643C0000}"/>
    <cellStyle name="Comma 2 6 15 2" xfId="15464" xr:uid="{00000000-0005-0000-0000-0000653C0000}"/>
    <cellStyle name="Comma 2 6 15 2 2" xfId="15465" xr:uid="{00000000-0005-0000-0000-0000663C0000}"/>
    <cellStyle name="Comma 2 6 15 2 3" xfId="15466" xr:uid="{00000000-0005-0000-0000-0000673C0000}"/>
    <cellStyle name="Comma 2 6 15 3" xfId="15467" xr:uid="{00000000-0005-0000-0000-0000683C0000}"/>
    <cellStyle name="Comma 2 6 15 4" xfId="15468" xr:uid="{00000000-0005-0000-0000-0000693C0000}"/>
    <cellStyle name="Comma 2 6 15 5" xfId="15469" xr:uid="{00000000-0005-0000-0000-00006A3C0000}"/>
    <cellStyle name="Comma 2 6 15 6" xfId="15470" xr:uid="{00000000-0005-0000-0000-00006B3C0000}"/>
    <cellStyle name="Comma 2 6 16" xfId="15471" xr:uid="{00000000-0005-0000-0000-00006C3C0000}"/>
    <cellStyle name="Comma 2 6 16 2" xfId="15472" xr:uid="{00000000-0005-0000-0000-00006D3C0000}"/>
    <cellStyle name="Comma 2 6 16 2 2" xfId="15473" xr:uid="{00000000-0005-0000-0000-00006E3C0000}"/>
    <cellStyle name="Comma 2 6 16 3" xfId="15474" xr:uid="{00000000-0005-0000-0000-00006F3C0000}"/>
    <cellStyle name="Comma 2 6 16 4" xfId="15475" xr:uid="{00000000-0005-0000-0000-0000703C0000}"/>
    <cellStyle name="Comma 2 6 16 5" xfId="15476" xr:uid="{00000000-0005-0000-0000-0000713C0000}"/>
    <cellStyle name="Comma 2 6 17" xfId="15477" xr:uid="{00000000-0005-0000-0000-0000723C0000}"/>
    <cellStyle name="Comma 2 6 17 2" xfId="15478" xr:uid="{00000000-0005-0000-0000-0000733C0000}"/>
    <cellStyle name="Comma 2 6 17 2 2" xfId="15479" xr:uid="{00000000-0005-0000-0000-0000743C0000}"/>
    <cellStyle name="Comma 2 6 17 3" xfId="15480" xr:uid="{00000000-0005-0000-0000-0000753C0000}"/>
    <cellStyle name="Comma 2 6 17 4" xfId="15481" xr:uid="{00000000-0005-0000-0000-0000763C0000}"/>
    <cellStyle name="Comma 2 6 17 5" xfId="15482" xr:uid="{00000000-0005-0000-0000-0000773C0000}"/>
    <cellStyle name="Comma 2 6 18" xfId="15483" xr:uid="{00000000-0005-0000-0000-0000783C0000}"/>
    <cellStyle name="Comma 2 6 18 2" xfId="15484" xr:uid="{00000000-0005-0000-0000-0000793C0000}"/>
    <cellStyle name="Comma 2 6 19" xfId="15485" xr:uid="{00000000-0005-0000-0000-00007A3C0000}"/>
    <cellStyle name="Comma 2 6 2" xfId="15486" xr:uid="{00000000-0005-0000-0000-00007B3C0000}"/>
    <cellStyle name="Comma 2 6 2 10" xfId="15487" xr:uid="{00000000-0005-0000-0000-00007C3C0000}"/>
    <cellStyle name="Comma 2 6 2 11" xfId="15488" xr:uid="{00000000-0005-0000-0000-00007D3C0000}"/>
    <cellStyle name="Comma 2 6 2 2" xfId="15489" xr:uid="{00000000-0005-0000-0000-00007E3C0000}"/>
    <cellStyle name="Comma 2 6 2 2 2" xfId="15490" xr:uid="{00000000-0005-0000-0000-00007F3C0000}"/>
    <cellStyle name="Comma 2 6 2 2 2 2" xfId="15491" xr:uid="{00000000-0005-0000-0000-0000803C0000}"/>
    <cellStyle name="Comma 2 6 2 2 2 2 2" xfId="15492" xr:uid="{00000000-0005-0000-0000-0000813C0000}"/>
    <cellStyle name="Comma 2 6 2 2 2 2 3" xfId="15493" xr:uid="{00000000-0005-0000-0000-0000823C0000}"/>
    <cellStyle name="Comma 2 6 2 2 2 3" xfId="15494" xr:uid="{00000000-0005-0000-0000-0000833C0000}"/>
    <cellStyle name="Comma 2 6 2 2 2 4" xfId="15495" xr:uid="{00000000-0005-0000-0000-0000843C0000}"/>
    <cellStyle name="Comma 2 6 2 2 2 5" xfId="15496" xr:uid="{00000000-0005-0000-0000-0000853C0000}"/>
    <cellStyle name="Comma 2 6 2 2 2 6" xfId="15497" xr:uid="{00000000-0005-0000-0000-0000863C0000}"/>
    <cellStyle name="Comma 2 6 2 2 3" xfId="15498" xr:uid="{00000000-0005-0000-0000-0000873C0000}"/>
    <cellStyle name="Comma 2 6 2 2 3 2" xfId="15499" xr:uid="{00000000-0005-0000-0000-0000883C0000}"/>
    <cellStyle name="Comma 2 6 2 2 3 2 2" xfId="15500" xr:uid="{00000000-0005-0000-0000-0000893C0000}"/>
    <cellStyle name="Comma 2 6 2 2 3 3" xfId="15501" xr:uid="{00000000-0005-0000-0000-00008A3C0000}"/>
    <cellStyle name="Comma 2 6 2 2 3 4" xfId="15502" xr:uid="{00000000-0005-0000-0000-00008B3C0000}"/>
    <cellStyle name="Comma 2 6 2 2 3 5" xfId="15503" xr:uid="{00000000-0005-0000-0000-00008C3C0000}"/>
    <cellStyle name="Comma 2 6 2 2 4" xfId="15504" xr:uid="{00000000-0005-0000-0000-00008D3C0000}"/>
    <cellStyle name="Comma 2 6 2 2 4 2" xfId="15505" xr:uid="{00000000-0005-0000-0000-00008E3C0000}"/>
    <cellStyle name="Comma 2 6 2 2 4 3" xfId="15506" xr:uid="{00000000-0005-0000-0000-00008F3C0000}"/>
    <cellStyle name="Comma 2 6 2 2 4 4" xfId="15507" xr:uid="{00000000-0005-0000-0000-0000903C0000}"/>
    <cellStyle name="Comma 2 6 2 2 5" xfId="15508" xr:uid="{00000000-0005-0000-0000-0000913C0000}"/>
    <cellStyle name="Comma 2 6 2 2 5 2" xfId="15509" xr:uid="{00000000-0005-0000-0000-0000923C0000}"/>
    <cellStyle name="Comma 2 6 2 2 6" xfId="15510" xr:uid="{00000000-0005-0000-0000-0000933C0000}"/>
    <cellStyle name="Comma 2 6 2 2 7" xfId="15511" xr:uid="{00000000-0005-0000-0000-0000943C0000}"/>
    <cellStyle name="Comma 2 6 2 2 8" xfId="15512" xr:uid="{00000000-0005-0000-0000-0000953C0000}"/>
    <cellStyle name="Comma 2 6 2 2 9" xfId="15513" xr:uid="{00000000-0005-0000-0000-0000963C0000}"/>
    <cellStyle name="Comma 2 6 2 3" xfId="15514" xr:uid="{00000000-0005-0000-0000-0000973C0000}"/>
    <cellStyle name="Comma 2 6 2 3 2" xfId="15515" xr:uid="{00000000-0005-0000-0000-0000983C0000}"/>
    <cellStyle name="Comma 2 6 2 3 2 2" xfId="15516" xr:uid="{00000000-0005-0000-0000-0000993C0000}"/>
    <cellStyle name="Comma 2 6 2 3 2 2 2" xfId="15517" xr:uid="{00000000-0005-0000-0000-00009A3C0000}"/>
    <cellStyle name="Comma 2 6 2 3 2 2 3" xfId="15518" xr:uid="{00000000-0005-0000-0000-00009B3C0000}"/>
    <cellStyle name="Comma 2 6 2 3 2 3" xfId="15519" xr:uid="{00000000-0005-0000-0000-00009C3C0000}"/>
    <cellStyle name="Comma 2 6 2 3 2 4" xfId="15520" xr:uid="{00000000-0005-0000-0000-00009D3C0000}"/>
    <cellStyle name="Comma 2 6 2 3 2 5" xfId="15521" xr:uid="{00000000-0005-0000-0000-00009E3C0000}"/>
    <cellStyle name="Comma 2 6 2 3 2 6" xfId="15522" xr:uid="{00000000-0005-0000-0000-00009F3C0000}"/>
    <cellStyle name="Comma 2 6 2 3 3" xfId="15523" xr:uid="{00000000-0005-0000-0000-0000A03C0000}"/>
    <cellStyle name="Comma 2 6 2 3 3 2" xfId="15524" xr:uid="{00000000-0005-0000-0000-0000A13C0000}"/>
    <cellStyle name="Comma 2 6 2 3 3 2 2" xfId="15525" xr:uid="{00000000-0005-0000-0000-0000A23C0000}"/>
    <cellStyle name="Comma 2 6 2 3 3 3" xfId="15526" xr:uid="{00000000-0005-0000-0000-0000A33C0000}"/>
    <cellStyle name="Comma 2 6 2 3 3 4" xfId="15527" xr:uid="{00000000-0005-0000-0000-0000A43C0000}"/>
    <cellStyle name="Comma 2 6 2 3 3 5" xfId="15528" xr:uid="{00000000-0005-0000-0000-0000A53C0000}"/>
    <cellStyle name="Comma 2 6 2 3 4" xfId="15529" xr:uid="{00000000-0005-0000-0000-0000A63C0000}"/>
    <cellStyle name="Comma 2 6 2 3 4 2" xfId="15530" xr:uid="{00000000-0005-0000-0000-0000A73C0000}"/>
    <cellStyle name="Comma 2 6 2 3 4 3" xfId="15531" xr:uid="{00000000-0005-0000-0000-0000A83C0000}"/>
    <cellStyle name="Comma 2 6 2 3 4 4" xfId="15532" xr:uid="{00000000-0005-0000-0000-0000A93C0000}"/>
    <cellStyle name="Comma 2 6 2 3 5" xfId="15533" xr:uid="{00000000-0005-0000-0000-0000AA3C0000}"/>
    <cellStyle name="Comma 2 6 2 3 5 2" xfId="15534" xr:uid="{00000000-0005-0000-0000-0000AB3C0000}"/>
    <cellStyle name="Comma 2 6 2 3 6" xfId="15535" xr:uid="{00000000-0005-0000-0000-0000AC3C0000}"/>
    <cellStyle name="Comma 2 6 2 3 7" xfId="15536" xr:uid="{00000000-0005-0000-0000-0000AD3C0000}"/>
    <cellStyle name="Comma 2 6 2 3 8" xfId="15537" xr:uid="{00000000-0005-0000-0000-0000AE3C0000}"/>
    <cellStyle name="Comma 2 6 2 3 9" xfId="15538" xr:uid="{00000000-0005-0000-0000-0000AF3C0000}"/>
    <cellStyle name="Comma 2 6 2 4" xfId="15539" xr:uid="{00000000-0005-0000-0000-0000B03C0000}"/>
    <cellStyle name="Comma 2 6 2 4 2" xfId="15540" xr:uid="{00000000-0005-0000-0000-0000B13C0000}"/>
    <cellStyle name="Comma 2 6 2 4 2 2" xfId="15541" xr:uid="{00000000-0005-0000-0000-0000B23C0000}"/>
    <cellStyle name="Comma 2 6 2 4 2 3" xfId="15542" xr:uid="{00000000-0005-0000-0000-0000B33C0000}"/>
    <cellStyle name="Comma 2 6 2 4 3" xfId="15543" xr:uid="{00000000-0005-0000-0000-0000B43C0000}"/>
    <cellStyle name="Comma 2 6 2 4 4" xfId="15544" xr:uid="{00000000-0005-0000-0000-0000B53C0000}"/>
    <cellStyle name="Comma 2 6 2 4 5" xfId="15545" xr:uid="{00000000-0005-0000-0000-0000B63C0000}"/>
    <cellStyle name="Comma 2 6 2 4 6" xfId="15546" xr:uid="{00000000-0005-0000-0000-0000B73C0000}"/>
    <cellStyle name="Comma 2 6 2 5" xfId="15547" xr:uid="{00000000-0005-0000-0000-0000B83C0000}"/>
    <cellStyle name="Comma 2 6 2 5 2" xfId="15548" xr:uid="{00000000-0005-0000-0000-0000B93C0000}"/>
    <cellStyle name="Comma 2 6 2 5 2 2" xfId="15549" xr:uid="{00000000-0005-0000-0000-0000BA3C0000}"/>
    <cellStyle name="Comma 2 6 2 5 3" xfId="15550" xr:uid="{00000000-0005-0000-0000-0000BB3C0000}"/>
    <cellStyle name="Comma 2 6 2 5 4" xfId="15551" xr:uid="{00000000-0005-0000-0000-0000BC3C0000}"/>
    <cellStyle name="Comma 2 6 2 5 5" xfId="15552" xr:uid="{00000000-0005-0000-0000-0000BD3C0000}"/>
    <cellStyle name="Comma 2 6 2 6" xfId="15553" xr:uid="{00000000-0005-0000-0000-0000BE3C0000}"/>
    <cellStyle name="Comma 2 6 2 6 2" xfId="15554" xr:uid="{00000000-0005-0000-0000-0000BF3C0000}"/>
    <cellStyle name="Comma 2 6 2 6 3" xfId="15555" xr:uid="{00000000-0005-0000-0000-0000C03C0000}"/>
    <cellStyle name="Comma 2 6 2 6 4" xfId="15556" xr:uid="{00000000-0005-0000-0000-0000C13C0000}"/>
    <cellStyle name="Comma 2 6 2 7" xfId="15557" xr:uid="{00000000-0005-0000-0000-0000C23C0000}"/>
    <cellStyle name="Comma 2 6 2 7 2" xfId="15558" xr:uid="{00000000-0005-0000-0000-0000C33C0000}"/>
    <cellStyle name="Comma 2 6 2 8" xfId="15559" xr:uid="{00000000-0005-0000-0000-0000C43C0000}"/>
    <cellStyle name="Comma 2 6 2 9" xfId="15560" xr:uid="{00000000-0005-0000-0000-0000C53C0000}"/>
    <cellStyle name="Comma 2 6 20" xfId="15561" xr:uid="{00000000-0005-0000-0000-0000C63C0000}"/>
    <cellStyle name="Comma 2 6 21" xfId="15562" xr:uid="{00000000-0005-0000-0000-0000C73C0000}"/>
    <cellStyle name="Comma 2 6 22" xfId="15563" xr:uid="{00000000-0005-0000-0000-0000C83C0000}"/>
    <cellStyle name="Comma 2 6 3" xfId="15564" xr:uid="{00000000-0005-0000-0000-0000C93C0000}"/>
    <cellStyle name="Comma 2 6 3 10" xfId="15565" xr:uid="{00000000-0005-0000-0000-0000CA3C0000}"/>
    <cellStyle name="Comma 2 6 3 11" xfId="15566" xr:uid="{00000000-0005-0000-0000-0000CB3C0000}"/>
    <cellStyle name="Comma 2 6 3 2" xfId="15567" xr:uid="{00000000-0005-0000-0000-0000CC3C0000}"/>
    <cellStyle name="Comma 2 6 3 2 2" xfId="15568" xr:uid="{00000000-0005-0000-0000-0000CD3C0000}"/>
    <cellStyle name="Comma 2 6 3 2 2 2" xfId="15569" xr:uid="{00000000-0005-0000-0000-0000CE3C0000}"/>
    <cellStyle name="Comma 2 6 3 2 2 2 2" xfId="15570" xr:uid="{00000000-0005-0000-0000-0000CF3C0000}"/>
    <cellStyle name="Comma 2 6 3 2 2 2 3" xfId="15571" xr:uid="{00000000-0005-0000-0000-0000D03C0000}"/>
    <cellStyle name="Comma 2 6 3 2 2 3" xfId="15572" xr:uid="{00000000-0005-0000-0000-0000D13C0000}"/>
    <cellStyle name="Comma 2 6 3 2 2 4" xfId="15573" xr:uid="{00000000-0005-0000-0000-0000D23C0000}"/>
    <cellStyle name="Comma 2 6 3 2 2 5" xfId="15574" xr:uid="{00000000-0005-0000-0000-0000D33C0000}"/>
    <cellStyle name="Comma 2 6 3 2 2 6" xfId="15575" xr:uid="{00000000-0005-0000-0000-0000D43C0000}"/>
    <cellStyle name="Comma 2 6 3 2 3" xfId="15576" xr:uid="{00000000-0005-0000-0000-0000D53C0000}"/>
    <cellStyle name="Comma 2 6 3 2 3 2" xfId="15577" xr:uid="{00000000-0005-0000-0000-0000D63C0000}"/>
    <cellStyle name="Comma 2 6 3 2 3 2 2" xfId="15578" xr:uid="{00000000-0005-0000-0000-0000D73C0000}"/>
    <cellStyle name="Comma 2 6 3 2 3 3" xfId="15579" xr:uid="{00000000-0005-0000-0000-0000D83C0000}"/>
    <cellStyle name="Comma 2 6 3 2 3 4" xfId="15580" xr:uid="{00000000-0005-0000-0000-0000D93C0000}"/>
    <cellStyle name="Comma 2 6 3 2 3 5" xfId="15581" xr:uid="{00000000-0005-0000-0000-0000DA3C0000}"/>
    <cellStyle name="Comma 2 6 3 2 4" xfId="15582" xr:uid="{00000000-0005-0000-0000-0000DB3C0000}"/>
    <cellStyle name="Comma 2 6 3 2 4 2" xfId="15583" xr:uid="{00000000-0005-0000-0000-0000DC3C0000}"/>
    <cellStyle name="Comma 2 6 3 2 4 3" xfId="15584" xr:uid="{00000000-0005-0000-0000-0000DD3C0000}"/>
    <cellStyle name="Comma 2 6 3 2 4 4" xfId="15585" xr:uid="{00000000-0005-0000-0000-0000DE3C0000}"/>
    <cellStyle name="Comma 2 6 3 2 5" xfId="15586" xr:uid="{00000000-0005-0000-0000-0000DF3C0000}"/>
    <cellStyle name="Comma 2 6 3 2 5 2" xfId="15587" xr:uid="{00000000-0005-0000-0000-0000E03C0000}"/>
    <cellStyle name="Comma 2 6 3 2 6" xfId="15588" xr:uid="{00000000-0005-0000-0000-0000E13C0000}"/>
    <cellStyle name="Comma 2 6 3 2 7" xfId="15589" xr:uid="{00000000-0005-0000-0000-0000E23C0000}"/>
    <cellStyle name="Comma 2 6 3 2 8" xfId="15590" xr:uid="{00000000-0005-0000-0000-0000E33C0000}"/>
    <cellStyle name="Comma 2 6 3 2 9" xfId="15591" xr:uid="{00000000-0005-0000-0000-0000E43C0000}"/>
    <cellStyle name="Comma 2 6 3 3" xfId="15592" xr:uid="{00000000-0005-0000-0000-0000E53C0000}"/>
    <cellStyle name="Comma 2 6 3 3 2" xfId="15593" xr:uid="{00000000-0005-0000-0000-0000E63C0000}"/>
    <cellStyle name="Comma 2 6 3 3 2 2" xfId="15594" xr:uid="{00000000-0005-0000-0000-0000E73C0000}"/>
    <cellStyle name="Comma 2 6 3 3 2 2 2" xfId="15595" xr:uid="{00000000-0005-0000-0000-0000E83C0000}"/>
    <cellStyle name="Comma 2 6 3 3 2 2 3" xfId="15596" xr:uid="{00000000-0005-0000-0000-0000E93C0000}"/>
    <cellStyle name="Comma 2 6 3 3 2 3" xfId="15597" xr:uid="{00000000-0005-0000-0000-0000EA3C0000}"/>
    <cellStyle name="Comma 2 6 3 3 2 4" xfId="15598" xr:uid="{00000000-0005-0000-0000-0000EB3C0000}"/>
    <cellStyle name="Comma 2 6 3 3 2 5" xfId="15599" xr:uid="{00000000-0005-0000-0000-0000EC3C0000}"/>
    <cellStyle name="Comma 2 6 3 3 2 6" xfId="15600" xr:uid="{00000000-0005-0000-0000-0000ED3C0000}"/>
    <cellStyle name="Comma 2 6 3 3 3" xfId="15601" xr:uid="{00000000-0005-0000-0000-0000EE3C0000}"/>
    <cellStyle name="Comma 2 6 3 3 3 2" xfId="15602" xr:uid="{00000000-0005-0000-0000-0000EF3C0000}"/>
    <cellStyle name="Comma 2 6 3 3 3 2 2" xfId="15603" xr:uid="{00000000-0005-0000-0000-0000F03C0000}"/>
    <cellStyle name="Comma 2 6 3 3 3 3" xfId="15604" xr:uid="{00000000-0005-0000-0000-0000F13C0000}"/>
    <cellStyle name="Comma 2 6 3 3 3 4" xfId="15605" xr:uid="{00000000-0005-0000-0000-0000F23C0000}"/>
    <cellStyle name="Comma 2 6 3 3 3 5" xfId="15606" xr:uid="{00000000-0005-0000-0000-0000F33C0000}"/>
    <cellStyle name="Comma 2 6 3 3 4" xfId="15607" xr:uid="{00000000-0005-0000-0000-0000F43C0000}"/>
    <cellStyle name="Comma 2 6 3 3 4 2" xfId="15608" xr:uid="{00000000-0005-0000-0000-0000F53C0000}"/>
    <cellStyle name="Comma 2 6 3 3 4 3" xfId="15609" xr:uid="{00000000-0005-0000-0000-0000F63C0000}"/>
    <cellStyle name="Comma 2 6 3 3 4 4" xfId="15610" xr:uid="{00000000-0005-0000-0000-0000F73C0000}"/>
    <cellStyle name="Comma 2 6 3 3 5" xfId="15611" xr:uid="{00000000-0005-0000-0000-0000F83C0000}"/>
    <cellStyle name="Comma 2 6 3 3 5 2" xfId="15612" xr:uid="{00000000-0005-0000-0000-0000F93C0000}"/>
    <cellStyle name="Comma 2 6 3 3 6" xfId="15613" xr:uid="{00000000-0005-0000-0000-0000FA3C0000}"/>
    <cellStyle name="Comma 2 6 3 3 7" xfId="15614" xr:uid="{00000000-0005-0000-0000-0000FB3C0000}"/>
    <cellStyle name="Comma 2 6 3 3 8" xfId="15615" xr:uid="{00000000-0005-0000-0000-0000FC3C0000}"/>
    <cellStyle name="Comma 2 6 3 3 9" xfId="15616" xr:uid="{00000000-0005-0000-0000-0000FD3C0000}"/>
    <cellStyle name="Comma 2 6 3 4" xfId="15617" xr:uid="{00000000-0005-0000-0000-0000FE3C0000}"/>
    <cellStyle name="Comma 2 6 3 4 2" xfId="15618" xr:uid="{00000000-0005-0000-0000-0000FF3C0000}"/>
    <cellStyle name="Comma 2 6 3 4 2 2" xfId="15619" xr:uid="{00000000-0005-0000-0000-0000003D0000}"/>
    <cellStyle name="Comma 2 6 3 4 2 3" xfId="15620" xr:uid="{00000000-0005-0000-0000-0000013D0000}"/>
    <cellStyle name="Comma 2 6 3 4 3" xfId="15621" xr:uid="{00000000-0005-0000-0000-0000023D0000}"/>
    <cellStyle name="Comma 2 6 3 4 4" xfId="15622" xr:uid="{00000000-0005-0000-0000-0000033D0000}"/>
    <cellStyle name="Comma 2 6 3 4 5" xfId="15623" xr:uid="{00000000-0005-0000-0000-0000043D0000}"/>
    <cellStyle name="Comma 2 6 3 4 6" xfId="15624" xr:uid="{00000000-0005-0000-0000-0000053D0000}"/>
    <cellStyle name="Comma 2 6 3 5" xfId="15625" xr:uid="{00000000-0005-0000-0000-0000063D0000}"/>
    <cellStyle name="Comma 2 6 3 5 2" xfId="15626" xr:uid="{00000000-0005-0000-0000-0000073D0000}"/>
    <cellStyle name="Comma 2 6 3 5 2 2" xfId="15627" xr:uid="{00000000-0005-0000-0000-0000083D0000}"/>
    <cellStyle name="Comma 2 6 3 5 3" xfId="15628" xr:uid="{00000000-0005-0000-0000-0000093D0000}"/>
    <cellStyle name="Comma 2 6 3 5 4" xfId="15629" xr:uid="{00000000-0005-0000-0000-00000A3D0000}"/>
    <cellStyle name="Comma 2 6 3 5 5" xfId="15630" xr:uid="{00000000-0005-0000-0000-00000B3D0000}"/>
    <cellStyle name="Comma 2 6 3 6" xfId="15631" xr:uid="{00000000-0005-0000-0000-00000C3D0000}"/>
    <cellStyle name="Comma 2 6 3 6 2" xfId="15632" xr:uid="{00000000-0005-0000-0000-00000D3D0000}"/>
    <cellStyle name="Comma 2 6 3 6 3" xfId="15633" xr:uid="{00000000-0005-0000-0000-00000E3D0000}"/>
    <cellStyle name="Comma 2 6 3 6 4" xfId="15634" xr:uid="{00000000-0005-0000-0000-00000F3D0000}"/>
    <cellStyle name="Comma 2 6 3 7" xfId="15635" xr:uid="{00000000-0005-0000-0000-0000103D0000}"/>
    <cellStyle name="Comma 2 6 3 7 2" xfId="15636" xr:uid="{00000000-0005-0000-0000-0000113D0000}"/>
    <cellStyle name="Comma 2 6 3 8" xfId="15637" xr:uid="{00000000-0005-0000-0000-0000123D0000}"/>
    <cellStyle name="Comma 2 6 3 9" xfId="15638" xr:uid="{00000000-0005-0000-0000-0000133D0000}"/>
    <cellStyle name="Comma 2 6 4" xfId="15639" xr:uid="{00000000-0005-0000-0000-0000143D0000}"/>
    <cellStyle name="Comma 2 6 4 10" xfId="15640" xr:uid="{00000000-0005-0000-0000-0000153D0000}"/>
    <cellStyle name="Comma 2 6 4 11" xfId="15641" xr:uid="{00000000-0005-0000-0000-0000163D0000}"/>
    <cellStyle name="Comma 2 6 4 2" xfId="15642" xr:uid="{00000000-0005-0000-0000-0000173D0000}"/>
    <cellStyle name="Comma 2 6 4 2 2" xfId="15643" xr:uid="{00000000-0005-0000-0000-0000183D0000}"/>
    <cellStyle name="Comma 2 6 4 2 2 2" xfId="15644" xr:uid="{00000000-0005-0000-0000-0000193D0000}"/>
    <cellStyle name="Comma 2 6 4 2 2 2 2" xfId="15645" xr:uid="{00000000-0005-0000-0000-00001A3D0000}"/>
    <cellStyle name="Comma 2 6 4 2 2 2 3" xfId="15646" xr:uid="{00000000-0005-0000-0000-00001B3D0000}"/>
    <cellStyle name="Comma 2 6 4 2 2 3" xfId="15647" xr:uid="{00000000-0005-0000-0000-00001C3D0000}"/>
    <cellStyle name="Comma 2 6 4 2 2 4" xfId="15648" xr:uid="{00000000-0005-0000-0000-00001D3D0000}"/>
    <cellStyle name="Comma 2 6 4 2 2 5" xfId="15649" xr:uid="{00000000-0005-0000-0000-00001E3D0000}"/>
    <cellStyle name="Comma 2 6 4 2 2 6" xfId="15650" xr:uid="{00000000-0005-0000-0000-00001F3D0000}"/>
    <cellStyle name="Comma 2 6 4 2 3" xfId="15651" xr:uid="{00000000-0005-0000-0000-0000203D0000}"/>
    <cellStyle name="Comma 2 6 4 2 3 2" xfId="15652" xr:uid="{00000000-0005-0000-0000-0000213D0000}"/>
    <cellStyle name="Comma 2 6 4 2 3 2 2" xfId="15653" xr:uid="{00000000-0005-0000-0000-0000223D0000}"/>
    <cellStyle name="Comma 2 6 4 2 3 3" xfId="15654" xr:uid="{00000000-0005-0000-0000-0000233D0000}"/>
    <cellStyle name="Comma 2 6 4 2 3 4" xfId="15655" xr:uid="{00000000-0005-0000-0000-0000243D0000}"/>
    <cellStyle name="Comma 2 6 4 2 3 5" xfId="15656" xr:uid="{00000000-0005-0000-0000-0000253D0000}"/>
    <cellStyle name="Comma 2 6 4 2 4" xfId="15657" xr:uid="{00000000-0005-0000-0000-0000263D0000}"/>
    <cellStyle name="Comma 2 6 4 2 4 2" xfId="15658" xr:uid="{00000000-0005-0000-0000-0000273D0000}"/>
    <cellStyle name="Comma 2 6 4 2 4 3" xfId="15659" xr:uid="{00000000-0005-0000-0000-0000283D0000}"/>
    <cellStyle name="Comma 2 6 4 2 4 4" xfId="15660" xr:uid="{00000000-0005-0000-0000-0000293D0000}"/>
    <cellStyle name="Comma 2 6 4 2 5" xfId="15661" xr:uid="{00000000-0005-0000-0000-00002A3D0000}"/>
    <cellStyle name="Comma 2 6 4 2 5 2" xfId="15662" xr:uid="{00000000-0005-0000-0000-00002B3D0000}"/>
    <cellStyle name="Comma 2 6 4 2 6" xfId="15663" xr:uid="{00000000-0005-0000-0000-00002C3D0000}"/>
    <cellStyle name="Comma 2 6 4 2 7" xfId="15664" xr:uid="{00000000-0005-0000-0000-00002D3D0000}"/>
    <cellStyle name="Comma 2 6 4 2 8" xfId="15665" xr:uid="{00000000-0005-0000-0000-00002E3D0000}"/>
    <cellStyle name="Comma 2 6 4 2 9" xfId="15666" xr:uid="{00000000-0005-0000-0000-00002F3D0000}"/>
    <cellStyle name="Comma 2 6 4 3" xfId="15667" xr:uid="{00000000-0005-0000-0000-0000303D0000}"/>
    <cellStyle name="Comma 2 6 4 3 2" xfId="15668" xr:uid="{00000000-0005-0000-0000-0000313D0000}"/>
    <cellStyle name="Comma 2 6 4 3 2 2" xfId="15669" xr:uid="{00000000-0005-0000-0000-0000323D0000}"/>
    <cellStyle name="Comma 2 6 4 3 2 2 2" xfId="15670" xr:uid="{00000000-0005-0000-0000-0000333D0000}"/>
    <cellStyle name="Comma 2 6 4 3 2 2 3" xfId="15671" xr:uid="{00000000-0005-0000-0000-0000343D0000}"/>
    <cellStyle name="Comma 2 6 4 3 2 3" xfId="15672" xr:uid="{00000000-0005-0000-0000-0000353D0000}"/>
    <cellStyle name="Comma 2 6 4 3 2 4" xfId="15673" xr:uid="{00000000-0005-0000-0000-0000363D0000}"/>
    <cellStyle name="Comma 2 6 4 3 2 5" xfId="15674" xr:uid="{00000000-0005-0000-0000-0000373D0000}"/>
    <cellStyle name="Comma 2 6 4 3 2 6" xfId="15675" xr:uid="{00000000-0005-0000-0000-0000383D0000}"/>
    <cellStyle name="Comma 2 6 4 3 3" xfId="15676" xr:uid="{00000000-0005-0000-0000-0000393D0000}"/>
    <cellStyle name="Comma 2 6 4 3 3 2" xfId="15677" xr:uid="{00000000-0005-0000-0000-00003A3D0000}"/>
    <cellStyle name="Comma 2 6 4 3 3 2 2" xfId="15678" xr:uid="{00000000-0005-0000-0000-00003B3D0000}"/>
    <cellStyle name="Comma 2 6 4 3 3 3" xfId="15679" xr:uid="{00000000-0005-0000-0000-00003C3D0000}"/>
    <cellStyle name="Comma 2 6 4 3 3 4" xfId="15680" xr:uid="{00000000-0005-0000-0000-00003D3D0000}"/>
    <cellStyle name="Comma 2 6 4 3 3 5" xfId="15681" xr:uid="{00000000-0005-0000-0000-00003E3D0000}"/>
    <cellStyle name="Comma 2 6 4 3 4" xfId="15682" xr:uid="{00000000-0005-0000-0000-00003F3D0000}"/>
    <cellStyle name="Comma 2 6 4 3 4 2" xfId="15683" xr:uid="{00000000-0005-0000-0000-0000403D0000}"/>
    <cellStyle name="Comma 2 6 4 3 4 3" xfId="15684" xr:uid="{00000000-0005-0000-0000-0000413D0000}"/>
    <cellStyle name="Comma 2 6 4 3 4 4" xfId="15685" xr:uid="{00000000-0005-0000-0000-0000423D0000}"/>
    <cellStyle name="Comma 2 6 4 3 5" xfId="15686" xr:uid="{00000000-0005-0000-0000-0000433D0000}"/>
    <cellStyle name="Comma 2 6 4 3 5 2" xfId="15687" xr:uid="{00000000-0005-0000-0000-0000443D0000}"/>
    <cellStyle name="Comma 2 6 4 3 6" xfId="15688" xr:uid="{00000000-0005-0000-0000-0000453D0000}"/>
    <cellStyle name="Comma 2 6 4 3 7" xfId="15689" xr:uid="{00000000-0005-0000-0000-0000463D0000}"/>
    <cellStyle name="Comma 2 6 4 3 8" xfId="15690" xr:uid="{00000000-0005-0000-0000-0000473D0000}"/>
    <cellStyle name="Comma 2 6 4 3 9" xfId="15691" xr:uid="{00000000-0005-0000-0000-0000483D0000}"/>
    <cellStyle name="Comma 2 6 4 4" xfId="15692" xr:uid="{00000000-0005-0000-0000-0000493D0000}"/>
    <cellStyle name="Comma 2 6 4 4 2" xfId="15693" xr:uid="{00000000-0005-0000-0000-00004A3D0000}"/>
    <cellStyle name="Comma 2 6 4 4 2 2" xfId="15694" xr:uid="{00000000-0005-0000-0000-00004B3D0000}"/>
    <cellStyle name="Comma 2 6 4 4 2 3" xfId="15695" xr:uid="{00000000-0005-0000-0000-00004C3D0000}"/>
    <cellStyle name="Comma 2 6 4 4 3" xfId="15696" xr:uid="{00000000-0005-0000-0000-00004D3D0000}"/>
    <cellStyle name="Comma 2 6 4 4 4" xfId="15697" xr:uid="{00000000-0005-0000-0000-00004E3D0000}"/>
    <cellStyle name="Comma 2 6 4 4 5" xfId="15698" xr:uid="{00000000-0005-0000-0000-00004F3D0000}"/>
    <cellStyle name="Comma 2 6 4 4 6" xfId="15699" xr:uid="{00000000-0005-0000-0000-0000503D0000}"/>
    <cellStyle name="Comma 2 6 4 5" xfId="15700" xr:uid="{00000000-0005-0000-0000-0000513D0000}"/>
    <cellStyle name="Comma 2 6 4 5 2" xfId="15701" xr:uid="{00000000-0005-0000-0000-0000523D0000}"/>
    <cellStyle name="Comma 2 6 4 5 2 2" xfId="15702" xr:uid="{00000000-0005-0000-0000-0000533D0000}"/>
    <cellStyle name="Comma 2 6 4 5 3" xfId="15703" xr:uid="{00000000-0005-0000-0000-0000543D0000}"/>
    <cellStyle name="Comma 2 6 4 5 4" xfId="15704" xr:uid="{00000000-0005-0000-0000-0000553D0000}"/>
    <cellStyle name="Comma 2 6 4 5 5" xfId="15705" xr:uid="{00000000-0005-0000-0000-0000563D0000}"/>
    <cellStyle name="Comma 2 6 4 6" xfId="15706" xr:uid="{00000000-0005-0000-0000-0000573D0000}"/>
    <cellStyle name="Comma 2 6 4 6 2" xfId="15707" xr:uid="{00000000-0005-0000-0000-0000583D0000}"/>
    <cellStyle name="Comma 2 6 4 6 3" xfId="15708" xr:uid="{00000000-0005-0000-0000-0000593D0000}"/>
    <cellStyle name="Comma 2 6 4 6 4" xfId="15709" xr:uid="{00000000-0005-0000-0000-00005A3D0000}"/>
    <cellStyle name="Comma 2 6 4 7" xfId="15710" xr:uid="{00000000-0005-0000-0000-00005B3D0000}"/>
    <cellStyle name="Comma 2 6 4 7 2" xfId="15711" xr:uid="{00000000-0005-0000-0000-00005C3D0000}"/>
    <cellStyle name="Comma 2 6 4 8" xfId="15712" xr:uid="{00000000-0005-0000-0000-00005D3D0000}"/>
    <cellStyle name="Comma 2 6 4 9" xfId="15713" xr:uid="{00000000-0005-0000-0000-00005E3D0000}"/>
    <cellStyle name="Comma 2 6 5" xfId="15714" xr:uid="{00000000-0005-0000-0000-00005F3D0000}"/>
    <cellStyle name="Comma 2 6 5 10" xfId="15715" xr:uid="{00000000-0005-0000-0000-0000603D0000}"/>
    <cellStyle name="Comma 2 6 5 11" xfId="15716" xr:uid="{00000000-0005-0000-0000-0000613D0000}"/>
    <cellStyle name="Comma 2 6 5 2" xfId="15717" xr:uid="{00000000-0005-0000-0000-0000623D0000}"/>
    <cellStyle name="Comma 2 6 5 2 2" xfId="15718" xr:uid="{00000000-0005-0000-0000-0000633D0000}"/>
    <cellStyle name="Comma 2 6 5 2 2 2" xfId="15719" xr:uid="{00000000-0005-0000-0000-0000643D0000}"/>
    <cellStyle name="Comma 2 6 5 2 2 2 2" xfId="15720" xr:uid="{00000000-0005-0000-0000-0000653D0000}"/>
    <cellStyle name="Comma 2 6 5 2 2 2 3" xfId="15721" xr:uid="{00000000-0005-0000-0000-0000663D0000}"/>
    <cellStyle name="Comma 2 6 5 2 2 3" xfId="15722" xr:uid="{00000000-0005-0000-0000-0000673D0000}"/>
    <cellStyle name="Comma 2 6 5 2 2 4" xfId="15723" xr:uid="{00000000-0005-0000-0000-0000683D0000}"/>
    <cellStyle name="Comma 2 6 5 2 2 5" xfId="15724" xr:uid="{00000000-0005-0000-0000-0000693D0000}"/>
    <cellStyle name="Comma 2 6 5 2 2 6" xfId="15725" xr:uid="{00000000-0005-0000-0000-00006A3D0000}"/>
    <cellStyle name="Comma 2 6 5 2 3" xfId="15726" xr:uid="{00000000-0005-0000-0000-00006B3D0000}"/>
    <cellStyle name="Comma 2 6 5 2 3 2" xfId="15727" xr:uid="{00000000-0005-0000-0000-00006C3D0000}"/>
    <cellStyle name="Comma 2 6 5 2 3 2 2" xfId="15728" xr:uid="{00000000-0005-0000-0000-00006D3D0000}"/>
    <cellStyle name="Comma 2 6 5 2 3 3" xfId="15729" xr:uid="{00000000-0005-0000-0000-00006E3D0000}"/>
    <cellStyle name="Comma 2 6 5 2 3 4" xfId="15730" xr:uid="{00000000-0005-0000-0000-00006F3D0000}"/>
    <cellStyle name="Comma 2 6 5 2 3 5" xfId="15731" xr:uid="{00000000-0005-0000-0000-0000703D0000}"/>
    <cellStyle name="Comma 2 6 5 2 4" xfId="15732" xr:uid="{00000000-0005-0000-0000-0000713D0000}"/>
    <cellStyle name="Comma 2 6 5 2 4 2" xfId="15733" xr:uid="{00000000-0005-0000-0000-0000723D0000}"/>
    <cellStyle name="Comma 2 6 5 2 4 3" xfId="15734" xr:uid="{00000000-0005-0000-0000-0000733D0000}"/>
    <cellStyle name="Comma 2 6 5 2 4 4" xfId="15735" xr:uid="{00000000-0005-0000-0000-0000743D0000}"/>
    <cellStyle name="Comma 2 6 5 2 5" xfId="15736" xr:uid="{00000000-0005-0000-0000-0000753D0000}"/>
    <cellStyle name="Comma 2 6 5 2 5 2" xfId="15737" xr:uid="{00000000-0005-0000-0000-0000763D0000}"/>
    <cellStyle name="Comma 2 6 5 2 6" xfId="15738" xr:uid="{00000000-0005-0000-0000-0000773D0000}"/>
    <cellStyle name="Comma 2 6 5 2 7" xfId="15739" xr:uid="{00000000-0005-0000-0000-0000783D0000}"/>
    <cellStyle name="Comma 2 6 5 2 8" xfId="15740" xr:uid="{00000000-0005-0000-0000-0000793D0000}"/>
    <cellStyle name="Comma 2 6 5 2 9" xfId="15741" xr:uid="{00000000-0005-0000-0000-00007A3D0000}"/>
    <cellStyle name="Comma 2 6 5 3" xfId="15742" xr:uid="{00000000-0005-0000-0000-00007B3D0000}"/>
    <cellStyle name="Comma 2 6 5 3 2" xfId="15743" xr:uid="{00000000-0005-0000-0000-00007C3D0000}"/>
    <cellStyle name="Comma 2 6 5 3 2 2" xfId="15744" xr:uid="{00000000-0005-0000-0000-00007D3D0000}"/>
    <cellStyle name="Comma 2 6 5 3 2 2 2" xfId="15745" xr:uid="{00000000-0005-0000-0000-00007E3D0000}"/>
    <cellStyle name="Comma 2 6 5 3 2 2 3" xfId="15746" xr:uid="{00000000-0005-0000-0000-00007F3D0000}"/>
    <cellStyle name="Comma 2 6 5 3 2 3" xfId="15747" xr:uid="{00000000-0005-0000-0000-0000803D0000}"/>
    <cellStyle name="Comma 2 6 5 3 2 4" xfId="15748" xr:uid="{00000000-0005-0000-0000-0000813D0000}"/>
    <cellStyle name="Comma 2 6 5 3 2 5" xfId="15749" xr:uid="{00000000-0005-0000-0000-0000823D0000}"/>
    <cellStyle name="Comma 2 6 5 3 2 6" xfId="15750" xr:uid="{00000000-0005-0000-0000-0000833D0000}"/>
    <cellStyle name="Comma 2 6 5 3 3" xfId="15751" xr:uid="{00000000-0005-0000-0000-0000843D0000}"/>
    <cellStyle name="Comma 2 6 5 3 3 2" xfId="15752" xr:uid="{00000000-0005-0000-0000-0000853D0000}"/>
    <cellStyle name="Comma 2 6 5 3 3 2 2" xfId="15753" xr:uid="{00000000-0005-0000-0000-0000863D0000}"/>
    <cellStyle name="Comma 2 6 5 3 3 3" xfId="15754" xr:uid="{00000000-0005-0000-0000-0000873D0000}"/>
    <cellStyle name="Comma 2 6 5 3 3 4" xfId="15755" xr:uid="{00000000-0005-0000-0000-0000883D0000}"/>
    <cellStyle name="Comma 2 6 5 3 3 5" xfId="15756" xr:uid="{00000000-0005-0000-0000-0000893D0000}"/>
    <cellStyle name="Comma 2 6 5 3 4" xfId="15757" xr:uid="{00000000-0005-0000-0000-00008A3D0000}"/>
    <cellStyle name="Comma 2 6 5 3 4 2" xfId="15758" xr:uid="{00000000-0005-0000-0000-00008B3D0000}"/>
    <cellStyle name="Comma 2 6 5 3 4 3" xfId="15759" xr:uid="{00000000-0005-0000-0000-00008C3D0000}"/>
    <cellStyle name="Comma 2 6 5 3 4 4" xfId="15760" xr:uid="{00000000-0005-0000-0000-00008D3D0000}"/>
    <cellStyle name="Comma 2 6 5 3 5" xfId="15761" xr:uid="{00000000-0005-0000-0000-00008E3D0000}"/>
    <cellStyle name="Comma 2 6 5 3 5 2" xfId="15762" xr:uid="{00000000-0005-0000-0000-00008F3D0000}"/>
    <cellStyle name="Comma 2 6 5 3 6" xfId="15763" xr:uid="{00000000-0005-0000-0000-0000903D0000}"/>
    <cellStyle name="Comma 2 6 5 3 7" xfId="15764" xr:uid="{00000000-0005-0000-0000-0000913D0000}"/>
    <cellStyle name="Comma 2 6 5 3 8" xfId="15765" xr:uid="{00000000-0005-0000-0000-0000923D0000}"/>
    <cellStyle name="Comma 2 6 5 3 9" xfId="15766" xr:uid="{00000000-0005-0000-0000-0000933D0000}"/>
    <cellStyle name="Comma 2 6 5 4" xfId="15767" xr:uid="{00000000-0005-0000-0000-0000943D0000}"/>
    <cellStyle name="Comma 2 6 5 4 2" xfId="15768" xr:uid="{00000000-0005-0000-0000-0000953D0000}"/>
    <cellStyle name="Comma 2 6 5 4 2 2" xfId="15769" xr:uid="{00000000-0005-0000-0000-0000963D0000}"/>
    <cellStyle name="Comma 2 6 5 4 2 3" xfId="15770" xr:uid="{00000000-0005-0000-0000-0000973D0000}"/>
    <cellStyle name="Comma 2 6 5 4 3" xfId="15771" xr:uid="{00000000-0005-0000-0000-0000983D0000}"/>
    <cellStyle name="Comma 2 6 5 4 4" xfId="15772" xr:uid="{00000000-0005-0000-0000-0000993D0000}"/>
    <cellStyle name="Comma 2 6 5 4 5" xfId="15773" xr:uid="{00000000-0005-0000-0000-00009A3D0000}"/>
    <cellStyle name="Comma 2 6 5 4 6" xfId="15774" xr:uid="{00000000-0005-0000-0000-00009B3D0000}"/>
    <cellStyle name="Comma 2 6 5 5" xfId="15775" xr:uid="{00000000-0005-0000-0000-00009C3D0000}"/>
    <cellStyle name="Comma 2 6 5 5 2" xfId="15776" xr:uid="{00000000-0005-0000-0000-00009D3D0000}"/>
    <cellStyle name="Comma 2 6 5 5 2 2" xfId="15777" xr:uid="{00000000-0005-0000-0000-00009E3D0000}"/>
    <cellStyle name="Comma 2 6 5 5 3" xfId="15778" xr:uid="{00000000-0005-0000-0000-00009F3D0000}"/>
    <cellStyle name="Comma 2 6 5 5 4" xfId="15779" xr:uid="{00000000-0005-0000-0000-0000A03D0000}"/>
    <cellStyle name="Comma 2 6 5 5 5" xfId="15780" xr:uid="{00000000-0005-0000-0000-0000A13D0000}"/>
    <cellStyle name="Comma 2 6 5 6" xfId="15781" xr:uid="{00000000-0005-0000-0000-0000A23D0000}"/>
    <cellStyle name="Comma 2 6 5 6 2" xfId="15782" xr:uid="{00000000-0005-0000-0000-0000A33D0000}"/>
    <cellStyle name="Comma 2 6 5 6 3" xfId="15783" xr:uid="{00000000-0005-0000-0000-0000A43D0000}"/>
    <cellStyle name="Comma 2 6 5 6 4" xfId="15784" xr:uid="{00000000-0005-0000-0000-0000A53D0000}"/>
    <cellStyle name="Comma 2 6 5 7" xfId="15785" xr:uid="{00000000-0005-0000-0000-0000A63D0000}"/>
    <cellStyle name="Comma 2 6 5 7 2" xfId="15786" xr:uid="{00000000-0005-0000-0000-0000A73D0000}"/>
    <cellStyle name="Comma 2 6 5 8" xfId="15787" xr:uid="{00000000-0005-0000-0000-0000A83D0000}"/>
    <cellStyle name="Comma 2 6 5 9" xfId="15788" xr:uid="{00000000-0005-0000-0000-0000A93D0000}"/>
    <cellStyle name="Comma 2 6 6" xfId="15789" xr:uid="{00000000-0005-0000-0000-0000AA3D0000}"/>
    <cellStyle name="Comma 2 6 6 10" xfId="15790" xr:uid="{00000000-0005-0000-0000-0000AB3D0000}"/>
    <cellStyle name="Comma 2 6 6 11" xfId="15791" xr:uid="{00000000-0005-0000-0000-0000AC3D0000}"/>
    <cellStyle name="Comma 2 6 6 2" xfId="15792" xr:uid="{00000000-0005-0000-0000-0000AD3D0000}"/>
    <cellStyle name="Comma 2 6 6 2 2" xfId="15793" xr:uid="{00000000-0005-0000-0000-0000AE3D0000}"/>
    <cellStyle name="Comma 2 6 6 2 2 2" xfId="15794" xr:uid="{00000000-0005-0000-0000-0000AF3D0000}"/>
    <cellStyle name="Comma 2 6 6 2 2 2 2" xfId="15795" xr:uid="{00000000-0005-0000-0000-0000B03D0000}"/>
    <cellStyle name="Comma 2 6 6 2 2 2 3" xfId="15796" xr:uid="{00000000-0005-0000-0000-0000B13D0000}"/>
    <cellStyle name="Comma 2 6 6 2 2 3" xfId="15797" xr:uid="{00000000-0005-0000-0000-0000B23D0000}"/>
    <cellStyle name="Comma 2 6 6 2 2 4" xfId="15798" xr:uid="{00000000-0005-0000-0000-0000B33D0000}"/>
    <cellStyle name="Comma 2 6 6 2 2 5" xfId="15799" xr:uid="{00000000-0005-0000-0000-0000B43D0000}"/>
    <cellStyle name="Comma 2 6 6 2 2 6" xfId="15800" xr:uid="{00000000-0005-0000-0000-0000B53D0000}"/>
    <cellStyle name="Comma 2 6 6 2 3" xfId="15801" xr:uid="{00000000-0005-0000-0000-0000B63D0000}"/>
    <cellStyle name="Comma 2 6 6 2 3 2" xfId="15802" xr:uid="{00000000-0005-0000-0000-0000B73D0000}"/>
    <cellStyle name="Comma 2 6 6 2 3 2 2" xfId="15803" xr:uid="{00000000-0005-0000-0000-0000B83D0000}"/>
    <cellStyle name="Comma 2 6 6 2 3 3" xfId="15804" xr:uid="{00000000-0005-0000-0000-0000B93D0000}"/>
    <cellStyle name="Comma 2 6 6 2 3 4" xfId="15805" xr:uid="{00000000-0005-0000-0000-0000BA3D0000}"/>
    <cellStyle name="Comma 2 6 6 2 3 5" xfId="15806" xr:uid="{00000000-0005-0000-0000-0000BB3D0000}"/>
    <cellStyle name="Comma 2 6 6 2 4" xfId="15807" xr:uid="{00000000-0005-0000-0000-0000BC3D0000}"/>
    <cellStyle name="Comma 2 6 6 2 4 2" xfId="15808" xr:uid="{00000000-0005-0000-0000-0000BD3D0000}"/>
    <cellStyle name="Comma 2 6 6 2 4 3" xfId="15809" xr:uid="{00000000-0005-0000-0000-0000BE3D0000}"/>
    <cellStyle name="Comma 2 6 6 2 4 4" xfId="15810" xr:uid="{00000000-0005-0000-0000-0000BF3D0000}"/>
    <cellStyle name="Comma 2 6 6 2 5" xfId="15811" xr:uid="{00000000-0005-0000-0000-0000C03D0000}"/>
    <cellStyle name="Comma 2 6 6 2 5 2" xfId="15812" xr:uid="{00000000-0005-0000-0000-0000C13D0000}"/>
    <cellStyle name="Comma 2 6 6 2 6" xfId="15813" xr:uid="{00000000-0005-0000-0000-0000C23D0000}"/>
    <cellStyle name="Comma 2 6 6 2 7" xfId="15814" xr:uid="{00000000-0005-0000-0000-0000C33D0000}"/>
    <cellStyle name="Comma 2 6 6 2 8" xfId="15815" xr:uid="{00000000-0005-0000-0000-0000C43D0000}"/>
    <cellStyle name="Comma 2 6 6 2 9" xfId="15816" xr:uid="{00000000-0005-0000-0000-0000C53D0000}"/>
    <cellStyle name="Comma 2 6 6 3" xfId="15817" xr:uid="{00000000-0005-0000-0000-0000C63D0000}"/>
    <cellStyle name="Comma 2 6 6 3 2" xfId="15818" xr:uid="{00000000-0005-0000-0000-0000C73D0000}"/>
    <cellStyle name="Comma 2 6 6 3 2 2" xfId="15819" xr:uid="{00000000-0005-0000-0000-0000C83D0000}"/>
    <cellStyle name="Comma 2 6 6 3 2 2 2" xfId="15820" xr:uid="{00000000-0005-0000-0000-0000C93D0000}"/>
    <cellStyle name="Comma 2 6 6 3 2 2 3" xfId="15821" xr:uid="{00000000-0005-0000-0000-0000CA3D0000}"/>
    <cellStyle name="Comma 2 6 6 3 2 3" xfId="15822" xr:uid="{00000000-0005-0000-0000-0000CB3D0000}"/>
    <cellStyle name="Comma 2 6 6 3 2 4" xfId="15823" xr:uid="{00000000-0005-0000-0000-0000CC3D0000}"/>
    <cellStyle name="Comma 2 6 6 3 2 5" xfId="15824" xr:uid="{00000000-0005-0000-0000-0000CD3D0000}"/>
    <cellStyle name="Comma 2 6 6 3 2 6" xfId="15825" xr:uid="{00000000-0005-0000-0000-0000CE3D0000}"/>
    <cellStyle name="Comma 2 6 6 3 3" xfId="15826" xr:uid="{00000000-0005-0000-0000-0000CF3D0000}"/>
    <cellStyle name="Comma 2 6 6 3 3 2" xfId="15827" xr:uid="{00000000-0005-0000-0000-0000D03D0000}"/>
    <cellStyle name="Comma 2 6 6 3 3 2 2" xfId="15828" xr:uid="{00000000-0005-0000-0000-0000D13D0000}"/>
    <cellStyle name="Comma 2 6 6 3 3 3" xfId="15829" xr:uid="{00000000-0005-0000-0000-0000D23D0000}"/>
    <cellStyle name="Comma 2 6 6 3 3 4" xfId="15830" xr:uid="{00000000-0005-0000-0000-0000D33D0000}"/>
    <cellStyle name="Comma 2 6 6 3 3 5" xfId="15831" xr:uid="{00000000-0005-0000-0000-0000D43D0000}"/>
    <cellStyle name="Comma 2 6 6 3 4" xfId="15832" xr:uid="{00000000-0005-0000-0000-0000D53D0000}"/>
    <cellStyle name="Comma 2 6 6 3 4 2" xfId="15833" xr:uid="{00000000-0005-0000-0000-0000D63D0000}"/>
    <cellStyle name="Comma 2 6 6 3 4 3" xfId="15834" xr:uid="{00000000-0005-0000-0000-0000D73D0000}"/>
    <cellStyle name="Comma 2 6 6 3 4 4" xfId="15835" xr:uid="{00000000-0005-0000-0000-0000D83D0000}"/>
    <cellStyle name="Comma 2 6 6 3 5" xfId="15836" xr:uid="{00000000-0005-0000-0000-0000D93D0000}"/>
    <cellStyle name="Comma 2 6 6 3 5 2" xfId="15837" xr:uid="{00000000-0005-0000-0000-0000DA3D0000}"/>
    <cellStyle name="Comma 2 6 6 3 6" xfId="15838" xr:uid="{00000000-0005-0000-0000-0000DB3D0000}"/>
    <cellStyle name="Comma 2 6 6 3 7" xfId="15839" xr:uid="{00000000-0005-0000-0000-0000DC3D0000}"/>
    <cellStyle name="Comma 2 6 6 3 8" xfId="15840" xr:uid="{00000000-0005-0000-0000-0000DD3D0000}"/>
    <cellStyle name="Comma 2 6 6 3 9" xfId="15841" xr:uid="{00000000-0005-0000-0000-0000DE3D0000}"/>
    <cellStyle name="Comma 2 6 6 4" xfId="15842" xr:uid="{00000000-0005-0000-0000-0000DF3D0000}"/>
    <cellStyle name="Comma 2 6 6 4 2" xfId="15843" xr:uid="{00000000-0005-0000-0000-0000E03D0000}"/>
    <cellStyle name="Comma 2 6 6 4 2 2" xfId="15844" xr:uid="{00000000-0005-0000-0000-0000E13D0000}"/>
    <cellStyle name="Comma 2 6 6 4 2 3" xfId="15845" xr:uid="{00000000-0005-0000-0000-0000E23D0000}"/>
    <cellStyle name="Comma 2 6 6 4 3" xfId="15846" xr:uid="{00000000-0005-0000-0000-0000E33D0000}"/>
    <cellStyle name="Comma 2 6 6 4 4" xfId="15847" xr:uid="{00000000-0005-0000-0000-0000E43D0000}"/>
    <cellStyle name="Comma 2 6 6 4 5" xfId="15848" xr:uid="{00000000-0005-0000-0000-0000E53D0000}"/>
    <cellStyle name="Comma 2 6 6 4 6" xfId="15849" xr:uid="{00000000-0005-0000-0000-0000E63D0000}"/>
    <cellStyle name="Comma 2 6 6 5" xfId="15850" xr:uid="{00000000-0005-0000-0000-0000E73D0000}"/>
    <cellStyle name="Comma 2 6 6 5 2" xfId="15851" xr:uid="{00000000-0005-0000-0000-0000E83D0000}"/>
    <cellStyle name="Comma 2 6 6 5 2 2" xfId="15852" xr:uid="{00000000-0005-0000-0000-0000E93D0000}"/>
    <cellStyle name="Comma 2 6 6 5 3" xfId="15853" xr:uid="{00000000-0005-0000-0000-0000EA3D0000}"/>
    <cellStyle name="Comma 2 6 6 5 4" xfId="15854" xr:uid="{00000000-0005-0000-0000-0000EB3D0000}"/>
    <cellStyle name="Comma 2 6 6 5 5" xfId="15855" xr:uid="{00000000-0005-0000-0000-0000EC3D0000}"/>
    <cellStyle name="Comma 2 6 6 6" xfId="15856" xr:uid="{00000000-0005-0000-0000-0000ED3D0000}"/>
    <cellStyle name="Comma 2 6 6 6 2" xfId="15857" xr:uid="{00000000-0005-0000-0000-0000EE3D0000}"/>
    <cellStyle name="Comma 2 6 6 6 3" xfId="15858" xr:uid="{00000000-0005-0000-0000-0000EF3D0000}"/>
    <cellStyle name="Comma 2 6 6 6 4" xfId="15859" xr:uid="{00000000-0005-0000-0000-0000F03D0000}"/>
    <cellStyle name="Comma 2 6 6 7" xfId="15860" xr:uid="{00000000-0005-0000-0000-0000F13D0000}"/>
    <cellStyle name="Comma 2 6 6 7 2" xfId="15861" xr:uid="{00000000-0005-0000-0000-0000F23D0000}"/>
    <cellStyle name="Comma 2 6 6 8" xfId="15862" xr:uid="{00000000-0005-0000-0000-0000F33D0000}"/>
    <cellStyle name="Comma 2 6 6 9" xfId="15863" xr:uid="{00000000-0005-0000-0000-0000F43D0000}"/>
    <cellStyle name="Comma 2 6 7" xfId="15864" xr:uid="{00000000-0005-0000-0000-0000F53D0000}"/>
    <cellStyle name="Comma 2 6 7 10" xfId="15865" xr:uid="{00000000-0005-0000-0000-0000F63D0000}"/>
    <cellStyle name="Comma 2 6 7 11" xfId="15866" xr:uid="{00000000-0005-0000-0000-0000F73D0000}"/>
    <cellStyle name="Comma 2 6 7 2" xfId="15867" xr:uid="{00000000-0005-0000-0000-0000F83D0000}"/>
    <cellStyle name="Comma 2 6 7 2 2" xfId="15868" xr:uid="{00000000-0005-0000-0000-0000F93D0000}"/>
    <cellStyle name="Comma 2 6 7 2 2 2" xfId="15869" xr:uid="{00000000-0005-0000-0000-0000FA3D0000}"/>
    <cellStyle name="Comma 2 6 7 2 2 2 2" xfId="15870" xr:uid="{00000000-0005-0000-0000-0000FB3D0000}"/>
    <cellStyle name="Comma 2 6 7 2 2 2 3" xfId="15871" xr:uid="{00000000-0005-0000-0000-0000FC3D0000}"/>
    <cellStyle name="Comma 2 6 7 2 2 3" xfId="15872" xr:uid="{00000000-0005-0000-0000-0000FD3D0000}"/>
    <cellStyle name="Comma 2 6 7 2 2 4" xfId="15873" xr:uid="{00000000-0005-0000-0000-0000FE3D0000}"/>
    <cellStyle name="Comma 2 6 7 2 2 5" xfId="15874" xr:uid="{00000000-0005-0000-0000-0000FF3D0000}"/>
    <cellStyle name="Comma 2 6 7 2 2 6" xfId="15875" xr:uid="{00000000-0005-0000-0000-0000003E0000}"/>
    <cellStyle name="Comma 2 6 7 2 3" xfId="15876" xr:uid="{00000000-0005-0000-0000-0000013E0000}"/>
    <cellStyle name="Comma 2 6 7 2 3 2" xfId="15877" xr:uid="{00000000-0005-0000-0000-0000023E0000}"/>
    <cellStyle name="Comma 2 6 7 2 3 2 2" xfId="15878" xr:uid="{00000000-0005-0000-0000-0000033E0000}"/>
    <cellStyle name="Comma 2 6 7 2 3 3" xfId="15879" xr:uid="{00000000-0005-0000-0000-0000043E0000}"/>
    <cellStyle name="Comma 2 6 7 2 3 4" xfId="15880" xr:uid="{00000000-0005-0000-0000-0000053E0000}"/>
    <cellStyle name="Comma 2 6 7 2 3 5" xfId="15881" xr:uid="{00000000-0005-0000-0000-0000063E0000}"/>
    <cellStyle name="Comma 2 6 7 2 4" xfId="15882" xr:uid="{00000000-0005-0000-0000-0000073E0000}"/>
    <cellStyle name="Comma 2 6 7 2 4 2" xfId="15883" xr:uid="{00000000-0005-0000-0000-0000083E0000}"/>
    <cellStyle name="Comma 2 6 7 2 4 3" xfId="15884" xr:uid="{00000000-0005-0000-0000-0000093E0000}"/>
    <cellStyle name="Comma 2 6 7 2 4 4" xfId="15885" xr:uid="{00000000-0005-0000-0000-00000A3E0000}"/>
    <cellStyle name="Comma 2 6 7 2 5" xfId="15886" xr:uid="{00000000-0005-0000-0000-00000B3E0000}"/>
    <cellStyle name="Comma 2 6 7 2 5 2" xfId="15887" xr:uid="{00000000-0005-0000-0000-00000C3E0000}"/>
    <cellStyle name="Comma 2 6 7 2 6" xfId="15888" xr:uid="{00000000-0005-0000-0000-00000D3E0000}"/>
    <cellStyle name="Comma 2 6 7 2 7" xfId="15889" xr:uid="{00000000-0005-0000-0000-00000E3E0000}"/>
    <cellStyle name="Comma 2 6 7 2 8" xfId="15890" xr:uid="{00000000-0005-0000-0000-00000F3E0000}"/>
    <cellStyle name="Comma 2 6 7 2 9" xfId="15891" xr:uid="{00000000-0005-0000-0000-0000103E0000}"/>
    <cellStyle name="Comma 2 6 7 3" xfId="15892" xr:uid="{00000000-0005-0000-0000-0000113E0000}"/>
    <cellStyle name="Comma 2 6 7 3 2" xfId="15893" xr:uid="{00000000-0005-0000-0000-0000123E0000}"/>
    <cellStyle name="Comma 2 6 7 3 2 2" xfId="15894" xr:uid="{00000000-0005-0000-0000-0000133E0000}"/>
    <cellStyle name="Comma 2 6 7 3 2 2 2" xfId="15895" xr:uid="{00000000-0005-0000-0000-0000143E0000}"/>
    <cellStyle name="Comma 2 6 7 3 2 2 3" xfId="15896" xr:uid="{00000000-0005-0000-0000-0000153E0000}"/>
    <cellStyle name="Comma 2 6 7 3 2 3" xfId="15897" xr:uid="{00000000-0005-0000-0000-0000163E0000}"/>
    <cellStyle name="Comma 2 6 7 3 2 4" xfId="15898" xr:uid="{00000000-0005-0000-0000-0000173E0000}"/>
    <cellStyle name="Comma 2 6 7 3 2 5" xfId="15899" xr:uid="{00000000-0005-0000-0000-0000183E0000}"/>
    <cellStyle name="Comma 2 6 7 3 2 6" xfId="15900" xr:uid="{00000000-0005-0000-0000-0000193E0000}"/>
    <cellStyle name="Comma 2 6 7 3 3" xfId="15901" xr:uid="{00000000-0005-0000-0000-00001A3E0000}"/>
    <cellStyle name="Comma 2 6 7 3 3 2" xfId="15902" xr:uid="{00000000-0005-0000-0000-00001B3E0000}"/>
    <cellStyle name="Comma 2 6 7 3 3 2 2" xfId="15903" xr:uid="{00000000-0005-0000-0000-00001C3E0000}"/>
    <cellStyle name="Comma 2 6 7 3 3 3" xfId="15904" xr:uid="{00000000-0005-0000-0000-00001D3E0000}"/>
    <cellStyle name="Comma 2 6 7 3 3 4" xfId="15905" xr:uid="{00000000-0005-0000-0000-00001E3E0000}"/>
    <cellStyle name="Comma 2 6 7 3 3 5" xfId="15906" xr:uid="{00000000-0005-0000-0000-00001F3E0000}"/>
    <cellStyle name="Comma 2 6 7 3 4" xfId="15907" xr:uid="{00000000-0005-0000-0000-0000203E0000}"/>
    <cellStyle name="Comma 2 6 7 3 4 2" xfId="15908" xr:uid="{00000000-0005-0000-0000-0000213E0000}"/>
    <cellStyle name="Comma 2 6 7 3 4 3" xfId="15909" xr:uid="{00000000-0005-0000-0000-0000223E0000}"/>
    <cellStyle name="Comma 2 6 7 3 4 4" xfId="15910" xr:uid="{00000000-0005-0000-0000-0000233E0000}"/>
    <cellStyle name="Comma 2 6 7 3 5" xfId="15911" xr:uid="{00000000-0005-0000-0000-0000243E0000}"/>
    <cellStyle name="Comma 2 6 7 3 5 2" xfId="15912" xr:uid="{00000000-0005-0000-0000-0000253E0000}"/>
    <cellStyle name="Comma 2 6 7 3 6" xfId="15913" xr:uid="{00000000-0005-0000-0000-0000263E0000}"/>
    <cellStyle name="Comma 2 6 7 3 7" xfId="15914" xr:uid="{00000000-0005-0000-0000-0000273E0000}"/>
    <cellStyle name="Comma 2 6 7 3 8" xfId="15915" xr:uid="{00000000-0005-0000-0000-0000283E0000}"/>
    <cellStyle name="Comma 2 6 7 3 9" xfId="15916" xr:uid="{00000000-0005-0000-0000-0000293E0000}"/>
    <cellStyle name="Comma 2 6 7 4" xfId="15917" xr:uid="{00000000-0005-0000-0000-00002A3E0000}"/>
    <cellStyle name="Comma 2 6 7 4 2" xfId="15918" xr:uid="{00000000-0005-0000-0000-00002B3E0000}"/>
    <cellStyle name="Comma 2 6 7 4 2 2" xfId="15919" xr:uid="{00000000-0005-0000-0000-00002C3E0000}"/>
    <cellStyle name="Comma 2 6 7 4 2 3" xfId="15920" xr:uid="{00000000-0005-0000-0000-00002D3E0000}"/>
    <cellStyle name="Comma 2 6 7 4 3" xfId="15921" xr:uid="{00000000-0005-0000-0000-00002E3E0000}"/>
    <cellStyle name="Comma 2 6 7 4 4" xfId="15922" xr:uid="{00000000-0005-0000-0000-00002F3E0000}"/>
    <cellStyle name="Comma 2 6 7 4 5" xfId="15923" xr:uid="{00000000-0005-0000-0000-0000303E0000}"/>
    <cellStyle name="Comma 2 6 7 4 6" xfId="15924" xr:uid="{00000000-0005-0000-0000-0000313E0000}"/>
    <cellStyle name="Comma 2 6 7 5" xfId="15925" xr:uid="{00000000-0005-0000-0000-0000323E0000}"/>
    <cellStyle name="Comma 2 6 7 5 2" xfId="15926" xr:uid="{00000000-0005-0000-0000-0000333E0000}"/>
    <cellStyle name="Comma 2 6 7 5 2 2" xfId="15927" xr:uid="{00000000-0005-0000-0000-0000343E0000}"/>
    <cellStyle name="Comma 2 6 7 5 3" xfId="15928" xr:uid="{00000000-0005-0000-0000-0000353E0000}"/>
    <cellStyle name="Comma 2 6 7 5 4" xfId="15929" xr:uid="{00000000-0005-0000-0000-0000363E0000}"/>
    <cellStyle name="Comma 2 6 7 5 5" xfId="15930" xr:uid="{00000000-0005-0000-0000-0000373E0000}"/>
    <cellStyle name="Comma 2 6 7 6" xfId="15931" xr:uid="{00000000-0005-0000-0000-0000383E0000}"/>
    <cellStyle name="Comma 2 6 7 6 2" xfId="15932" xr:uid="{00000000-0005-0000-0000-0000393E0000}"/>
    <cellStyle name="Comma 2 6 7 6 3" xfId="15933" xr:uid="{00000000-0005-0000-0000-00003A3E0000}"/>
    <cellStyle name="Comma 2 6 7 6 4" xfId="15934" xr:uid="{00000000-0005-0000-0000-00003B3E0000}"/>
    <cellStyle name="Comma 2 6 7 7" xfId="15935" xr:uid="{00000000-0005-0000-0000-00003C3E0000}"/>
    <cellStyle name="Comma 2 6 7 7 2" xfId="15936" xr:uid="{00000000-0005-0000-0000-00003D3E0000}"/>
    <cellStyle name="Comma 2 6 7 8" xfId="15937" xr:uid="{00000000-0005-0000-0000-00003E3E0000}"/>
    <cellStyle name="Comma 2 6 7 9" xfId="15938" xr:uid="{00000000-0005-0000-0000-00003F3E0000}"/>
    <cellStyle name="Comma 2 6 8" xfId="15939" xr:uid="{00000000-0005-0000-0000-0000403E0000}"/>
    <cellStyle name="Comma 2 6 8 10" xfId="15940" xr:uid="{00000000-0005-0000-0000-0000413E0000}"/>
    <cellStyle name="Comma 2 6 8 2" xfId="15941" xr:uid="{00000000-0005-0000-0000-0000423E0000}"/>
    <cellStyle name="Comma 2 6 8 2 2" xfId="15942" xr:uid="{00000000-0005-0000-0000-0000433E0000}"/>
    <cellStyle name="Comma 2 6 8 2 2 2" xfId="15943" xr:uid="{00000000-0005-0000-0000-0000443E0000}"/>
    <cellStyle name="Comma 2 6 8 2 2 3" xfId="15944" xr:uid="{00000000-0005-0000-0000-0000453E0000}"/>
    <cellStyle name="Comma 2 6 8 2 3" xfId="15945" xr:uid="{00000000-0005-0000-0000-0000463E0000}"/>
    <cellStyle name="Comma 2 6 8 2 4" xfId="15946" xr:uid="{00000000-0005-0000-0000-0000473E0000}"/>
    <cellStyle name="Comma 2 6 8 2 5" xfId="15947" xr:uid="{00000000-0005-0000-0000-0000483E0000}"/>
    <cellStyle name="Comma 2 6 8 2 6" xfId="15948" xr:uid="{00000000-0005-0000-0000-0000493E0000}"/>
    <cellStyle name="Comma 2 6 8 3" xfId="15949" xr:uid="{00000000-0005-0000-0000-00004A3E0000}"/>
    <cellStyle name="Comma 2 6 8 3 2" xfId="15950" xr:uid="{00000000-0005-0000-0000-00004B3E0000}"/>
    <cellStyle name="Comma 2 6 8 3 2 2" xfId="15951" xr:uid="{00000000-0005-0000-0000-00004C3E0000}"/>
    <cellStyle name="Comma 2 6 8 3 2 3" xfId="15952" xr:uid="{00000000-0005-0000-0000-00004D3E0000}"/>
    <cellStyle name="Comma 2 6 8 3 3" xfId="15953" xr:uid="{00000000-0005-0000-0000-00004E3E0000}"/>
    <cellStyle name="Comma 2 6 8 3 4" xfId="15954" xr:uid="{00000000-0005-0000-0000-00004F3E0000}"/>
    <cellStyle name="Comma 2 6 8 3 5" xfId="15955" xr:uid="{00000000-0005-0000-0000-0000503E0000}"/>
    <cellStyle name="Comma 2 6 8 3 6" xfId="15956" xr:uid="{00000000-0005-0000-0000-0000513E0000}"/>
    <cellStyle name="Comma 2 6 8 4" xfId="15957" xr:uid="{00000000-0005-0000-0000-0000523E0000}"/>
    <cellStyle name="Comma 2 6 8 4 2" xfId="15958" xr:uid="{00000000-0005-0000-0000-0000533E0000}"/>
    <cellStyle name="Comma 2 6 8 4 2 2" xfId="15959" xr:uid="{00000000-0005-0000-0000-0000543E0000}"/>
    <cellStyle name="Comma 2 6 8 4 3" xfId="15960" xr:uid="{00000000-0005-0000-0000-0000553E0000}"/>
    <cellStyle name="Comma 2 6 8 4 4" xfId="15961" xr:uid="{00000000-0005-0000-0000-0000563E0000}"/>
    <cellStyle name="Comma 2 6 8 4 5" xfId="15962" xr:uid="{00000000-0005-0000-0000-0000573E0000}"/>
    <cellStyle name="Comma 2 6 8 5" xfId="15963" xr:uid="{00000000-0005-0000-0000-0000583E0000}"/>
    <cellStyle name="Comma 2 6 8 5 2" xfId="15964" xr:uid="{00000000-0005-0000-0000-0000593E0000}"/>
    <cellStyle name="Comma 2 6 8 5 3" xfId="15965" xr:uid="{00000000-0005-0000-0000-00005A3E0000}"/>
    <cellStyle name="Comma 2 6 8 5 4" xfId="15966" xr:uid="{00000000-0005-0000-0000-00005B3E0000}"/>
    <cellStyle name="Comma 2 6 8 6" xfId="15967" xr:uid="{00000000-0005-0000-0000-00005C3E0000}"/>
    <cellStyle name="Comma 2 6 8 6 2" xfId="15968" xr:uid="{00000000-0005-0000-0000-00005D3E0000}"/>
    <cellStyle name="Comma 2 6 8 7" xfId="15969" xr:uid="{00000000-0005-0000-0000-00005E3E0000}"/>
    <cellStyle name="Comma 2 6 8 8" xfId="15970" xr:uid="{00000000-0005-0000-0000-00005F3E0000}"/>
    <cellStyle name="Comma 2 6 8 9" xfId="15971" xr:uid="{00000000-0005-0000-0000-0000603E0000}"/>
    <cellStyle name="Comma 2 6 9" xfId="15972" xr:uid="{00000000-0005-0000-0000-0000613E0000}"/>
    <cellStyle name="Comma 2 6 9 10" xfId="15973" xr:uid="{00000000-0005-0000-0000-0000623E0000}"/>
    <cellStyle name="Comma 2 6 9 2" xfId="15974" xr:uid="{00000000-0005-0000-0000-0000633E0000}"/>
    <cellStyle name="Comma 2 6 9 2 2" xfId="15975" xr:uid="{00000000-0005-0000-0000-0000643E0000}"/>
    <cellStyle name="Comma 2 6 9 2 2 2" xfId="15976" xr:uid="{00000000-0005-0000-0000-0000653E0000}"/>
    <cellStyle name="Comma 2 6 9 2 2 3" xfId="15977" xr:uid="{00000000-0005-0000-0000-0000663E0000}"/>
    <cellStyle name="Comma 2 6 9 2 3" xfId="15978" xr:uid="{00000000-0005-0000-0000-0000673E0000}"/>
    <cellStyle name="Comma 2 6 9 2 4" xfId="15979" xr:uid="{00000000-0005-0000-0000-0000683E0000}"/>
    <cellStyle name="Comma 2 6 9 2 5" xfId="15980" xr:uid="{00000000-0005-0000-0000-0000693E0000}"/>
    <cellStyle name="Comma 2 6 9 2 6" xfId="15981" xr:uid="{00000000-0005-0000-0000-00006A3E0000}"/>
    <cellStyle name="Comma 2 6 9 3" xfId="15982" xr:uid="{00000000-0005-0000-0000-00006B3E0000}"/>
    <cellStyle name="Comma 2 6 9 3 2" xfId="15983" xr:uid="{00000000-0005-0000-0000-00006C3E0000}"/>
    <cellStyle name="Comma 2 6 9 3 2 2" xfId="15984" xr:uid="{00000000-0005-0000-0000-00006D3E0000}"/>
    <cellStyle name="Comma 2 6 9 3 2 3" xfId="15985" xr:uid="{00000000-0005-0000-0000-00006E3E0000}"/>
    <cellStyle name="Comma 2 6 9 3 3" xfId="15986" xr:uid="{00000000-0005-0000-0000-00006F3E0000}"/>
    <cellStyle name="Comma 2 6 9 3 4" xfId="15987" xr:uid="{00000000-0005-0000-0000-0000703E0000}"/>
    <cellStyle name="Comma 2 6 9 3 5" xfId="15988" xr:uid="{00000000-0005-0000-0000-0000713E0000}"/>
    <cellStyle name="Comma 2 6 9 3 6" xfId="15989" xr:uid="{00000000-0005-0000-0000-0000723E0000}"/>
    <cellStyle name="Comma 2 6 9 4" xfId="15990" xr:uid="{00000000-0005-0000-0000-0000733E0000}"/>
    <cellStyle name="Comma 2 6 9 4 2" xfId="15991" xr:uid="{00000000-0005-0000-0000-0000743E0000}"/>
    <cellStyle name="Comma 2 6 9 4 2 2" xfId="15992" xr:uid="{00000000-0005-0000-0000-0000753E0000}"/>
    <cellStyle name="Comma 2 6 9 4 3" xfId="15993" xr:uid="{00000000-0005-0000-0000-0000763E0000}"/>
    <cellStyle name="Comma 2 6 9 4 4" xfId="15994" xr:uid="{00000000-0005-0000-0000-0000773E0000}"/>
    <cellStyle name="Comma 2 6 9 4 5" xfId="15995" xr:uid="{00000000-0005-0000-0000-0000783E0000}"/>
    <cellStyle name="Comma 2 6 9 5" xfId="15996" xr:uid="{00000000-0005-0000-0000-0000793E0000}"/>
    <cellStyle name="Comma 2 6 9 5 2" xfId="15997" xr:uid="{00000000-0005-0000-0000-00007A3E0000}"/>
    <cellStyle name="Comma 2 6 9 5 3" xfId="15998" xr:uid="{00000000-0005-0000-0000-00007B3E0000}"/>
    <cellStyle name="Comma 2 6 9 5 4" xfId="15999" xr:uid="{00000000-0005-0000-0000-00007C3E0000}"/>
    <cellStyle name="Comma 2 6 9 6" xfId="16000" xr:uid="{00000000-0005-0000-0000-00007D3E0000}"/>
    <cellStyle name="Comma 2 6 9 6 2" xfId="16001" xr:uid="{00000000-0005-0000-0000-00007E3E0000}"/>
    <cellStyle name="Comma 2 6 9 7" xfId="16002" xr:uid="{00000000-0005-0000-0000-00007F3E0000}"/>
    <cellStyle name="Comma 2 6 9 8" xfId="16003" xr:uid="{00000000-0005-0000-0000-0000803E0000}"/>
    <cellStyle name="Comma 2 6 9 9" xfId="16004" xr:uid="{00000000-0005-0000-0000-0000813E0000}"/>
    <cellStyle name="Comma 2 60" xfId="16005" xr:uid="{00000000-0005-0000-0000-0000823E0000}"/>
    <cellStyle name="Comma 2 61" xfId="16006" xr:uid="{00000000-0005-0000-0000-0000833E0000}"/>
    <cellStyle name="Comma 2 62" xfId="16007" xr:uid="{00000000-0005-0000-0000-0000843E0000}"/>
    <cellStyle name="Comma 2 63" xfId="16008" xr:uid="{00000000-0005-0000-0000-0000853E0000}"/>
    <cellStyle name="Comma 2 64" xfId="16009" xr:uid="{00000000-0005-0000-0000-0000863E0000}"/>
    <cellStyle name="Comma 2 7" xfId="16010" xr:uid="{00000000-0005-0000-0000-0000873E0000}"/>
    <cellStyle name="Comma 2 7 10" xfId="16011" xr:uid="{00000000-0005-0000-0000-0000883E0000}"/>
    <cellStyle name="Comma 2 7 10 10" xfId="16012" xr:uid="{00000000-0005-0000-0000-0000893E0000}"/>
    <cellStyle name="Comma 2 7 10 2" xfId="16013" xr:uid="{00000000-0005-0000-0000-00008A3E0000}"/>
    <cellStyle name="Comma 2 7 10 2 2" xfId="16014" xr:uid="{00000000-0005-0000-0000-00008B3E0000}"/>
    <cellStyle name="Comma 2 7 10 2 2 2" xfId="16015" xr:uid="{00000000-0005-0000-0000-00008C3E0000}"/>
    <cellStyle name="Comma 2 7 10 2 2 3" xfId="16016" xr:uid="{00000000-0005-0000-0000-00008D3E0000}"/>
    <cellStyle name="Comma 2 7 10 2 3" xfId="16017" xr:uid="{00000000-0005-0000-0000-00008E3E0000}"/>
    <cellStyle name="Comma 2 7 10 2 4" xfId="16018" xr:uid="{00000000-0005-0000-0000-00008F3E0000}"/>
    <cellStyle name="Comma 2 7 10 2 5" xfId="16019" xr:uid="{00000000-0005-0000-0000-0000903E0000}"/>
    <cellStyle name="Comma 2 7 10 2 6" xfId="16020" xr:uid="{00000000-0005-0000-0000-0000913E0000}"/>
    <cellStyle name="Comma 2 7 10 3" xfId="16021" xr:uid="{00000000-0005-0000-0000-0000923E0000}"/>
    <cellStyle name="Comma 2 7 10 3 2" xfId="16022" xr:uid="{00000000-0005-0000-0000-0000933E0000}"/>
    <cellStyle name="Comma 2 7 10 3 2 2" xfId="16023" xr:uid="{00000000-0005-0000-0000-0000943E0000}"/>
    <cellStyle name="Comma 2 7 10 3 2 3" xfId="16024" xr:uid="{00000000-0005-0000-0000-0000953E0000}"/>
    <cellStyle name="Comma 2 7 10 3 3" xfId="16025" xr:uid="{00000000-0005-0000-0000-0000963E0000}"/>
    <cellStyle name="Comma 2 7 10 3 4" xfId="16026" xr:uid="{00000000-0005-0000-0000-0000973E0000}"/>
    <cellStyle name="Comma 2 7 10 3 5" xfId="16027" xr:uid="{00000000-0005-0000-0000-0000983E0000}"/>
    <cellStyle name="Comma 2 7 10 3 6" xfId="16028" xr:uid="{00000000-0005-0000-0000-0000993E0000}"/>
    <cellStyle name="Comma 2 7 10 4" xfId="16029" xr:uid="{00000000-0005-0000-0000-00009A3E0000}"/>
    <cellStyle name="Comma 2 7 10 4 2" xfId="16030" xr:uid="{00000000-0005-0000-0000-00009B3E0000}"/>
    <cellStyle name="Comma 2 7 10 4 2 2" xfId="16031" xr:uid="{00000000-0005-0000-0000-00009C3E0000}"/>
    <cellStyle name="Comma 2 7 10 4 3" xfId="16032" xr:uid="{00000000-0005-0000-0000-00009D3E0000}"/>
    <cellStyle name="Comma 2 7 10 4 4" xfId="16033" xr:uid="{00000000-0005-0000-0000-00009E3E0000}"/>
    <cellStyle name="Comma 2 7 10 4 5" xfId="16034" xr:uid="{00000000-0005-0000-0000-00009F3E0000}"/>
    <cellStyle name="Comma 2 7 10 5" xfId="16035" xr:uid="{00000000-0005-0000-0000-0000A03E0000}"/>
    <cellStyle name="Comma 2 7 10 5 2" xfId="16036" xr:uid="{00000000-0005-0000-0000-0000A13E0000}"/>
    <cellStyle name="Comma 2 7 10 5 3" xfId="16037" xr:uid="{00000000-0005-0000-0000-0000A23E0000}"/>
    <cellStyle name="Comma 2 7 10 5 4" xfId="16038" xr:uid="{00000000-0005-0000-0000-0000A33E0000}"/>
    <cellStyle name="Comma 2 7 10 6" xfId="16039" xr:uid="{00000000-0005-0000-0000-0000A43E0000}"/>
    <cellStyle name="Comma 2 7 10 6 2" xfId="16040" xr:uid="{00000000-0005-0000-0000-0000A53E0000}"/>
    <cellStyle name="Comma 2 7 10 7" xfId="16041" xr:uid="{00000000-0005-0000-0000-0000A63E0000}"/>
    <cellStyle name="Comma 2 7 10 8" xfId="16042" xr:uid="{00000000-0005-0000-0000-0000A73E0000}"/>
    <cellStyle name="Comma 2 7 10 9" xfId="16043" xr:uid="{00000000-0005-0000-0000-0000A83E0000}"/>
    <cellStyle name="Comma 2 7 11" xfId="16044" xr:uid="{00000000-0005-0000-0000-0000A93E0000}"/>
    <cellStyle name="Comma 2 7 11 10" xfId="16045" xr:uid="{00000000-0005-0000-0000-0000AA3E0000}"/>
    <cellStyle name="Comma 2 7 11 2" xfId="16046" xr:uid="{00000000-0005-0000-0000-0000AB3E0000}"/>
    <cellStyle name="Comma 2 7 11 2 2" xfId="16047" xr:uid="{00000000-0005-0000-0000-0000AC3E0000}"/>
    <cellStyle name="Comma 2 7 11 2 2 2" xfId="16048" xr:uid="{00000000-0005-0000-0000-0000AD3E0000}"/>
    <cellStyle name="Comma 2 7 11 2 2 3" xfId="16049" xr:uid="{00000000-0005-0000-0000-0000AE3E0000}"/>
    <cellStyle name="Comma 2 7 11 2 3" xfId="16050" xr:uid="{00000000-0005-0000-0000-0000AF3E0000}"/>
    <cellStyle name="Comma 2 7 11 2 4" xfId="16051" xr:uid="{00000000-0005-0000-0000-0000B03E0000}"/>
    <cellStyle name="Comma 2 7 11 2 5" xfId="16052" xr:uid="{00000000-0005-0000-0000-0000B13E0000}"/>
    <cellStyle name="Comma 2 7 11 2 6" xfId="16053" xr:uid="{00000000-0005-0000-0000-0000B23E0000}"/>
    <cellStyle name="Comma 2 7 11 3" xfId="16054" xr:uid="{00000000-0005-0000-0000-0000B33E0000}"/>
    <cellStyle name="Comma 2 7 11 3 2" xfId="16055" xr:uid="{00000000-0005-0000-0000-0000B43E0000}"/>
    <cellStyle name="Comma 2 7 11 3 2 2" xfId="16056" xr:uid="{00000000-0005-0000-0000-0000B53E0000}"/>
    <cellStyle name="Comma 2 7 11 3 2 3" xfId="16057" xr:uid="{00000000-0005-0000-0000-0000B63E0000}"/>
    <cellStyle name="Comma 2 7 11 3 3" xfId="16058" xr:uid="{00000000-0005-0000-0000-0000B73E0000}"/>
    <cellStyle name="Comma 2 7 11 3 4" xfId="16059" xr:uid="{00000000-0005-0000-0000-0000B83E0000}"/>
    <cellStyle name="Comma 2 7 11 3 5" xfId="16060" xr:uid="{00000000-0005-0000-0000-0000B93E0000}"/>
    <cellStyle name="Comma 2 7 11 3 6" xfId="16061" xr:uid="{00000000-0005-0000-0000-0000BA3E0000}"/>
    <cellStyle name="Comma 2 7 11 4" xfId="16062" xr:uid="{00000000-0005-0000-0000-0000BB3E0000}"/>
    <cellStyle name="Comma 2 7 11 4 2" xfId="16063" xr:uid="{00000000-0005-0000-0000-0000BC3E0000}"/>
    <cellStyle name="Comma 2 7 11 4 2 2" xfId="16064" xr:uid="{00000000-0005-0000-0000-0000BD3E0000}"/>
    <cellStyle name="Comma 2 7 11 4 3" xfId="16065" xr:uid="{00000000-0005-0000-0000-0000BE3E0000}"/>
    <cellStyle name="Comma 2 7 11 4 4" xfId="16066" xr:uid="{00000000-0005-0000-0000-0000BF3E0000}"/>
    <cellStyle name="Comma 2 7 11 4 5" xfId="16067" xr:uid="{00000000-0005-0000-0000-0000C03E0000}"/>
    <cellStyle name="Comma 2 7 11 5" xfId="16068" xr:uid="{00000000-0005-0000-0000-0000C13E0000}"/>
    <cellStyle name="Comma 2 7 11 5 2" xfId="16069" xr:uid="{00000000-0005-0000-0000-0000C23E0000}"/>
    <cellStyle name="Comma 2 7 11 5 3" xfId="16070" xr:uid="{00000000-0005-0000-0000-0000C33E0000}"/>
    <cellStyle name="Comma 2 7 11 5 4" xfId="16071" xr:uid="{00000000-0005-0000-0000-0000C43E0000}"/>
    <cellStyle name="Comma 2 7 11 6" xfId="16072" xr:uid="{00000000-0005-0000-0000-0000C53E0000}"/>
    <cellStyle name="Comma 2 7 11 6 2" xfId="16073" xr:uid="{00000000-0005-0000-0000-0000C63E0000}"/>
    <cellStyle name="Comma 2 7 11 7" xfId="16074" xr:uid="{00000000-0005-0000-0000-0000C73E0000}"/>
    <cellStyle name="Comma 2 7 11 8" xfId="16075" xr:uid="{00000000-0005-0000-0000-0000C83E0000}"/>
    <cellStyle name="Comma 2 7 11 9" xfId="16076" xr:uid="{00000000-0005-0000-0000-0000C93E0000}"/>
    <cellStyle name="Comma 2 7 12" xfId="16077" xr:uid="{00000000-0005-0000-0000-0000CA3E0000}"/>
    <cellStyle name="Comma 2 7 12 10" xfId="16078" xr:uid="{00000000-0005-0000-0000-0000CB3E0000}"/>
    <cellStyle name="Comma 2 7 12 2" xfId="16079" xr:uid="{00000000-0005-0000-0000-0000CC3E0000}"/>
    <cellStyle name="Comma 2 7 12 2 2" xfId="16080" xr:uid="{00000000-0005-0000-0000-0000CD3E0000}"/>
    <cellStyle name="Comma 2 7 12 2 2 2" xfId="16081" xr:uid="{00000000-0005-0000-0000-0000CE3E0000}"/>
    <cellStyle name="Comma 2 7 12 2 2 3" xfId="16082" xr:uid="{00000000-0005-0000-0000-0000CF3E0000}"/>
    <cellStyle name="Comma 2 7 12 2 3" xfId="16083" xr:uid="{00000000-0005-0000-0000-0000D03E0000}"/>
    <cellStyle name="Comma 2 7 12 2 4" xfId="16084" xr:uid="{00000000-0005-0000-0000-0000D13E0000}"/>
    <cellStyle name="Comma 2 7 12 2 5" xfId="16085" xr:uid="{00000000-0005-0000-0000-0000D23E0000}"/>
    <cellStyle name="Comma 2 7 12 2 6" xfId="16086" xr:uid="{00000000-0005-0000-0000-0000D33E0000}"/>
    <cellStyle name="Comma 2 7 12 3" xfId="16087" xr:uid="{00000000-0005-0000-0000-0000D43E0000}"/>
    <cellStyle name="Comma 2 7 12 3 2" xfId="16088" xr:uid="{00000000-0005-0000-0000-0000D53E0000}"/>
    <cellStyle name="Comma 2 7 12 3 2 2" xfId="16089" xr:uid="{00000000-0005-0000-0000-0000D63E0000}"/>
    <cellStyle name="Comma 2 7 12 3 2 3" xfId="16090" xr:uid="{00000000-0005-0000-0000-0000D73E0000}"/>
    <cellStyle name="Comma 2 7 12 3 3" xfId="16091" xr:uid="{00000000-0005-0000-0000-0000D83E0000}"/>
    <cellStyle name="Comma 2 7 12 3 4" xfId="16092" xr:uid="{00000000-0005-0000-0000-0000D93E0000}"/>
    <cellStyle name="Comma 2 7 12 3 5" xfId="16093" xr:uid="{00000000-0005-0000-0000-0000DA3E0000}"/>
    <cellStyle name="Comma 2 7 12 3 6" xfId="16094" xr:uid="{00000000-0005-0000-0000-0000DB3E0000}"/>
    <cellStyle name="Comma 2 7 12 4" xfId="16095" xr:uid="{00000000-0005-0000-0000-0000DC3E0000}"/>
    <cellStyle name="Comma 2 7 12 4 2" xfId="16096" xr:uid="{00000000-0005-0000-0000-0000DD3E0000}"/>
    <cellStyle name="Comma 2 7 12 4 2 2" xfId="16097" xr:uid="{00000000-0005-0000-0000-0000DE3E0000}"/>
    <cellStyle name="Comma 2 7 12 4 3" xfId="16098" xr:uid="{00000000-0005-0000-0000-0000DF3E0000}"/>
    <cellStyle name="Comma 2 7 12 4 4" xfId="16099" xr:uid="{00000000-0005-0000-0000-0000E03E0000}"/>
    <cellStyle name="Comma 2 7 12 4 5" xfId="16100" xr:uid="{00000000-0005-0000-0000-0000E13E0000}"/>
    <cellStyle name="Comma 2 7 12 5" xfId="16101" xr:uid="{00000000-0005-0000-0000-0000E23E0000}"/>
    <cellStyle name="Comma 2 7 12 5 2" xfId="16102" xr:uid="{00000000-0005-0000-0000-0000E33E0000}"/>
    <cellStyle name="Comma 2 7 12 5 3" xfId="16103" xr:uid="{00000000-0005-0000-0000-0000E43E0000}"/>
    <cellStyle name="Comma 2 7 12 5 4" xfId="16104" xr:uid="{00000000-0005-0000-0000-0000E53E0000}"/>
    <cellStyle name="Comma 2 7 12 6" xfId="16105" xr:uid="{00000000-0005-0000-0000-0000E63E0000}"/>
    <cellStyle name="Comma 2 7 12 6 2" xfId="16106" xr:uid="{00000000-0005-0000-0000-0000E73E0000}"/>
    <cellStyle name="Comma 2 7 12 7" xfId="16107" xr:uid="{00000000-0005-0000-0000-0000E83E0000}"/>
    <cellStyle name="Comma 2 7 12 8" xfId="16108" xr:uid="{00000000-0005-0000-0000-0000E93E0000}"/>
    <cellStyle name="Comma 2 7 12 9" xfId="16109" xr:uid="{00000000-0005-0000-0000-0000EA3E0000}"/>
    <cellStyle name="Comma 2 7 13" xfId="16110" xr:uid="{00000000-0005-0000-0000-0000EB3E0000}"/>
    <cellStyle name="Comma 2 7 13 2" xfId="16111" xr:uid="{00000000-0005-0000-0000-0000EC3E0000}"/>
    <cellStyle name="Comma 2 7 13 2 2" xfId="16112" xr:uid="{00000000-0005-0000-0000-0000ED3E0000}"/>
    <cellStyle name="Comma 2 7 13 2 2 2" xfId="16113" xr:uid="{00000000-0005-0000-0000-0000EE3E0000}"/>
    <cellStyle name="Comma 2 7 13 2 2 3" xfId="16114" xr:uid="{00000000-0005-0000-0000-0000EF3E0000}"/>
    <cellStyle name="Comma 2 7 13 2 3" xfId="16115" xr:uid="{00000000-0005-0000-0000-0000F03E0000}"/>
    <cellStyle name="Comma 2 7 13 2 4" xfId="16116" xr:uid="{00000000-0005-0000-0000-0000F13E0000}"/>
    <cellStyle name="Comma 2 7 13 2 5" xfId="16117" xr:uid="{00000000-0005-0000-0000-0000F23E0000}"/>
    <cellStyle name="Comma 2 7 13 2 6" xfId="16118" xr:uid="{00000000-0005-0000-0000-0000F33E0000}"/>
    <cellStyle name="Comma 2 7 13 3" xfId="16119" xr:uid="{00000000-0005-0000-0000-0000F43E0000}"/>
    <cellStyle name="Comma 2 7 13 3 2" xfId="16120" xr:uid="{00000000-0005-0000-0000-0000F53E0000}"/>
    <cellStyle name="Comma 2 7 13 3 2 2" xfId="16121" xr:uid="{00000000-0005-0000-0000-0000F63E0000}"/>
    <cellStyle name="Comma 2 7 13 3 3" xfId="16122" xr:uid="{00000000-0005-0000-0000-0000F73E0000}"/>
    <cellStyle name="Comma 2 7 13 3 4" xfId="16123" xr:uid="{00000000-0005-0000-0000-0000F83E0000}"/>
    <cellStyle name="Comma 2 7 13 3 5" xfId="16124" xr:uid="{00000000-0005-0000-0000-0000F93E0000}"/>
    <cellStyle name="Comma 2 7 13 4" xfId="16125" xr:uid="{00000000-0005-0000-0000-0000FA3E0000}"/>
    <cellStyle name="Comma 2 7 13 4 2" xfId="16126" xr:uid="{00000000-0005-0000-0000-0000FB3E0000}"/>
    <cellStyle name="Comma 2 7 13 4 3" xfId="16127" xr:uid="{00000000-0005-0000-0000-0000FC3E0000}"/>
    <cellStyle name="Comma 2 7 13 4 4" xfId="16128" xr:uid="{00000000-0005-0000-0000-0000FD3E0000}"/>
    <cellStyle name="Comma 2 7 13 5" xfId="16129" xr:uid="{00000000-0005-0000-0000-0000FE3E0000}"/>
    <cellStyle name="Comma 2 7 13 5 2" xfId="16130" xr:uid="{00000000-0005-0000-0000-0000FF3E0000}"/>
    <cellStyle name="Comma 2 7 13 6" xfId="16131" xr:uid="{00000000-0005-0000-0000-0000003F0000}"/>
    <cellStyle name="Comma 2 7 13 7" xfId="16132" xr:uid="{00000000-0005-0000-0000-0000013F0000}"/>
    <cellStyle name="Comma 2 7 13 8" xfId="16133" xr:uid="{00000000-0005-0000-0000-0000023F0000}"/>
    <cellStyle name="Comma 2 7 13 9" xfId="16134" xr:uid="{00000000-0005-0000-0000-0000033F0000}"/>
    <cellStyle name="Comma 2 7 14" xfId="16135" xr:uid="{00000000-0005-0000-0000-0000043F0000}"/>
    <cellStyle name="Comma 2 7 14 2" xfId="16136" xr:uid="{00000000-0005-0000-0000-0000053F0000}"/>
    <cellStyle name="Comma 2 7 14 2 2" xfId="16137" xr:uid="{00000000-0005-0000-0000-0000063F0000}"/>
    <cellStyle name="Comma 2 7 14 2 2 2" xfId="16138" xr:uid="{00000000-0005-0000-0000-0000073F0000}"/>
    <cellStyle name="Comma 2 7 14 2 2 3" xfId="16139" xr:uid="{00000000-0005-0000-0000-0000083F0000}"/>
    <cellStyle name="Comma 2 7 14 2 3" xfId="16140" xr:uid="{00000000-0005-0000-0000-0000093F0000}"/>
    <cellStyle name="Comma 2 7 14 2 4" xfId="16141" xr:uid="{00000000-0005-0000-0000-00000A3F0000}"/>
    <cellStyle name="Comma 2 7 14 2 5" xfId="16142" xr:uid="{00000000-0005-0000-0000-00000B3F0000}"/>
    <cellStyle name="Comma 2 7 14 2 6" xfId="16143" xr:uid="{00000000-0005-0000-0000-00000C3F0000}"/>
    <cellStyle name="Comma 2 7 14 3" xfId="16144" xr:uid="{00000000-0005-0000-0000-00000D3F0000}"/>
    <cellStyle name="Comma 2 7 14 3 2" xfId="16145" xr:uid="{00000000-0005-0000-0000-00000E3F0000}"/>
    <cellStyle name="Comma 2 7 14 3 2 2" xfId="16146" xr:uid="{00000000-0005-0000-0000-00000F3F0000}"/>
    <cellStyle name="Comma 2 7 14 3 3" xfId="16147" xr:uid="{00000000-0005-0000-0000-0000103F0000}"/>
    <cellStyle name="Comma 2 7 14 3 4" xfId="16148" xr:uid="{00000000-0005-0000-0000-0000113F0000}"/>
    <cellStyle name="Comma 2 7 14 3 5" xfId="16149" xr:uid="{00000000-0005-0000-0000-0000123F0000}"/>
    <cellStyle name="Comma 2 7 14 4" xfId="16150" xr:uid="{00000000-0005-0000-0000-0000133F0000}"/>
    <cellStyle name="Comma 2 7 14 4 2" xfId="16151" xr:uid="{00000000-0005-0000-0000-0000143F0000}"/>
    <cellStyle name="Comma 2 7 14 4 3" xfId="16152" xr:uid="{00000000-0005-0000-0000-0000153F0000}"/>
    <cellStyle name="Comma 2 7 14 4 4" xfId="16153" xr:uid="{00000000-0005-0000-0000-0000163F0000}"/>
    <cellStyle name="Comma 2 7 14 5" xfId="16154" xr:uid="{00000000-0005-0000-0000-0000173F0000}"/>
    <cellStyle name="Comma 2 7 14 5 2" xfId="16155" xr:uid="{00000000-0005-0000-0000-0000183F0000}"/>
    <cellStyle name="Comma 2 7 14 6" xfId="16156" xr:uid="{00000000-0005-0000-0000-0000193F0000}"/>
    <cellStyle name="Comma 2 7 14 7" xfId="16157" xr:uid="{00000000-0005-0000-0000-00001A3F0000}"/>
    <cellStyle name="Comma 2 7 14 8" xfId="16158" xr:uid="{00000000-0005-0000-0000-00001B3F0000}"/>
    <cellStyle name="Comma 2 7 14 9" xfId="16159" xr:uid="{00000000-0005-0000-0000-00001C3F0000}"/>
    <cellStyle name="Comma 2 7 15" xfId="16160" xr:uid="{00000000-0005-0000-0000-00001D3F0000}"/>
    <cellStyle name="Comma 2 7 15 2" xfId="16161" xr:uid="{00000000-0005-0000-0000-00001E3F0000}"/>
    <cellStyle name="Comma 2 7 15 2 2" xfId="16162" xr:uid="{00000000-0005-0000-0000-00001F3F0000}"/>
    <cellStyle name="Comma 2 7 15 2 3" xfId="16163" xr:uid="{00000000-0005-0000-0000-0000203F0000}"/>
    <cellStyle name="Comma 2 7 15 3" xfId="16164" xr:uid="{00000000-0005-0000-0000-0000213F0000}"/>
    <cellStyle name="Comma 2 7 15 4" xfId="16165" xr:uid="{00000000-0005-0000-0000-0000223F0000}"/>
    <cellStyle name="Comma 2 7 15 5" xfId="16166" xr:uid="{00000000-0005-0000-0000-0000233F0000}"/>
    <cellStyle name="Comma 2 7 15 6" xfId="16167" xr:uid="{00000000-0005-0000-0000-0000243F0000}"/>
    <cellStyle name="Comma 2 7 16" xfId="16168" xr:uid="{00000000-0005-0000-0000-0000253F0000}"/>
    <cellStyle name="Comma 2 7 16 2" xfId="16169" xr:uid="{00000000-0005-0000-0000-0000263F0000}"/>
    <cellStyle name="Comma 2 7 16 2 2" xfId="16170" xr:uid="{00000000-0005-0000-0000-0000273F0000}"/>
    <cellStyle name="Comma 2 7 16 3" xfId="16171" xr:uid="{00000000-0005-0000-0000-0000283F0000}"/>
    <cellStyle name="Comma 2 7 16 4" xfId="16172" xr:uid="{00000000-0005-0000-0000-0000293F0000}"/>
    <cellStyle name="Comma 2 7 16 5" xfId="16173" xr:uid="{00000000-0005-0000-0000-00002A3F0000}"/>
    <cellStyle name="Comma 2 7 17" xfId="16174" xr:uid="{00000000-0005-0000-0000-00002B3F0000}"/>
    <cellStyle name="Comma 2 7 17 2" xfId="16175" xr:uid="{00000000-0005-0000-0000-00002C3F0000}"/>
    <cellStyle name="Comma 2 7 17 2 2" xfId="16176" xr:uid="{00000000-0005-0000-0000-00002D3F0000}"/>
    <cellStyle name="Comma 2 7 17 3" xfId="16177" xr:uid="{00000000-0005-0000-0000-00002E3F0000}"/>
    <cellStyle name="Comma 2 7 17 4" xfId="16178" xr:uid="{00000000-0005-0000-0000-00002F3F0000}"/>
    <cellStyle name="Comma 2 7 17 5" xfId="16179" xr:uid="{00000000-0005-0000-0000-0000303F0000}"/>
    <cellStyle name="Comma 2 7 18" xfId="16180" xr:uid="{00000000-0005-0000-0000-0000313F0000}"/>
    <cellStyle name="Comma 2 7 18 2" xfId="16181" xr:uid="{00000000-0005-0000-0000-0000323F0000}"/>
    <cellStyle name="Comma 2 7 19" xfId="16182" xr:uid="{00000000-0005-0000-0000-0000333F0000}"/>
    <cellStyle name="Comma 2 7 2" xfId="16183" xr:uid="{00000000-0005-0000-0000-0000343F0000}"/>
    <cellStyle name="Comma 2 7 2 10" xfId="16184" xr:uid="{00000000-0005-0000-0000-0000353F0000}"/>
    <cellStyle name="Comma 2 7 2 11" xfId="16185" xr:uid="{00000000-0005-0000-0000-0000363F0000}"/>
    <cellStyle name="Comma 2 7 2 2" xfId="16186" xr:uid="{00000000-0005-0000-0000-0000373F0000}"/>
    <cellStyle name="Comma 2 7 2 2 2" xfId="16187" xr:uid="{00000000-0005-0000-0000-0000383F0000}"/>
    <cellStyle name="Comma 2 7 2 2 2 2" xfId="16188" xr:uid="{00000000-0005-0000-0000-0000393F0000}"/>
    <cellStyle name="Comma 2 7 2 2 2 2 2" xfId="16189" xr:uid="{00000000-0005-0000-0000-00003A3F0000}"/>
    <cellStyle name="Comma 2 7 2 2 2 2 3" xfId="16190" xr:uid="{00000000-0005-0000-0000-00003B3F0000}"/>
    <cellStyle name="Comma 2 7 2 2 2 3" xfId="16191" xr:uid="{00000000-0005-0000-0000-00003C3F0000}"/>
    <cellStyle name="Comma 2 7 2 2 2 4" xfId="16192" xr:uid="{00000000-0005-0000-0000-00003D3F0000}"/>
    <cellStyle name="Comma 2 7 2 2 2 5" xfId="16193" xr:uid="{00000000-0005-0000-0000-00003E3F0000}"/>
    <cellStyle name="Comma 2 7 2 2 2 6" xfId="16194" xr:uid="{00000000-0005-0000-0000-00003F3F0000}"/>
    <cellStyle name="Comma 2 7 2 2 3" xfId="16195" xr:uid="{00000000-0005-0000-0000-0000403F0000}"/>
    <cellStyle name="Comma 2 7 2 2 3 2" xfId="16196" xr:uid="{00000000-0005-0000-0000-0000413F0000}"/>
    <cellStyle name="Comma 2 7 2 2 3 2 2" xfId="16197" xr:uid="{00000000-0005-0000-0000-0000423F0000}"/>
    <cellStyle name="Comma 2 7 2 2 3 3" xfId="16198" xr:uid="{00000000-0005-0000-0000-0000433F0000}"/>
    <cellStyle name="Comma 2 7 2 2 3 4" xfId="16199" xr:uid="{00000000-0005-0000-0000-0000443F0000}"/>
    <cellStyle name="Comma 2 7 2 2 3 5" xfId="16200" xr:uid="{00000000-0005-0000-0000-0000453F0000}"/>
    <cellStyle name="Comma 2 7 2 2 4" xfId="16201" xr:uid="{00000000-0005-0000-0000-0000463F0000}"/>
    <cellStyle name="Comma 2 7 2 2 4 2" xfId="16202" xr:uid="{00000000-0005-0000-0000-0000473F0000}"/>
    <cellStyle name="Comma 2 7 2 2 4 3" xfId="16203" xr:uid="{00000000-0005-0000-0000-0000483F0000}"/>
    <cellStyle name="Comma 2 7 2 2 4 4" xfId="16204" xr:uid="{00000000-0005-0000-0000-0000493F0000}"/>
    <cellStyle name="Comma 2 7 2 2 5" xfId="16205" xr:uid="{00000000-0005-0000-0000-00004A3F0000}"/>
    <cellStyle name="Comma 2 7 2 2 5 2" xfId="16206" xr:uid="{00000000-0005-0000-0000-00004B3F0000}"/>
    <cellStyle name="Comma 2 7 2 2 6" xfId="16207" xr:uid="{00000000-0005-0000-0000-00004C3F0000}"/>
    <cellStyle name="Comma 2 7 2 2 7" xfId="16208" xr:uid="{00000000-0005-0000-0000-00004D3F0000}"/>
    <cellStyle name="Comma 2 7 2 2 8" xfId="16209" xr:uid="{00000000-0005-0000-0000-00004E3F0000}"/>
    <cellStyle name="Comma 2 7 2 2 9" xfId="16210" xr:uid="{00000000-0005-0000-0000-00004F3F0000}"/>
    <cellStyle name="Comma 2 7 2 3" xfId="16211" xr:uid="{00000000-0005-0000-0000-0000503F0000}"/>
    <cellStyle name="Comma 2 7 2 3 2" xfId="16212" xr:uid="{00000000-0005-0000-0000-0000513F0000}"/>
    <cellStyle name="Comma 2 7 2 3 2 2" xfId="16213" xr:uid="{00000000-0005-0000-0000-0000523F0000}"/>
    <cellStyle name="Comma 2 7 2 3 2 2 2" xfId="16214" xr:uid="{00000000-0005-0000-0000-0000533F0000}"/>
    <cellStyle name="Comma 2 7 2 3 2 2 3" xfId="16215" xr:uid="{00000000-0005-0000-0000-0000543F0000}"/>
    <cellStyle name="Comma 2 7 2 3 2 3" xfId="16216" xr:uid="{00000000-0005-0000-0000-0000553F0000}"/>
    <cellStyle name="Comma 2 7 2 3 2 4" xfId="16217" xr:uid="{00000000-0005-0000-0000-0000563F0000}"/>
    <cellStyle name="Comma 2 7 2 3 2 5" xfId="16218" xr:uid="{00000000-0005-0000-0000-0000573F0000}"/>
    <cellStyle name="Comma 2 7 2 3 2 6" xfId="16219" xr:uid="{00000000-0005-0000-0000-0000583F0000}"/>
    <cellStyle name="Comma 2 7 2 3 3" xfId="16220" xr:uid="{00000000-0005-0000-0000-0000593F0000}"/>
    <cellStyle name="Comma 2 7 2 3 3 2" xfId="16221" xr:uid="{00000000-0005-0000-0000-00005A3F0000}"/>
    <cellStyle name="Comma 2 7 2 3 3 2 2" xfId="16222" xr:uid="{00000000-0005-0000-0000-00005B3F0000}"/>
    <cellStyle name="Comma 2 7 2 3 3 3" xfId="16223" xr:uid="{00000000-0005-0000-0000-00005C3F0000}"/>
    <cellStyle name="Comma 2 7 2 3 3 4" xfId="16224" xr:uid="{00000000-0005-0000-0000-00005D3F0000}"/>
    <cellStyle name="Comma 2 7 2 3 3 5" xfId="16225" xr:uid="{00000000-0005-0000-0000-00005E3F0000}"/>
    <cellStyle name="Comma 2 7 2 3 4" xfId="16226" xr:uid="{00000000-0005-0000-0000-00005F3F0000}"/>
    <cellStyle name="Comma 2 7 2 3 4 2" xfId="16227" xr:uid="{00000000-0005-0000-0000-0000603F0000}"/>
    <cellStyle name="Comma 2 7 2 3 4 3" xfId="16228" xr:uid="{00000000-0005-0000-0000-0000613F0000}"/>
    <cellStyle name="Comma 2 7 2 3 4 4" xfId="16229" xr:uid="{00000000-0005-0000-0000-0000623F0000}"/>
    <cellStyle name="Comma 2 7 2 3 5" xfId="16230" xr:uid="{00000000-0005-0000-0000-0000633F0000}"/>
    <cellStyle name="Comma 2 7 2 3 5 2" xfId="16231" xr:uid="{00000000-0005-0000-0000-0000643F0000}"/>
    <cellStyle name="Comma 2 7 2 3 6" xfId="16232" xr:uid="{00000000-0005-0000-0000-0000653F0000}"/>
    <cellStyle name="Comma 2 7 2 3 7" xfId="16233" xr:uid="{00000000-0005-0000-0000-0000663F0000}"/>
    <cellStyle name="Comma 2 7 2 3 8" xfId="16234" xr:uid="{00000000-0005-0000-0000-0000673F0000}"/>
    <cellStyle name="Comma 2 7 2 3 9" xfId="16235" xr:uid="{00000000-0005-0000-0000-0000683F0000}"/>
    <cellStyle name="Comma 2 7 2 4" xfId="16236" xr:uid="{00000000-0005-0000-0000-0000693F0000}"/>
    <cellStyle name="Comma 2 7 2 4 2" xfId="16237" xr:uid="{00000000-0005-0000-0000-00006A3F0000}"/>
    <cellStyle name="Comma 2 7 2 4 2 2" xfId="16238" xr:uid="{00000000-0005-0000-0000-00006B3F0000}"/>
    <cellStyle name="Comma 2 7 2 4 2 3" xfId="16239" xr:uid="{00000000-0005-0000-0000-00006C3F0000}"/>
    <cellStyle name="Comma 2 7 2 4 3" xfId="16240" xr:uid="{00000000-0005-0000-0000-00006D3F0000}"/>
    <cellStyle name="Comma 2 7 2 4 4" xfId="16241" xr:uid="{00000000-0005-0000-0000-00006E3F0000}"/>
    <cellStyle name="Comma 2 7 2 4 5" xfId="16242" xr:uid="{00000000-0005-0000-0000-00006F3F0000}"/>
    <cellStyle name="Comma 2 7 2 4 6" xfId="16243" xr:uid="{00000000-0005-0000-0000-0000703F0000}"/>
    <cellStyle name="Comma 2 7 2 5" xfId="16244" xr:uid="{00000000-0005-0000-0000-0000713F0000}"/>
    <cellStyle name="Comma 2 7 2 5 2" xfId="16245" xr:uid="{00000000-0005-0000-0000-0000723F0000}"/>
    <cellStyle name="Comma 2 7 2 5 2 2" xfId="16246" xr:uid="{00000000-0005-0000-0000-0000733F0000}"/>
    <cellStyle name="Comma 2 7 2 5 3" xfId="16247" xr:uid="{00000000-0005-0000-0000-0000743F0000}"/>
    <cellStyle name="Comma 2 7 2 5 4" xfId="16248" xr:uid="{00000000-0005-0000-0000-0000753F0000}"/>
    <cellStyle name="Comma 2 7 2 5 5" xfId="16249" xr:uid="{00000000-0005-0000-0000-0000763F0000}"/>
    <cellStyle name="Comma 2 7 2 6" xfId="16250" xr:uid="{00000000-0005-0000-0000-0000773F0000}"/>
    <cellStyle name="Comma 2 7 2 6 2" xfId="16251" xr:uid="{00000000-0005-0000-0000-0000783F0000}"/>
    <cellStyle name="Comma 2 7 2 6 3" xfId="16252" xr:uid="{00000000-0005-0000-0000-0000793F0000}"/>
    <cellStyle name="Comma 2 7 2 6 4" xfId="16253" xr:uid="{00000000-0005-0000-0000-00007A3F0000}"/>
    <cellStyle name="Comma 2 7 2 7" xfId="16254" xr:uid="{00000000-0005-0000-0000-00007B3F0000}"/>
    <cellStyle name="Comma 2 7 2 7 2" xfId="16255" xr:uid="{00000000-0005-0000-0000-00007C3F0000}"/>
    <cellStyle name="Comma 2 7 2 8" xfId="16256" xr:uid="{00000000-0005-0000-0000-00007D3F0000}"/>
    <cellStyle name="Comma 2 7 2 9" xfId="16257" xr:uid="{00000000-0005-0000-0000-00007E3F0000}"/>
    <cellStyle name="Comma 2 7 20" xfId="16258" xr:uid="{00000000-0005-0000-0000-00007F3F0000}"/>
    <cellStyle name="Comma 2 7 21" xfId="16259" xr:uid="{00000000-0005-0000-0000-0000803F0000}"/>
    <cellStyle name="Comma 2 7 22" xfId="16260" xr:uid="{00000000-0005-0000-0000-0000813F0000}"/>
    <cellStyle name="Comma 2 7 3" xfId="16261" xr:uid="{00000000-0005-0000-0000-0000823F0000}"/>
    <cellStyle name="Comma 2 7 3 10" xfId="16262" xr:uid="{00000000-0005-0000-0000-0000833F0000}"/>
    <cellStyle name="Comma 2 7 3 11" xfId="16263" xr:uid="{00000000-0005-0000-0000-0000843F0000}"/>
    <cellStyle name="Comma 2 7 3 2" xfId="16264" xr:uid="{00000000-0005-0000-0000-0000853F0000}"/>
    <cellStyle name="Comma 2 7 3 2 2" xfId="16265" xr:uid="{00000000-0005-0000-0000-0000863F0000}"/>
    <cellStyle name="Comma 2 7 3 2 2 2" xfId="16266" xr:uid="{00000000-0005-0000-0000-0000873F0000}"/>
    <cellStyle name="Comma 2 7 3 2 2 2 2" xfId="16267" xr:uid="{00000000-0005-0000-0000-0000883F0000}"/>
    <cellStyle name="Comma 2 7 3 2 2 2 3" xfId="16268" xr:uid="{00000000-0005-0000-0000-0000893F0000}"/>
    <cellStyle name="Comma 2 7 3 2 2 3" xfId="16269" xr:uid="{00000000-0005-0000-0000-00008A3F0000}"/>
    <cellStyle name="Comma 2 7 3 2 2 4" xfId="16270" xr:uid="{00000000-0005-0000-0000-00008B3F0000}"/>
    <cellStyle name="Comma 2 7 3 2 2 5" xfId="16271" xr:uid="{00000000-0005-0000-0000-00008C3F0000}"/>
    <cellStyle name="Comma 2 7 3 2 2 6" xfId="16272" xr:uid="{00000000-0005-0000-0000-00008D3F0000}"/>
    <cellStyle name="Comma 2 7 3 2 3" xfId="16273" xr:uid="{00000000-0005-0000-0000-00008E3F0000}"/>
    <cellStyle name="Comma 2 7 3 2 3 2" xfId="16274" xr:uid="{00000000-0005-0000-0000-00008F3F0000}"/>
    <cellStyle name="Comma 2 7 3 2 3 2 2" xfId="16275" xr:uid="{00000000-0005-0000-0000-0000903F0000}"/>
    <cellStyle name="Comma 2 7 3 2 3 3" xfId="16276" xr:uid="{00000000-0005-0000-0000-0000913F0000}"/>
    <cellStyle name="Comma 2 7 3 2 3 4" xfId="16277" xr:uid="{00000000-0005-0000-0000-0000923F0000}"/>
    <cellStyle name="Comma 2 7 3 2 3 5" xfId="16278" xr:uid="{00000000-0005-0000-0000-0000933F0000}"/>
    <cellStyle name="Comma 2 7 3 2 4" xfId="16279" xr:uid="{00000000-0005-0000-0000-0000943F0000}"/>
    <cellStyle name="Comma 2 7 3 2 4 2" xfId="16280" xr:uid="{00000000-0005-0000-0000-0000953F0000}"/>
    <cellStyle name="Comma 2 7 3 2 4 3" xfId="16281" xr:uid="{00000000-0005-0000-0000-0000963F0000}"/>
    <cellStyle name="Comma 2 7 3 2 4 4" xfId="16282" xr:uid="{00000000-0005-0000-0000-0000973F0000}"/>
    <cellStyle name="Comma 2 7 3 2 5" xfId="16283" xr:uid="{00000000-0005-0000-0000-0000983F0000}"/>
    <cellStyle name="Comma 2 7 3 2 5 2" xfId="16284" xr:uid="{00000000-0005-0000-0000-0000993F0000}"/>
    <cellStyle name="Comma 2 7 3 2 6" xfId="16285" xr:uid="{00000000-0005-0000-0000-00009A3F0000}"/>
    <cellStyle name="Comma 2 7 3 2 7" xfId="16286" xr:uid="{00000000-0005-0000-0000-00009B3F0000}"/>
    <cellStyle name="Comma 2 7 3 2 8" xfId="16287" xr:uid="{00000000-0005-0000-0000-00009C3F0000}"/>
    <cellStyle name="Comma 2 7 3 2 9" xfId="16288" xr:uid="{00000000-0005-0000-0000-00009D3F0000}"/>
    <cellStyle name="Comma 2 7 3 3" xfId="16289" xr:uid="{00000000-0005-0000-0000-00009E3F0000}"/>
    <cellStyle name="Comma 2 7 3 3 2" xfId="16290" xr:uid="{00000000-0005-0000-0000-00009F3F0000}"/>
    <cellStyle name="Comma 2 7 3 3 2 2" xfId="16291" xr:uid="{00000000-0005-0000-0000-0000A03F0000}"/>
    <cellStyle name="Comma 2 7 3 3 2 2 2" xfId="16292" xr:uid="{00000000-0005-0000-0000-0000A13F0000}"/>
    <cellStyle name="Comma 2 7 3 3 2 2 3" xfId="16293" xr:uid="{00000000-0005-0000-0000-0000A23F0000}"/>
    <cellStyle name="Comma 2 7 3 3 2 3" xfId="16294" xr:uid="{00000000-0005-0000-0000-0000A33F0000}"/>
    <cellStyle name="Comma 2 7 3 3 2 4" xfId="16295" xr:uid="{00000000-0005-0000-0000-0000A43F0000}"/>
    <cellStyle name="Comma 2 7 3 3 2 5" xfId="16296" xr:uid="{00000000-0005-0000-0000-0000A53F0000}"/>
    <cellStyle name="Comma 2 7 3 3 2 6" xfId="16297" xr:uid="{00000000-0005-0000-0000-0000A63F0000}"/>
    <cellStyle name="Comma 2 7 3 3 3" xfId="16298" xr:uid="{00000000-0005-0000-0000-0000A73F0000}"/>
    <cellStyle name="Comma 2 7 3 3 3 2" xfId="16299" xr:uid="{00000000-0005-0000-0000-0000A83F0000}"/>
    <cellStyle name="Comma 2 7 3 3 3 2 2" xfId="16300" xr:uid="{00000000-0005-0000-0000-0000A93F0000}"/>
    <cellStyle name="Comma 2 7 3 3 3 3" xfId="16301" xr:uid="{00000000-0005-0000-0000-0000AA3F0000}"/>
    <cellStyle name="Comma 2 7 3 3 3 4" xfId="16302" xr:uid="{00000000-0005-0000-0000-0000AB3F0000}"/>
    <cellStyle name="Comma 2 7 3 3 3 5" xfId="16303" xr:uid="{00000000-0005-0000-0000-0000AC3F0000}"/>
    <cellStyle name="Comma 2 7 3 3 4" xfId="16304" xr:uid="{00000000-0005-0000-0000-0000AD3F0000}"/>
    <cellStyle name="Comma 2 7 3 3 4 2" xfId="16305" xr:uid="{00000000-0005-0000-0000-0000AE3F0000}"/>
    <cellStyle name="Comma 2 7 3 3 4 3" xfId="16306" xr:uid="{00000000-0005-0000-0000-0000AF3F0000}"/>
    <cellStyle name="Comma 2 7 3 3 4 4" xfId="16307" xr:uid="{00000000-0005-0000-0000-0000B03F0000}"/>
    <cellStyle name="Comma 2 7 3 3 5" xfId="16308" xr:uid="{00000000-0005-0000-0000-0000B13F0000}"/>
    <cellStyle name="Comma 2 7 3 3 5 2" xfId="16309" xr:uid="{00000000-0005-0000-0000-0000B23F0000}"/>
    <cellStyle name="Comma 2 7 3 3 6" xfId="16310" xr:uid="{00000000-0005-0000-0000-0000B33F0000}"/>
    <cellStyle name="Comma 2 7 3 3 7" xfId="16311" xr:uid="{00000000-0005-0000-0000-0000B43F0000}"/>
    <cellStyle name="Comma 2 7 3 3 8" xfId="16312" xr:uid="{00000000-0005-0000-0000-0000B53F0000}"/>
    <cellStyle name="Comma 2 7 3 3 9" xfId="16313" xr:uid="{00000000-0005-0000-0000-0000B63F0000}"/>
    <cellStyle name="Comma 2 7 3 4" xfId="16314" xr:uid="{00000000-0005-0000-0000-0000B73F0000}"/>
    <cellStyle name="Comma 2 7 3 4 2" xfId="16315" xr:uid="{00000000-0005-0000-0000-0000B83F0000}"/>
    <cellStyle name="Comma 2 7 3 4 2 2" xfId="16316" xr:uid="{00000000-0005-0000-0000-0000B93F0000}"/>
    <cellStyle name="Comma 2 7 3 4 2 3" xfId="16317" xr:uid="{00000000-0005-0000-0000-0000BA3F0000}"/>
    <cellStyle name="Comma 2 7 3 4 3" xfId="16318" xr:uid="{00000000-0005-0000-0000-0000BB3F0000}"/>
    <cellStyle name="Comma 2 7 3 4 4" xfId="16319" xr:uid="{00000000-0005-0000-0000-0000BC3F0000}"/>
    <cellStyle name="Comma 2 7 3 4 5" xfId="16320" xr:uid="{00000000-0005-0000-0000-0000BD3F0000}"/>
    <cellStyle name="Comma 2 7 3 4 6" xfId="16321" xr:uid="{00000000-0005-0000-0000-0000BE3F0000}"/>
    <cellStyle name="Comma 2 7 3 5" xfId="16322" xr:uid="{00000000-0005-0000-0000-0000BF3F0000}"/>
    <cellStyle name="Comma 2 7 3 5 2" xfId="16323" xr:uid="{00000000-0005-0000-0000-0000C03F0000}"/>
    <cellStyle name="Comma 2 7 3 5 2 2" xfId="16324" xr:uid="{00000000-0005-0000-0000-0000C13F0000}"/>
    <cellStyle name="Comma 2 7 3 5 3" xfId="16325" xr:uid="{00000000-0005-0000-0000-0000C23F0000}"/>
    <cellStyle name="Comma 2 7 3 5 4" xfId="16326" xr:uid="{00000000-0005-0000-0000-0000C33F0000}"/>
    <cellStyle name="Comma 2 7 3 5 5" xfId="16327" xr:uid="{00000000-0005-0000-0000-0000C43F0000}"/>
    <cellStyle name="Comma 2 7 3 6" xfId="16328" xr:uid="{00000000-0005-0000-0000-0000C53F0000}"/>
    <cellStyle name="Comma 2 7 3 6 2" xfId="16329" xr:uid="{00000000-0005-0000-0000-0000C63F0000}"/>
    <cellStyle name="Comma 2 7 3 6 3" xfId="16330" xr:uid="{00000000-0005-0000-0000-0000C73F0000}"/>
    <cellStyle name="Comma 2 7 3 6 4" xfId="16331" xr:uid="{00000000-0005-0000-0000-0000C83F0000}"/>
    <cellStyle name="Comma 2 7 3 7" xfId="16332" xr:uid="{00000000-0005-0000-0000-0000C93F0000}"/>
    <cellStyle name="Comma 2 7 3 7 2" xfId="16333" xr:uid="{00000000-0005-0000-0000-0000CA3F0000}"/>
    <cellStyle name="Comma 2 7 3 8" xfId="16334" xr:uid="{00000000-0005-0000-0000-0000CB3F0000}"/>
    <cellStyle name="Comma 2 7 3 9" xfId="16335" xr:uid="{00000000-0005-0000-0000-0000CC3F0000}"/>
    <cellStyle name="Comma 2 7 4" xfId="16336" xr:uid="{00000000-0005-0000-0000-0000CD3F0000}"/>
    <cellStyle name="Comma 2 7 4 10" xfId="16337" xr:uid="{00000000-0005-0000-0000-0000CE3F0000}"/>
    <cellStyle name="Comma 2 7 4 11" xfId="16338" xr:uid="{00000000-0005-0000-0000-0000CF3F0000}"/>
    <cellStyle name="Comma 2 7 4 2" xfId="16339" xr:uid="{00000000-0005-0000-0000-0000D03F0000}"/>
    <cellStyle name="Comma 2 7 4 2 2" xfId="16340" xr:uid="{00000000-0005-0000-0000-0000D13F0000}"/>
    <cellStyle name="Comma 2 7 4 2 2 2" xfId="16341" xr:uid="{00000000-0005-0000-0000-0000D23F0000}"/>
    <cellStyle name="Comma 2 7 4 2 2 2 2" xfId="16342" xr:uid="{00000000-0005-0000-0000-0000D33F0000}"/>
    <cellStyle name="Comma 2 7 4 2 2 2 3" xfId="16343" xr:uid="{00000000-0005-0000-0000-0000D43F0000}"/>
    <cellStyle name="Comma 2 7 4 2 2 3" xfId="16344" xr:uid="{00000000-0005-0000-0000-0000D53F0000}"/>
    <cellStyle name="Comma 2 7 4 2 2 4" xfId="16345" xr:uid="{00000000-0005-0000-0000-0000D63F0000}"/>
    <cellStyle name="Comma 2 7 4 2 2 5" xfId="16346" xr:uid="{00000000-0005-0000-0000-0000D73F0000}"/>
    <cellStyle name="Comma 2 7 4 2 2 6" xfId="16347" xr:uid="{00000000-0005-0000-0000-0000D83F0000}"/>
    <cellStyle name="Comma 2 7 4 2 3" xfId="16348" xr:uid="{00000000-0005-0000-0000-0000D93F0000}"/>
    <cellStyle name="Comma 2 7 4 2 3 2" xfId="16349" xr:uid="{00000000-0005-0000-0000-0000DA3F0000}"/>
    <cellStyle name="Comma 2 7 4 2 3 2 2" xfId="16350" xr:uid="{00000000-0005-0000-0000-0000DB3F0000}"/>
    <cellStyle name="Comma 2 7 4 2 3 3" xfId="16351" xr:uid="{00000000-0005-0000-0000-0000DC3F0000}"/>
    <cellStyle name="Comma 2 7 4 2 3 4" xfId="16352" xr:uid="{00000000-0005-0000-0000-0000DD3F0000}"/>
    <cellStyle name="Comma 2 7 4 2 3 5" xfId="16353" xr:uid="{00000000-0005-0000-0000-0000DE3F0000}"/>
    <cellStyle name="Comma 2 7 4 2 4" xfId="16354" xr:uid="{00000000-0005-0000-0000-0000DF3F0000}"/>
    <cellStyle name="Comma 2 7 4 2 4 2" xfId="16355" xr:uid="{00000000-0005-0000-0000-0000E03F0000}"/>
    <cellStyle name="Comma 2 7 4 2 4 3" xfId="16356" xr:uid="{00000000-0005-0000-0000-0000E13F0000}"/>
    <cellStyle name="Comma 2 7 4 2 4 4" xfId="16357" xr:uid="{00000000-0005-0000-0000-0000E23F0000}"/>
    <cellStyle name="Comma 2 7 4 2 5" xfId="16358" xr:uid="{00000000-0005-0000-0000-0000E33F0000}"/>
    <cellStyle name="Comma 2 7 4 2 5 2" xfId="16359" xr:uid="{00000000-0005-0000-0000-0000E43F0000}"/>
    <cellStyle name="Comma 2 7 4 2 6" xfId="16360" xr:uid="{00000000-0005-0000-0000-0000E53F0000}"/>
    <cellStyle name="Comma 2 7 4 2 7" xfId="16361" xr:uid="{00000000-0005-0000-0000-0000E63F0000}"/>
    <cellStyle name="Comma 2 7 4 2 8" xfId="16362" xr:uid="{00000000-0005-0000-0000-0000E73F0000}"/>
    <cellStyle name="Comma 2 7 4 2 9" xfId="16363" xr:uid="{00000000-0005-0000-0000-0000E83F0000}"/>
    <cellStyle name="Comma 2 7 4 3" xfId="16364" xr:uid="{00000000-0005-0000-0000-0000E93F0000}"/>
    <cellStyle name="Comma 2 7 4 3 2" xfId="16365" xr:uid="{00000000-0005-0000-0000-0000EA3F0000}"/>
    <cellStyle name="Comma 2 7 4 3 2 2" xfId="16366" xr:uid="{00000000-0005-0000-0000-0000EB3F0000}"/>
    <cellStyle name="Comma 2 7 4 3 2 2 2" xfId="16367" xr:uid="{00000000-0005-0000-0000-0000EC3F0000}"/>
    <cellStyle name="Comma 2 7 4 3 2 2 3" xfId="16368" xr:uid="{00000000-0005-0000-0000-0000ED3F0000}"/>
    <cellStyle name="Comma 2 7 4 3 2 3" xfId="16369" xr:uid="{00000000-0005-0000-0000-0000EE3F0000}"/>
    <cellStyle name="Comma 2 7 4 3 2 4" xfId="16370" xr:uid="{00000000-0005-0000-0000-0000EF3F0000}"/>
    <cellStyle name="Comma 2 7 4 3 2 5" xfId="16371" xr:uid="{00000000-0005-0000-0000-0000F03F0000}"/>
    <cellStyle name="Comma 2 7 4 3 2 6" xfId="16372" xr:uid="{00000000-0005-0000-0000-0000F13F0000}"/>
    <cellStyle name="Comma 2 7 4 3 3" xfId="16373" xr:uid="{00000000-0005-0000-0000-0000F23F0000}"/>
    <cellStyle name="Comma 2 7 4 3 3 2" xfId="16374" xr:uid="{00000000-0005-0000-0000-0000F33F0000}"/>
    <cellStyle name="Comma 2 7 4 3 3 2 2" xfId="16375" xr:uid="{00000000-0005-0000-0000-0000F43F0000}"/>
    <cellStyle name="Comma 2 7 4 3 3 3" xfId="16376" xr:uid="{00000000-0005-0000-0000-0000F53F0000}"/>
    <cellStyle name="Comma 2 7 4 3 3 4" xfId="16377" xr:uid="{00000000-0005-0000-0000-0000F63F0000}"/>
    <cellStyle name="Comma 2 7 4 3 3 5" xfId="16378" xr:uid="{00000000-0005-0000-0000-0000F73F0000}"/>
    <cellStyle name="Comma 2 7 4 3 4" xfId="16379" xr:uid="{00000000-0005-0000-0000-0000F83F0000}"/>
    <cellStyle name="Comma 2 7 4 3 4 2" xfId="16380" xr:uid="{00000000-0005-0000-0000-0000F93F0000}"/>
    <cellStyle name="Comma 2 7 4 3 4 3" xfId="16381" xr:uid="{00000000-0005-0000-0000-0000FA3F0000}"/>
    <cellStyle name="Comma 2 7 4 3 4 4" xfId="16382" xr:uid="{00000000-0005-0000-0000-0000FB3F0000}"/>
    <cellStyle name="Comma 2 7 4 3 5" xfId="16383" xr:uid="{00000000-0005-0000-0000-0000FC3F0000}"/>
    <cellStyle name="Comma 2 7 4 3 5 2" xfId="16384" xr:uid="{00000000-0005-0000-0000-0000FD3F0000}"/>
    <cellStyle name="Comma 2 7 4 3 6" xfId="16385" xr:uid="{00000000-0005-0000-0000-0000FE3F0000}"/>
    <cellStyle name="Comma 2 7 4 3 7" xfId="16386" xr:uid="{00000000-0005-0000-0000-0000FF3F0000}"/>
    <cellStyle name="Comma 2 7 4 3 8" xfId="16387" xr:uid="{00000000-0005-0000-0000-000000400000}"/>
    <cellStyle name="Comma 2 7 4 3 9" xfId="16388" xr:uid="{00000000-0005-0000-0000-000001400000}"/>
    <cellStyle name="Comma 2 7 4 4" xfId="16389" xr:uid="{00000000-0005-0000-0000-000002400000}"/>
    <cellStyle name="Comma 2 7 4 4 2" xfId="16390" xr:uid="{00000000-0005-0000-0000-000003400000}"/>
    <cellStyle name="Comma 2 7 4 4 2 2" xfId="16391" xr:uid="{00000000-0005-0000-0000-000004400000}"/>
    <cellStyle name="Comma 2 7 4 4 2 3" xfId="16392" xr:uid="{00000000-0005-0000-0000-000005400000}"/>
    <cellStyle name="Comma 2 7 4 4 3" xfId="16393" xr:uid="{00000000-0005-0000-0000-000006400000}"/>
    <cellStyle name="Comma 2 7 4 4 4" xfId="16394" xr:uid="{00000000-0005-0000-0000-000007400000}"/>
    <cellStyle name="Comma 2 7 4 4 5" xfId="16395" xr:uid="{00000000-0005-0000-0000-000008400000}"/>
    <cellStyle name="Comma 2 7 4 4 6" xfId="16396" xr:uid="{00000000-0005-0000-0000-000009400000}"/>
    <cellStyle name="Comma 2 7 4 5" xfId="16397" xr:uid="{00000000-0005-0000-0000-00000A400000}"/>
    <cellStyle name="Comma 2 7 4 5 2" xfId="16398" xr:uid="{00000000-0005-0000-0000-00000B400000}"/>
    <cellStyle name="Comma 2 7 4 5 2 2" xfId="16399" xr:uid="{00000000-0005-0000-0000-00000C400000}"/>
    <cellStyle name="Comma 2 7 4 5 3" xfId="16400" xr:uid="{00000000-0005-0000-0000-00000D400000}"/>
    <cellStyle name="Comma 2 7 4 5 4" xfId="16401" xr:uid="{00000000-0005-0000-0000-00000E400000}"/>
    <cellStyle name="Comma 2 7 4 5 5" xfId="16402" xr:uid="{00000000-0005-0000-0000-00000F400000}"/>
    <cellStyle name="Comma 2 7 4 6" xfId="16403" xr:uid="{00000000-0005-0000-0000-000010400000}"/>
    <cellStyle name="Comma 2 7 4 6 2" xfId="16404" xr:uid="{00000000-0005-0000-0000-000011400000}"/>
    <cellStyle name="Comma 2 7 4 6 3" xfId="16405" xr:uid="{00000000-0005-0000-0000-000012400000}"/>
    <cellStyle name="Comma 2 7 4 6 4" xfId="16406" xr:uid="{00000000-0005-0000-0000-000013400000}"/>
    <cellStyle name="Comma 2 7 4 7" xfId="16407" xr:uid="{00000000-0005-0000-0000-000014400000}"/>
    <cellStyle name="Comma 2 7 4 7 2" xfId="16408" xr:uid="{00000000-0005-0000-0000-000015400000}"/>
    <cellStyle name="Comma 2 7 4 8" xfId="16409" xr:uid="{00000000-0005-0000-0000-000016400000}"/>
    <cellStyle name="Comma 2 7 4 9" xfId="16410" xr:uid="{00000000-0005-0000-0000-000017400000}"/>
    <cellStyle name="Comma 2 7 5" xfId="16411" xr:uid="{00000000-0005-0000-0000-000018400000}"/>
    <cellStyle name="Comma 2 7 5 10" xfId="16412" xr:uid="{00000000-0005-0000-0000-000019400000}"/>
    <cellStyle name="Comma 2 7 5 11" xfId="16413" xr:uid="{00000000-0005-0000-0000-00001A400000}"/>
    <cellStyle name="Comma 2 7 5 2" xfId="16414" xr:uid="{00000000-0005-0000-0000-00001B400000}"/>
    <cellStyle name="Comma 2 7 5 2 2" xfId="16415" xr:uid="{00000000-0005-0000-0000-00001C400000}"/>
    <cellStyle name="Comma 2 7 5 2 2 2" xfId="16416" xr:uid="{00000000-0005-0000-0000-00001D400000}"/>
    <cellStyle name="Comma 2 7 5 2 2 2 2" xfId="16417" xr:uid="{00000000-0005-0000-0000-00001E400000}"/>
    <cellStyle name="Comma 2 7 5 2 2 2 3" xfId="16418" xr:uid="{00000000-0005-0000-0000-00001F400000}"/>
    <cellStyle name="Comma 2 7 5 2 2 3" xfId="16419" xr:uid="{00000000-0005-0000-0000-000020400000}"/>
    <cellStyle name="Comma 2 7 5 2 2 4" xfId="16420" xr:uid="{00000000-0005-0000-0000-000021400000}"/>
    <cellStyle name="Comma 2 7 5 2 2 5" xfId="16421" xr:uid="{00000000-0005-0000-0000-000022400000}"/>
    <cellStyle name="Comma 2 7 5 2 2 6" xfId="16422" xr:uid="{00000000-0005-0000-0000-000023400000}"/>
    <cellStyle name="Comma 2 7 5 2 3" xfId="16423" xr:uid="{00000000-0005-0000-0000-000024400000}"/>
    <cellStyle name="Comma 2 7 5 2 3 2" xfId="16424" xr:uid="{00000000-0005-0000-0000-000025400000}"/>
    <cellStyle name="Comma 2 7 5 2 3 2 2" xfId="16425" xr:uid="{00000000-0005-0000-0000-000026400000}"/>
    <cellStyle name="Comma 2 7 5 2 3 3" xfId="16426" xr:uid="{00000000-0005-0000-0000-000027400000}"/>
    <cellStyle name="Comma 2 7 5 2 3 4" xfId="16427" xr:uid="{00000000-0005-0000-0000-000028400000}"/>
    <cellStyle name="Comma 2 7 5 2 3 5" xfId="16428" xr:uid="{00000000-0005-0000-0000-000029400000}"/>
    <cellStyle name="Comma 2 7 5 2 4" xfId="16429" xr:uid="{00000000-0005-0000-0000-00002A400000}"/>
    <cellStyle name="Comma 2 7 5 2 4 2" xfId="16430" xr:uid="{00000000-0005-0000-0000-00002B400000}"/>
    <cellStyle name="Comma 2 7 5 2 4 3" xfId="16431" xr:uid="{00000000-0005-0000-0000-00002C400000}"/>
    <cellStyle name="Comma 2 7 5 2 4 4" xfId="16432" xr:uid="{00000000-0005-0000-0000-00002D400000}"/>
    <cellStyle name="Comma 2 7 5 2 5" xfId="16433" xr:uid="{00000000-0005-0000-0000-00002E400000}"/>
    <cellStyle name="Comma 2 7 5 2 5 2" xfId="16434" xr:uid="{00000000-0005-0000-0000-00002F400000}"/>
    <cellStyle name="Comma 2 7 5 2 6" xfId="16435" xr:uid="{00000000-0005-0000-0000-000030400000}"/>
    <cellStyle name="Comma 2 7 5 2 7" xfId="16436" xr:uid="{00000000-0005-0000-0000-000031400000}"/>
    <cellStyle name="Comma 2 7 5 2 8" xfId="16437" xr:uid="{00000000-0005-0000-0000-000032400000}"/>
    <cellStyle name="Comma 2 7 5 2 9" xfId="16438" xr:uid="{00000000-0005-0000-0000-000033400000}"/>
    <cellStyle name="Comma 2 7 5 3" xfId="16439" xr:uid="{00000000-0005-0000-0000-000034400000}"/>
    <cellStyle name="Comma 2 7 5 3 2" xfId="16440" xr:uid="{00000000-0005-0000-0000-000035400000}"/>
    <cellStyle name="Comma 2 7 5 3 2 2" xfId="16441" xr:uid="{00000000-0005-0000-0000-000036400000}"/>
    <cellStyle name="Comma 2 7 5 3 2 2 2" xfId="16442" xr:uid="{00000000-0005-0000-0000-000037400000}"/>
    <cellStyle name="Comma 2 7 5 3 2 2 3" xfId="16443" xr:uid="{00000000-0005-0000-0000-000038400000}"/>
    <cellStyle name="Comma 2 7 5 3 2 3" xfId="16444" xr:uid="{00000000-0005-0000-0000-000039400000}"/>
    <cellStyle name="Comma 2 7 5 3 2 4" xfId="16445" xr:uid="{00000000-0005-0000-0000-00003A400000}"/>
    <cellStyle name="Comma 2 7 5 3 2 5" xfId="16446" xr:uid="{00000000-0005-0000-0000-00003B400000}"/>
    <cellStyle name="Comma 2 7 5 3 2 6" xfId="16447" xr:uid="{00000000-0005-0000-0000-00003C400000}"/>
    <cellStyle name="Comma 2 7 5 3 3" xfId="16448" xr:uid="{00000000-0005-0000-0000-00003D400000}"/>
    <cellStyle name="Comma 2 7 5 3 3 2" xfId="16449" xr:uid="{00000000-0005-0000-0000-00003E400000}"/>
    <cellStyle name="Comma 2 7 5 3 3 2 2" xfId="16450" xr:uid="{00000000-0005-0000-0000-00003F400000}"/>
    <cellStyle name="Comma 2 7 5 3 3 3" xfId="16451" xr:uid="{00000000-0005-0000-0000-000040400000}"/>
    <cellStyle name="Comma 2 7 5 3 3 4" xfId="16452" xr:uid="{00000000-0005-0000-0000-000041400000}"/>
    <cellStyle name="Comma 2 7 5 3 3 5" xfId="16453" xr:uid="{00000000-0005-0000-0000-000042400000}"/>
    <cellStyle name="Comma 2 7 5 3 4" xfId="16454" xr:uid="{00000000-0005-0000-0000-000043400000}"/>
    <cellStyle name="Comma 2 7 5 3 4 2" xfId="16455" xr:uid="{00000000-0005-0000-0000-000044400000}"/>
    <cellStyle name="Comma 2 7 5 3 4 3" xfId="16456" xr:uid="{00000000-0005-0000-0000-000045400000}"/>
    <cellStyle name="Comma 2 7 5 3 4 4" xfId="16457" xr:uid="{00000000-0005-0000-0000-000046400000}"/>
    <cellStyle name="Comma 2 7 5 3 5" xfId="16458" xr:uid="{00000000-0005-0000-0000-000047400000}"/>
    <cellStyle name="Comma 2 7 5 3 5 2" xfId="16459" xr:uid="{00000000-0005-0000-0000-000048400000}"/>
    <cellStyle name="Comma 2 7 5 3 6" xfId="16460" xr:uid="{00000000-0005-0000-0000-000049400000}"/>
    <cellStyle name="Comma 2 7 5 3 7" xfId="16461" xr:uid="{00000000-0005-0000-0000-00004A400000}"/>
    <cellStyle name="Comma 2 7 5 3 8" xfId="16462" xr:uid="{00000000-0005-0000-0000-00004B400000}"/>
    <cellStyle name="Comma 2 7 5 3 9" xfId="16463" xr:uid="{00000000-0005-0000-0000-00004C400000}"/>
    <cellStyle name="Comma 2 7 5 4" xfId="16464" xr:uid="{00000000-0005-0000-0000-00004D400000}"/>
    <cellStyle name="Comma 2 7 5 4 2" xfId="16465" xr:uid="{00000000-0005-0000-0000-00004E400000}"/>
    <cellStyle name="Comma 2 7 5 4 2 2" xfId="16466" xr:uid="{00000000-0005-0000-0000-00004F400000}"/>
    <cellStyle name="Comma 2 7 5 4 2 3" xfId="16467" xr:uid="{00000000-0005-0000-0000-000050400000}"/>
    <cellStyle name="Comma 2 7 5 4 3" xfId="16468" xr:uid="{00000000-0005-0000-0000-000051400000}"/>
    <cellStyle name="Comma 2 7 5 4 4" xfId="16469" xr:uid="{00000000-0005-0000-0000-000052400000}"/>
    <cellStyle name="Comma 2 7 5 4 5" xfId="16470" xr:uid="{00000000-0005-0000-0000-000053400000}"/>
    <cellStyle name="Comma 2 7 5 4 6" xfId="16471" xr:uid="{00000000-0005-0000-0000-000054400000}"/>
    <cellStyle name="Comma 2 7 5 5" xfId="16472" xr:uid="{00000000-0005-0000-0000-000055400000}"/>
    <cellStyle name="Comma 2 7 5 5 2" xfId="16473" xr:uid="{00000000-0005-0000-0000-000056400000}"/>
    <cellStyle name="Comma 2 7 5 5 2 2" xfId="16474" xr:uid="{00000000-0005-0000-0000-000057400000}"/>
    <cellStyle name="Comma 2 7 5 5 3" xfId="16475" xr:uid="{00000000-0005-0000-0000-000058400000}"/>
    <cellStyle name="Comma 2 7 5 5 4" xfId="16476" xr:uid="{00000000-0005-0000-0000-000059400000}"/>
    <cellStyle name="Comma 2 7 5 5 5" xfId="16477" xr:uid="{00000000-0005-0000-0000-00005A400000}"/>
    <cellStyle name="Comma 2 7 5 6" xfId="16478" xr:uid="{00000000-0005-0000-0000-00005B400000}"/>
    <cellStyle name="Comma 2 7 5 6 2" xfId="16479" xr:uid="{00000000-0005-0000-0000-00005C400000}"/>
    <cellStyle name="Comma 2 7 5 6 3" xfId="16480" xr:uid="{00000000-0005-0000-0000-00005D400000}"/>
    <cellStyle name="Comma 2 7 5 6 4" xfId="16481" xr:uid="{00000000-0005-0000-0000-00005E400000}"/>
    <cellStyle name="Comma 2 7 5 7" xfId="16482" xr:uid="{00000000-0005-0000-0000-00005F400000}"/>
    <cellStyle name="Comma 2 7 5 7 2" xfId="16483" xr:uid="{00000000-0005-0000-0000-000060400000}"/>
    <cellStyle name="Comma 2 7 5 8" xfId="16484" xr:uid="{00000000-0005-0000-0000-000061400000}"/>
    <cellStyle name="Comma 2 7 5 9" xfId="16485" xr:uid="{00000000-0005-0000-0000-000062400000}"/>
    <cellStyle name="Comma 2 7 6" xfId="16486" xr:uid="{00000000-0005-0000-0000-000063400000}"/>
    <cellStyle name="Comma 2 7 6 10" xfId="16487" xr:uid="{00000000-0005-0000-0000-000064400000}"/>
    <cellStyle name="Comma 2 7 6 11" xfId="16488" xr:uid="{00000000-0005-0000-0000-000065400000}"/>
    <cellStyle name="Comma 2 7 6 2" xfId="16489" xr:uid="{00000000-0005-0000-0000-000066400000}"/>
    <cellStyle name="Comma 2 7 6 2 2" xfId="16490" xr:uid="{00000000-0005-0000-0000-000067400000}"/>
    <cellStyle name="Comma 2 7 6 2 2 2" xfId="16491" xr:uid="{00000000-0005-0000-0000-000068400000}"/>
    <cellStyle name="Comma 2 7 6 2 2 2 2" xfId="16492" xr:uid="{00000000-0005-0000-0000-000069400000}"/>
    <cellStyle name="Comma 2 7 6 2 2 2 3" xfId="16493" xr:uid="{00000000-0005-0000-0000-00006A400000}"/>
    <cellStyle name="Comma 2 7 6 2 2 3" xfId="16494" xr:uid="{00000000-0005-0000-0000-00006B400000}"/>
    <cellStyle name="Comma 2 7 6 2 2 4" xfId="16495" xr:uid="{00000000-0005-0000-0000-00006C400000}"/>
    <cellStyle name="Comma 2 7 6 2 2 5" xfId="16496" xr:uid="{00000000-0005-0000-0000-00006D400000}"/>
    <cellStyle name="Comma 2 7 6 2 2 6" xfId="16497" xr:uid="{00000000-0005-0000-0000-00006E400000}"/>
    <cellStyle name="Comma 2 7 6 2 3" xfId="16498" xr:uid="{00000000-0005-0000-0000-00006F400000}"/>
    <cellStyle name="Comma 2 7 6 2 3 2" xfId="16499" xr:uid="{00000000-0005-0000-0000-000070400000}"/>
    <cellStyle name="Comma 2 7 6 2 3 2 2" xfId="16500" xr:uid="{00000000-0005-0000-0000-000071400000}"/>
    <cellStyle name="Comma 2 7 6 2 3 3" xfId="16501" xr:uid="{00000000-0005-0000-0000-000072400000}"/>
    <cellStyle name="Comma 2 7 6 2 3 4" xfId="16502" xr:uid="{00000000-0005-0000-0000-000073400000}"/>
    <cellStyle name="Comma 2 7 6 2 3 5" xfId="16503" xr:uid="{00000000-0005-0000-0000-000074400000}"/>
    <cellStyle name="Comma 2 7 6 2 4" xfId="16504" xr:uid="{00000000-0005-0000-0000-000075400000}"/>
    <cellStyle name="Comma 2 7 6 2 4 2" xfId="16505" xr:uid="{00000000-0005-0000-0000-000076400000}"/>
    <cellStyle name="Comma 2 7 6 2 4 3" xfId="16506" xr:uid="{00000000-0005-0000-0000-000077400000}"/>
    <cellStyle name="Comma 2 7 6 2 4 4" xfId="16507" xr:uid="{00000000-0005-0000-0000-000078400000}"/>
    <cellStyle name="Comma 2 7 6 2 5" xfId="16508" xr:uid="{00000000-0005-0000-0000-000079400000}"/>
    <cellStyle name="Comma 2 7 6 2 5 2" xfId="16509" xr:uid="{00000000-0005-0000-0000-00007A400000}"/>
    <cellStyle name="Comma 2 7 6 2 6" xfId="16510" xr:uid="{00000000-0005-0000-0000-00007B400000}"/>
    <cellStyle name="Comma 2 7 6 2 7" xfId="16511" xr:uid="{00000000-0005-0000-0000-00007C400000}"/>
    <cellStyle name="Comma 2 7 6 2 8" xfId="16512" xr:uid="{00000000-0005-0000-0000-00007D400000}"/>
    <cellStyle name="Comma 2 7 6 2 9" xfId="16513" xr:uid="{00000000-0005-0000-0000-00007E400000}"/>
    <cellStyle name="Comma 2 7 6 3" xfId="16514" xr:uid="{00000000-0005-0000-0000-00007F400000}"/>
    <cellStyle name="Comma 2 7 6 3 2" xfId="16515" xr:uid="{00000000-0005-0000-0000-000080400000}"/>
    <cellStyle name="Comma 2 7 6 3 2 2" xfId="16516" xr:uid="{00000000-0005-0000-0000-000081400000}"/>
    <cellStyle name="Comma 2 7 6 3 2 2 2" xfId="16517" xr:uid="{00000000-0005-0000-0000-000082400000}"/>
    <cellStyle name="Comma 2 7 6 3 2 2 3" xfId="16518" xr:uid="{00000000-0005-0000-0000-000083400000}"/>
    <cellStyle name="Comma 2 7 6 3 2 3" xfId="16519" xr:uid="{00000000-0005-0000-0000-000084400000}"/>
    <cellStyle name="Comma 2 7 6 3 2 4" xfId="16520" xr:uid="{00000000-0005-0000-0000-000085400000}"/>
    <cellStyle name="Comma 2 7 6 3 2 5" xfId="16521" xr:uid="{00000000-0005-0000-0000-000086400000}"/>
    <cellStyle name="Comma 2 7 6 3 2 6" xfId="16522" xr:uid="{00000000-0005-0000-0000-000087400000}"/>
    <cellStyle name="Comma 2 7 6 3 3" xfId="16523" xr:uid="{00000000-0005-0000-0000-000088400000}"/>
    <cellStyle name="Comma 2 7 6 3 3 2" xfId="16524" xr:uid="{00000000-0005-0000-0000-000089400000}"/>
    <cellStyle name="Comma 2 7 6 3 3 2 2" xfId="16525" xr:uid="{00000000-0005-0000-0000-00008A400000}"/>
    <cellStyle name="Comma 2 7 6 3 3 3" xfId="16526" xr:uid="{00000000-0005-0000-0000-00008B400000}"/>
    <cellStyle name="Comma 2 7 6 3 3 4" xfId="16527" xr:uid="{00000000-0005-0000-0000-00008C400000}"/>
    <cellStyle name="Comma 2 7 6 3 3 5" xfId="16528" xr:uid="{00000000-0005-0000-0000-00008D400000}"/>
    <cellStyle name="Comma 2 7 6 3 4" xfId="16529" xr:uid="{00000000-0005-0000-0000-00008E400000}"/>
    <cellStyle name="Comma 2 7 6 3 4 2" xfId="16530" xr:uid="{00000000-0005-0000-0000-00008F400000}"/>
    <cellStyle name="Comma 2 7 6 3 4 3" xfId="16531" xr:uid="{00000000-0005-0000-0000-000090400000}"/>
    <cellStyle name="Comma 2 7 6 3 4 4" xfId="16532" xr:uid="{00000000-0005-0000-0000-000091400000}"/>
    <cellStyle name="Comma 2 7 6 3 5" xfId="16533" xr:uid="{00000000-0005-0000-0000-000092400000}"/>
    <cellStyle name="Comma 2 7 6 3 5 2" xfId="16534" xr:uid="{00000000-0005-0000-0000-000093400000}"/>
    <cellStyle name="Comma 2 7 6 3 6" xfId="16535" xr:uid="{00000000-0005-0000-0000-000094400000}"/>
    <cellStyle name="Comma 2 7 6 3 7" xfId="16536" xr:uid="{00000000-0005-0000-0000-000095400000}"/>
    <cellStyle name="Comma 2 7 6 3 8" xfId="16537" xr:uid="{00000000-0005-0000-0000-000096400000}"/>
    <cellStyle name="Comma 2 7 6 3 9" xfId="16538" xr:uid="{00000000-0005-0000-0000-000097400000}"/>
    <cellStyle name="Comma 2 7 6 4" xfId="16539" xr:uid="{00000000-0005-0000-0000-000098400000}"/>
    <cellStyle name="Comma 2 7 6 4 2" xfId="16540" xr:uid="{00000000-0005-0000-0000-000099400000}"/>
    <cellStyle name="Comma 2 7 6 4 2 2" xfId="16541" xr:uid="{00000000-0005-0000-0000-00009A400000}"/>
    <cellStyle name="Comma 2 7 6 4 2 3" xfId="16542" xr:uid="{00000000-0005-0000-0000-00009B400000}"/>
    <cellStyle name="Comma 2 7 6 4 3" xfId="16543" xr:uid="{00000000-0005-0000-0000-00009C400000}"/>
    <cellStyle name="Comma 2 7 6 4 4" xfId="16544" xr:uid="{00000000-0005-0000-0000-00009D400000}"/>
    <cellStyle name="Comma 2 7 6 4 5" xfId="16545" xr:uid="{00000000-0005-0000-0000-00009E400000}"/>
    <cellStyle name="Comma 2 7 6 4 6" xfId="16546" xr:uid="{00000000-0005-0000-0000-00009F400000}"/>
    <cellStyle name="Comma 2 7 6 5" xfId="16547" xr:uid="{00000000-0005-0000-0000-0000A0400000}"/>
    <cellStyle name="Comma 2 7 6 5 2" xfId="16548" xr:uid="{00000000-0005-0000-0000-0000A1400000}"/>
    <cellStyle name="Comma 2 7 6 5 2 2" xfId="16549" xr:uid="{00000000-0005-0000-0000-0000A2400000}"/>
    <cellStyle name="Comma 2 7 6 5 3" xfId="16550" xr:uid="{00000000-0005-0000-0000-0000A3400000}"/>
    <cellStyle name="Comma 2 7 6 5 4" xfId="16551" xr:uid="{00000000-0005-0000-0000-0000A4400000}"/>
    <cellStyle name="Comma 2 7 6 5 5" xfId="16552" xr:uid="{00000000-0005-0000-0000-0000A5400000}"/>
    <cellStyle name="Comma 2 7 6 6" xfId="16553" xr:uid="{00000000-0005-0000-0000-0000A6400000}"/>
    <cellStyle name="Comma 2 7 6 6 2" xfId="16554" xr:uid="{00000000-0005-0000-0000-0000A7400000}"/>
    <cellStyle name="Comma 2 7 6 6 3" xfId="16555" xr:uid="{00000000-0005-0000-0000-0000A8400000}"/>
    <cellStyle name="Comma 2 7 6 6 4" xfId="16556" xr:uid="{00000000-0005-0000-0000-0000A9400000}"/>
    <cellStyle name="Comma 2 7 6 7" xfId="16557" xr:uid="{00000000-0005-0000-0000-0000AA400000}"/>
    <cellStyle name="Comma 2 7 6 7 2" xfId="16558" xr:uid="{00000000-0005-0000-0000-0000AB400000}"/>
    <cellStyle name="Comma 2 7 6 8" xfId="16559" xr:uid="{00000000-0005-0000-0000-0000AC400000}"/>
    <cellStyle name="Comma 2 7 6 9" xfId="16560" xr:uid="{00000000-0005-0000-0000-0000AD400000}"/>
    <cellStyle name="Comma 2 7 7" xfId="16561" xr:uid="{00000000-0005-0000-0000-0000AE400000}"/>
    <cellStyle name="Comma 2 7 7 10" xfId="16562" xr:uid="{00000000-0005-0000-0000-0000AF400000}"/>
    <cellStyle name="Comma 2 7 7 11" xfId="16563" xr:uid="{00000000-0005-0000-0000-0000B0400000}"/>
    <cellStyle name="Comma 2 7 7 2" xfId="16564" xr:uid="{00000000-0005-0000-0000-0000B1400000}"/>
    <cellStyle name="Comma 2 7 7 2 2" xfId="16565" xr:uid="{00000000-0005-0000-0000-0000B2400000}"/>
    <cellStyle name="Comma 2 7 7 2 2 2" xfId="16566" xr:uid="{00000000-0005-0000-0000-0000B3400000}"/>
    <cellStyle name="Comma 2 7 7 2 2 2 2" xfId="16567" xr:uid="{00000000-0005-0000-0000-0000B4400000}"/>
    <cellStyle name="Comma 2 7 7 2 2 2 3" xfId="16568" xr:uid="{00000000-0005-0000-0000-0000B5400000}"/>
    <cellStyle name="Comma 2 7 7 2 2 3" xfId="16569" xr:uid="{00000000-0005-0000-0000-0000B6400000}"/>
    <cellStyle name="Comma 2 7 7 2 2 4" xfId="16570" xr:uid="{00000000-0005-0000-0000-0000B7400000}"/>
    <cellStyle name="Comma 2 7 7 2 2 5" xfId="16571" xr:uid="{00000000-0005-0000-0000-0000B8400000}"/>
    <cellStyle name="Comma 2 7 7 2 2 6" xfId="16572" xr:uid="{00000000-0005-0000-0000-0000B9400000}"/>
    <cellStyle name="Comma 2 7 7 2 3" xfId="16573" xr:uid="{00000000-0005-0000-0000-0000BA400000}"/>
    <cellStyle name="Comma 2 7 7 2 3 2" xfId="16574" xr:uid="{00000000-0005-0000-0000-0000BB400000}"/>
    <cellStyle name="Comma 2 7 7 2 3 2 2" xfId="16575" xr:uid="{00000000-0005-0000-0000-0000BC400000}"/>
    <cellStyle name="Comma 2 7 7 2 3 3" xfId="16576" xr:uid="{00000000-0005-0000-0000-0000BD400000}"/>
    <cellStyle name="Comma 2 7 7 2 3 4" xfId="16577" xr:uid="{00000000-0005-0000-0000-0000BE400000}"/>
    <cellStyle name="Comma 2 7 7 2 3 5" xfId="16578" xr:uid="{00000000-0005-0000-0000-0000BF400000}"/>
    <cellStyle name="Comma 2 7 7 2 4" xfId="16579" xr:uid="{00000000-0005-0000-0000-0000C0400000}"/>
    <cellStyle name="Comma 2 7 7 2 4 2" xfId="16580" xr:uid="{00000000-0005-0000-0000-0000C1400000}"/>
    <cellStyle name="Comma 2 7 7 2 4 3" xfId="16581" xr:uid="{00000000-0005-0000-0000-0000C2400000}"/>
    <cellStyle name="Comma 2 7 7 2 4 4" xfId="16582" xr:uid="{00000000-0005-0000-0000-0000C3400000}"/>
    <cellStyle name="Comma 2 7 7 2 5" xfId="16583" xr:uid="{00000000-0005-0000-0000-0000C4400000}"/>
    <cellStyle name="Comma 2 7 7 2 5 2" xfId="16584" xr:uid="{00000000-0005-0000-0000-0000C5400000}"/>
    <cellStyle name="Comma 2 7 7 2 6" xfId="16585" xr:uid="{00000000-0005-0000-0000-0000C6400000}"/>
    <cellStyle name="Comma 2 7 7 2 7" xfId="16586" xr:uid="{00000000-0005-0000-0000-0000C7400000}"/>
    <cellStyle name="Comma 2 7 7 2 8" xfId="16587" xr:uid="{00000000-0005-0000-0000-0000C8400000}"/>
    <cellStyle name="Comma 2 7 7 2 9" xfId="16588" xr:uid="{00000000-0005-0000-0000-0000C9400000}"/>
    <cellStyle name="Comma 2 7 7 3" xfId="16589" xr:uid="{00000000-0005-0000-0000-0000CA400000}"/>
    <cellStyle name="Comma 2 7 7 3 2" xfId="16590" xr:uid="{00000000-0005-0000-0000-0000CB400000}"/>
    <cellStyle name="Comma 2 7 7 3 2 2" xfId="16591" xr:uid="{00000000-0005-0000-0000-0000CC400000}"/>
    <cellStyle name="Comma 2 7 7 3 2 2 2" xfId="16592" xr:uid="{00000000-0005-0000-0000-0000CD400000}"/>
    <cellStyle name="Comma 2 7 7 3 2 2 3" xfId="16593" xr:uid="{00000000-0005-0000-0000-0000CE400000}"/>
    <cellStyle name="Comma 2 7 7 3 2 3" xfId="16594" xr:uid="{00000000-0005-0000-0000-0000CF400000}"/>
    <cellStyle name="Comma 2 7 7 3 2 4" xfId="16595" xr:uid="{00000000-0005-0000-0000-0000D0400000}"/>
    <cellStyle name="Comma 2 7 7 3 2 5" xfId="16596" xr:uid="{00000000-0005-0000-0000-0000D1400000}"/>
    <cellStyle name="Comma 2 7 7 3 2 6" xfId="16597" xr:uid="{00000000-0005-0000-0000-0000D2400000}"/>
    <cellStyle name="Comma 2 7 7 3 3" xfId="16598" xr:uid="{00000000-0005-0000-0000-0000D3400000}"/>
    <cellStyle name="Comma 2 7 7 3 3 2" xfId="16599" xr:uid="{00000000-0005-0000-0000-0000D4400000}"/>
    <cellStyle name="Comma 2 7 7 3 3 2 2" xfId="16600" xr:uid="{00000000-0005-0000-0000-0000D5400000}"/>
    <cellStyle name="Comma 2 7 7 3 3 3" xfId="16601" xr:uid="{00000000-0005-0000-0000-0000D6400000}"/>
    <cellStyle name="Comma 2 7 7 3 3 4" xfId="16602" xr:uid="{00000000-0005-0000-0000-0000D7400000}"/>
    <cellStyle name="Comma 2 7 7 3 3 5" xfId="16603" xr:uid="{00000000-0005-0000-0000-0000D8400000}"/>
    <cellStyle name="Comma 2 7 7 3 4" xfId="16604" xr:uid="{00000000-0005-0000-0000-0000D9400000}"/>
    <cellStyle name="Comma 2 7 7 3 4 2" xfId="16605" xr:uid="{00000000-0005-0000-0000-0000DA400000}"/>
    <cellStyle name="Comma 2 7 7 3 4 3" xfId="16606" xr:uid="{00000000-0005-0000-0000-0000DB400000}"/>
    <cellStyle name="Comma 2 7 7 3 4 4" xfId="16607" xr:uid="{00000000-0005-0000-0000-0000DC400000}"/>
    <cellStyle name="Comma 2 7 7 3 5" xfId="16608" xr:uid="{00000000-0005-0000-0000-0000DD400000}"/>
    <cellStyle name="Comma 2 7 7 3 5 2" xfId="16609" xr:uid="{00000000-0005-0000-0000-0000DE400000}"/>
    <cellStyle name="Comma 2 7 7 3 6" xfId="16610" xr:uid="{00000000-0005-0000-0000-0000DF400000}"/>
    <cellStyle name="Comma 2 7 7 3 7" xfId="16611" xr:uid="{00000000-0005-0000-0000-0000E0400000}"/>
    <cellStyle name="Comma 2 7 7 3 8" xfId="16612" xr:uid="{00000000-0005-0000-0000-0000E1400000}"/>
    <cellStyle name="Comma 2 7 7 3 9" xfId="16613" xr:uid="{00000000-0005-0000-0000-0000E2400000}"/>
    <cellStyle name="Comma 2 7 7 4" xfId="16614" xr:uid="{00000000-0005-0000-0000-0000E3400000}"/>
    <cellStyle name="Comma 2 7 7 4 2" xfId="16615" xr:uid="{00000000-0005-0000-0000-0000E4400000}"/>
    <cellStyle name="Comma 2 7 7 4 2 2" xfId="16616" xr:uid="{00000000-0005-0000-0000-0000E5400000}"/>
    <cellStyle name="Comma 2 7 7 4 2 3" xfId="16617" xr:uid="{00000000-0005-0000-0000-0000E6400000}"/>
    <cellStyle name="Comma 2 7 7 4 3" xfId="16618" xr:uid="{00000000-0005-0000-0000-0000E7400000}"/>
    <cellStyle name="Comma 2 7 7 4 4" xfId="16619" xr:uid="{00000000-0005-0000-0000-0000E8400000}"/>
    <cellStyle name="Comma 2 7 7 4 5" xfId="16620" xr:uid="{00000000-0005-0000-0000-0000E9400000}"/>
    <cellStyle name="Comma 2 7 7 4 6" xfId="16621" xr:uid="{00000000-0005-0000-0000-0000EA400000}"/>
    <cellStyle name="Comma 2 7 7 5" xfId="16622" xr:uid="{00000000-0005-0000-0000-0000EB400000}"/>
    <cellStyle name="Comma 2 7 7 5 2" xfId="16623" xr:uid="{00000000-0005-0000-0000-0000EC400000}"/>
    <cellStyle name="Comma 2 7 7 5 2 2" xfId="16624" xr:uid="{00000000-0005-0000-0000-0000ED400000}"/>
    <cellStyle name="Comma 2 7 7 5 3" xfId="16625" xr:uid="{00000000-0005-0000-0000-0000EE400000}"/>
    <cellStyle name="Comma 2 7 7 5 4" xfId="16626" xr:uid="{00000000-0005-0000-0000-0000EF400000}"/>
    <cellStyle name="Comma 2 7 7 5 5" xfId="16627" xr:uid="{00000000-0005-0000-0000-0000F0400000}"/>
    <cellStyle name="Comma 2 7 7 6" xfId="16628" xr:uid="{00000000-0005-0000-0000-0000F1400000}"/>
    <cellStyle name="Comma 2 7 7 6 2" xfId="16629" xr:uid="{00000000-0005-0000-0000-0000F2400000}"/>
    <cellStyle name="Comma 2 7 7 6 3" xfId="16630" xr:uid="{00000000-0005-0000-0000-0000F3400000}"/>
    <cellStyle name="Comma 2 7 7 6 4" xfId="16631" xr:uid="{00000000-0005-0000-0000-0000F4400000}"/>
    <cellStyle name="Comma 2 7 7 7" xfId="16632" xr:uid="{00000000-0005-0000-0000-0000F5400000}"/>
    <cellStyle name="Comma 2 7 7 7 2" xfId="16633" xr:uid="{00000000-0005-0000-0000-0000F6400000}"/>
    <cellStyle name="Comma 2 7 7 8" xfId="16634" xr:uid="{00000000-0005-0000-0000-0000F7400000}"/>
    <cellStyle name="Comma 2 7 7 9" xfId="16635" xr:uid="{00000000-0005-0000-0000-0000F8400000}"/>
    <cellStyle name="Comma 2 7 8" xfId="16636" xr:uid="{00000000-0005-0000-0000-0000F9400000}"/>
    <cellStyle name="Comma 2 7 8 10" xfId="16637" xr:uid="{00000000-0005-0000-0000-0000FA400000}"/>
    <cellStyle name="Comma 2 7 8 2" xfId="16638" xr:uid="{00000000-0005-0000-0000-0000FB400000}"/>
    <cellStyle name="Comma 2 7 8 2 2" xfId="16639" xr:uid="{00000000-0005-0000-0000-0000FC400000}"/>
    <cellStyle name="Comma 2 7 8 2 2 2" xfId="16640" xr:uid="{00000000-0005-0000-0000-0000FD400000}"/>
    <cellStyle name="Comma 2 7 8 2 2 3" xfId="16641" xr:uid="{00000000-0005-0000-0000-0000FE400000}"/>
    <cellStyle name="Comma 2 7 8 2 3" xfId="16642" xr:uid="{00000000-0005-0000-0000-0000FF400000}"/>
    <cellStyle name="Comma 2 7 8 2 4" xfId="16643" xr:uid="{00000000-0005-0000-0000-000000410000}"/>
    <cellStyle name="Comma 2 7 8 2 5" xfId="16644" xr:uid="{00000000-0005-0000-0000-000001410000}"/>
    <cellStyle name="Comma 2 7 8 2 6" xfId="16645" xr:uid="{00000000-0005-0000-0000-000002410000}"/>
    <cellStyle name="Comma 2 7 8 3" xfId="16646" xr:uid="{00000000-0005-0000-0000-000003410000}"/>
    <cellStyle name="Comma 2 7 8 3 2" xfId="16647" xr:uid="{00000000-0005-0000-0000-000004410000}"/>
    <cellStyle name="Comma 2 7 8 3 2 2" xfId="16648" xr:uid="{00000000-0005-0000-0000-000005410000}"/>
    <cellStyle name="Comma 2 7 8 3 2 3" xfId="16649" xr:uid="{00000000-0005-0000-0000-000006410000}"/>
    <cellStyle name="Comma 2 7 8 3 3" xfId="16650" xr:uid="{00000000-0005-0000-0000-000007410000}"/>
    <cellStyle name="Comma 2 7 8 3 4" xfId="16651" xr:uid="{00000000-0005-0000-0000-000008410000}"/>
    <cellStyle name="Comma 2 7 8 3 5" xfId="16652" xr:uid="{00000000-0005-0000-0000-000009410000}"/>
    <cellStyle name="Comma 2 7 8 3 6" xfId="16653" xr:uid="{00000000-0005-0000-0000-00000A410000}"/>
    <cellStyle name="Comma 2 7 8 4" xfId="16654" xr:uid="{00000000-0005-0000-0000-00000B410000}"/>
    <cellStyle name="Comma 2 7 8 4 2" xfId="16655" xr:uid="{00000000-0005-0000-0000-00000C410000}"/>
    <cellStyle name="Comma 2 7 8 4 2 2" xfId="16656" xr:uid="{00000000-0005-0000-0000-00000D410000}"/>
    <cellStyle name="Comma 2 7 8 4 3" xfId="16657" xr:uid="{00000000-0005-0000-0000-00000E410000}"/>
    <cellStyle name="Comma 2 7 8 4 4" xfId="16658" xr:uid="{00000000-0005-0000-0000-00000F410000}"/>
    <cellStyle name="Comma 2 7 8 4 5" xfId="16659" xr:uid="{00000000-0005-0000-0000-000010410000}"/>
    <cellStyle name="Comma 2 7 8 5" xfId="16660" xr:uid="{00000000-0005-0000-0000-000011410000}"/>
    <cellStyle name="Comma 2 7 8 5 2" xfId="16661" xr:uid="{00000000-0005-0000-0000-000012410000}"/>
    <cellStyle name="Comma 2 7 8 5 3" xfId="16662" xr:uid="{00000000-0005-0000-0000-000013410000}"/>
    <cellStyle name="Comma 2 7 8 5 4" xfId="16663" xr:uid="{00000000-0005-0000-0000-000014410000}"/>
    <cellStyle name="Comma 2 7 8 6" xfId="16664" xr:uid="{00000000-0005-0000-0000-000015410000}"/>
    <cellStyle name="Comma 2 7 8 6 2" xfId="16665" xr:uid="{00000000-0005-0000-0000-000016410000}"/>
    <cellStyle name="Comma 2 7 8 7" xfId="16666" xr:uid="{00000000-0005-0000-0000-000017410000}"/>
    <cellStyle name="Comma 2 7 8 8" xfId="16667" xr:uid="{00000000-0005-0000-0000-000018410000}"/>
    <cellStyle name="Comma 2 7 8 9" xfId="16668" xr:uid="{00000000-0005-0000-0000-000019410000}"/>
    <cellStyle name="Comma 2 7 9" xfId="16669" xr:uid="{00000000-0005-0000-0000-00001A410000}"/>
    <cellStyle name="Comma 2 7 9 10" xfId="16670" xr:uid="{00000000-0005-0000-0000-00001B410000}"/>
    <cellStyle name="Comma 2 7 9 2" xfId="16671" xr:uid="{00000000-0005-0000-0000-00001C410000}"/>
    <cellStyle name="Comma 2 7 9 2 2" xfId="16672" xr:uid="{00000000-0005-0000-0000-00001D410000}"/>
    <cellStyle name="Comma 2 7 9 2 2 2" xfId="16673" xr:uid="{00000000-0005-0000-0000-00001E410000}"/>
    <cellStyle name="Comma 2 7 9 2 2 3" xfId="16674" xr:uid="{00000000-0005-0000-0000-00001F410000}"/>
    <cellStyle name="Comma 2 7 9 2 3" xfId="16675" xr:uid="{00000000-0005-0000-0000-000020410000}"/>
    <cellStyle name="Comma 2 7 9 2 4" xfId="16676" xr:uid="{00000000-0005-0000-0000-000021410000}"/>
    <cellStyle name="Comma 2 7 9 2 5" xfId="16677" xr:uid="{00000000-0005-0000-0000-000022410000}"/>
    <cellStyle name="Comma 2 7 9 2 6" xfId="16678" xr:uid="{00000000-0005-0000-0000-000023410000}"/>
    <cellStyle name="Comma 2 7 9 3" xfId="16679" xr:uid="{00000000-0005-0000-0000-000024410000}"/>
    <cellStyle name="Comma 2 7 9 3 2" xfId="16680" xr:uid="{00000000-0005-0000-0000-000025410000}"/>
    <cellStyle name="Comma 2 7 9 3 2 2" xfId="16681" xr:uid="{00000000-0005-0000-0000-000026410000}"/>
    <cellStyle name="Comma 2 7 9 3 2 3" xfId="16682" xr:uid="{00000000-0005-0000-0000-000027410000}"/>
    <cellStyle name="Comma 2 7 9 3 3" xfId="16683" xr:uid="{00000000-0005-0000-0000-000028410000}"/>
    <cellStyle name="Comma 2 7 9 3 4" xfId="16684" xr:uid="{00000000-0005-0000-0000-000029410000}"/>
    <cellStyle name="Comma 2 7 9 3 5" xfId="16685" xr:uid="{00000000-0005-0000-0000-00002A410000}"/>
    <cellStyle name="Comma 2 7 9 3 6" xfId="16686" xr:uid="{00000000-0005-0000-0000-00002B410000}"/>
    <cellStyle name="Comma 2 7 9 4" xfId="16687" xr:uid="{00000000-0005-0000-0000-00002C410000}"/>
    <cellStyle name="Comma 2 7 9 4 2" xfId="16688" xr:uid="{00000000-0005-0000-0000-00002D410000}"/>
    <cellStyle name="Comma 2 7 9 4 2 2" xfId="16689" xr:uid="{00000000-0005-0000-0000-00002E410000}"/>
    <cellStyle name="Comma 2 7 9 4 3" xfId="16690" xr:uid="{00000000-0005-0000-0000-00002F410000}"/>
    <cellStyle name="Comma 2 7 9 4 4" xfId="16691" xr:uid="{00000000-0005-0000-0000-000030410000}"/>
    <cellStyle name="Comma 2 7 9 4 5" xfId="16692" xr:uid="{00000000-0005-0000-0000-000031410000}"/>
    <cellStyle name="Comma 2 7 9 5" xfId="16693" xr:uid="{00000000-0005-0000-0000-000032410000}"/>
    <cellStyle name="Comma 2 7 9 5 2" xfId="16694" xr:uid="{00000000-0005-0000-0000-000033410000}"/>
    <cellStyle name="Comma 2 7 9 5 3" xfId="16695" xr:uid="{00000000-0005-0000-0000-000034410000}"/>
    <cellStyle name="Comma 2 7 9 5 4" xfId="16696" xr:uid="{00000000-0005-0000-0000-000035410000}"/>
    <cellStyle name="Comma 2 7 9 6" xfId="16697" xr:uid="{00000000-0005-0000-0000-000036410000}"/>
    <cellStyle name="Comma 2 7 9 6 2" xfId="16698" xr:uid="{00000000-0005-0000-0000-000037410000}"/>
    <cellStyle name="Comma 2 7 9 7" xfId="16699" xr:uid="{00000000-0005-0000-0000-000038410000}"/>
    <cellStyle name="Comma 2 7 9 8" xfId="16700" xr:uid="{00000000-0005-0000-0000-000039410000}"/>
    <cellStyle name="Comma 2 7 9 9" xfId="16701" xr:uid="{00000000-0005-0000-0000-00003A410000}"/>
    <cellStyle name="Comma 2 8" xfId="16702" xr:uid="{00000000-0005-0000-0000-00003B410000}"/>
    <cellStyle name="Comma 2 8 10" xfId="16703" xr:uid="{00000000-0005-0000-0000-00003C410000}"/>
    <cellStyle name="Comma 2 8 10 10" xfId="16704" xr:uid="{00000000-0005-0000-0000-00003D410000}"/>
    <cellStyle name="Comma 2 8 10 2" xfId="16705" xr:uid="{00000000-0005-0000-0000-00003E410000}"/>
    <cellStyle name="Comma 2 8 10 2 2" xfId="16706" xr:uid="{00000000-0005-0000-0000-00003F410000}"/>
    <cellStyle name="Comma 2 8 10 2 2 2" xfId="16707" xr:uid="{00000000-0005-0000-0000-000040410000}"/>
    <cellStyle name="Comma 2 8 10 2 2 3" xfId="16708" xr:uid="{00000000-0005-0000-0000-000041410000}"/>
    <cellStyle name="Comma 2 8 10 2 3" xfId="16709" xr:uid="{00000000-0005-0000-0000-000042410000}"/>
    <cellStyle name="Comma 2 8 10 2 4" xfId="16710" xr:uid="{00000000-0005-0000-0000-000043410000}"/>
    <cellStyle name="Comma 2 8 10 2 5" xfId="16711" xr:uid="{00000000-0005-0000-0000-000044410000}"/>
    <cellStyle name="Comma 2 8 10 2 6" xfId="16712" xr:uid="{00000000-0005-0000-0000-000045410000}"/>
    <cellStyle name="Comma 2 8 10 3" xfId="16713" xr:uid="{00000000-0005-0000-0000-000046410000}"/>
    <cellStyle name="Comma 2 8 10 3 2" xfId="16714" xr:uid="{00000000-0005-0000-0000-000047410000}"/>
    <cellStyle name="Comma 2 8 10 3 2 2" xfId="16715" xr:uid="{00000000-0005-0000-0000-000048410000}"/>
    <cellStyle name="Comma 2 8 10 3 2 3" xfId="16716" xr:uid="{00000000-0005-0000-0000-000049410000}"/>
    <cellStyle name="Comma 2 8 10 3 3" xfId="16717" xr:uid="{00000000-0005-0000-0000-00004A410000}"/>
    <cellStyle name="Comma 2 8 10 3 4" xfId="16718" xr:uid="{00000000-0005-0000-0000-00004B410000}"/>
    <cellStyle name="Comma 2 8 10 3 5" xfId="16719" xr:uid="{00000000-0005-0000-0000-00004C410000}"/>
    <cellStyle name="Comma 2 8 10 3 6" xfId="16720" xr:uid="{00000000-0005-0000-0000-00004D410000}"/>
    <cellStyle name="Comma 2 8 10 4" xfId="16721" xr:uid="{00000000-0005-0000-0000-00004E410000}"/>
    <cellStyle name="Comma 2 8 10 4 2" xfId="16722" xr:uid="{00000000-0005-0000-0000-00004F410000}"/>
    <cellStyle name="Comma 2 8 10 4 2 2" xfId="16723" xr:uid="{00000000-0005-0000-0000-000050410000}"/>
    <cellStyle name="Comma 2 8 10 4 3" xfId="16724" xr:uid="{00000000-0005-0000-0000-000051410000}"/>
    <cellStyle name="Comma 2 8 10 4 4" xfId="16725" xr:uid="{00000000-0005-0000-0000-000052410000}"/>
    <cellStyle name="Comma 2 8 10 4 5" xfId="16726" xr:uid="{00000000-0005-0000-0000-000053410000}"/>
    <cellStyle name="Comma 2 8 10 5" xfId="16727" xr:uid="{00000000-0005-0000-0000-000054410000}"/>
    <cellStyle name="Comma 2 8 10 5 2" xfId="16728" xr:uid="{00000000-0005-0000-0000-000055410000}"/>
    <cellStyle name="Comma 2 8 10 5 3" xfId="16729" xr:uid="{00000000-0005-0000-0000-000056410000}"/>
    <cellStyle name="Comma 2 8 10 5 4" xfId="16730" xr:uid="{00000000-0005-0000-0000-000057410000}"/>
    <cellStyle name="Comma 2 8 10 6" xfId="16731" xr:uid="{00000000-0005-0000-0000-000058410000}"/>
    <cellStyle name="Comma 2 8 10 6 2" xfId="16732" xr:uid="{00000000-0005-0000-0000-000059410000}"/>
    <cellStyle name="Comma 2 8 10 7" xfId="16733" xr:uid="{00000000-0005-0000-0000-00005A410000}"/>
    <cellStyle name="Comma 2 8 10 8" xfId="16734" xr:uid="{00000000-0005-0000-0000-00005B410000}"/>
    <cellStyle name="Comma 2 8 10 9" xfId="16735" xr:uid="{00000000-0005-0000-0000-00005C410000}"/>
    <cellStyle name="Comma 2 8 11" xfId="16736" xr:uid="{00000000-0005-0000-0000-00005D410000}"/>
    <cellStyle name="Comma 2 8 11 10" xfId="16737" xr:uid="{00000000-0005-0000-0000-00005E410000}"/>
    <cellStyle name="Comma 2 8 11 2" xfId="16738" xr:uid="{00000000-0005-0000-0000-00005F410000}"/>
    <cellStyle name="Comma 2 8 11 2 2" xfId="16739" xr:uid="{00000000-0005-0000-0000-000060410000}"/>
    <cellStyle name="Comma 2 8 11 2 2 2" xfId="16740" xr:uid="{00000000-0005-0000-0000-000061410000}"/>
    <cellStyle name="Comma 2 8 11 2 2 3" xfId="16741" xr:uid="{00000000-0005-0000-0000-000062410000}"/>
    <cellStyle name="Comma 2 8 11 2 3" xfId="16742" xr:uid="{00000000-0005-0000-0000-000063410000}"/>
    <cellStyle name="Comma 2 8 11 2 4" xfId="16743" xr:uid="{00000000-0005-0000-0000-000064410000}"/>
    <cellStyle name="Comma 2 8 11 2 5" xfId="16744" xr:uid="{00000000-0005-0000-0000-000065410000}"/>
    <cellStyle name="Comma 2 8 11 2 6" xfId="16745" xr:uid="{00000000-0005-0000-0000-000066410000}"/>
    <cellStyle name="Comma 2 8 11 3" xfId="16746" xr:uid="{00000000-0005-0000-0000-000067410000}"/>
    <cellStyle name="Comma 2 8 11 3 2" xfId="16747" xr:uid="{00000000-0005-0000-0000-000068410000}"/>
    <cellStyle name="Comma 2 8 11 3 2 2" xfId="16748" xr:uid="{00000000-0005-0000-0000-000069410000}"/>
    <cellStyle name="Comma 2 8 11 3 2 3" xfId="16749" xr:uid="{00000000-0005-0000-0000-00006A410000}"/>
    <cellStyle name="Comma 2 8 11 3 3" xfId="16750" xr:uid="{00000000-0005-0000-0000-00006B410000}"/>
    <cellStyle name="Comma 2 8 11 3 4" xfId="16751" xr:uid="{00000000-0005-0000-0000-00006C410000}"/>
    <cellStyle name="Comma 2 8 11 3 5" xfId="16752" xr:uid="{00000000-0005-0000-0000-00006D410000}"/>
    <cellStyle name="Comma 2 8 11 3 6" xfId="16753" xr:uid="{00000000-0005-0000-0000-00006E410000}"/>
    <cellStyle name="Comma 2 8 11 4" xfId="16754" xr:uid="{00000000-0005-0000-0000-00006F410000}"/>
    <cellStyle name="Comma 2 8 11 4 2" xfId="16755" xr:uid="{00000000-0005-0000-0000-000070410000}"/>
    <cellStyle name="Comma 2 8 11 4 2 2" xfId="16756" xr:uid="{00000000-0005-0000-0000-000071410000}"/>
    <cellStyle name="Comma 2 8 11 4 3" xfId="16757" xr:uid="{00000000-0005-0000-0000-000072410000}"/>
    <cellStyle name="Comma 2 8 11 4 4" xfId="16758" xr:uid="{00000000-0005-0000-0000-000073410000}"/>
    <cellStyle name="Comma 2 8 11 4 5" xfId="16759" xr:uid="{00000000-0005-0000-0000-000074410000}"/>
    <cellStyle name="Comma 2 8 11 5" xfId="16760" xr:uid="{00000000-0005-0000-0000-000075410000}"/>
    <cellStyle name="Comma 2 8 11 5 2" xfId="16761" xr:uid="{00000000-0005-0000-0000-000076410000}"/>
    <cellStyle name="Comma 2 8 11 5 3" xfId="16762" xr:uid="{00000000-0005-0000-0000-000077410000}"/>
    <cellStyle name="Comma 2 8 11 5 4" xfId="16763" xr:uid="{00000000-0005-0000-0000-000078410000}"/>
    <cellStyle name="Comma 2 8 11 6" xfId="16764" xr:uid="{00000000-0005-0000-0000-000079410000}"/>
    <cellStyle name="Comma 2 8 11 6 2" xfId="16765" xr:uid="{00000000-0005-0000-0000-00007A410000}"/>
    <cellStyle name="Comma 2 8 11 7" xfId="16766" xr:uid="{00000000-0005-0000-0000-00007B410000}"/>
    <cellStyle name="Comma 2 8 11 8" xfId="16767" xr:uid="{00000000-0005-0000-0000-00007C410000}"/>
    <cellStyle name="Comma 2 8 11 9" xfId="16768" xr:uid="{00000000-0005-0000-0000-00007D410000}"/>
    <cellStyle name="Comma 2 8 12" xfId="16769" xr:uid="{00000000-0005-0000-0000-00007E410000}"/>
    <cellStyle name="Comma 2 8 12 10" xfId="16770" xr:uid="{00000000-0005-0000-0000-00007F410000}"/>
    <cellStyle name="Comma 2 8 12 2" xfId="16771" xr:uid="{00000000-0005-0000-0000-000080410000}"/>
    <cellStyle name="Comma 2 8 12 2 2" xfId="16772" xr:uid="{00000000-0005-0000-0000-000081410000}"/>
    <cellStyle name="Comma 2 8 12 2 2 2" xfId="16773" xr:uid="{00000000-0005-0000-0000-000082410000}"/>
    <cellStyle name="Comma 2 8 12 2 2 3" xfId="16774" xr:uid="{00000000-0005-0000-0000-000083410000}"/>
    <cellStyle name="Comma 2 8 12 2 3" xfId="16775" xr:uid="{00000000-0005-0000-0000-000084410000}"/>
    <cellStyle name="Comma 2 8 12 2 4" xfId="16776" xr:uid="{00000000-0005-0000-0000-000085410000}"/>
    <cellStyle name="Comma 2 8 12 2 5" xfId="16777" xr:uid="{00000000-0005-0000-0000-000086410000}"/>
    <cellStyle name="Comma 2 8 12 2 6" xfId="16778" xr:uid="{00000000-0005-0000-0000-000087410000}"/>
    <cellStyle name="Comma 2 8 12 3" xfId="16779" xr:uid="{00000000-0005-0000-0000-000088410000}"/>
    <cellStyle name="Comma 2 8 12 3 2" xfId="16780" xr:uid="{00000000-0005-0000-0000-000089410000}"/>
    <cellStyle name="Comma 2 8 12 3 2 2" xfId="16781" xr:uid="{00000000-0005-0000-0000-00008A410000}"/>
    <cellStyle name="Comma 2 8 12 3 2 3" xfId="16782" xr:uid="{00000000-0005-0000-0000-00008B410000}"/>
    <cellStyle name="Comma 2 8 12 3 3" xfId="16783" xr:uid="{00000000-0005-0000-0000-00008C410000}"/>
    <cellStyle name="Comma 2 8 12 3 4" xfId="16784" xr:uid="{00000000-0005-0000-0000-00008D410000}"/>
    <cellStyle name="Comma 2 8 12 3 5" xfId="16785" xr:uid="{00000000-0005-0000-0000-00008E410000}"/>
    <cellStyle name="Comma 2 8 12 3 6" xfId="16786" xr:uid="{00000000-0005-0000-0000-00008F410000}"/>
    <cellStyle name="Comma 2 8 12 4" xfId="16787" xr:uid="{00000000-0005-0000-0000-000090410000}"/>
    <cellStyle name="Comma 2 8 12 4 2" xfId="16788" xr:uid="{00000000-0005-0000-0000-000091410000}"/>
    <cellStyle name="Comma 2 8 12 4 2 2" xfId="16789" xr:uid="{00000000-0005-0000-0000-000092410000}"/>
    <cellStyle name="Comma 2 8 12 4 3" xfId="16790" xr:uid="{00000000-0005-0000-0000-000093410000}"/>
    <cellStyle name="Comma 2 8 12 4 4" xfId="16791" xr:uid="{00000000-0005-0000-0000-000094410000}"/>
    <cellStyle name="Comma 2 8 12 4 5" xfId="16792" xr:uid="{00000000-0005-0000-0000-000095410000}"/>
    <cellStyle name="Comma 2 8 12 5" xfId="16793" xr:uid="{00000000-0005-0000-0000-000096410000}"/>
    <cellStyle name="Comma 2 8 12 5 2" xfId="16794" xr:uid="{00000000-0005-0000-0000-000097410000}"/>
    <cellStyle name="Comma 2 8 12 5 3" xfId="16795" xr:uid="{00000000-0005-0000-0000-000098410000}"/>
    <cellStyle name="Comma 2 8 12 5 4" xfId="16796" xr:uid="{00000000-0005-0000-0000-000099410000}"/>
    <cellStyle name="Comma 2 8 12 6" xfId="16797" xr:uid="{00000000-0005-0000-0000-00009A410000}"/>
    <cellStyle name="Comma 2 8 12 6 2" xfId="16798" xr:uid="{00000000-0005-0000-0000-00009B410000}"/>
    <cellStyle name="Comma 2 8 12 7" xfId="16799" xr:uid="{00000000-0005-0000-0000-00009C410000}"/>
    <cellStyle name="Comma 2 8 12 8" xfId="16800" xr:uid="{00000000-0005-0000-0000-00009D410000}"/>
    <cellStyle name="Comma 2 8 12 9" xfId="16801" xr:uid="{00000000-0005-0000-0000-00009E410000}"/>
    <cellStyle name="Comma 2 8 13" xfId="16802" xr:uid="{00000000-0005-0000-0000-00009F410000}"/>
    <cellStyle name="Comma 2 8 13 2" xfId="16803" xr:uid="{00000000-0005-0000-0000-0000A0410000}"/>
    <cellStyle name="Comma 2 8 13 2 2" xfId="16804" xr:uid="{00000000-0005-0000-0000-0000A1410000}"/>
    <cellStyle name="Comma 2 8 13 2 2 2" xfId="16805" xr:uid="{00000000-0005-0000-0000-0000A2410000}"/>
    <cellStyle name="Comma 2 8 13 2 2 3" xfId="16806" xr:uid="{00000000-0005-0000-0000-0000A3410000}"/>
    <cellStyle name="Comma 2 8 13 2 3" xfId="16807" xr:uid="{00000000-0005-0000-0000-0000A4410000}"/>
    <cellStyle name="Comma 2 8 13 2 4" xfId="16808" xr:uid="{00000000-0005-0000-0000-0000A5410000}"/>
    <cellStyle name="Comma 2 8 13 2 5" xfId="16809" xr:uid="{00000000-0005-0000-0000-0000A6410000}"/>
    <cellStyle name="Comma 2 8 13 2 6" xfId="16810" xr:uid="{00000000-0005-0000-0000-0000A7410000}"/>
    <cellStyle name="Comma 2 8 13 3" xfId="16811" xr:uid="{00000000-0005-0000-0000-0000A8410000}"/>
    <cellStyle name="Comma 2 8 13 3 2" xfId="16812" xr:uid="{00000000-0005-0000-0000-0000A9410000}"/>
    <cellStyle name="Comma 2 8 13 3 2 2" xfId="16813" xr:uid="{00000000-0005-0000-0000-0000AA410000}"/>
    <cellStyle name="Comma 2 8 13 3 3" xfId="16814" xr:uid="{00000000-0005-0000-0000-0000AB410000}"/>
    <cellStyle name="Comma 2 8 13 3 4" xfId="16815" xr:uid="{00000000-0005-0000-0000-0000AC410000}"/>
    <cellStyle name="Comma 2 8 13 3 5" xfId="16816" xr:uid="{00000000-0005-0000-0000-0000AD410000}"/>
    <cellStyle name="Comma 2 8 13 4" xfId="16817" xr:uid="{00000000-0005-0000-0000-0000AE410000}"/>
    <cellStyle name="Comma 2 8 13 4 2" xfId="16818" xr:uid="{00000000-0005-0000-0000-0000AF410000}"/>
    <cellStyle name="Comma 2 8 13 4 3" xfId="16819" xr:uid="{00000000-0005-0000-0000-0000B0410000}"/>
    <cellStyle name="Comma 2 8 13 4 4" xfId="16820" xr:uid="{00000000-0005-0000-0000-0000B1410000}"/>
    <cellStyle name="Comma 2 8 13 5" xfId="16821" xr:uid="{00000000-0005-0000-0000-0000B2410000}"/>
    <cellStyle name="Comma 2 8 13 5 2" xfId="16822" xr:uid="{00000000-0005-0000-0000-0000B3410000}"/>
    <cellStyle name="Comma 2 8 13 6" xfId="16823" xr:uid="{00000000-0005-0000-0000-0000B4410000}"/>
    <cellStyle name="Comma 2 8 13 7" xfId="16824" xr:uid="{00000000-0005-0000-0000-0000B5410000}"/>
    <cellStyle name="Comma 2 8 13 8" xfId="16825" xr:uid="{00000000-0005-0000-0000-0000B6410000}"/>
    <cellStyle name="Comma 2 8 13 9" xfId="16826" xr:uid="{00000000-0005-0000-0000-0000B7410000}"/>
    <cellStyle name="Comma 2 8 14" xfId="16827" xr:uid="{00000000-0005-0000-0000-0000B8410000}"/>
    <cellStyle name="Comma 2 8 14 2" xfId="16828" xr:uid="{00000000-0005-0000-0000-0000B9410000}"/>
    <cellStyle name="Comma 2 8 14 2 2" xfId="16829" xr:uid="{00000000-0005-0000-0000-0000BA410000}"/>
    <cellStyle name="Comma 2 8 14 2 2 2" xfId="16830" xr:uid="{00000000-0005-0000-0000-0000BB410000}"/>
    <cellStyle name="Comma 2 8 14 2 2 3" xfId="16831" xr:uid="{00000000-0005-0000-0000-0000BC410000}"/>
    <cellStyle name="Comma 2 8 14 2 3" xfId="16832" xr:uid="{00000000-0005-0000-0000-0000BD410000}"/>
    <cellStyle name="Comma 2 8 14 2 4" xfId="16833" xr:uid="{00000000-0005-0000-0000-0000BE410000}"/>
    <cellStyle name="Comma 2 8 14 2 5" xfId="16834" xr:uid="{00000000-0005-0000-0000-0000BF410000}"/>
    <cellStyle name="Comma 2 8 14 2 6" xfId="16835" xr:uid="{00000000-0005-0000-0000-0000C0410000}"/>
    <cellStyle name="Comma 2 8 14 3" xfId="16836" xr:uid="{00000000-0005-0000-0000-0000C1410000}"/>
    <cellStyle name="Comma 2 8 14 3 2" xfId="16837" xr:uid="{00000000-0005-0000-0000-0000C2410000}"/>
    <cellStyle name="Comma 2 8 14 3 2 2" xfId="16838" xr:uid="{00000000-0005-0000-0000-0000C3410000}"/>
    <cellStyle name="Comma 2 8 14 3 3" xfId="16839" xr:uid="{00000000-0005-0000-0000-0000C4410000}"/>
    <cellStyle name="Comma 2 8 14 3 4" xfId="16840" xr:uid="{00000000-0005-0000-0000-0000C5410000}"/>
    <cellStyle name="Comma 2 8 14 3 5" xfId="16841" xr:uid="{00000000-0005-0000-0000-0000C6410000}"/>
    <cellStyle name="Comma 2 8 14 4" xfId="16842" xr:uid="{00000000-0005-0000-0000-0000C7410000}"/>
    <cellStyle name="Comma 2 8 14 4 2" xfId="16843" xr:uid="{00000000-0005-0000-0000-0000C8410000}"/>
    <cellStyle name="Comma 2 8 14 4 3" xfId="16844" xr:uid="{00000000-0005-0000-0000-0000C9410000}"/>
    <cellStyle name="Comma 2 8 14 4 4" xfId="16845" xr:uid="{00000000-0005-0000-0000-0000CA410000}"/>
    <cellStyle name="Comma 2 8 14 5" xfId="16846" xr:uid="{00000000-0005-0000-0000-0000CB410000}"/>
    <cellStyle name="Comma 2 8 14 5 2" xfId="16847" xr:uid="{00000000-0005-0000-0000-0000CC410000}"/>
    <cellStyle name="Comma 2 8 14 6" xfId="16848" xr:uid="{00000000-0005-0000-0000-0000CD410000}"/>
    <cellStyle name="Comma 2 8 14 7" xfId="16849" xr:uid="{00000000-0005-0000-0000-0000CE410000}"/>
    <cellStyle name="Comma 2 8 14 8" xfId="16850" xr:uid="{00000000-0005-0000-0000-0000CF410000}"/>
    <cellStyle name="Comma 2 8 14 9" xfId="16851" xr:uid="{00000000-0005-0000-0000-0000D0410000}"/>
    <cellStyle name="Comma 2 8 15" xfId="16852" xr:uid="{00000000-0005-0000-0000-0000D1410000}"/>
    <cellStyle name="Comma 2 8 15 2" xfId="16853" xr:uid="{00000000-0005-0000-0000-0000D2410000}"/>
    <cellStyle name="Comma 2 8 15 2 2" xfId="16854" xr:uid="{00000000-0005-0000-0000-0000D3410000}"/>
    <cellStyle name="Comma 2 8 15 2 3" xfId="16855" xr:uid="{00000000-0005-0000-0000-0000D4410000}"/>
    <cellStyle name="Comma 2 8 15 3" xfId="16856" xr:uid="{00000000-0005-0000-0000-0000D5410000}"/>
    <cellStyle name="Comma 2 8 15 4" xfId="16857" xr:uid="{00000000-0005-0000-0000-0000D6410000}"/>
    <cellStyle name="Comma 2 8 15 5" xfId="16858" xr:uid="{00000000-0005-0000-0000-0000D7410000}"/>
    <cellStyle name="Comma 2 8 15 6" xfId="16859" xr:uid="{00000000-0005-0000-0000-0000D8410000}"/>
    <cellStyle name="Comma 2 8 16" xfId="16860" xr:uid="{00000000-0005-0000-0000-0000D9410000}"/>
    <cellStyle name="Comma 2 8 16 2" xfId="16861" xr:uid="{00000000-0005-0000-0000-0000DA410000}"/>
    <cellStyle name="Comma 2 8 16 2 2" xfId="16862" xr:uid="{00000000-0005-0000-0000-0000DB410000}"/>
    <cellStyle name="Comma 2 8 16 3" xfId="16863" xr:uid="{00000000-0005-0000-0000-0000DC410000}"/>
    <cellStyle name="Comma 2 8 16 4" xfId="16864" xr:uid="{00000000-0005-0000-0000-0000DD410000}"/>
    <cellStyle name="Comma 2 8 16 5" xfId="16865" xr:uid="{00000000-0005-0000-0000-0000DE410000}"/>
    <cellStyle name="Comma 2 8 17" xfId="16866" xr:uid="{00000000-0005-0000-0000-0000DF410000}"/>
    <cellStyle name="Comma 2 8 17 2" xfId="16867" xr:uid="{00000000-0005-0000-0000-0000E0410000}"/>
    <cellStyle name="Comma 2 8 17 2 2" xfId="16868" xr:uid="{00000000-0005-0000-0000-0000E1410000}"/>
    <cellStyle name="Comma 2 8 17 3" xfId="16869" xr:uid="{00000000-0005-0000-0000-0000E2410000}"/>
    <cellStyle name="Comma 2 8 17 4" xfId="16870" xr:uid="{00000000-0005-0000-0000-0000E3410000}"/>
    <cellStyle name="Comma 2 8 17 5" xfId="16871" xr:uid="{00000000-0005-0000-0000-0000E4410000}"/>
    <cellStyle name="Comma 2 8 18" xfId="16872" xr:uid="{00000000-0005-0000-0000-0000E5410000}"/>
    <cellStyle name="Comma 2 8 18 2" xfId="16873" xr:uid="{00000000-0005-0000-0000-0000E6410000}"/>
    <cellStyle name="Comma 2 8 19" xfId="16874" xr:uid="{00000000-0005-0000-0000-0000E7410000}"/>
    <cellStyle name="Comma 2 8 2" xfId="16875" xr:uid="{00000000-0005-0000-0000-0000E8410000}"/>
    <cellStyle name="Comma 2 8 2 10" xfId="16876" xr:uid="{00000000-0005-0000-0000-0000E9410000}"/>
    <cellStyle name="Comma 2 8 2 11" xfId="16877" xr:uid="{00000000-0005-0000-0000-0000EA410000}"/>
    <cellStyle name="Comma 2 8 2 2" xfId="16878" xr:uid="{00000000-0005-0000-0000-0000EB410000}"/>
    <cellStyle name="Comma 2 8 2 2 2" xfId="16879" xr:uid="{00000000-0005-0000-0000-0000EC410000}"/>
    <cellStyle name="Comma 2 8 2 2 2 2" xfId="16880" xr:uid="{00000000-0005-0000-0000-0000ED410000}"/>
    <cellStyle name="Comma 2 8 2 2 2 2 2" xfId="16881" xr:uid="{00000000-0005-0000-0000-0000EE410000}"/>
    <cellStyle name="Comma 2 8 2 2 2 2 3" xfId="16882" xr:uid="{00000000-0005-0000-0000-0000EF410000}"/>
    <cellStyle name="Comma 2 8 2 2 2 3" xfId="16883" xr:uid="{00000000-0005-0000-0000-0000F0410000}"/>
    <cellStyle name="Comma 2 8 2 2 2 4" xfId="16884" xr:uid="{00000000-0005-0000-0000-0000F1410000}"/>
    <cellStyle name="Comma 2 8 2 2 2 5" xfId="16885" xr:uid="{00000000-0005-0000-0000-0000F2410000}"/>
    <cellStyle name="Comma 2 8 2 2 2 6" xfId="16886" xr:uid="{00000000-0005-0000-0000-0000F3410000}"/>
    <cellStyle name="Comma 2 8 2 2 3" xfId="16887" xr:uid="{00000000-0005-0000-0000-0000F4410000}"/>
    <cellStyle name="Comma 2 8 2 2 3 2" xfId="16888" xr:uid="{00000000-0005-0000-0000-0000F5410000}"/>
    <cellStyle name="Comma 2 8 2 2 3 2 2" xfId="16889" xr:uid="{00000000-0005-0000-0000-0000F6410000}"/>
    <cellStyle name="Comma 2 8 2 2 3 3" xfId="16890" xr:uid="{00000000-0005-0000-0000-0000F7410000}"/>
    <cellStyle name="Comma 2 8 2 2 3 4" xfId="16891" xr:uid="{00000000-0005-0000-0000-0000F8410000}"/>
    <cellStyle name="Comma 2 8 2 2 3 5" xfId="16892" xr:uid="{00000000-0005-0000-0000-0000F9410000}"/>
    <cellStyle name="Comma 2 8 2 2 4" xfId="16893" xr:uid="{00000000-0005-0000-0000-0000FA410000}"/>
    <cellStyle name="Comma 2 8 2 2 4 2" xfId="16894" xr:uid="{00000000-0005-0000-0000-0000FB410000}"/>
    <cellStyle name="Comma 2 8 2 2 4 3" xfId="16895" xr:uid="{00000000-0005-0000-0000-0000FC410000}"/>
    <cellStyle name="Comma 2 8 2 2 4 4" xfId="16896" xr:uid="{00000000-0005-0000-0000-0000FD410000}"/>
    <cellStyle name="Comma 2 8 2 2 5" xfId="16897" xr:uid="{00000000-0005-0000-0000-0000FE410000}"/>
    <cellStyle name="Comma 2 8 2 2 5 2" xfId="16898" xr:uid="{00000000-0005-0000-0000-0000FF410000}"/>
    <cellStyle name="Comma 2 8 2 2 6" xfId="16899" xr:uid="{00000000-0005-0000-0000-000000420000}"/>
    <cellStyle name="Comma 2 8 2 2 7" xfId="16900" xr:uid="{00000000-0005-0000-0000-000001420000}"/>
    <cellStyle name="Comma 2 8 2 2 8" xfId="16901" xr:uid="{00000000-0005-0000-0000-000002420000}"/>
    <cellStyle name="Comma 2 8 2 2 9" xfId="16902" xr:uid="{00000000-0005-0000-0000-000003420000}"/>
    <cellStyle name="Comma 2 8 2 3" xfId="16903" xr:uid="{00000000-0005-0000-0000-000004420000}"/>
    <cellStyle name="Comma 2 8 2 3 2" xfId="16904" xr:uid="{00000000-0005-0000-0000-000005420000}"/>
    <cellStyle name="Comma 2 8 2 3 2 2" xfId="16905" xr:uid="{00000000-0005-0000-0000-000006420000}"/>
    <cellStyle name="Comma 2 8 2 3 2 2 2" xfId="16906" xr:uid="{00000000-0005-0000-0000-000007420000}"/>
    <cellStyle name="Comma 2 8 2 3 2 2 3" xfId="16907" xr:uid="{00000000-0005-0000-0000-000008420000}"/>
    <cellStyle name="Comma 2 8 2 3 2 3" xfId="16908" xr:uid="{00000000-0005-0000-0000-000009420000}"/>
    <cellStyle name="Comma 2 8 2 3 2 4" xfId="16909" xr:uid="{00000000-0005-0000-0000-00000A420000}"/>
    <cellStyle name="Comma 2 8 2 3 2 5" xfId="16910" xr:uid="{00000000-0005-0000-0000-00000B420000}"/>
    <cellStyle name="Comma 2 8 2 3 2 6" xfId="16911" xr:uid="{00000000-0005-0000-0000-00000C420000}"/>
    <cellStyle name="Comma 2 8 2 3 3" xfId="16912" xr:uid="{00000000-0005-0000-0000-00000D420000}"/>
    <cellStyle name="Comma 2 8 2 3 3 2" xfId="16913" xr:uid="{00000000-0005-0000-0000-00000E420000}"/>
    <cellStyle name="Comma 2 8 2 3 3 2 2" xfId="16914" xr:uid="{00000000-0005-0000-0000-00000F420000}"/>
    <cellStyle name="Comma 2 8 2 3 3 3" xfId="16915" xr:uid="{00000000-0005-0000-0000-000010420000}"/>
    <cellStyle name="Comma 2 8 2 3 3 4" xfId="16916" xr:uid="{00000000-0005-0000-0000-000011420000}"/>
    <cellStyle name="Comma 2 8 2 3 3 5" xfId="16917" xr:uid="{00000000-0005-0000-0000-000012420000}"/>
    <cellStyle name="Comma 2 8 2 3 4" xfId="16918" xr:uid="{00000000-0005-0000-0000-000013420000}"/>
    <cellStyle name="Comma 2 8 2 3 4 2" xfId="16919" xr:uid="{00000000-0005-0000-0000-000014420000}"/>
    <cellStyle name="Comma 2 8 2 3 4 3" xfId="16920" xr:uid="{00000000-0005-0000-0000-000015420000}"/>
    <cellStyle name="Comma 2 8 2 3 4 4" xfId="16921" xr:uid="{00000000-0005-0000-0000-000016420000}"/>
    <cellStyle name="Comma 2 8 2 3 5" xfId="16922" xr:uid="{00000000-0005-0000-0000-000017420000}"/>
    <cellStyle name="Comma 2 8 2 3 5 2" xfId="16923" xr:uid="{00000000-0005-0000-0000-000018420000}"/>
    <cellStyle name="Comma 2 8 2 3 6" xfId="16924" xr:uid="{00000000-0005-0000-0000-000019420000}"/>
    <cellStyle name="Comma 2 8 2 3 7" xfId="16925" xr:uid="{00000000-0005-0000-0000-00001A420000}"/>
    <cellStyle name="Comma 2 8 2 3 8" xfId="16926" xr:uid="{00000000-0005-0000-0000-00001B420000}"/>
    <cellStyle name="Comma 2 8 2 3 9" xfId="16927" xr:uid="{00000000-0005-0000-0000-00001C420000}"/>
    <cellStyle name="Comma 2 8 2 4" xfId="16928" xr:uid="{00000000-0005-0000-0000-00001D420000}"/>
    <cellStyle name="Comma 2 8 2 4 2" xfId="16929" xr:uid="{00000000-0005-0000-0000-00001E420000}"/>
    <cellStyle name="Comma 2 8 2 4 2 2" xfId="16930" xr:uid="{00000000-0005-0000-0000-00001F420000}"/>
    <cellStyle name="Comma 2 8 2 4 2 3" xfId="16931" xr:uid="{00000000-0005-0000-0000-000020420000}"/>
    <cellStyle name="Comma 2 8 2 4 3" xfId="16932" xr:uid="{00000000-0005-0000-0000-000021420000}"/>
    <cellStyle name="Comma 2 8 2 4 4" xfId="16933" xr:uid="{00000000-0005-0000-0000-000022420000}"/>
    <cellStyle name="Comma 2 8 2 4 5" xfId="16934" xr:uid="{00000000-0005-0000-0000-000023420000}"/>
    <cellStyle name="Comma 2 8 2 4 6" xfId="16935" xr:uid="{00000000-0005-0000-0000-000024420000}"/>
    <cellStyle name="Comma 2 8 2 5" xfId="16936" xr:uid="{00000000-0005-0000-0000-000025420000}"/>
    <cellStyle name="Comma 2 8 2 5 2" xfId="16937" xr:uid="{00000000-0005-0000-0000-000026420000}"/>
    <cellStyle name="Comma 2 8 2 5 2 2" xfId="16938" xr:uid="{00000000-0005-0000-0000-000027420000}"/>
    <cellStyle name="Comma 2 8 2 5 3" xfId="16939" xr:uid="{00000000-0005-0000-0000-000028420000}"/>
    <cellStyle name="Comma 2 8 2 5 4" xfId="16940" xr:uid="{00000000-0005-0000-0000-000029420000}"/>
    <cellStyle name="Comma 2 8 2 5 5" xfId="16941" xr:uid="{00000000-0005-0000-0000-00002A420000}"/>
    <cellStyle name="Comma 2 8 2 6" xfId="16942" xr:uid="{00000000-0005-0000-0000-00002B420000}"/>
    <cellStyle name="Comma 2 8 2 6 2" xfId="16943" xr:uid="{00000000-0005-0000-0000-00002C420000}"/>
    <cellStyle name="Comma 2 8 2 6 3" xfId="16944" xr:uid="{00000000-0005-0000-0000-00002D420000}"/>
    <cellStyle name="Comma 2 8 2 6 4" xfId="16945" xr:uid="{00000000-0005-0000-0000-00002E420000}"/>
    <cellStyle name="Comma 2 8 2 7" xfId="16946" xr:uid="{00000000-0005-0000-0000-00002F420000}"/>
    <cellStyle name="Comma 2 8 2 7 2" xfId="16947" xr:uid="{00000000-0005-0000-0000-000030420000}"/>
    <cellStyle name="Comma 2 8 2 8" xfId="16948" xr:uid="{00000000-0005-0000-0000-000031420000}"/>
    <cellStyle name="Comma 2 8 2 9" xfId="16949" xr:uid="{00000000-0005-0000-0000-000032420000}"/>
    <cellStyle name="Comma 2 8 20" xfId="16950" xr:uid="{00000000-0005-0000-0000-000033420000}"/>
    <cellStyle name="Comma 2 8 21" xfId="16951" xr:uid="{00000000-0005-0000-0000-000034420000}"/>
    <cellStyle name="Comma 2 8 22" xfId="16952" xr:uid="{00000000-0005-0000-0000-000035420000}"/>
    <cellStyle name="Comma 2 8 3" xfId="16953" xr:uid="{00000000-0005-0000-0000-000036420000}"/>
    <cellStyle name="Comma 2 8 3 10" xfId="16954" xr:uid="{00000000-0005-0000-0000-000037420000}"/>
    <cellStyle name="Comma 2 8 3 11" xfId="16955" xr:uid="{00000000-0005-0000-0000-000038420000}"/>
    <cellStyle name="Comma 2 8 3 2" xfId="16956" xr:uid="{00000000-0005-0000-0000-000039420000}"/>
    <cellStyle name="Comma 2 8 3 2 2" xfId="16957" xr:uid="{00000000-0005-0000-0000-00003A420000}"/>
    <cellStyle name="Comma 2 8 3 2 2 2" xfId="16958" xr:uid="{00000000-0005-0000-0000-00003B420000}"/>
    <cellStyle name="Comma 2 8 3 2 2 2 2" xfId="16959" xr:uid="{00000000-0005-0000-0000-00003C420000}"/>
    <cellStyle name="Comma 2 8 3 2 2 2 3" xfId="16960" xr:uid="{00000000-0005-0000-0000-00003D420000}"/>
    <cellStyle name="Comma 2 8 3 2 2 3" xfId="16961" xr:uid="{00000000-0005-0000-0000-00003E420000}"/>
    <cellStyle name="Comma 2 8 3 2 2 4" xfId="16962" xr:uid="{00000000-0005-0000-0000-00003F420000}"/>
    <cellStyle name="Comma 2 8 3 2 2 5" xfId="16963" xr:uid="{00000000-0005-0000-0000-000040420000}"/>
    <cellStyle name="Comma 2 8 3 2 2 6" xfId="16964" xr:uid="{00000000-0005-0000-0000-000041420000}"/>
    <cellStyle name="Comma 2 8 3 2 3" xfId="16965" xr:uid="{00000000-0005-0000-0000-000042420000}"/>
    <cellStyle name="Comma 2 8 3 2 3 2" xfId="16966" xr:uid="{00000000-0005-0000-0000-000043420000}"/>
    <cellStyle name="Comma 2 8 3 2 3 2 2" xfId="16967" xr:uid="{00000000-0005-0000-0000-000044420000}"/>
    <cellStyle name="Comma 2 8 3 2 3 3" xfId="16968" xr:uid="{00000000-0005-0000-0000-000045420000}"/>
    <cellStyle name="Comma 2 8 3 2 3 4" xfId="16969" xr:uid="{00000000-0005-0000-0000-000046420000}"/>
    <cellStyle name="Comma 2 8 3 2 3 5" xfId="16970" xr:uid="{00000000-0005-0000-0000-000047420000}"/>
    <cellStyle name="Comma 2 8 3 2 4" xfId="16971" xr:uid="{00000000-0005-0000-0000-000048420000}"/>
    <cellStyle name="Comma 2 8 3 2 4 2" xfId="16972" xr:uid="{00000000-0005-0000-0000-000049420000}"/>
    <cellStyle name="Comma 2 8 3 2 4 3" xfId="16973" xr:uid="{00000000-0005-0000-0000-00004A420000}"/>
    <cellStyle name="Comma 2 8 3 2 4 4" xfId="16974" xr:uid="{00000000-0005-0000-0000-00004B420000}"/>
    <cellStyle name="Comma 2 8 3 2 5" xfId="16975" xr:uid="{00000000-0005-0000-0000-00004C420000}"/>
    <cellStyle name="Comma 2 8 3 2 5 2" xfId="16976" xr:uid="{00000000-0005-0000-0000-00004D420000}"/>
    <cellStyle name="Comma 2 8 3 2 6" xfId="16977" xr:uid="{00000000-0005-0000-0000-00004E420000}"/>
    <cellStyle name="Comma 2 8 3 2 7" xfId="16978" xr:uid="{00000000-0005-0000-0000-00004F420000}"/>
    <cellStyle name="Comma 2 8 3 2 8" xfId="16979" xr:uid="{00000000-0005-0000-0000-000050420000}"/>
    <cellStyle name="Comma 2 8 3 2 9" xfId="16980" xr:uid="{00000000-0005-0000-0000-000051420000}"/>
    <cellStyle name="Comma 2 8 3 3" xfId="16981" xr:uid="{00000000-0005-0000-0000-000052420000}"/>
    <cellStyle name="Comma 2 8 3 3 2" xfId="16982" xr:uid="{00000000-0005-0000-0000-000053420000}"/>
    <cellStyle name="Comma 2 8 3 3 2 2" xfId="16983" xr:uid="{00000000-0005-0000-0000-000054420000}"/>
    <cellStyle name="Comma 2 8 3 3 2 2 2" xfId="16984" xr:uid="{00000000-0005-0000-0000-000055420000}"/>
    <cellStyle name="Comma 2 8 3 3 2 2 3" xfId="16985" xr:uid="{00000000-0005-0000-0000-000056420000}"/>
    <cellStyle name="Comma 2 8 3 3 2 3" xfId="16986" xr:uid="{00000000-0005-0000-0000-000057420000}"/>
    <cellStyle name="Comma 2 8 3 3 2 4" xfId="16987" xr:uid="{00000000-0005-0000-0000-000058420000}"/>
    <cellStyle name="Comma 2 8 3 3 2 5" xfId="16988" xr:uid="{00000000-0005-0000-0000-000059420000}"/>
    <cellStyle name="Comma 2 8 3 3 2 6" xfId="16989" xr:uid="{00000000-0005-0000-0000-00005A420000}"/>
    <cellStyle name="Comma 2 8 3 3 3" xfId="16990" xr:uid="{00000000-0005-0000-0000-00005B420000}"/>
    <cellStyle name="Comma 2 8 3 3 3 2" xfId="16991" xr:uid="{00000000-0005-0000-0000-00005C420000}"/>
    <cellStyle name="Comma 2 8 3 3 3 2 2" xfId="16992" xr:uid="{00000000-0005-0000-0000-00005D420000}"/>
    <cellStyle name="Comma 2 8 3 3 3 3" xfId="16993" xr:uid="{00000000-0005-0000-0000-00005E420000}"/>
    <cellStyle name="Comma 2 8 3 3 3 4" xfId="16994" xr:uid="{00000000-0005-0000-0000-00005F420000}"/>
    <cellStyle name="Comma 2 8 3 3 3 5" xfId="16995" xr:uid="{00000000-0005-0000-0000-000060420000}"/>
    <cellStyle name="Comma 2 8 3 3 4" xfId="16996" xr:uid="{00000000-0005-0000-0000-000061420000}"/>
    <cellStyle name="Comma 2 8 3 3 4 2" xfId="16997" xr:uid="{00000000-0005-0000-0000-000062420000}"/>
    <cellStyle name="Comma 2 8 3 3 4 3" xfId="16998" xr:uid="{00000000-0005-0000-0000-000063420000}"/>
    <cellStyle name="Comma 2 8 3 3 4 4" xfId="16999" xr:uid="{00000000-0005-0000-0000-000064420000}"/>
    <cellStyle name="Comma 2 8 3 3 5" xfId="17000" xr:uid="{00000000-0005-0000-0000-000065420000}"/>
    <cellStyle name="Comma 2 8 3 3 5 2" xfId="17001" xr:uid="{00000000-0005-0000-0000-000066420000}"/>
    <cellStyle name="Comma 2 8 3 3 6" xfId="17002" xr:uid="{00000000-0005-0000-0000-000067420000}"/>
    <cellStyle name="Comma 2 8 3 3 7" xfId="17003" xr:uid="{00000000-0005-0000-0000-000068420000}"/>
    <cellStyle name="Comma 2 8 3 3 8" xfId="17004" xr:uid="{00000000-0005-0000-0000-000069420000}"/>
    <cellStyle name="Comma 2 8 3 3 9" xfId="17005" xr:uid="{00000000-0005-0000-0000-00006A420000}"/>
    <cellStyle name="Comma 2 8 3 4" xfId="17006" xr:uid="{00000000-0005-0000-0000-00006B420000}"/>
    <cellStyle name="Comma 2 8 3 4 2" xfId="17007" xr:uid="{00000000-0005-0000-0000-00006C420000}"/>
    <cellStyle name="Comma 2 8 3 4 2 2" xfId="17008" xr:uid="{00000000-0005-0000-0000-00006D420000}"/>
    <cellStyle name="Comma 2 8 3 4 2 3" xfId="17009" xr:uid="{00000000-0005-0000-0000-00006E420000}"/>
    <cellStyle name="Comma 2 8 3 4 3" xfId="17010" xr:uid="{00000000-0005-0000-0000-00006F420000}"/>
    <cellStyle name="Comma 2 8 3 4 4" xfId="17011" xr:uid="{00000000-0005-0000-0000-000070420000}"/>
    <cellStyle name="Comma 2 8 3 4 5" xfId="17012" xr:uid="{00000000-0005-0000-0000-000071420000}"/>
    <cellStyle name="Comma 2 8 3 4 6" xfId="17013" xr:uid="{00000000-0005-0000-0000-000072420000}"/>
    <cellStyle name="Comma 2 8 3 5" xfId="17014" xr:uid="{00000000-0005-0000-0000-000073420000}"/>
    <cellStyle name="Comma 2 8 3 5 2" xfId="17015" xr:uid="{00000000-0005-0000-0000-000074420000}"/>
    <cellStyle name="Comma 2 8 3 5 2 2" xfId="17016" xr:uid="{00000000-0005-0000-0000-000075420000}"/>
    <cellStyle name="Comma 2 8 3 5 3" xfId="17017" xr:uid="{00000000-0005-0000-0000-000076420000}"/>
    <cellStyle name="Comma 2 8 3 5 4" xfId="17018" xr:uid="{00000000-0005-0000-0000-000077420000}"/>
    <cellStyle name="Comma 2 8 3 5 5" xfId="17019" xr:uid="{00000000-0005-0000-0000-000078420000}"/>
    <cellStyle name="Comma 2 8 3 6" xfId="17020" xr:uid="{00000000-0005-0000-0000-000079420000}"/>
    <cellStyle name="Comma 2 8 3 6 2" xfId="17021" xr:uid="{00000000-0005-0000-0000-00007A420000}"/>
    <cellStyle name="Comma 2 8 3 6 3" xfId="17022" xr:uid="{00000000-0005-0000-0000-00007B420000}"/>
    <cellStyle name="Comma 2 8 3 6 4" xfId="17023" xr:uid="{00000000-0005-0000-0000-00007C420000}"/>
    <cellStyle name="Comma 2 8 3 7" xfId="17024" xr:uid="{00000000-0005-0000-0000-00007D420000}"/>
    <cellStyle name="Comma 2 8 3 7 2" xfId="17025" xr:uid="{00000000-0005-0000-0000-00007E420000}"/>
    <cellStyle name="Comma 2 8 3 8" xfId="17026" xr:uid="{00000000-0005-0000-0000-00007F420000}"/>
    <cellStyle name="Comma 2 8 3 9" xfId="17027" xr:uid="{00000000-0005-0000-0000-000080420000}"/>
    <cellStyle name="Comma 2 8 4" xfId="17028" xr:uid="{00000000-0005-0000-0000-000081420000}"/>
    <cellStyle name="Comma 2 8 4 10" xfId="17029" xr:uid="{00000000-0005-0000-0000-000082420000}"/>
    <cellStyle name="Comma 2 8 4 11" xfId="17030" xr:uid="{00000000-0005-0000-0000-000083420000}"/>
    <cellStyle name="Comma 2 8 4 2" xfId="17031" xr:uid="{00000000-0005-0000-0000-000084420000}"/>
    <cellStyle name="Comma 2 8 4 2 2" xfId="17032" xr:uid="{00000000-0005-0000-0000-000085420000}"/>
    <cellStyle name="Comma 2 8 4 2 2 2" xfId="17033" xr:uid="{00000000-0005-0000-0000-000086420000}"/>
    <cellStyle name="Comma 2 8 4 2 2 2 2" xfId="17034" xr:uid="{00000000-0005-0000-0000-000087420000}"/>
    <cellStyle name="Comma 2 8 4 2 2 2 3" xfId="17035" xr:uid="{00000000-0005-0000-0000-000088420000}"/>
    <cellStyle name="Comma 2 8 4 2 2 3" xfId="17036" xr:uid="{00000000-0005-0000-0000-000089420000}"/>
    <cellStyle name="Comma 2 8 4 2 2 4" xfId="17037" xr:uid="{00000000-0005-0000-0000-00008A420000}"/>
    <cellStyle name="Comma 2 8 4 2 2 5" xfId="17038" xr:uid="{00000000-0005-0000-0000-00008B420000}"/>
    <cellStyle name="Comma 2 8 4 2 2 6" xfId="17039" xr:uid="{00000000-0005-0000-0000-00008C420000}"/>
    <cellStyle name="Comma 2 8 4 2 3" xfId="17040" xr:uid="{00000000-0005-0000-0000-00008D420000}"/>
    <cellStyle name="Comma 2 8 4 2 3 2" xfId="17041" xr:uid="{00000000-0005-0000-0000-00008E420000}"/>
    <cellStyle name="Comma 2 8 4 2 3 2 2" xfId="17042" xr:uid="{00000000-0005-0000-0000-00008F420000}"/>
    <cellStyle name="Comma 2 8 4 2 3 3" xfId="17043" xr:uid="{00000000-0005-0000-0000-000090420000}"/>
    <cellStyle name="Comma 2 8 4 2 3 4" xfId="17044" xr:uid="{00000000-0005-0000-0000-000091420000}"/>
    <cellStyle name="Comma 2 8 4 2 3 5" xfId="17045" xr:uid="{00000000-0005-0000-0000-000092420000}"/>
    <cellStyle name="Comma 2 8 4 2 4" xfId="17046" xr:uid="{00000000-0005-0000-0000-000093420000}"/>
    <cellStyle name="Comma 2 8 4 2 4 2" xfId="17047" xr:uid="{00000000-0005-0000-0000-000094420000}"/>
    <cellStyle name="Comma 2 8 4 2 4 3" xfId="17048" xr:uid="{00000000-0005-0000-0000-000095420000}"/>
    <cellStyle name="Comma 2 8 4 2 4 4" xfId="17049" xr:uid="{00000000-0005-0000-0000-000096420000}"/>
    <cellStyle name="Comma 2 8 4 2 5" xfId="17050" xr:uid="{00000000-0005-0000-0000-000097420000}"/>
    <cellStyle name="Comma 2 8 4 2 5 2" xfId="17051" xr:uid="{00000000-0005-0000-0000-000098420000}"/>
    <cellStyle name="Comma 2 8 4 2 6" xfId="17052" xr:uid="{00000000-0005-0000-0000-000099420000}"/>
    <cellStyle name="Comma 2 8 4 2 7" xfId="17053" xr:uid="{00000000-0005-0000-0000-00009A420000}"/>
    <cellStyle name="Comma 2 8 4 2 8" xfId="17054" xr:uid="{00000000-0005-0000-0000-00009B420000}"/>
    <cellStyle name="Comma 2 8 4 2 9" xfId="17055" xr:uid="{00000000-0005-0000-0000-00009C420000}"/>
    <cellStyle name="Comma 2 8 4 3" xfId="17056" xr:uid="{00000000-0005-0000-0000-00009D420000}"/>
    <cellStyle name="Comma 2 8 4 3 2" xfId="17057" xr:uid="{00000000-0005-0000-0000-00009E420000}"/>
    <cellStyle name="Comma 2 8 4 3 2 2" xfId="17058" xr:uid="{00000000-0005-0000-0000-00009F420000}"/>
    <cellStyle name="Comma 2 8 4 3 2 2 2" xfId="17059" xr:uid="{00000000-0005-0000-0000-0000A0420000}"/>
    <cellStyle name="Comma 2 8 4 3 2 2 3" xfId="17060" xr:uid="{00000000-0005-0000-0000-0000A1420000}"/>
    <cellStyle name="Comma 2 8 4 3 2 3" xfId="17061" xr:uid="{00000000-0005-0000-0000-0000A2420000}"/>
    <cellStyle name="Comma 2 8 4 3 2 4" xfId="17062" xr:uid="{00000000-0005-0000-0000-0000A3420000}"/>
    <cellStyle name="Comma 2 8 4 3 2 5" xfId="17063" xr:uid="{00000000-0005-0000-0000-0000A4420000}"/>
    <cellStyle name="Comma 2 8 4 3 2 6" xfId="17064" xr:uid="{00000000-0005-0000-0000-0000A5420000}"/>
    <cellStyle name="Comma 2 8 4 3 3" xfId="17065" xr:uid="{00000000-0005-0000-0000-0000A6420000}"/>
    <cellStyle name="Comma 2 8 4 3 3 2" xfId="17066" xr:uid="{00000000-0005-0000-0000-0000A7420000}"/>
    <cellStyle name="Comma 2 8 4 3 3 2 2" xfId="17067" xr:uid="{00000000-0005-0000-0000-0000A8420000}"/>
    <cellStyle name="Comma 2 8 4 3 3 3" xfId="17068" xr:uid="{00000000-0005-0000-0000-0000A9420000}"/>
    <cellStyle name="Comma 2 8 4 3 3 4" xfId="17069" xr:uid="{00000000-0005-0000-0000-0000AA420000}"/>
    <cellStyle name="Comma 2 8 4 3 3 5" xfId="17070" xr:uid="{00000000-0005-0000-0000-0000AB420000}"/>
    <cellStyle name="Comma 2 8 4 3 4" xfId="17071" xr:uid="{00000000-0005-0000-0000-0000AC420000}"/>
    <cellStyle name="Comma 2 8 4 3 4 2" xfId="17072" xr:uid="{00000000-0005-0000-0000-0000AD420000}"/>
    <cellStyle name="Comma 2 8 4 3 4 3" xfId="17073" xr:uid="{00000000-0005-0000-0000-0000AE420000}"/>
    <cellStyle name="Comma 2 8 4 3 4 4" xfId="17074" xr:uid="{00000000-0005-0000-0000-0000AF420000}"/>
    <cellStyle name="Comma 2 8 4 3 5" xfId="17075" xr:uid="{00000000-0005-0000-0000-0000B0420000}"/>
    <cellStyle name="Comma 2 8 4 3 5 2" xfId="17076" xr:uid="{00000000-0005-0000-0000-0000B1420000}"/>
    <cellStyle name="Comma 2 8 4 3 6" xfId="17077" xr:uid="{00000000-0005-0000-0000-0000B2420000}"/>
    <cellStyle name="Comma 2 8 4 3 7" xfId="17078" xr:uid="{00000000-0005-0000-0000-0000B3420000}"/>
    <cellStyle name="Comma 2 8 4 3 8" xfId="17079" xr:uid="{00000000-0005-0000-0000-0000B4420000}"/>
    <cellStyle name="Comma 2 8 4 3 9" xfId="17080" xr:uid="{00000000-0005-0000-0000-0000B5420000}"/>
    <cellStyle name="Comma 2 8 4 4" xfId="17081" xr:uid="{00000000-0005-0000-0000-0000B6420000}"/>
    <cellStyle name="Comma 2 8 4 4 2" xfId="17082" xr:uid="{00000000-0005-0000-0000-0000B7420000}"/>
    <cellStyle name="Comma 2 8 4 4 2 2" xfId="17083" xr:uid="{00000000-0005-0000-0000-0000B8420000}"/>
    <cellStyle name="Comma 2 8 4 4 2 3" xfId="17084" xr:uid="{00000000-0005-0000-0000-0000B9420000}"/>
    <cellStyle name="Comma 2 8 4 4 3" xfId="17085" xr:uid="{00000000-0005-0000-0000-0000BA420000}"/>
    <cellStyle name="Comma 2 8 4 4 4" xfId="17086" xr:uid="{00000000-0005-0000-0000-0000BB420000}"/>
    <cellStyle name="Comma 2 8 4 4 5" xfId="17087" xr:uid="{00000000-0005-0000-0000-0000BC420000}"/>
    <cellStyle name="Comma 2 8 4 4 6" xfId="17088" xr:uid="{00000000-0005-0000-0000-0000BD420000}"/>
    <cellStyle name="Comma 2 8 4 5" xfId="17089" xr:uid="{00000000-0005-0000-0000-0000BE420000}"/>
    <cellStyle name="Comma 2 8 4 5 2" xfId="17090" xr:uid="{00000000-0005-0000-0000-0000BF420000}"/>
    <cellStyle name="Comma 2 8 4 5 2 2" xfId="17091" xr:uid="{00000000-0005-0000-0000-0000C0420000}"/>
    <cellStyle name="Comma 2 8 4 5 3" xfId="17092" xr:uid="{00000000-0005-0000-0000-0000C1420000}"/>
    <cellStyle name="Comma 2 8 4 5 4" xfId="17093" xr:uid="{00000000-0005-0000-0000-0000C2420000}"/>
    <cellStyle name="Comma 2 8 4 5 5" xfId="17094" xr:uid="{00000000-0005-0000-0000-0000C3420000}"/>
    <cellStyle name="Comma 2 8 4 6" xfId="17095" xr:uid="{00000000-0005-0000-0000-0000C4420000}"/>
    <cellStyle name="Comma 2 8 4 6 2" xfId="17096" xr:uid="{00000000-0005-0000-0000-0000C5420000}"/>
    <cellStyle name="Comma 2 8 4 6 3" xfId="17097" xr:uid="{00000000-0005-0000-0000-0000C6420000}"/>
    <cellStyle name="Comma 2 8 4 6 4" xfId="17098" xr:uid="{00000000-0005-0000-0000-0000C7420000}"/>
    <cellStyle name="Comma 2 8 4 7" xfId="17099" xr:uid="{00000000-0005-0000-0000-0000C8420000}"/>
    <cellStyle name="Comma 2 8 4 7 2" xfId="17100" xr:uid="{00000000-0005-0000-0000-0000C9420000}"/>
    <cellStyle name="Comma 2 8 4 8" xfId="17101" xr:uid="{00000000-0005-0000-0000-0000CA420000}"/>
    <cellStyle name="Comma 2 8 4 9" xfId="17102" xr:uid="{00000000-0005-0000-0000-0000CB420000}"/>
    <cellStyle name="Comma 2 8 5" xfId="17103" xr:uid="{00000000-0005-0000-0000-0000CC420000}"/>
    <cellStyle name="Comma 2 8 5 10" xfId="17104" xr:uid="{00000000-0005-0000-0000-0000CD420000}"/>
    <cellStyle name="Comma 2 8 5 11" xfId="17105" xr:uid="{00000000-0005-0000-0000-0000CE420000}"/>
    <cellStyle name="Comma 2 8 5 2" xfId="17106" xr:uid="{00000000-0005-0000-0000-0000CF420000}"/>
    <cellStyle name="Comma 2 8 5 2 2" xfId="17107" xr:uid="{00000000-0005-0000-0000-0000D0420000}"/>
    <cellStyle name="Comma 2 8 5 2 2 2" xfId="17108" xr:uid="{00000000-0005-0000-0000-0000D1420000}"/>
    <cellStyle name="Comma 2 8 5 2 2 2 2" xfId="17109" xr:uid="{00000000-0005-0000-0000-0000D2420000}"/>
    <cellStyle name="Comma 2 8 5 2 2 2 3" xfId="17110" xr:uid="{00000000-0005-0000-0000-0000D3420000}"/>
    <cellStyle name="Comma 2 8 5 2 2 3" xfId="17111" xr:uid="{00000000-0005-0000-0000-0000D4420000}"/>
    <cellStyle name="Comma 2 8 5 2 2 4" xfId="17112" xr:uid="{00000000-0005-0000-0000-0000D5420000}"/>
    <cellStyle name="Comma 2 8 5 2 2 5" xfId="17113" xr:uid="{00000000-0005-0000-0000-0000D6420000}"/>
    <cellStyle name="Comma 2 8 5 2 2 6" xfId="17114" xr:uid="{00000000-0005-0000-0000-0000D7420000}"/>
    <cellStyle name="Comma 2 8 5 2 3" xfId="17115" xr:uid="{00000000-0005-0000-0000-0000D8420000}"/>
    <cellStyle name="Comma 2 8 5 2 3 2" xfId="17116" xr:uid="{00000000-0005-0000-0000-0000D9420000}"/>
    <cellStyle name="Comma 2 8 5 2 3 2 2" xfId="17117" xr:uid="{00000000-0005-0000-0000-0000DA420000}"/>
    <cellStyle name="Comma 2 8 5 2 3 3" xfId="17118" xr:uid="{00000000-0005-0000-0000-0000DB420000}"/>
    <cellStyle name="Comma 2 8 5 2 3 4" xfId="17119" xr:uid="{00000000-0005-0000-0000-0000DC420000}"/>
    <cellStyle name="Comma 2 8 5 2 3 5" xfId="17120" xr:uid="{00000000-0005-0000-0000-0000DD420000}"/>
    <cellStyle name="Comma 2 8 5 2 4" xfId="17121" xr:uid="{00000000-0005-0000-0000-0000DE420000}"/>
    <cellStyle name="Comma 2 8 5 2 4 2" xfId="17122" xr:uid="{00000000-0005-0000-0000-0000DF420000}"/>
    <cellStyle name="Comma 2 8 5 2 4 3" xfId="17123" xr:uid="{00000000-0005-0000-0000-0000E0420000}"/>
    <cellStyle name="Comma 2 8 5 2 4 4" xfId="17124" xr:uid="{00000000-0005-0000-0000-0000E1420000}"/>
    <cellStyle name="Comma 2 8 5 2 5" xfId="17125" xr:uid="{00000000-0005-0000-0000-0000E2420000}"/>
    <cellStyle name="Comma 2 8 5 2 5 2" xfId="17126" xr:uid="{00000000-0005-0000-0000-0000E3420000}"/>
    <cellStyle name="Comma 2 8 5 2 6" xfId="17127" xr:uid="{00000000-0005-0000-0000-0000E4420000}"/>
    <cellStyle name="Comma 2 8 5 2 7" xfId="17128" xr:uid="{00000000-0005-0000-0000-0000E5420000}"/>
    <cellStyle name="Comma 2 8 5 2 8" xfId="17129" xr:uid="{00000000-0005-0000-0000-0000E6420000}"/>
    <cellStyle name="Comma 2 8 5 2 9" xfId="17130" xr:uid="{00000000-0005-0000-0000-0000E7420000}"/>
    <cellStyle name="Comma 2 8 5 3" xfId="17131" xr:uid="{00000000-0005-0000-0000-0000E8420000}"/>
    <cellStyle name="Comma 2 8 5 3 2" xfId="17132" xr:uid="{00000000-0005-0000-0000-0000E9420000}"/>
    <cellStyle name="Comma 2 8 5 3 2 2" xfId="17133" xr:uid="{00000000-0005-0000-0000-0000EA420000}"/>
    <cellStyle name="Comma 2 8 5 3 2 2 2" xfId="17134" xr:uid="{00000000-0005-0000-0000-0000EB420000}"/>
    <cellStyle name="Comma 2 8 5 3 2 2 3" xfId="17135" xr:uid="{00000000-0005-0000-0000-0000EC420000}"/>
    <cellStyle name="Comma 2 8 5 3 2 3" xfId="17136" xr:uid="{00000000-0005-0000-0000-0000ED420000}"/>
    <cellStyle name="Comma 2 8 5 3 2 4" xfId="17137" xr:uid="{00000000-0005-0000-0000-0000EE420000}"/>
    <cellStyle name="Comma 2 8 5 3 2 5" xfId="17138" xr:uid="{00000000-0005-0000-0000-0000EF420000}"/>
    <cellStyle name="Comma 2 8 5 3 2 6" xfId="17139" xr:uid="{00000000-0005-0000-0000-0000F0420000}"/>
    <cellStyle name="Comma 2 8 5 3 3" xfId="17140" xr:uid="{00000000-0005-0000-0000-0000F1420000}"/>
    <cellStyle name="Comma 2 8 5 3 3 2" xfId="17141" xr:uid="{00000000-0005-0000-0000-0000F2420000}"/>
    <cellStyle name="Comma 2 8 5 3 3 2 2" xfId="17142" xr:uid="{00000000-0005-0000-0000-0000F3420000}"/>
    <cellStyle name="Comma 2 8 5 3 3 3" xfId="17143" xr:uid="{00000000-0005-0000-0000-0000F4420000}"/>
    <cellStyle name="Comma 2 8 5 3 3 4" xfId="17144" xr:uid="{00000000-0005-0000-0000-0000F5420000}"/>
    <cellStyle name="Comma 2 8 5 3 3 5" xfId="17145" xr:uid="{00000000-0005-0000-0000-0000F6420000}"/>
    <cellStyle name="Comma 2 8 5 3 4" xfId="17146" xr:uid="{00000000-0005-0000-0000-0000F7420000}"/>
    <cellStyle name="Comma 2 8 5 3 4 2" xfId="17147" xr:uid="{00000000-0005-0000-0000-0000F8420000}"/>
    <cellStyle name="Comma 2 8 5 3 4 3" xfId="17148" xr:uid="{00000000-0005-0000-0000-0000F9420000}"/>
    <cellStyle name="Comma 2 8 5 3 4 4" xfId="17149" xr:uid="{00000000-0005-0000-0000-0000FA420000}"/>
    <cellStyle name="Comma 2 8 5 3 5" xfId="17150" xr:uid="{00000000-0005-0000-0000-0000FB420000}"/>
    <cellStyle name="Comma 2 8 5 3 5 2" xfId="17151" xr:uid="{00000000-0005-0000-0000-0000FC420000}"/>
    <cellStyle name="Comma 2 8 5 3 6" xfId="17152" xr:uid="{00000000-0005-0000-0000-0000FD420000}"/>
    <cellStyle name="Comma 2 8 5 3 7" xfId="17153" xr:uid="{00000000-0005-0000-0000-0000FE420000}"/>
    <cellStyle name="Comma 2 8 5 3 8" xfId="17154" xr:uid="{00000000-0005-0000-0000-0000FF420000}"/>
    <cellStyle name="Comma 2 8 5 3 9" xfId="17155" xr:uid="{00000000-0005-0000-0000-000000430000}"/>
    <cellStyle name="Comma 2 8 5 4" xfId="17156" xr:uid="{00000000-0005-0000-0000-000001430000}"/>
    <cellStyle name="Comma 2 8 5 4 2" xfId="17157" xr:uid="{00000000-0005-0000-0000-000002430000}"/>
    <cellStyle name="Comma 2 8 5 4 2 2" xfId="17158" xr:uid="{00000000-0005-0000-0000-000003430000}"/>
    <cellStyle name="Comma 2 8 5 4 2 3" xfId="17159" xr:uid="{00000000-0005-0000-0000-000004430000}"/>
    <cellStyle name="Comma 2 8 5 4 3" xfId="17160" xr:uid="{00000000-0005-0000-0000-000005430000}"/>
    <cellStyle name="Comma 2 8 5 4 4" xfId="17161" xr:uid="{00000000-0005-0000-0000-000006430000}"/>
    <cellStyle name="Comma 2 8 5 4 5" xfId="17162" xr:uid="{00000000-0005-0000-0000-000007430000}"/>
    <cellStyle name="Comma 2 8 5 4 6" xfId="17163" xr:uid="{00000000-0005-0000-0000-000008430000}"/>
    <cellStyle name="Comma 2 8 5 5" xfId="17164" xr:uid="{00000000-0005-0000-0000-000009430000}"/>
    <cellStyle name="Comma 2 8 5 5 2" xfId="17165" xr:uid="{00000000-0005-0000-0000-00000A430000}"/>
    <cellStyle name="Comma 2 8 5 5 2 2" xfId="17166" xr:uid="{00000000-0005-0000-0000-00000B430000}"/>
    <cellStyle name="Comma 2 8 5 5 3" xfId="17167" xr:uid="{00000000-0005-0000-0000-00000C430000}"/>
    <cellStyle name="Comma 2 8 5 5 4" xfId="17168" xr:uid="{00000000-0005-0000-0000-00000D430000}"/>
    <cellStyle name="Comma 2 8 5 5 5" xfId="17169" xr:uid="{00000000-0005-0000-0000-00000E430000}"/>
    <cellStyle name="Comma 2 8 5 6" xfId="17170" xr:uid="{00000000-0005-0000-0000-00000F430000}"/>
    <cellStyle name="Comma 2 8 5 6 2" xfId="17171" xr:uid="{00000000-0005-0000-0000-000010430000}"/>
    <cellStyle name="Comma 2 8 5 6 3" xfId="17172" xr:uid="{00000000-0005-0000-0000-000011430000}"/>
    <cellStyle name="Comma 2 8 5 6 4" xfId="17173" xr:uid="{00000000-0005-0000-0000-000012430000}"/>
    <cellStyle name="Comma 2 8 5 7" xfId="17174" xr:uid="{00000000-0005-0000-0000-000013430000}"/>
    <cellStyle name="Comma 2 8 5 7 2" xfId="17175" xr:uid="{00000000-0005-0000-0000-000014430000}"/>
    <cellStyle name="Comma 2 8 5 8" xfId="17176" xr:uid="{00000000-0005-0000-0000-000015430000}"/>
    <cellStyle name="Comma 2 8 5 9" xfId="17177" xr:uid="{00000000-0005-0000-0000-000016430000}"/>
    <cellStyle name="Comma 2 8 6" xfId="17178" xr:uid="{00000000-0005-0000-0000-000017430000}"/>
    <cellStyle name="Comma 2 8 6 10" xfId="17179" xr:uid="{00000000-0005-0000-0000-000018430000}"/>
    <cellStyle name="Comma 2 8 6 11" xfId="17180" xr:uid="{00000000-0005-0000-0000-000019430000}"/>
    <cellStyle name="Comma 2 8 6 2" xfId="17181" xr:uid="{00000000-0005-0000-0000-00001A430000}"/>
    <cellStyle name="Comma 2 8 6 2 2" xfId="17182" xr:uid="{00000000-0005-0000-0000-00001B430000}"/>
    <cellStyle name="Comma 2 8 6 2 2 2" xfId="17183" xr:uid="{00000000-0005-0000-0000-00001C430000}"/>
    <cellStyle name="Comma 2 8 6 2 2 2 2" xfId="17184" xr:uid="{00000000-0005-0000-0000-00001D430000}"/>
    <cellStyle name="Comma 2 8 6 2 2 2 3" xfId="17185" xr:uid="{00000000-0005-0000-0000-00001E430000}"/>
    <cellStyle name="Comma 2 8 6 2 2 3" xfId="17186" xr:uid="{00000000-0005-0000-0000-00001F430000}"/>
    <cellStyle name="Comma 2 8 6 2 2 4" xfId="17187" xr:uid="{00000000-0005-0000-0000-000020430000}"/>
    <cellStyle name="Comma 2 8 6 2 2 5" xfId="17188" xr:uid="{00000000-0005-0000-0000-000021430000}"/>
    <cellStyle name="Comma 2 8 6 2 2 6" xfId="17189" xr:uid="{00000000-0005-0000-0000-000022430000}"/>
    <cellStyle name="Comma 2 8 6 2 3" xfId="17190" xr:uid="{00000000-0005-0000-0000-000023430000}"/>
    <cellStyle name="Comma 2 8 6 2 3 2" xfId="17191" xr:uid="{00000000-0005-0000-0000-000024430000}"/>
    <cellStyle name="Comma 2 8 6 2 3 2 2" xfId="17192" xr:uid="{00000000-0005-0000-0000-000025430000}"/>
    <cellStyle name="Comma 2 8 6 2 3 3" xfId="17193" xr:uid="{00000000-0005-0000-0000-000026430000}"/>
    <cellStyle name="Comma 2 8 6 2 3 4" xfId="17194" xr:uid="{00000000-0005-0000-0000-000027430000}"/>
    <cellStyle name="Comma 2 8 6 2 3 5" xfId="17195" xr:uid="{00000000-0005-0000-0000-000028430000}"/>
    <cellStyle name="Comma 2 8 6 2 4" xfId="17196" xr:uid="{00000000-0005-0000-0000-000029430000}"/>
    <cellStyle name="Comma 2 8 6 2 4 2" xfId="17197" xr:uid="{00000000-0005-0000-0000-00002A430000}"/>
    <cellStyle name="Comma 2 8 6 2 4 3" xfId="17198" xr:uid="{00000000-0005-0000-0000-00002B430000}"/>
    <cellStyle name="Comma 2 8 6 2 4 4" xfId="17199" xr:uid="{00000000-0005-0000-0000-00002C430000}"/>
    <cellStyle name="Comma 2 8 6 2 5" xfId="17200" xr:uid="{00000000-0005-0000-0000-00002D430000}"/>
    <cellStyle name="Comma 2 8 6 2 5 2" xfId="17201" xr:uid="{00000000-0005-0000-0000-00002E430000}"/>
    <cellStyle name="Comma 2 8 6 2 6" xfId="17202" xr:uid="{00000000-0005-0000-0000-00002F430000}"/>
    <cellStyle name="Comma 2 8 6 2 7" xfId="17203" xr:uid="{00000000-0005-0000-0000-000030430000}"/>
    <cellStyle name="Comma 2 8 6 2 8" xfId="17204" xr:uid="{00000000-0005-0000-0000-000031430000}"/>
    <cellStyle name="Comma 2 8 6 2 9" xfId="17205" xr:uid="{00000000-0005-0000-0000-000032430000}"/>
    <cellStyle name="Comma 2 8 6 3" xfId="17206" xr:uid="{00000000-0005-0000-0000-000033430000}"/>
    <cellStyle name="Comma 2 8 6 3 2" xfId="17207" xr:uid="{00000000-0005-0000-0000-000034430000}"/>
    <cellStyle name="Comma 2 8 6 3 2 2" xfId="17208" xr:uid="{00000000-0005-0000-0000-000035430000}"/>
    <cellStyle name="Comma 2 8 6 3 2 2 2" xfId="17209" xr:uid="{00000000-0005-0000-0000-000036430000}"/>
    <cellStyle name="Comma 2 8 6 3 2 2 3" xfId="17210" xr:uid="{00000000-0005-0000-0000-000037430000}"/>
    <cellStyle name="Comma 2 8 6 3 2 3" xfId="17211" xr:uid="{00000000-0005-0000-0000-000038430000}"/>
    <cellStyle name="Comma 2 8 6 3 2 4" xfId="17212" xr:uid="{00000000-0005-0000-0000-000039430000}"/>
    <cellStyle name="Comma 2 8 6 3 2 5" xfId="17213" xr:uid="{00000000-0005-0000-0000-00003A430000}"/>
    <cellStyle name="Comma 2 8 6 3 2 6" xfId="17214" xr:uid="{00000000-0005-0000-0000-00003B430000}"/>
    <cellStyle name="Comma 2 8 6 3 3" xfId="17215" xr:uid="{00000000-0005-0000-0000-00003C430000}"/>
    <cellStyle name="Comma 2 8 6 3 3 2" xfId="17216" xr:uid="{00000000-0005-0000-0000-00003D430000}"/>
    <cellStyle name="Comma 2 8 6 3 3 2 2" xfId="17217" xr:uid="{00000000-0005-0000-0000-00003E430000}"/>
    <cellStyle name="Comma 2 8 6 3 3 3" xfId="17218" xr:uid="{00000000-0005-0000-0000-00003F430000}"/>
    <cellStyle name="Comma 2 8 6 3 3 4" xfId="17219" xr:uid="{00000000-0005-0000-0000-000040430000}"/>
    <cellStyle name="Comma 2 8 6 3 3 5" xfId="17220" xr:uid="{00000000-0005-0000-0000-000041430000}"/>
    <cellStyle name="Comma 2 8 6 3 4" xfId="17221" xr:uid="{00000000-0005-0000-0000-000042430000}"/>
    <cellStyle name="Comma 2 8 6 3 4 2" xfId="17222" xr:uid="{00000000-0005-0000-0000-000043430000}"/>
    <cellStyle name="Comma 2 8 6 3 4 3" xfId="17223" xr:uid="{00000000-0005-0000-0000-000044430000}"/>
    <cellStyle name="Comma 2 8 6 3 4 4" xfId="17224" xr:uid="{00000000-0005-0000-0000-000045430000}"/>
    <cellStyle name="Comma 2 8 6 3 5" xfId="17225" xr:uid="{00000000-0005-0000-0000-000046430000}"/>
    <cellStyle name="Comma 2 8 6 3 5 2" xfId="17226" xr:uid="{00000000-0005-0000-0000-000047430000}"/>
    <cellStyle name="Comma 2 8 6 3 6" xfId="17227" xr:uid="{00000000-0005-0000-0000-000048430000}"/>
    <cellStyle name="Comma 2 8 6 3 7" xfId="17228" xr:uid="{00000000-0005-0000-0000-000049430000}"/>
    <cellStyle name="Comma 2 8 6 3 8" xfId="17229" xr:uid="{00000000-0005-0000-0000-00004A430000}"/>
    <cellStyle name="Comma 2 8 6 3 9" xfId="17230" xr:uid="{00000000-0005-0000-0000-00004B430000}"/>
    <cellStyle name="Comma 2 8 6 4" xfId="17231" xr:uid="{00000000-0005-0000-0000-00004C430000}"/>
    <cellStyle name="Comma 2 8 6 4 2" xfId="17232" xr:uid="{00000000-0005-0000-0000-00004D430000}"/>
    <cellStyle name="Comma 2 8 6 4 2 2" xfId="17233" xr:uid="{00000000-0005-0000-0000-00004E430000}"/>
    <cellStyle name="Comma 2 8 6 4 2 3" xfId="17234" xr:uid="{00000000-0005-0000-0000-00004F430000}"/>
    <cellStyle name="Comma 2 8 6 4 3" xfId="17235" xr:uid="{00000000-0005-0000-0000-000050430000}"/>
    <cellStyle name="Comma 2 8 6 4 4" xfId="17236" xr:uid="{00000000-0005-0000-0000-000051430000}"/>
    <cellStyle name="Comma 2 8 6 4 5" xfId="17237" xr:uid="{00000000-0005-0000-0000-000052430000}"/>
    <cellStyle name="Comma 2 8 6 4 6" xfId="17238" xr:uid="{00000000-0005-0000-0000-000053430000}"/>
    <cellStyle name="Comma 2 8 6 5" xfId="17239" xr:uid="{00000000-0005-0000-0000-000054430000}"/>
    <cellStyle name="Comma 2 8 6 5 2" xfId="17240" xr:uid="{00000000-0005-0000-0000-000055430000}"/>
    <cellStyle name="Comma 2 8 6 5 2 2" xfId="17241" xr:uid="{00000000-0005-0000-0000-000056430000}"/>
    <cellStyle name="Comma 2 8 6 5 3" xfId="17242" xr:uid="{00000000-0005-0000-0000-000057430000}"/>
    <cellStyle name="Comma 2 8 6 5 4" xfId="17243" xr:uid="{00000000-0005-0000-0000-000058430000}"/>
    <cellStyle name="Comma 2 8 6 5 5" xfId="17244" xr:uid="{00000000-0005-0000-0000-000059430000}"/>
    <cellStyle name="Comma 2 8 6 6" xfId="17245" xr:uid="{00000000-0005-0000-0000-00005A430000}"/>
    <cellStyle name="Comma 2 8 6 6 2" xfId="17246" xr:uid="{00000000-0005-0000-0000-00005B430000}"/>
    <cellStyle name="Comma 2 8 6 6 3" xfId="17247" xr:uid="{00000000-0005-0000-0000-00005C430000}"/>
    <cellStyle name="Comma 2 8 6 6 4" xfId="17248" xr:uid="{00000000-0005-0000-0000-00005D430000}"/>
    <cellStyle name="Comma 2 8 6 7" xfId="17249" xr:uid="{00000000-0005-0000-0000-00005E430000}"/>
    <cellStyle name="Comma 2 8 6 7 2" xfId="17250" xr:uid="{00000000-0005-0000-0000-00005F430000}"/>
    <cellStyle name="Comma 2 8 6 8" xfId="17251" xr:uid="{00000000-0005-0000-0000-000060430000}"/>
    <cellStyle name="Comma 2 8 6 9" xfId="17252" xr:uid="{00000000-0005-0000-0000-000061430000}"/>
    <cellStyle name="Comma 2 8 7" xfId="17253" xr:uid="{00000000-0005-0000-0000-000062430000}"/>
    <cellStyle name="Comma 2 8 7 10" xfId="17254" xr:uid="{00000000-0005-0000-0000-000063430000}"/>
    <cellStyle name="Comma 2 8 7 11" xfId="17255" xr:uid="{00000000-0005-0000-0000-000064430000}"/>
    <cellStyle name="Comma 2 8 7 2" xfId="17256" xr:uid="{00000000-0005-0000-0000-000065430000}"/>
    <cellStyle name="Comma 2 8 7 2 2" xfId="17257" xr:uid="{00000000-0005-0000-0000-000066430000}"/>
    <cellStyle name="Comma 2 8 7 2 2 2" xfId="17258" xr:uid="{00000000-0005-0000-0000-000067430000}"/>
    <cellStyle name="Comma 2 8 7 2 2 2 2" xfId="17259" xr:uid="{00000000-0005-0000-0000-000068430000}"/>
    <cellStyle name="Comma 2 8 7 2 2 2 3" xfId="17260" xr:uid="{00000000-0005-0000-0000-000069430000}"/>
    <cellStyle name="Comma 2 8 7 2 2 3" xfId="17261" xr:uid="{00000000-0005-0000-0000-00006A430000}"/>
    <cellStyle name="Comma 2 8 7 2 2 4" xfId="17262" xr:uid="{00000000-0005-0000-0000-00006B430000}"/>
    <cellStyle name="Comma 2 8 7 2 2 5" xfId="17263" xr:uid="{00000000-0005-0000-0000-00006C430000}"/>
    <cellStyle name="Comma 2 8 7 2 2 6" xfId="17264" xr:uid="{00000000-0005-0000-0000-00006D430000}"/>
    <cellStyle name="Comma 2 8 7 2 3" xfId="17265" xr:uid="{00000000-0005-0000-0000-00006E430000}"/>
    <cellStyle name="Comma 2 8 7 2 3 2" xfId="17266" xr:uid="{00000000-0005-0000-0000-00006F430000}"/>
    <cellStyle name="Comma 2 8 7 2 3 2 2" xfId="17267" xr:uid="{00000000-0005-0000-0000-000070430000}"/>
    <cellStyle name="Comma 2 8 7 2 3 3" xfId="17268" xr:uid="{00000000-0005-0000-0000-000071430000}"/>
    <cellStyle name="Comma 2 8 7 2 3 4" xfId="17269" xr:uid="{00000000-0005-0000-0000-000072430000}"/>
    <cellStyle name="Comma 2 8 7 2 3 5" xfId="17270" xr:uid="{00000000-0005-0000-0000-000073430000}"/>
    <cellStyle name="Comma 2 8 7 2 4" xfId="17271" xr:uid="{00000000-0005-0000-0000-000074430000}"/>
    <cellStyle name="Comma 2 8 7 2 4 2" xfId="17272" xr:uid="{00000000-0005-0000-0000-000075430000}"/>
    <cellStyle name="Comma 2 8 7 2 4 3" xfId="17273" xr:uid="{00000000-0005-0000-0000-000076430000}"/>
    <cellStyle name="Comma 2 8 7 2 4 4" xfId="17274" xr:uid="{00000000-0005-0000-0000-000077430000}"/>
    <cellStyle name="Comma 2 8 7 2 5" xfId="17275" xr:uid="{00000000-0005-0000-0000-000078430000}"/>
    <cellStyle name="Comma 2 8 7 2 5 2" xfId="17276" xr:uid="{00000000-0005-0000-0000-000079430000}"/>
    <cellStyle name="Comma 2 8 7 2 6" xfId="17277" xr:uid="{00000000-0005-0000-0000-00007A430000}"/>
    <cellStyle name="Comma 2 8 7 2 7" xfId="17278" xr:uid="{00000000-0005-0000-0000-00007B430000}"/>
    <cellStyle name="Comma 2 8 7 2 8" xfId="17279" xr:uid="{00000000-0005-0000-0000-00007C430000}"/>
    <cellStyle name="Comma 2 8 7 2 9" xfId="17280" xr:uid="{00000000-0005-0000-0000-00007D430000}"/>
    <cellStyle name="Comma 2 8 7 3" xfId="17281" xr:uid="{00000000-0005-0000-0000-00007E430000}"/>
    <cellStyle name="Comma 2 8 7 3 2" xfId="17282" xr:uid="{00000000-0005-0000-0000-00007F430000}"/>
    <cellStyle name="Comma 2 8 7 3 2 2" xfId="17283" xr:uid="{00000000-0005-0000-0000-000080430000}"/>
    <cellStyle name="Comma 2 8 7 3 2 2 2" xfId="17284" xr:uid="{00000000-0005-0000-0000-000081430000}"/>
    <cellStyle name="Comma 2 8 7 3 2 2 3" xfId="17285" xr:uid="{00000000-0005-0000-0000-000082430000}"/>
    <cellStyle name="Comma 2 8 7 3 2 3" xfId="17286" xr:uid="{00000000-0005-0000-0000-000083430000}"/>
    <cellStyle name="Comma 2 8 7 3 2 4" xfId="17287" xr:uid="{00000000-0005-0000-0000-000084430000}"/>
    <cellStyle name="Comma 2 8 7 3 2 5" xfId="17288" xr:uid="{00000000-0005-0000-0000-000085430000}"/>
    <cellStyle name="Comma 2 8 7 3 2 6" xfId="17289" xr:uid="{00000000-0005-0000-0000-000086430000}"/>
    <cellStyle name="Comma 2 8 7 3 3" xfId="17290" xr:uid="{00000000-0005-0000-0000-000087430000}"/>
    <cellStyle name="Comma 2 8 7 3 3 2" xfId="17291" xr:uid="{00000000-0005-0000-0000-000088430000}"/>
    <cellStyle name="Comma 2 8 7 3 3 2 2" xfId="17292" xr:uid="{00000000-0005-0000-0000-000089430000}"/>
    <cellStyle name="Comma 2 8 7 3 3 3" xfId="17293" xr:uid="{00000000-0005-0000-0000-00008A430000}"/>
    <cellStyle name="Comma 2 8 7 3 3 4" xfId="17294" xr:uid="{00000000-0005-0000-0000-00008B430000}"/>
    <cellStyle name="Comma 2 8 7 3 3 5" xfId="17295" xr:uid="{00000000-0005-0000-0000-00008C430000}"/>
    <cellStyle name="Comma 2 8 7 3 4" xfId="17296" xr:uid="{00000000-0005-0000-0000-00008D430000}"/>
    <cellStyle name="Comma 2 8 7 3 4 2" xfId="17297" xr:uid="{00000000-0005-0000-0000-00008E430000}"/>
    <cellStyle name="Comma 2 8 7 3 4 3" xfId="17298" xr:uid="{00000000-0005-0000-0000-00008F430000}"/>
    <cellStyle name="Comma 2 8 7 3 4 4" xfId="17299" xr:uid="{00000000-0005-0000-0000-000090430000}"/>
    <cellStyle name="Comma 2 8 7 3 5" xfId="17300" xr:uid="{00000000-0005-0000-0000-000091430000}"/>
    <cellStyle name="Comma 2 8 7 3 5 2" xfId="17301" xr:uid="{00000000-0005-0000-0000-000092430000}"/>
    <cellStyle name="Comma 2 8 7 3 6" xfId="17302" xr:uid="{00000000-0005-0000-0000-000093430000}"/>
    <cellStyle name="Comma 2 8 7 3 7" xfId="17303" xr:uid="{00000000-0005-0000-0000-000094430000}"/>
    <cellStyle name="Comma 2 8 7 3 8" xfId="17304" xr:uid="{00000000-0005-0000-0000-000095430000}"/>
    <cellStyle name="Comma 2 8 7 3 9" xfId="17305" xr:uid="{00000000-0005-0000-0000-000096430000}"/>
    <cellStyle name="Comma 2 8 7 4" xfId="17306" xr:uid="{00000000-0005-0000-0000-000097430000}"/>
    <cellStyle name="Comma 2 8 7 4 2" xfId="17307" xr:uid="{00000000-0005-0000-0000-000098430000}"/>
    <cellStyle name="Comma 2 8 7 4 2 2" xfId="17308" xr:uid="{00000000-0005-0000-0000-000099430000}"/>
    <cellStyle name="Comma 2 8 7 4 2 3" xfId="17309" xr:uid="{00000000-0005-0000-0000-00009A430000}"/>
    <cellStyle name="Comma 2 8 7 4 3" xfId="17310" xr:uid="{00000000-0005-0000-0000-00009B430000}"/>
    <cellStyle name="Comma 2 8 7 4 4" xfId="17311" xr:uid="{00000000-0005-0000-0000-00009C430000}"/>
    <cellStyle name="Comma 2 8 7 4 5" xfId="17312" xr:uid="{00000000-0005-0000-0000-00009D430000}"/>
    <cellStyle name="Comma 2 8 7 4 6" xfId="17313" xr:uid="{00000000-0005-0000-0000-00009E430000}"/>
    <cellStyle name="Comma 2 8 7 5" xfId="17314" xr:uid="{00000000-0005-0000-0000-00009F430000}"/>
    <cellStyle name="Comma 2 8 7 5 2" xfId="17315" xr:uid="{00000000-0005-0000-0000-0000A0430000}"/>
    <cellStyle name="Comma 2 8 7 5 2 2" xfId="17316" xr:uid="{00000000-0005-0000-0000-0000A1430000}"/>
    <cellStyle name="Comma 2 8 7 5 3" xfId="17317" xr:uid="{00000000-0005-0000-0000-0000A2430000}"/>
    <cellStyle name="Comma 2 8 7 5 4" xfId="17318" xr:uid="{00000000-0005-0000-0000-0000A3430000}"/>
    <cellStyle name="Comma 2 8 7 5 5" xfId="17319" xr:uid="{00000000-0005-0000-0000-0000A4430000}"/>
    <cellStyle name="Comma 2 8 7 6" xfId="17320" xr:uid="{00000000-0005-0000-0000-0000A5430000}"/>
    <cellStyle name="Comma 2 8 7 6 2" xfId="17321" xr:uid="{00000000-0005-0000-0000-0000A6430000}"/>
    <cellStyle name="Comma 2 8 7 6 3" xfId="17322" xr:uid="{00000000-0005-0000-0000-0000A7430000}"/>
    <cellStyle name="Comma 2 8 7 6 4" xfId="17323" xr:uid="{00000000-0005-0000-0000-0000A8430000}"/>
    <cellStyle name="Comma 2 8 7 7" xfId="17324" xr:uid="{00000000-0005-0000-0000-0000A9430000}"/>
    <cellStyle name="Comma 2 8 7 7 2" xfId="17325" xr:uid="{00000000-0005-0000-0000-0000AA430000}"/>
    <cellStyle name="Comma 2 8 7 8" xfId="17326" xr:uid="{00000000-0005-0000-0000-0000AB430000}"/>
    <cellStyle name="Comma 2 8 7 9" xfId="17327" xr:uid="{00000000-0005-0000-0000-0000AC430000}"/>
    <cellStyle name="Comma 2 8 8" xfId="17328" xr:uid="{00000000-0005-0000-0000-0000AD430000}"/>
    <cellStyle name="Comma 2 8 8 10" xfId="17329" xr:uid="{00000000-0005-0000-0000-0000AE430000}"/>
    <cellStyle name="Comma 2 8 8 2" xfId="17330" xr:uid="{00000000-0005-0000-0000-0000AF430000}"/>
    <cellStyle name="Comma 2 8 8 2 2" xfId="17331" xr:uid="{00000000-0005-0000-0000-0000B0430000}"/>
    <cellStyle name="Comma 2 8 8 2 2 2" xfId="17332" xr:uid="{00000000-0005-0000-0000-0000B1430000}"/>
    <cellStyle name="Comma 2 8 8 2 2 3" xfId="17333" xr:uid="{00000000-0005-0000-0000-0000B2430000}"/>
    <cellStyle name="Comma 2 8 8 2 3" xfId="17334" xr:uid="{00000000-0005-0000-0000-0000B3430000}"/>
    <cellStyle name="Comma 2 8 8 2 4" xfId="17335" xr:uid="{00000000-0005-0000-0000-0000B4430000}"/>
    <cellStyle name="Comma 2 8 8 2 5" xfId="17336" xr:uid="{00000000-0005-0000-0000-0000B5430000}"/>
    <cellStyle name="Comma 2 8 8 2 6" xfId="17337" xr:uid="{00000000-0005-0000-0000-0000B6430000}"/>
    <cellStyle name="Comma 2 8 8 3" xfId="17338" xr:uid="{00000000-0005-0000-0000-0000B7430000}"/>
    <cellStyle name="Comma 2 8 8 3 2" xfId="17339" xr:uid="{00000000-0005-0000-0000-0000B8430000}"/>
    <cellStyle name="Comma 2 8 8 3 2 2" xfId="17340" xr:uid="{00000000-0005-0000-0000-0000B9430000}"/>
    <cellStyle name="Comma 2 8 8 3 2 3" xfId="17341" xr:uid="{00000000-0005-0000-0000-0000BA430000}"/>
    <cellStyle name="Comma 2 8 8 3 3" xfId="17342" xr:uid="{00000000-0005-0000-0000-0000BB430000}"/>
    <cellStyle name="Comma 2 8 8 3 4" xfId="17343" xr:uid="{00000000-0005-0000-0000-0000BC430000}"/>
    <cellStyle name="Comma 2 8 8 3 5" xfId="17344" xr:uid="{00000000-0005-0000-0000-0000BD430000}"/>
    <cellStyle name="Comma 2 8 8 3 6" xfId="17345" xr:uid="{00000000-0005-0000-0000-0000BE430000}"/>
    <cellStyle name="Comma 2 8 8 4" xfId="17346" xr:uid="{00000000-0005-0000-0000-0000BF430000}"/>
    <cellStyle name="Comma 2 8 8 4 2" xfId="17347" xr:uid="{00000000-0005-0000-0000-0000C0430000}"/>
    <cellStyle name="Comma 2 8 8 4 2 2" xfId="17348" xr:uid="{00000000-0005-0000-0000-0000C1430000}"/>
    <cellStyle name="Comma 2 8 8 4 3" xfId="17349" xr:uid="{00000000-0005-0000-0000-0000C2430000}"/>
    <cellStyle name="Comma 2 8 8 4 4" xfId="17350" xr:uid="{00000000-0005-0000-0000-0000C3430000}"/>
    <cellStyle name="Comma 2 8 8 4 5" xfId="17351" xr:uid="{00000000-0005-0000-0000-0000C4430000}"/>
    <cellStyle name="Comma 2 8 8 5" xfId="17352" xr:uid="{00000000-0005-0000-0000-0000C5430000}"/>
    <cellStyle name="Comma 2 8 8 5 2" xfId="17353" xr:uid="{00000000-0005-0000-0000-0000C6430000}"/>
    <cellStyle name="Comma 2 8 8 5 3" xfId="17354" xr:uid="{00000000-0005-0000-0000-0000C7430000}"/>
    <cellStyle name="Comma 2 8 8 5 4" xfId="17355" xr:uid="{00000000-0005-0000-0000-0000C8430000}"/>
    <cellStyle name="Comma 2 8 8 6" xfId="17356" xr:uid="{00000000-0005-0000-0000-0000C9430000}"/>
    <cellStyle name="Comma 2 8 8 6 2" xfId="17357" xr:uid="{00000000-0005-0000-0000-0000CA430000}"/>
    <cellStyle name="Comma 2 8 8 7" xfId="17358" xr:uid="{00000000-0005-0000-0000-0000CB430000}"/>
    <cellStyle name="Comma 2 8 8 8" xfId="17359" xr:uid="{00000000-0005-0000-0000-0000CC430000}"/>
    <cellStyle name="Comma 2 8 8 9" xfId="17360" xr:uid="{00000000-0005-0000-0000-0000CD430000}"/>
    <cellStyle name="Comma 2 8 9" xfId="17361" xr:uid="{00000000-0005-0000-0000-0000CE430000}"/>
    <cellStyle name="Comma 2 8 9 10" xfId="17362" xr:uid="{00000000-0005-0000-0000-0000CF430000}"/>
    <cellStyle name="Comma 2 8 9 2" xfId="17363" xr:uid="{00000000-0005-0000-0000-0000D0430000}"/>
    <cellStyle name="Comma 2 8 9 2 2" xfId="17364" xr:uid="{00000000-0005-0000-0000-0000D1430000}"/>
    <cellStyle name="Comma 2 8 9 2 2 2" xfId="17365" xr:uid="{00000000-0005-0000-0000-0000D2430000}"/>
    <cellStyle name="Comma 2 8 9 2 2 3" xfId="17366" xr:uid="{00000000-0005-0000-0000-0000D3430000}"/>
    <cellStyle name="Comma 2 8 9 2 3" xfId="17367" xr:uid="{00000000-0005-0000-0000-0000D4430000}"/>
    <cellStyle name="Comma 2 8 9 2 4" xfId="17368" xr:uid="{00000000-0005-0000-0000-0000D5430000}"/>
    <cellStyle name="Comma 2 8 9 2 5" xfId="17369" xr:uid="{00000000-0005-0000-0000-0000D6430000}"/>
    <cellStyle name="Comma 2 8 9 2 6" xfId="17370" xr:uid="{00000000-0005-0000-0000-0000D7430000}"/>
    <cellStyle name="Comma 2 8 9 3" xfId="17371" xr:uid="{00000000-0005-0000-0000-0000D8430000}"/>
    <cellStyle name="Comma 2 8 9 3 2" xfId="17372" xr:uid="{00000000-0005-0000-0000-0000D9430000}"/>
    <cellStyle name="Comma 2 8 9 3 2 2" xfId="17373" xr:uid="{00000000-0005-0000-0000-0000DA430000}"/>
    <cellStyle name="Comma 2 8 9 3 2 3" xfId="17374" xr:uid="{00000000-0005-0000-0000-0000DB430000}"/>
    <cellStyle name="Comma 2 8 9 3 3" xfId="17375" xr:uid="{00000000-0005-0000-0000-0000DC430000}"/>
    <cellStyle name="Comma 2 8 9 3 4" xfId="17376" xr:uid="{00000000-0005-0000-0000-0000DD430000}"/>
    <cellStyle name="Comma 2 8 9 3 5" xfId="17377" xr:uid="{00000000-0005-0000-0000-0000DE430000}"/>
    <cellStyle name="Comma 2 8 9 3 6" xfId="17378" xr:uid="{00000000-0005-0000-0000-0000DF430000}"/>
    <cellStyle name="Comma 2 8 9 4" xfId="17379" xr:uid="{00000000-0005-0000-0000-0000E0430000}"/>
    <cellStyle name="Comma 2 8 9 4 2" xfId="17380" xr:uid="{00000000-0005-0000-0000-0000E1430000}"/>
    <cellStyle name="Comma 2 8 9 4 2 2" xfId="17381" xr:uid="{00000000-0005-0000-0000-0000E2430000}"/>
    <cellStyle name="Comma 2 8 9 4 3" xfId="17382" xr:uid="{00000000-0005-0000-0000-0000E3430000}"/>
    <cellStyle name="Comma 2 8 9 4 4" xfId="17383" xr:uid="{00000000-0005-0000-0000-0000E4430000}"/>
    <cellStyle name="Comma 2 8 9 4 5" xfId="17384" xr:uid="{00000000-0005-0000-0000-0000E5430000}"/>
    <cellStyle name="Comma 2 8 9 5" xfId="17385" xr:uid="{00000000-0005-0000-0000-0000E6430000}"/>
    <cellStyle name="Comma 2 8 9 5 2" xfId="17386" xr:uid="{00000000-0005-0000-0000-0000E7430000}"/>
    <cellStyle name="Comma 2 8 9 5 3" xfId="17387" xr:uid="{00000000-0005-0000-0000-0000E8430000}"/>
    <cellStyle name="Comma 2 8 9 5 4" xfId="17388" xr:uid="{00000000-0005-0000-0000-0000E9430000}"/>
    <cellStyle name="Comma 2 8 9 6" xfId="17389" xr:uid="{00000000-0005-0000-0000-0000EA430000}"/>
    <cellStyle name="Comma 2 8 9 6 2" xfId="17390" xr:uid="{00000000-0005-0000-0000-0000EB430000}"/>
    <cellStyle name="Comma 2 8 9 7" xfId="17391" xr:uid="{00000000-0005-0000-0000-0000EC430000}"/>
    <cellStyle name="Comma 2 8 9 8" xfId="17392" xr:uid="{00000000-0005-0000-0000-0000ED430000}"/>
    <cellStyle name="Comma 2 8 9 9" xfId="17393" xr:uid="{00000000-0005-0000-0000-0000EE430000}"/>
    <cellStyle name="Comma 2 9" xfId="17394" xr:uid="{00000000-0005-0000-0000-0000EF430000}"/>
    <cellStyle name="Comma 2 9 10" xfId="17395" xr:uid="{00000000-0005-0000-0000-0000F0430000}"/>
    <cellStyle name="Comma 2 9 10 10" xfId="17396" xr:uid="{00000000-0005-0000-0000-0000F1430000}"/>
    <cellStyle name="Comma 2 9 10 2" xfId="17397" xr:uid="{00000000-0005-0000-0000-0000F2430000}"/>
    <cellStyle name="Comma 2 9 10 2 2" xfId="17398" xr:uid="{00000000-0005-0000-0000-0000F3430000}"/>
    <cellStyle name="Comma 2 9 10 2 2 2" xfId="17399" xr:uid="{00000000-0005-0000-0000-0000F4430000}"/>
    <cellStyle name="Comma 2 9 10 2 2 3" xfId="17400" xr:uid="{00000000-0005-0000-0000-0000F5430000}"/>
    <cellStyle name="Comma 2 9 10 2 3" xfId="17401" xr:uid="{00000000-0005-0000-0000-0000F6430000}"/>
    <cellStyle name="Comma 2 9 10 2 4" xfId="17402" xr:uid="{00000000-0005-0000-0000-0000F7430000}"/>
    <cellStyle name="Comma 2 9 10 2 5" xfId="17403" xr:uid="{00000000-0005-0000-0000-0000F8430000}"/>
    <cellStyle name="Comma 2 9 10 2 6" xfId="17404" xr:uid="{00000000-0005-0000-0000-0000F9430000}"/>
    <cellStyle name="Comma 2 9 10 3" xfId="17405" xr:uid="{00000000-0005-0000-0000-0000FA430000}"/>
    <cellStyle name="Comma 2 9 10 3 2" xfId="17406" xr:uid="{00000000-0005-0000-0000-0000FB430000}"/>
    <cellStyle name="Comma 2 9 10 3 2 2" xfId="17407" xr:uid="{00000000-0005-0000-0000-0000FC430000}"/>
    <cellStyle name="Comma 2 9 10 3 2 3" xfId="17408" xr:uid="{00000000-0005-0000-0000-0000FD430000}"/>
    <cellStyle name="Comma 2 9 10 3 3" xfId="17409" xr:uid="{00000000-0005-0000-0000-0000FE430000}"/>
    <cellStyle name="Comma 2 9 10 3 4" xfId="17410" xr:uid="{00000000-0005-0000-0000-0000FF430000}"/>
    <cellStyle name="Comma 2 9 10 3 5" xfId="17411" xr:uid="{00000000-0005-0000-0000-000000440000}"/>
    <cellStyle name="Comma 2 9 10 3 6" xfId="17412" xr:uid="{00000000-0005-0000-0000-000001440000}"/>
    <cellStyle name="Comma 2 9 10 4" xfId="17413" xr:uid="{00000000-0005-0000-0000-000002440000}"/>
    <cellStyle name="Comma 2 9 10 4 2" xfId="17414" xr:uid="{00000000-0005-0000-0000-000003440000}"/>
    <cellStyle name="Comma 2 9 10 4 2 2" xfId="17415" xr:uid="{00000000-0005-0000-0000-000004440000}"/>
    <cellStyle name="Comma 2 9 10 4 3" xfId="17416" xr:uid="{00000000-0005-0000-0000-000005440000}"/>
    <cellStyle name="Comma 2 9 10 4 4" xfId="17417" xr:uid="{00000000-0005-0000-0000-000006440000}"/>
    <cellStyle name="Comma 2 9 10 4 5" xfId="17418" xr:uid="{00000000-0005-0000-0000-000007440000}"/>
    <cellStyle name="Comma 2 9 10 5" xfId="17419" xr:uid="{00000000-0005-0000-0000-000008440000}"/>
    <cellStyle name="Comma 2 9 10 5 2" xfId="17420" xr:uid="{00000000-0005-0000-0000-000009440000}"/>
    <cellStyle name="Comma 2 9 10 5 3" xfId="17421" xr:uid="{00000000-0005-0000-0000-00000A440000}"/>
    <cellStyle name="Comma 2 9 10 5 4" xfId="17422" xr:uid="{00000000-0005-0000-0000-00000B440000}"/>
    <cellStyle name="Comma 2 9 10 6" xfId="17423" xr:uid="{00000000-0005-0000-0000-00000C440000}"/>
    <cellStyle name="Comma 2 9 10 6 2" xfId="17424" xr:uid="{00000000-0005-0000-0000-00000D440000}"/>
    <cellStyle name="Comma 2 9 10 7" xfId="17425" xr:uid="{00000000-0005-0000-0000-00000E440000}"/>
    <cellStyle name="Comma 2 9 10 8" xfId="17426" xr:uid="{00000000-0005-0000-0000-00000F440000}"/>
    <cellStyle name="Comma 2 9 10 9" xfId="17427" xr:uid="{00000000-0005-0000-0000-000010440000}"/>
    <cellStyle name="Comma 2 9 11" xfId="17428" xr:uid="{00000000-0005-0000-0000-000011440000}"/>
    <cellStyle name="Comma 2 9 11 10" xfId="17429" xr:uid="{00000000-0005-0000-0000-000012440000}"/>
    <cellStyle name="Comma 2 9 11 2" xfId="17430" xr:uid="{00000000-0005-0000-0000-000013440000}"/>
    <cellStyle name="Comma 2 9 11 2 2" xfId="17431" xr:uid="{00000000-0005-0000-0000-000014440000}"/>
    <cellStyle name="Comma 2 9 11 2 2 2" xfId="17432" xr:uid="{00000000-0005-0000-0000-000015440000}"/>
    <cellStyle name="Comma 2 9 11 2 2 3" xfId="17433" xr:uid="{00000000-0005-0000-0000-000016440000}"/>
    <cellStyle name="Comma 2 9 11 2 3" xfId="17434" xr:uid="{00000000-0005-0000-0000-000017440000}"/>
    <cellStyle name="Comma 2 9 11 2 4" xfId="17435" xr:uid="{00000000-0005-0000-0000-000018440000}"/>
    <cellStyle name="Comma 2 9 11 2 5" xfId="17436" xr:uid="{00000000-0005-0000-0000-000019440000}"/>
    <cellStyle name="Comma 2 9 11 2 6" xfId="17437" xr:uid="{00000000-0005-0000-0000-00001A440000}"/>
    <cellStyle name="Comma 2 9 11 3" xfId="17438" xr:uid="{00000000-0005-0000-0000-00001B440000}"/>
    <cellStyle name="Comma 2 9 11 3 2" xfId="17439" xr:uid="{00000000-0005-0000-0000-00001C440000}"/>
    <cellStyle name="Comma 2 9 11 3 2 2" xfId="17440" xr:uid="{00000000-0005-0000-0000-00001D440000}"/>
    <cellStyle name="Comma 2 9 11 3 2 3" xfId="17441" xr:uid="{00000000-0005-0000-0000-00001E440000}"/>
    <cellStyle name="Comma 2 9 11 3 3" xfId="17442" xr:uid="{00000000-0005-0000-0000-00001F440000}"/>
    <cellStyle name="Comma 2 9 11 3 4" xfId="17443" xr:uid="{00000000-0005-0000-0000-000020440000}"/>
    <cellStyle name="Comma 2 9 11 3 5" xfId="17444" xr:uid="{00000000-0005-0000-0000-000021440000}"/>
    <cellStyle name="Comma 2 9 11 3 6" xfId="17445" xr:uid="{00000000-0005-0000-0000-000022440000}"/>
    <cellStyle name="Comma 2 9 11 4" xfId="17446" xr:uid="{00000000-0005-0000-0000-000023440000}"/>
    <cellStyle name="Comma 2 9 11 4 2" xfId="17447" xr:uid="{00000000-0005-0000-0000-000024440000}"/>
    <cellStyle name="Comma 2 9 11 4 2 2" xfId="17448" xr:uid="{00000000-0005-0000-0000-000025440000}"/>
    <cellStyle name="Comma 2 9 11 4 3" xfId="17449" xr:uid="{00000000-0005-0000-0000-000026440000}"/>
    <cellStyle name="Comma 2 9 11 4 4" xfId="17450" xr:uid="{00000000-0005-0000-0000-000027440000}"/>
    <cellStyle name="Comma 2 9 11 4 5" xfId="17451" xr:uid="{00000000-0005-0000-0000-000028440000}"/>
    <cellStyle name="Comma 2 9 11 5" xfId="17452" xr:uid="{00000000-0005-0000-0000-000029440000}"/>
    <cellStyle name="Comma 2 9 11 5 2" xfId="17453" xr:uid="{00000000-0005-0000-0000-00002A440000}"/>
    <cellStyle name="Comma 2 9 11 5 3" xfId="17454" xr:uid="{00000000-0005-0000-0000-00002B440000}"/>
    <cellStyle name="Comma 2 9 11 5 4" xfId="17455" xr:uid="{00000000-0005-0000-0000-00002C440000}"/>
    <cellStyle name="Comma 2 9 11 6" xfId="17456" xr:uid="{00000000-0005-0000-0000-00002D440000}"/>
    <cellStyle name="Comma 2 9 11 6 2" xfId="17457" xr:uid="{00000000-0005-0000-0000-00002E440000}"/>
    <cellStyle name="Comma 2 9 11 7" xfId="17458" xr:uid="{00000000-0005-0000-0000-00002F440000}"/>
    <cellStyle name="Comma 2 9 11 8" xfId="17459" xr:uid="{00000000-0005-0000-0000-000030440000}"/>
    <cellStyle name="Comma 2 9 11 9" xfId="17460" xr:uid="{00000000-0005-0000-0000-000031440000}"/>
    <cellStyle name="Comma 2 9 12" xfId="17461" xr:uid="{00000000-0005-0000-0000-000032440000}"/>
    <cellStyle name="Comma 2 9 12 10" xfId="17462" xr:uid="{00000000-0005-0000-0000-000033440000}"/>
    <cellStyle name="Comma 2 9 12 2" xfId="17463" xr:uid="{00000000-0005-0000-0000-000034440000}"/>
    <cellStyle name="Comma 2 9 12 2 2" xfId="17464" xr:uid="{00000000-0005-0000-0000-000035440000}"/>
    <cellStyle name="Comma 2 9 12 2 2 2" xfId="17465" xr:uid="{00000000-0005-0000-0000-000036440000}"/>
    <cellStyle name="Comma 2 9 12 2 2 3" xfId="17466" xr:uid="{00000000-0005-0000-0000-000037440000}"/>
    <cellStyle name="Comma 2 9 12 2 3" xfId="17467" xr:uid="{00000000-0005-0000-0000-000038440000}"/>
    <cellStyle name="Comma 2 9 12 2 4" xfId="17468" xr:uid="{00000000-0005-0000-0000-000039440000}"/>
    <cellStyle name="Comma 2 9 12 2 5" xfId="17469" xr:uid="{00000000-0005-0000-0000-00003A440000}"/>
    <cellStyle name="Comma 2 9 12 2 6" xfId="17470" xr:uid="{00000000-0005-0000-0000-00003B440000}"/>
    <cellStyle name="Comma 2 9 12 3" xfId="17471" xr:uid="{00000000-0005-0000-0000-00003C440000}"/>
    <cellStyle name="Comma 2 9 12 3 2" xfId="17472" xr:uid="{00000000-0005-0000-0000-00003D440000}"/>
    <cellStyle name="Comma 2 9 12 3 2 2" xfId="17473" xr:uid="{00000000-0005-0000-0000-00003E440000}"/>
    <cellStyle name="Comma 2 9 12 3 2 3" xfId="17474" xr:uid="{00000000-0005-0000-0000-00003F440000}"/>
    <cellStyle name="Comma 2 9 12 3 3" xfId="17475" xr:uid="{00000000-0005-0000-0000-000040440000}"/>
    <cellStyle name="Comma 2 9 12 3 4" xfId="17476" xr:uid="{00000000-0005-0000-0000-000041440000}"/>
    <cellStyle name="Comma 2 9 12 3 5" xfId="17477" xr:uid="{00000000-0005-0000-0000-000042440000}"/>
    <cellStyle name="Comma 2 9 12 3 6" xfId="17478" xr:uid="{00000000-0005-0000-0000-000043440000}"/>
    <cellStyle name="Comma 2 9 12 4" xfId="17479" xr:uid="{00000000-0005-0000-0000-000044440000}"/>
    <cellStyle name="Comma 2 9 12 4 2" xfId="17480" xr:uid="{00000000-0005-0000-0000-000045440000}"/>
    <cellStyle name="Comma 2 9 12 4 2 2" xfId="17481" xr:uid="{00000000-0005-0000-0000-000046440000}"/>
    <cellStyle name="Comma 2 9 12 4 3" xfId="17482" xr:uid="{00000000-0005-0000-0000-000047440000}"/>
    <cellStyle name="Comma 2 9 12 4 4" xfId="17483" xr:uid="{00000000-0005-0000-0000-000048440000}"/>
    <cellStyle name="Comma 2 9 12 4 5" xfId="17484" xr:uid="{00000000-0005-0000-0000-000049440000}"/>
    <cellStyle name="Comma 2 9 12 5" xfId="17485" xr:uid="{00000000-0005-0000-0000-00004A440000}"/>
    <cellStyle name="Comma 2 9 12 5 2" xfId="17486" xr:uid="{00000000-0005-0000-0000-00004B440000}"/>
    <cellStyle name="Comma 2 9 12 5 3" xfId="17487" xr:uid="{00000000-0005-0000-0000-00004C440000}"/>
    <cellStyle name="Comma 2 9 12 5 4" xfId="17488" xr:uid="{00000000-0005-0000-0000-00004D440000}"/>
    <cellStyle name="Comma 2 9 12 6" xfId="17489" xr:uid="{00000000-0005-0000-0000-00004E440000}"/>
    <cellStyle name="Comma 2 9 12 6 2" xfId="17490" xr:uid="{00000000-0005-0000-0000-00004F440000}"/>
    <cellStyle name="Comma 2 9 12 7" xfId="17491" xr:uid="{00000000-0005-0000-0000-000050440000}"/>
    <cellStyle name="Comma 2 9 12 8" xfId="17492" xr:uid="{00000000-0005-0000-0000-000051440000}"/>
    <cellStyle name="Comma 2 9 12 9" xfId="17493" xr:uid="{00000000-0005-0000-0000-000052440000}"/>
    <cellStyle name="Comma 2 9 13" xfId="17494" xr:uid="{00000000-0005-0000-0000-000053440000}"/>
    <cellStyle name="Comma 2 9 13 2" xfId="17495" xr:uid="{00000000-0005-0000-0000-000054440000}"/>
    <cellStyle name="Comma 2 9 13 2 2" xfId="17496" xr:uid="{00000000-0005-0000-0000-000055440000}"/>
    <cellStyle name="Comma 2 9 13 2 2 2" xfId="17497" xr:uid="{00000000-0005-0000-0000-000056440000}"/>
    <cellStyle name="Comma 2 9 13 2 2 3" xfId="17498" xr:uid="{00000000-0005-0000-0000-000057440000}"/>
    <cellStyle name="Comma 2 9 13 2 3" xfId="17499" xr:uid="{00000000-0005-0000-0000-000058440000}"/>
    <cellStyle name="Comma 2 9 13 2 4" xfId="17500" xr:uid="{00000000-0005-0000-0000-000059440000}"/>
    <cellStyle name="Comma 2 9 13 2 5" xfId="17501" xr:uid="{00000000-0005-0000-0000-00005A440000}"/>
    <cellStyle name="Comma 2 9 13 2 6" xfId="17502" xr:uid="{00000000-0005-0000-0000-00005B440000}"/>
    <cellStyle name="Comma 2 9 13 3" xfId="17503" xr:uid="{00000000-0005-0000-0000-00005C440000}"/>
    <cellStyle name="Comma 2 9 13 3 2" xfId="17504" xr:uid="{00000000-0005-0000-0000-00005D440000}"/>
    <cellStyle name="Comma 2 9 13 3 2 2" xfId="17505" xr:uid="{00000000-0005-0000-0000-00005E440000}"/>
    <cellStyle name="Comma 2 9 13 3 3" xfId="17506" xr:uid="{00000000-0005-0000-0000-00005F440000}"/>
    <cellStyle name="Comma 2 9 13 3 4" xfId="17507" xr:uid="{00000000-0005-0000-0000-000060440000}"/>
    <cellStyle name="Comma 2 9 13 3 5" xfId="17508" xr:uid="{00000000-0005-0000-0000-000061440000}"/>
    <cellStyle name="Comma 2 9 13 4" xfId="17509" xr:uid="{00000000-0005-0000-0000-000062440000}"/>
    <cellStyle name="Comma 2 9 13 4 2" xfId="17510" xr:uid="{00000000-0005-0000-0000-000063440000}"/>
    <cellStyle name="Comma 2 9 13 4 3" xfId="17511" xr:uid="{00000000-0005-0000-0000-000064440000}"/>
    <cellStyle name="Comma 2 9 13 4 4" xfId="17512" xr:uid="{00000000-0005-0000-0000-000065440000}"/>
    <cellStyle name="Comma 2 9 13 5" xfId="17513" xr:uid="{00000000-0005-0000-0000-000066440000}"/>
    <cellStyle name="Comma 2 9 13 5 2" xfId="17514" xr:uid="{00000000-0005-0000-0000-000067440000}"/>
    <cellStyle name="Comma 2 9 13 6" xfId="17515" xr:uid="{00000000-0005-0000-0000-000068440000}"/>
    <cellStyle name="Comma 2 9 13 7" xfId="17516" xr:uid="{00000000-0005-0000-0000-000069440000}"/>
    <cellStyle name="Comma 2 9 13 8" xfId="17517" xr:uid="{00000000-0005-0000-0000-00006A440000}"/>
    <cellStyle name="Comma 2 9 13 9" xfId="17518" xr:uid="{00000000-0005-0000-0000-00006B440000}"/>
    <cellStyle name="Comma 2 9 14" xfId="17519" xr:uid="{00000000-0005-0000-0000-00006C440000}"/>
    <cellStyle name="Comma 2 9 14 2" xfId="17520" xr:uid="{00000000-0005-0000-0000-00006D440000}"/>
    <cellStyle name="Comma 2 9 14 2 2" xfId="17521" xr:uid="{00000000-0005-0000-0000-00006E440000}"/>
    <cellStyle name="Comma 2 9 14 2 2 2" xfId="17522" xr:uid="{00000000-0005-0000-0000-00006F440000}"/>
    <cellStyle name="Comma 2 9 14 2 2 3" xfId="17523" xr:uid="{00000000-0005-0000-0000-000070440000}"/>
    <cellStyle name="Comma 2 9 14 2 3" xfId="17524" xr:uid="{00000000-0005-0000-0000-000071440000}"/>
    <cellStyle name="Comma 2 9 14 2 4" xfId="17525" xr:uid="{00000000-0005-0000-0000-000072440000}"/>
    <cellStyle name="Comma 2 9 14 2 5" xfId="17526" xr:uid="{00000000-0005-0000-0000-000073440000}"/>
    <cellStyle name="Comma 2 9 14 2 6" xfId="17527" xr:uid="{00000000-0005-0000-0000-000074440000}"/>
    <cellStyle name="Comma 2 9 14 3" xfId="17528" xr:uid="{00000000-0005-0000-0000-000075440000}"/>
    <cellStyle name="Comma 2 9 14 3 2" xfId="17529" xr:uid="{00000000-0005-0000-0000-000076440000}"/>
    <cellStyle name="Comma 2 9 14 3 2 2" xfId="17530" xr:uid="{00000000-0005-0000-0000-000077440000}"/>
    <cellStyle name="Comma 2 9 14 3 3" xfId="17531" xr:uid="{00000000-0005-0000-0000-000078440000}"/>
    <cellStyle name="Comma 2 9 14 3 4" xfId="17532" xr:uid="{00000000-0005-0000-0000-000079440000}"/>
    <cellStyle name="Comma 2 9 14 3 5" xfId="17533" xr:uid="{00000000-0005-0000-0000-00007A440000}"/>
    <cellStyle name="Comma 2 9 14 4" xfId="17534" xr:uid="{00000000-0005-0000-0000-00007B440000}"/>
    <cellStyle name="Comma 2 9 14 4 2" xfId="17535" xr:uid="{00000000-0005-0000-0000-00007C440000}"/>
    <cellStyle name="Comma 2 9 14 4 3" xfId="17536" xr:uid="{00000000-0005-0000-0000-00007D440000}"/>
    <cellStyle name="Comma 2 9 14 4 4" xfId="17537" xr:uid="{00000000-0005-0000-0000-00007E440000}"/>
    <cellStyle name="Comma 2 9 14 5" xfId="17538" xr:uid="{00000000-0005-0000-0000-00007F440000}"/>
    <cellStyle name="Comma 2 9 14 5 2" xfId="17539" xr:uid="{00000000-0005-0000-0000-000080440000}"/>
    <cellStyle name="Comma 2 9 14 6" xfId="17540" xr:uid="{00000000-0005-0000-0000-000081440000}"/>
    <cellStyle name="Comma 2 9 14 7" xfId="17541" xr:uid="{00000000-0005-0000-0000-000082440000}"/>
    <cellStyle name="Comma 2 9 14 8" xfId="17542" xr:uid="{00000000-0005-0000-0000-000083440000}"/>
    <cellStyle name="Comma 2 9 14 9" xfId="17543" xr:uid="{00000000-0005-0000-0000-000084440000}"/>
    <cellStyle name="Comma 2 9 15" xfId="17544" xr:uid="{00000000-0005-0000-0000-000085440000}"/>
    <cellStyle name="Comma 2 9 15 2" xfId="17545" xr:uid="{00000000-0005-0000-0000-000086440000}"/>
    <cellStyle name="Comma 2 9 15 2 2" xfId="17546" xr:uid="{00000000-0005-0000-0000-000087440000}"/>
    <cellStyle name="Comma 2 9 15 2 3" xfId="17547" xr:uid="{00000000-0005-0000-0000-000088440000}"/>
    <cellStyle name="Comma 2 9 15 3" xfId="17548" xr:uid="{00000000-0005-0000-0000-000089440000}"/>
    <cellStyle name="Comma 2 9 15 4" xfId="17549" xr:uid="{00000000-0005-0000-0000-00008A440000}"/>
    <cellStyle name="Comma 2 9 15 5" xfId="17550" xr:uid="{00000000-0005-0000-0000-00008B440000}"/>
    <cellStyle name="Comma 2 9 15 6" xfId="17551" xr:uid="{00000000-0005-0000-0000-00008C440000}"/>
    <cellStyle name="Comma 2 9 16" xfId="17552" xr:uid="{00000000-0005-0000-0000-00008D440000}"/>
    <cellStyle name="Comma 2 9 16 2" xfId="17553" xr:uid="{00000000-0005-0000-0000-00008E440000}"/>
    <cellStyle name="Comma 2 9 16 2 2" xfId="17554" xr:uid="{00000000-0005-0000-0000-00008F440000}"/>
    <cellStyle name="Comma 2 9 16 3" xfId="17555" xr:uid="{00000000-0005-0000-0000-000090440000}"/>
    <cellStyle name="Comma 2 9 16 4" xfId="17556" xr:uid="{00000000-0005-0000-0000-000091440000}"/>
    <cellStyle name="Comma 2 9 16 5" xfId="17557" xr:uid="{00000000-0005-0000-0000-000092440000}"/>
    <cellStyle name="Comma 2 9 17" xfId="17558" xr:uid="{00000000-0005-0000-0000-000093440000}"/>
    <cellStyle name="Comma 2 9 17 2" xfId="17559" xr:uid="{00000000-0005-0000-0000-000094440000}"/>
    <cellStyle name="Comma 2 9 17 2 2" xfId="17560" xr:uid="{00000000-0005-0000-0000-000095440000}"/>
    <cellStyle name="Comma 2 9 17 3" xfId="17561" xr:uid="{00000000-0005-0000-0000-000096440000}"/>
    <cellStyle name="Comma 2 9 17 4" xfId="17562" xr:uid="{00000000-0005-0000-0000-000097440000}"/>
    <cellStyle name="Comma 2 9 17 5" xfId="17563" xr:uid="{00000000-0005-0000-0000-000098440000}"/>
    <cellStyle name="Comma 2 9 18" xfId="17564" xr:uid="{00000000-0005-0000-0000-000099440000}"/>
    <cellStyle name="Comma 2 9 18 2" xfId="17565" xr:uid="{00000000-0005-0000-0000-00009A440000}"/>
    <cellStyle name="Comma 2 9 19" xfId="17566" xr:uid="{00000000-0005-0000-0000-00009B440000}"/>
    <cellStyle name="Comma 2 9 2" xfId="17567" xr:uid="{00000000-0005-0000-0000-00009C440000}"/>
    <cellStyle name="Comma 2 9 2 10" xfId="17568" xr:uid="{00000000-0005-0000-0000-00009D440000}"/>
    <cellStyle name="Comma 2 9 2 11" xfId="17569" xr:uid="{00000000-0005-0000-0000-00009E440000}"/>
    <cellStyle name="Comma 2 9 2 2" xfId="17570" xr:uid="{00000000-0005-0000-0000-00009F440000}"/>
    <cellStyle name="Comma 2 9 2 2 2" xfId="17571" xr:uid="{00000000-0005-0000-0000-0000A0440000}"/>
    <cellStyle name="Comma 2 9 2 2 2 2" xfId="17572" xr:uid="{00000000-0005-0000-0000-0000A1440000}"/>
    <cellStyle name="Comma 2 9 2 2 2 2 2" xfId="17573" xr:uid="{00000000-0005-0000-0000-0000A2440000}"/>
    <cellStyle name="Comma 2 9 2 2 2 2 3" xfId="17574" xr:uid="{00000000-0005-0000-0000-0000A3440000}"/>
    <cellStyle name="Comma 2 9 2 2 2 3" xfId="17575" xr:uid="{00000000-0005-0000-0000-0000A4440000}"/>
    <cellStyle name="Comma 2 9 2 2 2 4" xfId="17576" xr:uid="{00000000-0005-0000-0000-0000A5440000}"/>
    <cellStyle name="Comma 2 9 2 2 2 5" xfId="17577" xr:uid="{00000000-0005-0000-0000-0000A6440000}"/>
    <cellStyle name="Comma 2 9 2 2 2 6" xfId="17578" xr:uid="{00000000-0005-0000-0000-0000A7440000}"/>
    <cellStyle name="Comma 2 9 2 2 3" xfId="17579" xr:uid="{00000000-0005-0000-0000-0000A8440000}"/>
    <cellStyle name="Comma 2 9 2 2 3 2" xfId="17580" xr:uid="{00000000-0005-0000-0000-0000A9440000}"/>
    <cellStyle name="Comma 2 9 2 2 3 2 2" xfId="17581" xr:uid="{00000000-0005-0000-0000-0000AA440000}"/>
    <cellStyle name="Comma 2 9 2 2 3 3" xfId="17582" xr:uid="{00000000-0005-0000-0000-0000AB440000}"/>
    <cellStyle name="Comma 2 9 2 2 3 4" xfId="17583" xr:uid="{00000000-0005-0000-0000-0000AC440000}"/>
    <cellStyle name="Comma 2 9 2 2 3 5" xfId="17584" xr:uid="{00000000-0005-0000-0000-0000AD440000}"/>
    <cellStyle name="Comma 2 9 2 2 4" xfId="17585" xr:uid="{00000000-0005-0000-0000-0000AE440000}"/>
    <cellStyle name="Comma 2 9 2 2 4 2" xfId="17586" xr:uid="{00000000-0005-0000-0000-0000AF440000}"/>
    <cellStyle name="Comma 2 9 2 2 4 3" xfId="17587" xr:uid="{00000000-0005-0000-0000-0000B0440000}"/>
    <cellStyle name="Comma 2 9 2 2 4 4" xfId="17588" xr:uid="{00000000-0005-0000-0000-0000B1440000}"/>
    <cellStyle name="Comma 2 9 2 2 5" xfId="17589" xr:uid="{00000000-0005-0000-0000-0000B2440000}"/>
    <cellStyle name="Comma 2 9 2 2 5 2" xfId="17590" xr:uid="{00000000-0005-0000-0000-0000B3440000}"/>
    <cellStyle name="Comma 2 9 2 2 6" xfId="17591" xr:uid="{00000000-0005-0000-0000-0000B4440000}"/>
    <cellStyle name="Comma 2 9 2 2 7" xfId="17592" xr:uid="{00000000-0005-0000-0000-0000B5440000}"/>
    <cellStyle name="Comma 2 9 2 2 8" xfId="17593" xr:uid="{00000000-0005-0000-0000-0000B6440000}"/>
    <cellStyle name="Comma 2 9 2 2 9" xfId="17594" xr:uid="{00000000-0005-0000-0000-0000B7440000}"/>
    <cellStyle name="Comma 2 9 2 3" xfId="17595" xr:uid="{00000000-0005-0000-0000-0000B8440000}"/>
    <cellStyle name="Comma 2 9 2 3 2" xfId="17596" xr:uid="{00000000-0005-0000-0000-0000B9440000}"/>
    <cellStyle name="Comma 2 9 2 3 2 2" xfId="17597" xr:uid="{00000000-0005-0000-0000-0000BA440000}"/>
    <cellStyle name="Comma 2 9 2 3 2 2 2" xfId="17598" xr:uid="{00000000-0005-0000-0000-0000BB440000}"/>
    <cellStyle name="Comma 2 9 2 3 2 2 3" xfId="17599" xr:uid="{00000000-0005-0000-0000-0000BC440000}"/>
    <cellStyle name="Comma 2 9 2 3 2 3" xfId="17600" xr:uid="{00000000-0005-0000-0000-0000BD440000}"/>
    <cellStyle name="Comma 2 9 2 3 2 4" xfId="17601" xr:uid="{00000000-0005-0000-0000-0000BE440000}"/>
    <cellStyle name="Comma 2 9 2 3 2 5" xfId="17602" xr:uid="{00000000-0005-0000-0000-0000BF440000}"/>
    <cellStyle name="Comma 2 9 2 3 2 6" xfId="17603" xr:uid="{00000000-0005-0000-0000-0000C0440000}"/>
    <cellStyle name="Comma 2 9 2 3 3" xfId="17604" xr:uid="{00000000-0005-0000-0000-0000C1440000}"/>
    <cellStyle name="Comma 2 9 2 3 3 2" xfId="17605" xr:uid="{00000000-0005-0000-0000-0000C2440000}"/>
    <cellStyle name="Comma 2 9 2 3 3 2 2" xfId="17606" xr:uid="{00000000-0005-0000-0000-0000C3440000}"/>
    <cellStyle name="Comma 2 9 2 3 3 3" xfId="17607" xr:uid="{00000000-0005-0000-0000-0000C4440000}"/>
    <cellStyle name="Comma 2 9 2 3 3 4" xfId="17608" xr:uid="{00000000-0005-0000-0000-0000C5440000}"/>
    <cellStyle name="Comma 2 9 2 3 3 5" xfId="17609" xr:uid="{00000000-0005-0000-0000-0000C6440000}"/>
    <cellStyle name="Comma 2 9 2 3 4" xfId="17610" xr:uid="{00000000-0005-0000-0000-0000C7440000}"/>
    <cellStyle name="Comma 2 9 2 3 4 2" xfId="17611" xr:uid="{00000000-0005-0000-0000-0000C8440000}"/>
    <cellStyle name="Comma 2 9 2 3 4 3" xfId="17612" xr:uid="{00000000-0005-0000-0000-0000C9440000}"/>
    <cellStyle name="Comma 2 9 2 3 4 4" xfId="17613" xr:uid="{00000000-0005-0000-0000-0000CA440000}"/>
    <cellStyle name="Comma 2 9 2 3 5" xfId="17614" xr:uid="{00000000-0005-0000-0000-0000CB440000}"/>
    <cellStyle name="Comma 2 9 2 3 5 2" xfId="17615" xr:uid="{00000000-0005-0000-0000-0000CC440000}"/>
    <cellStyle name="Comma 2 9 2 3 6" xfId="17616" xr:uid="{00000000-0005-0000-0000-0000CD440000}"/>
    <cellStyle name="Comma 2 9 2 3 7" xfId="17617" xr:uid="{00000000-0005-0000-0000-0000CE440000}"/>
    <cellStyle name="Comma 2 9 2 3 8" xfId="17618" xr:uid="{00000000-0005-0000-0000-0000CF440000}"/>
    <cellStyle name="Comma 2 9 2 3 9" xfId="17619" xr:uid="{00000000-0005-0000-0000-0000D0440000}"/>
    <cellStyle name="Comma 2 9 2 4" xfId="17620" xr:uid="{00000000-0005-0000-0000-0000D1440000}"/>
    <cellStyle name="Comma 2 9 2 4 2" xfId="17621" xr:uid="{00000000-0005-0000-0000-0000D2440000}"/>
    <cellStyle name="Comma 2 9 2 4 2 2" xfId="17622" xr:uid="{00000000-0005-0000-0000-0000D3440000}"/>
    <cellStyle name="Comma 2 9 2 4 2 3" xfId="17623" xr:uid="{00000000-0005-0000-0000-0000D4440000}"/>
    <cellStyle name="Comma 2 9 2 4 3" xfId="17624" xr:uid="{00000000-0005-0000-0000-0000D5440000}"/>
    <cellStyle name="Comma 2 9 2 4 4" xfId="17625" xr:uid="{00000000-0005-0000-0000-0000D6440000}"/>
    <cellStyle name="Comma 2 9 2 4 5" xfId="17626" xr:uid="{00000000-0005-0000-0000-0000D7440000}"/>
    <cellStyle name="Comma 2 9 2 4 6" xfId="17627" xr:uid="{00000000-0005-0000-0000-0000D8440000}"/>
    <cellStyle name="Comma 2 9 2 5" xfId="17628" xr:uid="{00000000-0005-0000-0000-0000D9440000}"/>
    <cellStyle name="Comma 2 9 2 5 2" xfId="17629" xr:uid="{00000000-0005-0000-0000-0000DA440000}"/>
    <cellStyle name="Comma 2 9 2 5 2 2" xfId="17630" xr:uid="{00000000-0005-0000-0000-0000DB440000}"/>
    <cellStyle name="Comma 2 9 2 5 3" xfId="17631" xr:uid="{00000000-0005-0000-0000-0000DC440000}"/>
    <cellStyle name="Comma 2 9 2 5 4" xfId="17632" xr:uid="{00000000-0005-0000-0000-0000DD440000}"/>
    <cellStyle name="Comma 2 9 2 5 5" xfId="17633" xr:uid="{00000000-0005-0000-0000-0000DE440000}"/>
    <cellStyle name="Comma 2 9 2 6" xfId="17634" xr:uid="{00000000-0005-0000-0000-0000DF440000}"/>
    <cellStyle name="Comma 2 9 2 6 2" xfId="17635" xr:uid="{00000000-0005-0000-0000-0000E0440000}"/>
    <cellStyle name="Comma 2 9 2 6 3" xfId="17636" xr:uid="{00000000-0005-0000-0000-0000E1440000}"/>
    <cellStyle name="Comma 2 9 2 6 4" xfId="17637" xr:uid="{00000000-0005-0000-0000-0000E2440000}"/>
    <cellStyle name="Comma 2 9 2 7" xfId="17638" xr:uid="{00000000-0005-0000-0000-0000E3440000}"/>
    <cellStyle name="Comma 2 9 2 7 2" xfId="17639" xr:uid="{00000000-0005-0000-0000-0000E4440000}"/>
    <cellStyle name="Comma 2 9 2 8" xfId="17640" xr:uid="{00000000-0005-0000-0000-0000E5440000}"/>
    <cellStyle name="Comma 2 9 2 9" xfId="17641" xr:uid="{00000000-0005-0000-0000-0000E6440000}"/>
    <cellStyle name="Comma 2 9 20" xfId="17642" xr:uid="{00000000-0005-0000-0000-0000E7440000}"/>
    <cellStyle name="Comma 2 9 21" xfId="17643" xr:uid="{00000000-0005-0000-0000-0000E8440000}"/>
    <cellStyle name="Comma 2 9 22" xfId="17644" xr:uid="{00000000-0005-0000-0000-0000E9440000}"/>
    <cellStyle name="Comma 2 9 3" xfId="17645" xr:uid="{00000000-0005-0000-0000-0000EA440000}"/>
    <cellStyle name="Comma 2 9 3 10" xfId="17646" xr:uid="{00000000-0005-0000-0000-0000EB440000}"/>
    <cellStyle name="Comma 2 9 3 11" xfId="17647" xr:uid="{00000000-0005-0000-0000-0000EC440000}"/>
    <cellStyle name="Comma 2 9 3 2" xfId="17648" xr:uid="{00000000-0005-0000-0000-0000ED440000}"/>
    <cellStyle name="Comma 2 9 3 2 2" xfId="17649" xr:uid="{00000000-0005-0000-0000-0000EE440000}"/>
    <cellStyle name="Comma 2 9 3 2 2 2" xfId="17650" xr:uid="{00000000-0005-0000-0000-0000EF440000}"/>
    <cellStyle name="Comma 2 9 3 2 2 2 2" xfId="17651" xr:uid="{00000000-0005-0000-0000-0000F0440000}"/>
    <cellStyle name="Comma 2 9 3 2 2 2 3" xfId="17652" xr:uid="{00000000-0005-0000-0000-0000F1440000}"/>
    <cellStyle name="Comma 2 9 3 2 2 3" xfId="17653" xr:uid="{00000000-0005-0000-0000-0000F2440000}"/>
    <cellStyle name="Comma 2 9 3 2 2 4" xfId="17654" xr:uid="{00000000-0005-0000-0000-0000F3440000}"/>
    <cellStyle name="Comma 2 9 3 2 2 5" xfId="17655" xr:uid="{00000000-0005-0000-0000-0000F4440000}"/>
    <cellStyle name="Comma 2 9 3 2 2 6" xfId="17656" xr:uid="{00000000-0005-0000-0000-0000F5440000}"/>
    <cellStyle name="Comma 2 9 3 2 3" xfId="17657" xr:uid="{00000000-0005-0000-0000-0000F6440000}"/>
    <cellStyle name="Comma 2 9 3 2 3 2" xfId="17658" xr:uid="{00000000-0005-0000-0000-0000F7440000}"/>
    <cellStyle name="Comma 2 9 3 2 3 2 2" xfId="17659" xr:uid="{00000000-0005-0000-0000-0000F8440000}"/>
    <cellStyle name="Comma 2 9 3 2 3 3" xfId="17660" xr:uid="{00000000-0005-0000-0000-0000F9440000}"/>
    <cellStyle name="Comma 2 9 3 2 3 4" xfId="17661" xr:uid="{00000000-0005-0000-0000-0000FA440000}"/>
    <cellStyle name="Comma 2 9 3 2 3 5" xfId="17662" xr:uid="{00000000-0005-0000-0000-0000FB440000}"/>
    <cellStyle name="Comma 2 9 3 2 4" xfId="17663" xr:uid="{00000000-0005-0000-0000-0000FC440000}"/>
    <cellStyle name="Comma 2 9 3 2 4 2" xfId="17664" xr:uid="{00000000-0005-0000-0000-0000FD440000}"/>
    <cellStyle name="Comma 2 9 3 2 4 3" xfId="17665" xr:uid="{00000000-0005-0000-0000-0000FE440000}"/>
    <cellStyle name="Comma 2 9 3 2 4 4" xfId="17666" xr:uid="{00000000-0005-0000-0000-0000FF440000}"/>
    <cellStyle name="Comma 2 9 3 2 5" xfId="17667" xr:uid="{00000000-0005-0000-0000-000000450000}"/>
    <cellStyle name="Comma 2 9 3 2 5 2" xfId="17668" xr:uid="{00000000-0005-0000-0000-000001450000}"/>
    <cellStyle name="Comma 2 9 3 2 6" xfId="17669" xr:uid="{00000000-0005-0000-0000-000002450000}"/>
    <cellStyle name="Comma 2 9 3 2 7" xfId="17670" xr:uid="{00000000-0005-0000-0000-000003450000}"/>
    <cellStyle name="Comma 2 9 3 2 8" xfId="17671" xr:uid="{00000000-0005-0000-0000-000004450000}"/>
    <cellStyle name="Comma 2 9 3 2 9" xfId="17672" xr:uid="{00000000-0005-0000-0000-000005450000}"/>
    <cellStyle name="Comma 2 9 3 3" xfId="17673" xr:uid="{00000000-0005-0000-0000-000006450000}"/>
    <cellStyle name="Comma 2 9 3 3 2" xfId="17674" xr:uid="{00000000-0005-0000-0000-000007450000}"/>
    <cellStyle name="Comma 2 9 3 3 2 2" xfId="17675" xr:uid="{00000000-0005-0000-0000-000008450000}"/>
    <cellStyle name="Comma 2 9 3 3 2 2 2" xfId="17676" xr:uid="{00000000-0005-0000-0000-000009450000}"/>
    <cellStyle name="Comma 2 9 3 3 2 2 3" xfId="17677" xr:uid="{00000000-0005-0000-0000-00000A450000}"/>
    <cellStyle name="Comma 2 9 3 3 2 3" xfId="17678" xr:uid="{00000000-0005-0000-0000-00000B450000}"/>
    <cellStyle name="Comma 2 9 3 3 2 4" xfId="17679" xr:uid="{00000000-0005-0000-0000-00000C450000}"/>
    <cellStyle name="Comma 2 9 3 3 2 5" xfId="17680" xr:uid="{00000000-0005-0000-0000-00000D450000}"/>
    <cellStyle name="Comma 2 9 3 3 2 6" xfId="17681" xr:uid="{00000000-0005-0000-0000-00000E450000}"/>
    <cellStyle name="Comma 2 9 3 3 3" xfId="17682" xr:uid="{00000000-0005-0000-0000-00000F450000}"/>
    <cellStyle name="Comma 2 9 3 3 3 2" xfId="17683" xr:uid="{00000000-0005-0000-0000-000010450000}"/>
    <cellStyle name="Comma 2 9 3 3 3 2 2" xfId="17684" xr:uid="{00000000-0005-0000-0000-000011450000}"/>
    <cellStyle name="Comma 2 9 3 3 3 3" xfId="17685" xr:uid="{00000000-0005-0000-0000-000012450000}"/>
    <cellStyle name="Comma 2 9 3 3 3 4" xfId="17686" xr:uid="{00000000-0005-0000-0000-000013450000}"/>
    <cellStyle name="Comma 2 9 3 3 3 5" xfId="17687" xr:uid="{00000000-0005-0000-0000-000014450000}"/>
    <cellStyle name="Comma 2 9 3 3 4" xfId="17688" xr:uid="{00000000-0005-0000-0000-000015450000}"/>
    <cellStyle name="Comma 2 9 3 3 4 2" xfId="17689" xr:uid="{00000000-0005-0000-0000-000016450000}"/>
    <cellStyle name="Comma 2 9 3 3 4 3" xfId="17690" xr:uid="{00000000-0005-0000-0000-000017450000}"/>
    <cellStyle name="Comma 2 9 3 3 4 4" xfId="17691" xr:uid="{00000000-0005-0000-0000-000018450000}"/>
    <cellStyle name="Comma 2 9 3 3 5" xfId="17692" xr:uid="{00000000-0005-0000-0000-000019450000}"/>
    <cellStyle name="Comma 2 9 3 3 5 2" xfId="17693" xr:uid="{00000000-0005-0000-0000-00001A450000}"/>
    <cellStyle name="Comma 2 9 3 3 6" xfId="17694" xr:uid="{00000000-0005-0000-0000-00001B450000}"/>
    <cellStyle name="Comma 2 9 3 3 7" xfId="17695" xr:uid="{00000000-0005-0000-0000-00001C450000}"/>
    <cellStyle name="Comma 2 9 3 3 8" xfId="17696" xr:uid="{00000000-0005-0000-0000-00001D450000}"/>
    <cellStyle name="Comma 2 9 3 3 9" xfId="17697" xr:uid="{00000000-0005-0000-0000-00001E450000}"/>
    <cellStyle name="Comma 2 9 3 4" xfId="17698" xr:uid="{00000000-0005-0000-0000-00001F450000}"/>
    <cellStyle name="Comma 2 9 3 4 2" xfId="17699" xr:uid="{00000000-0005-0000-0000-000020450000}"/>
    <cellStyle name="Comma 2 9 3 4 2 2" xfId="17700" xr:uid="{00000000-0005-0000-0000-000021450000}"/>
    <cellStyle name="Comma 2 9 3 4 2 3" xfId="17701" xr:uid="{00000000-0005-0000-0000-000022450000}"/>
    <cellStyle name="Comma 2 9 3 4 3" xfId="17702" xr:uid="{00000000-0005-0000-0000-000023450000}"/>
    <cellStyle name="Comma 2 9 3 4 4" xfId="17703" xr:uid="{00000000-0005-0000-0000-000024450000}"/>
    <cellStyle name="Comma 2 9 3 4 5" xfId="17704" xr:uid="{00000000-0005-0000-0000-000025450000}"/>
    <cellStyle name="Comma 2 9 3 4 6" xfId="17705" xr:uid="{00000000-0005-0000-0000-000026450000}"/>
    <cellStyle name="Comma 2 9 3 5" xfId="17706" xr:uid="{00000000-0005-0000-0000-000027450000}"/>
    <cellStyle name="Comma 2 9 3 5 2" xfId="17707" xr:uid="{00000000-0005-0000-0000-000028450000}"/>
    <cellStyle name="Comma 2 9 3 5 2 2" xfId="17708" xr:uid="{00000000-0005-0000-0000-000029450000}"/>
    <cellStyle name="Comma 2 9 3 5 3" xfId="17709" xr:uid="{00000000-0005-0000-0000-00002A450000}"/>
    <cellStyle name="Comma 2 9 3 5 4" xfId="17710" xr:uid="{00000000-0005-0000-0000-00002B450000}"/>
    <cellStyle name="Comma 2 9 3 5 5" xfId="17711" xr:uid="{00000000-0005-0000-0000-00002C450000}"/>
    <cellStyle name="Comma 2 9 3 6" xfId="17712" xr:uid="{00000000-0005-0000-0000-00002D450000}"/>
    <cellStyle name="Comma 2 9 3 6 2" xfId="17713" xr:uid="{00000000-0005-0000-0000-00002E450000}"/>
    <cellStyle name="Comma 2 9 3 6 3" xfId="17714" xr:uid="{00000000-0005-0000-0000-00002F450000}"/>
    <cellStyle name="Comma 2 9 3 6 4" xfId="17715" xr:uid="{00000000-0005-0000-0000-000030450000}"/>
    <cellStyle name="Comma 2 9 3 7" xfId="17716" xr:uid="{00000000-0005-0000-0000-000031450000}"/>
    <cellStyle name="Comma 2 9 3 7 2" xfId="17717" xr:uid="{00000000-0005-0000-0000-000032450000}"/>
    <cellStyle name="Comma 2 9 3 8" xfId="17718" xr:uid="{00000000-0005-0000-0000-000033450000}"/>
    <cellStyle name="Comma 2 9 3 9" xfId="17719" xr:uid="{00000000-0005-0000-0000-000034450000}"/>
    <cellStyle name="Comma 2 9 4" xfId="17720" xr:uid="{00000000-0005-0000-0000-000035450000}"/>
    <cellStyle name="Comma 2 9 4 10" xfId="17721" xr:uid="{00000000-0005-0000-0000-000036450000}"/>
    <cellStyle name="Comma 2 9 4 11" xfId="17722" xr:uid="{00000000-0005-0000-0000-000037450000}"/>
    <cellStyle name="Comma 2 9 4 2" xfId="17723" xr:uid="{00000000-0005-0000-0000-000038450000}"/>
    <cellStyle name="Comma 2 9 4 2 2" xfId="17724" xr:uid="{00000000-0005-0000-0000-000039450000}"/>
    <cellStyle name="Comma 2 9 4 2 2 2" xfId="17725" xr:uid="{00000000-0005-0000-0000-00003A450000}"/>
    <cellStyle name="Comma 2 9 4 2 2 2 2" xfId="17726" xr:uid="{00000000-0005-0000-0000-00003B450000}"/>
    <cellStyle name="Comma 2 9 4 2 2 2 3" xfId="17727" xr:uid="{00000000-0005-0000-0000-00003C450000}"/>
    <cellStyle name="Comma 2 9 4 2 2 3" xfId="17728" xr:uid="{00000000-0005-0000-0000-00003D450000}"/>
    <cellStyle name="Comma 2 9 4 2 2 4" xfId="17729" xr:uid="{00000000-0005-0000-0000-00003E450000}"/>
    <cellStyle name="Comma 2 9 4 2 2 5" xfId="17730" xr:uid="{00000000-0005-0000-0000-00003F450000}"/>
    <cellStyle name="Comma 2 9 4 2 2 6" xfId="17731" xr:uid="{00000000-0005-0000-0000-000040450000}"/>
    <cellStyle name="Comma 2 9 4 2 3" xfId="17732" xr:uid="{00000000-0005-0000-0000-000041450000}"/>
    <cellStyle name="Comma 2 9 4 2 3 2" xfId="17733" xr:uid="{00000000-0005-0000-0000-000042450000}"/>
    <cellStyle name="Comma 2 9 4 2 3 2 2" xfId="17734" xr:uid="{00000000-0005-0000-0000-000043450000}"/>
    <cellStyle name="Comma 2 9 4 2 3 3" xfId="17735" xr:uid="{00000000-0005-0000-0000-000044450000}"/>
    <cellStyle name="Comma 2 9 4 2 3 4" xfId="17736" xr:uid="{00000000-0005-0000-0000-000045450000}"/>
    <cellStyle name="Comma 2 9 4 2 3 5" xfId="17737" xr:uid="{00000000-0005-0000-0000-000046450000}"/>
    <cellStyle name="Comma 2 9 4 2 4" xfId="17738" xr:uid="{00000000-0005-0000-0000-000047450000}"/>
    <cellStyle name="Comma 2 9 4 2 4 2" xfId="17739" xr:uid="{00000000-0005-0000-0000-000048450000}"/>
    <cellStyle name="Comma 2 9 4 2 4 3" xfId="17740" xr:uid="{00000000-0005-0000-0000-000049450000}"/>
    <cellStyle name="Comma 2 9 4 2 4 4" xfId="17741" xr:uid="{00000000-0005-0000-0000-00004A450000}"/>
    <cellStyle name="Comma 2 9 4 2 5" xfId="17742" xr:uid="{00000000-0005-0000-0000-00004B450000}"/>
    <cellStyle name="Comma 2 9 4 2 5 2" xfId="17743" xr:uid="{00000000-0005-0000-0000-00004C450000}"/>
    <cellStyle name="Comma 2 9 4 2 6" xfId="17744" xr:uid="{00000000-0005-0000-0000-00004D450000}"/>
    <cellStyle name="Comma 2 9 4 2 7" xfId="17745" xr:uid="{00000000-0005-0000-0000-00004E450000}"/>
    <cellStyle name="Comma 2 9 4 2 8" xfId="17746" xr:uid="{00000000-0005-0000-0000-00004F450000}"/>
    <cellStyle name="Comma 2 9 4 2 9" xfId="17747" xr:uid="{00000000-0005-0000-0000-000050450000}"/>
    <cellStyle name="Comma 2 9 4 3" xfId="17748" xr:uid="{00000000-0005-0000-0000-000051450000}"/>
    <cellStyle name="Comma 2 9 4 3 2" xfId="17749" xr:uid="{00000000-0005-0000-0000-000052450000}"/>
    <cellStyle name="Comma 2 9 4 3 2 2" xfId="17750" xr:uid="{00000000-0005-0000-0000-000053450000}"/>
    <cellStyle name="Comma 2 9 4 3 2 2 2" xfId="17751" xr:uid="{00000000-0005-0000-0000-000054450000}"/>
    <cellStyle name="Comma 2 9 4 3 2 2 3" xfId="17752" xr:uid="{00000000-0005-0000-0000-000055450000}"/>
    <cellStyle name="Comma 2 9 4 3 2 3" xfId="17753" xr:uid="{00000000-0005-0000-0000-000056450000}"/>
    <cellStyle name="Comma 2 9 4 3 2 4" xfId="17754" xr:uid="{00000000-0005-0000-0000-000057450000}"/>
    <cellStyle name="Comma 2 9 4 3 2 5" xfId="17755" xr:uid="{00000000-0005-0000-0000-000058450000}"/>
    <cellStyle name="Comma 2 9 4 3 2 6" xfId="17756" xr:uid="{00000000-0005-0000-0000-000059450000}"/>
    <cellStyle name="Comma 2 9 4 3 3" xfId="17757" xr:uid="{00000000-0005-0000-0000-00005A450000}"/>
    <cellStyle name="Comma 2 9 4 3 3 2" xfId="17758" xr:uid="{00000000-0005-0000-0000-00005B450000}"/>
    <cellStyle name="Comma 2 9 4 3 3 2 2" xfId="17759" xr:uid="{00000000-0005-0000-0000-00005C450000}"/>
    <cellStyle name="Comma 2 9 4 3 3 3" xfId="17760" xr:uid="{00000000-0005-0000-0000-00005D450000}"/>
    <cellStyle name="Comma 2 9 4 3 3 4" xfId="17761" xr:uid="{00000000-0005-0000-0000-00005E450000}"/>
    <cellStyle name="Comma 2 9 4 3 3 5" xfId="17762" xr:uid="{00000000-0005-0000-0000-00005F450000}"/>
    <cellStyle name="Comma 2 9 4 3 4" xfId="17763" xr:uid="{00000000-0005-0000-0000-000060450000}"/>
    <cellStyle name="Comma 2 9 4 3 4 2" xfId="17764" xr:uid="{00000000-0005-0000-0000-000061450000}"/>
    <cellStyle name="Comma 2 9 4 3 4 3" xfId="17765" xr:uid="{00000000-0005-0000-0000-000062450000}"/>
    <cellStyle name="Comma 2 9 4 3 4 4" xfId="17766" xr:uid="{00000000-0005-0000-0000-000063450000}"/>
    <cellStyle name="Comma 2 9 4 3 5" xfId="17767" xr:uid="{00000000-0005-0000-0000-000064450000}"/>
    <cellStyle name="Comma 2 9 4 3 5 2" xfId="17768" xr:uid="{00000000-0005-0000-0000-000065450000}"/>
    <cellStyle name="Comma 2 9 4 3 6" xfId="17769" xr:uid="{00000000-0005-0000-0000-000066450000}"/>
    <cellStyle name="Comma 2 9 4 3 7" xfId="17770" xr:uid="{00000000-0005-0000-0000-000067450000}"/>
    <cellStyle name="Comma 2 9 4 3 8" xfId="17771" xr:uid="{00000000-0005-0000-0000-000068450000}"/>
    <cellStyle name="Comma 2 9 4 3 9" xfId="17772" xr:uid="{00000000-0005-0000-0000-000069450000}"/>
    <cellStyle name="Comma 2 9 4 4" xfId="17773" xr:uid="{00000000-0005-0000-0000-00006A450000}"/>
    <cellStyle name="Comma 2 9 4 4 2" xfId="17774" xr:uid="{00000000-0005-0000-0000-00006B450000}"/>
    <cellStyle name="Comma 2 9 4 4 2 2" xfId="17775" xr:uid="{00000000-0005-0000-0000-00006C450000}"/>
    <cellStyle name="Comma 2 9 4 4 2 3" xfId="17776" xr:uid="{00000000-0005-0000-0000-00006D450000}"/>
    <cellStyle name="Comma 2 9 4 4 3" xfId="17777" xr:uid="{00000000-0005-0000-0000-00006E450000}"/>
    <cellStyle name="Comma 2 9 4 4 4" xfId="17778" xr:uid="{00000000-0005-0000-0000-00006F450000}"/>
    <cellStyle name="Comma 2 9 4 4 5" xfId="17779" xr:uid="{00000000-0005-0000-0000-000070450000}"/>
    <cellStyle name="Comma 2 9 4 4 6" xfId="17780" xr:uid="{00000000-0005-0000-0000-000071450000}"/>
    <cellStyle name="Comma 2 9 4 5" xfId="17781" xr:uid="{00000000-0005-0000-0000-000072450000}"/>
    <cellStyle name="Comma 2 9 4 5 2" xfId="17782" xr:uid="{00000000-0005-0000-0000-000073450000}"/>
    <cellStyle name="Comma 2 9 4 5 2 2" xfId="17783" xr:uid="{00000000-0005-0000-0000-000074450000}"/>
    <cellStyle name="Comma 2 9 4 5 3" xfId="17784" xr:uid="{00000000-0005-0000-0000-000075450000}"/>
    <cellStyle name="Comma 2 9 4 5 4" xfId="17785" xr:uid="{00000000-0005-0000-0000-000076450000}"/>
    <cellStyle name="Comma 2 9 4 5 5" xfId="17786" xr:uid="{00000000-0005-0000-0000-000077450000}"/>
    <cellStyle name="Comma 2 9 4 6" xfId="17787" xr:uid="{00000000-0005-0000-0000-000078450000}"/>
    <cellStyle name="Comma 2 9 4 6 2" xfId="17788" xr:uid="{00000000-0005-0000-0000-000079450000}"/>
    <cellStyle name="Comma 2 9 4 6 3" xfId="17789" xr:uid="{00000000-0005-0000-0000-00007A450000}"/>
    <cellStyle name="Comma 2 9 4 6 4" xfId="17790" xr:uid="{00000000-0005-0000-0000-00007B450000}"/>
    <cellStyle name="Comma 2 9 4 7" xfId="17791" xr:uid="{00000000-0005-0000-0000-00007C450000}"/>
    <cellStyle name="Comma 2 9 4 7 2" xfId="17792" xr:uid="{00000000-0005-0000-0000-00007D450000}"/>
    <cellStyle name="Comma 2 9 4 8" xfId="17793" xr:uid="{00000000-0005-0000-0000-00007E450000}"/>
    <cellStyle name="Comma 2 9 4 9" xfId="17794" xr:uid="{00000000-0005-0000-0000-00007F450000}"/>
    <cellStyle name="Comma 2 9 5" xfId="17795" xr:uid="{00000000-0005-0000-0000-000080450000}"/>
    <cellStyle name="Comma 2 9 5 10" xfId="17796" xr:uid="{00000000-0005-0000-0000-000081450000}"/>
    <cellStyle name="Comma 2 9 5 11" xfId="17797" xr:uid="{00000000-0005-0000-0000-000082450000}"/>
    <cellStyle name="Comma 2 9 5 2" xfId="17798" xr:uid="{00000000-0005-0000-0000-000083450000}"/>
    <cellStyle name="Comma 2 9 5 2 2" xfId="17799" xr:uid="{00000000-0005-0000-0000-000084450000}"/>
    <cellStyle name="Comma 2 9 5 2 2 2" xfId="17800" xr:uid="{00000000-0005-0000-0000-000085450000}"/>
    <cellStyle name="Comma 2 9 5 2 2 2 2" xfId="17801" xr:uid="{00000000-0005-0000-0000-000086450000}"/>
    <cellStyle name="Comma 2 9 5 2 2 2 3" xfId="17802" xr:uid="{00000000-0005-0000-0000-000087450000}"/>
    <cellStyle name="Comma 2 9 5 2 2 3" xfId="17803" xr:uid="{00000000-0005-0000-0000-000088450000}"/>
    <cellStyle name="Comma 2 9 5 2 2 4" xfId="17804" xr:uid="{00000000-0005-0000-0000-000089450000}"/>
    <cellStyle name="Comma 2 9 5 2 2 5" xfId="17805" xr:uid="{00000000-0005-0000-0000-00008A450000}"/>
    <cellStyle name="Comma 2 9 5 2 2 6" xfId="17806" xr:uid="{00000000-0005-0000-0000-00008B450000}"/>
    <cellStyle name="Comma 2 9 5 2 3" xfId="17807" xr:uid="{00000000-0005-0000-0000-00008C450000}"/>
    <cellStyle name="Comma 2 9 5 2 3 2" xfId="17808" xr:uid="{00000000-0005-0000-0000-00008D450000}"/>
    <cellStyle name="Comma 2 9 5 2 3 2 2" xfId="17809" xr:uid="{00000000-0005-0000-0000-00008E450000}"/>
    <cellStyle name="Comma 2 9 5 2 3 3" xfId="17810" xr:uid="{00000000-0005-0000-0000-00008F450000}"/>
    <cellStyle name="Comma 2 9 5 2 3 4" xfId="17811" xr:uid="{00000000-0005-0000-0000-000090450000}"/>
    <cellStyle name="Comma 2 9 5 2 3 5" xfId="17812" xr:uid="{00000000-0005-0000-0000-000091450000}"/>
    <cellStyle name="Comma 2 9 5 2 4" xfId="17813" xr:uid="{00000000-0005-0000-0000-000092450000}"/>
    <cellStyle name="Comma 2 9 5 2 4 2" xfId="17814" xr:uid="{00000000-0005-0000-0000-000093450000}"/>
    <cellStyle name="Comma 2 9 5 2 4 3" xfId="17815" xr:uid="{00000000-0005-0000-0000-000094450000}"/>
    <cellStyle name="Comma 2 9 5 2 4 4" xfId="17816" xr:uid="{00000000-0005-0000-0000-000095450000}"/>
    <cellStyle name="Comma 2 9 5 2 5" xfId="17817" xr:uid="{00000000-0005-0000-0000-000096450000}"/>
    <cellStyle name="Comma 2 9 5 2 5 2" xfId="17818" xr:uid="{00000000-0005-0000-0000-000097450000}"/>
    <cellStyle name="Comma 2 9 5 2 6" xfId="17819" xr:uid="{00000000-0005-0000-0000-000098450000}"/>
    <cellStyle name="Comma 2 9 5 2 7" xfId="17820" xr:uid="{00000000-0005-0000-0000-000099450000}"/>
    <cellStyle name="Comma 2 9 5 2 8" xfId="17821" xr:uid="{00000000-0005-0000-0000-00009A450000}"/>
    <cellStyle name="Comma 2 9 5 2 9" xfId="17822" xr:uid="{00000000-0005-0000-0000-00009B450000}"/>
    <cellStyle name="Comma 2 9 5 3" xfId="17823" xr:uid="{00000000-0005-0000-0000-00009C450000}"/>
    <cellStyle name="Comma 2 9 5 3 2" xfId="17824" xr:uid="{00000000-0005-0000-0000-00009D450000}"/>
    <cellStyle name="Comma 2 9 5 3 2 2" xfId="17825" xr:uid="{00000000-0005-0000-0000-00009E450000}"/>
    <cellStyle name="Comma 2 9 5 3 2 2 2" xfId="17826" xr:uid="{00000000-0005-0000-0000-00009F450000}"/>
    <cellStyle name="Comma 2 9 5 3 2 2 3" xfId="17827" xr:uid="{00000000-0005-0000-0000-0000A0450000}"/>
    <cellStyle name="Comma 2 9 5 3 2 3" xfId="17828" xr:uid="{00000000-0005-0000-0000-0000A1450000}"/>
    <cellStyle name="Comma 2 9 5 3 2 4" xfId="17829" xr:uid="{00000000-0005-0000-0000-0000A2450000}"/>
    <cellStyle name="Comma 2 9 5 3 2 5" xfId="17830" xr:uid="{00000000-0005-0000-0000-0000A3450000}"/>
    <cellStyle name="Comma 2 9 5 3 2 6" xfId="17831" xr:uid="{00000000-0005-0000-0000-0000A4450000}"/>
    <cellStyle name="Comma 2 9 5 3 3" xfId="17832" xr:uid="{00000000-0005-0000-0000-0000A5450000}"/>
    <cellStyle name="Comma 2 9 5 3 3 2" xfId="17833" xr:uid="{00000000-0005-0000-0000-0000A6450000}"/>
    <cellStyle name="Comma 2 9 5 3 3 2 2" xfId="17834" xr:uid="{00000000-0005-0000-0000-0000A7450000}"/>
    <cellStyle name="Comma 2 9 5 3 3 3" xfId="17835" xr:uid="{00000000-0005-0000-0000-0000A8450000}"/>
    <cellStyle name="Comma 2 9 5 3 3 4" xfId="17836" xr:uid="{00000000-0005-0000-0000-0000A9450000}"/>
    <cellStyle name="Comma 2 9 5 3 3 5" xfId="17837" xr:uid="{00000000-0005-0000-0000-0000AA450000}"/>
    <cellStyle name="Comma 2 9 5 3 4" xfId="17838" xr:uid="{00000000-0005-0000-0000-0000AB450000}"/>
    <cellStyle name="Comma 2 9 5 3 4 2" xfId="17839" xr:uid="{00000000-0005-0000-0000-0000AC450000}"/>
    <cellStyle name="Comma 2 9 5 3 4 3" xfId="17840" xr:uid="{00000000-0005-0000-0000-0000AD450000}"/>
    <cellStyle name="Comma 2 9 5 3 4 4" xfId="17841" xr:uid="{00000000-0005-0000-0000-0000AE450000}"/>
    <cellStyle name="Comma 2 9 5 3 5" xfId="17842" xr:uid="{00000000-0005-0000-0000-0000AF450000}"/>
    <cellStyle name="Comma 2 9 5 3 5 2" xfId="17843" xr:uid="{00000000-0005-0000-0000-0000B0450000}"/>
    <cellStyle name="Comma 2 9 5 3 6" xfId="17844" xr:uid="{00000000-0005-0000-0000-0000B1450000}"/>
    <cellStyle name="Comma 2 9 5 3 7" xfId="17845" xr:uid="{00000000-0005-0000-0000-0000B2450000}"/>
    <cellStyle name="Comma 2 9 5 3 8" xfId="17846" xr:uid="{00000000-0005-0000-0000-0000B3450000}"/>
    <cellStyle name="Comma 2 9 5 3 9" xfId="17847" xr:uid="{00000000-0005-0000-0000-0000B4450000}"/>
    <cellStyle name="Comma 2 9 5 4" xfId="17848" xr:uid="{00000000-0005-0000-0000-0000B5450000}"/>
    <cellStyle name="Comma 2 9 5 4 2" xfId="17849" xr:uid="{00000000-0005-0000-0000-0000B6450000}"/>
    <cellStyle name="Comma 2 9 5 4 2 2" xfId="17850" xr:uid="{00000000-0005-0000-0000-0000B7450000}"/>
    <cellStyle name="Comma 2 9 5 4 2 3" xfId="17851" xr:uid="{00000000-0005-0000-0000-0000B8450000}"/>
    <cellStyle name="Comma 2 9 5 4 3" xfId="17852" xr:uid="{00000000-0005-0000-0000-0000B9450000}"/>
    <cellStyle name="Comma 2 9 5 4 4" xfId="17853" xr:uid="{00000000-0005-0000-0000-0000BA450000}"/>
    <cellStyle name="Comma 2 9 5 4 5" xfId="17854" xr:uid="{00000000-0005-0000-0000-0000BB450000}"/>
    <cellStyle name="Comma 2 9 5 4 6" xfId="17855" xr:uid="{00000000-0005-0000-0000-0000BC450000}"/>
    <cellStyle name="Comma 2 9 5 5" xfId="17856" xr:uid="{00000000-0005-0000-0000-0000BD450000}"/>
    <cellStyle name="Comma 2 9 5 5 2" xfId="17857" xr:uid="{00000000-0005-0000-0000-0000BE450000}"/>
    <cellStyle name="Comma 2 9 5 5 2 2" xfId="17858" xr:uid="{00000000-0005-0000-0000-0000BF450000}"/>
    <cellStyle name="Comma 2 9 5 5 3" xfId="17859" xr:uid="{00000000-0005-0000-0000-0000C0450000}"/>
    <cellStyle name="Comma 2 9 5 5 4" xfId="17860" xr:uid="{00000000-0005-0000-0000-0000C1450000}"/>
    <cellStyle name="Comma 2 9 5 5 5" xfId="17861" xr:uid="{00000000-0005-0000-0000-0000C2450000}"/>
    <cellStyle name="Comma 2 9 5 6" xfId="17862" xr:uid="{00000000-0005-0000-0000-0000C3450000}"/>
    <cellStyle name="Comma 2 9 5 6 2" xfId="17863" xr:uid="{00000000-0005-0000-0000-0000C4450000}"/>
    <cellStyle name="Comma 2 9 5 6 3" xfId="17864" xr:uid="{00000000-0005-0000-0000-0000C5450000}"/>
    <cellStyle name="Comma 2 9 5 6 4" xfId="17865" xr:uid="{00000000-0005-0000-0000-0000C6450000}"/>
    <cellStyle name="Comma 2 9 5 7" xfId="17866" xr:uid="{00000000-0005-0000-0000-0000C7450000}"/>
    <cellStyle name="Comma 2 9 5 7 2" xfId="17867" xr:uid="{00000000-0005-0000-0000-0000C8450000}"/>
    <cellStyle name="Comma 2 9 5 8" xfId="17868" xr:uid="{00000000-0005-0000-0000-0000C9450000}"/>
    <cellStyle name="Comma 2 9 5 9" xfId="17869" xr:uid="{00000000-0005-0000-0000-0000CA450000}"/>
    <cellStyle name="Comma 2 9 6" xfId="17870" xr:uid="{00000000-0005-0000-0000-0000CB450000}"/>
    <cellStyle name="Comma 2 9 6 10" xfId="17871" xr:uid="{00000000-0005-0000-0000-0000CC450000}"/>
    <cellStyle name="Comma 2 9 6 11" xfId="17872" xr:uid="{00000000-0005-0000-0000-0000CD450000}"/>
    <cellStyle name="Comma 2 9 6 2" xfId="17873" xr:uid="{00000000-0005-0000-0000-0000CE450000}"/>
    <cellStyle name="Comma 2 9 6 2 2" xfId="17874" xr:uid="{00000000-0005-0000-0000-0000CF450000}"/>
    <cellStyle name="Comma 2 9 6 2 2 2" xfId="17875" xr:uid="{00000000-0005-0000-0000-0000D0450000}"/>
    <cellStyle name="Comma 2 9 6 2 2 2 2" xfId="17876" xr:uid="{00000000-0005-0000-0000-0000D1450000}"/>
    <cellStyle name="Comma 2 9 6 2 2 2 3" xfId="17877" xr:uid="{00000000-0005-0000-0000-0000D2450000}"/>
    <cellStyle name="Comma 2 9 6 2 2 3" xfId="17878" xr:uid="{00000000-0005-0000-0000-0000D3450000}"/>
    <cellStyle name="Comma 2 9 6 2 2 4" xfId="17879" xr:uid="{00000000-0005-0000-0000-0000D4450000}"/>
    <cellStyle name="Comma 2 9 6 2 2 5" xfId="17880" xr:uid="{00000000-0005-0000-0000-0000D5450000}"/>
    <cellStyle name="Comma 2 9 6 2 2 6" xfId="17881" xr:uid="{00000000-0005-0000-0000-0000D6450000}"/>
    <cellStyle name="Comma 2 9 6 2 3" xfId="17882" xr:uid="{00000000-0005-0000-0000-0000D7450000}"/>
    <cellStyle name="Comma 2 9 6 2 3 2" xfId="17883" xr:uid="{00000000-0005-0000-0000-0000D8450000}"/>
    <cellStyle name="Comma 2 9 6 2 3 2 2" xfId="17884" xr:uid="{00000000-0005-0000-0000-0000D9450000}"/>
    <cellStyle name="Comma 2 9 6 2 3 3" xfId="17885" xr:uid="{00000000-0005-0000-0000-0000DA450000}"/>
    <cellStyle name="Comma 2 9 6 2 3 4" xfId="17886" xr:uid="{00000000-0005-0000-0000-0000DB450000}"/>
    <cellStyle name="Comma 2 9 6 2 3 5" xfId="17887" xr:uid="{00000000-0005-0000-0000-0000DC450000}"/>
    <cellStyle name="Comma 2 9 6 2 4" xfId="17888" xr:uid="{00000000-0005-0000-0000-0000DD450000}"/>
    <cellStyle name="Comma 2 9 6 2 4 2" xfId="17889" xr:uid="{00000000-0005-0000-0000-0000DE450000}"/>
    <cellStyle name="Comma 2 9 6 2 4 3" xfId="17890" xr:uid="{00000000-0005-0000-0000-0000DF450000}"/>
    <cellStyle name="Comma 2 9 6 2 4 4" xfId="17891" xr:uid="{00000000-0005-0000-0000-0000E0450000}"/>
    <cellStyle name="Comma 2 9 6 2 5" xfId="17892" xr:uid="{00000000-0005-0000-0000-0000E1450000}"/>
    <cellStyle name="Comma 2 9 6 2 5 2" xfId="17893" xr:uid="{00000000-0005-0000-0000-0000E2450000}"/>
    <cellStyle name="Comma 2 9 6 2 6" xfId="17894" xr:uid="{00000000-0005-0000-0000-0000E3450000}"/>
    <cellStyle name="Comma 2 9 6 2 7" xfId="17895" xr:uid="{00000000-0005-0000-0000-0000E4450000}"/>
    <cellStyle name="Comma 2 9 6 2 8" xfId="17896" xr:uid="{00000000-0005-0000-0000-0000E5450000}"/>
    <cellStyle name="Comma 2 9 6 2 9" xfId="17897" xr:uid="{00000000-0005-0000-0000-0000E6450000}"/>
    <cellStyle name="Comma 2 9 6 3" xfId="17898" xr:uid="{00000000-0005-0000-0000-0000E7450000}"/>
    <cellStyle name="Comma 2 9 6 3 2" xfId="17899" xr:uid="{00000000-0005-0000-0000-0000E8450000}"/>
    <cellStyle name="Comma 2 9 6 3 2 2" xfId="17900" xr:uid="{00000000-0005-0000-0000-0000E9450000}"/>
    <cellStyle name="Comma 2 9 6 3 2 2 2" xfId="17901" xr:uid="{00000000-0005-0000-0000-0000EA450000}"/>
    <cellStyle name="Comma 2 9 6 3 2 2 3" xfId="17902" xr:uid="{00000000-0005-0000-0000-0000EB450000}"/>
    <cellStyle name="Comma 2 9 6 3 2 3" xfId="17903" xr:uid="{00000000-0005-0000-0000-0000EC450000}"/>
    <cellStyle name="Comma 2 9 6 3 2 4" xfId="17904" xr:uid="{00000000-0005-0000-0000-0000ED450000}"/>
    <cellStyle name="Comma 2 9 6 3 2 5" xfId="17905" xr:uid="{00000000-0005-0000-0000-0000EE450000}"/>
    <cellStyle name="Comma 2 9 6 3 2 6" xfId="17906" xr:uid="{00000000-0005-0000-0000-0000EF450000}"/>
    <cellStyle name="Comma 2 9 6 3 3" xfId="17907" xr:uid="{00000000-0005-0000-0000-0000F0450000}"/>
    <cellStyle name="Comma 2 9 6 3 3 2" xfId="17908" xr:uid="{00000000-0005-0000-0000-0000F1450000}"/>
    <cellStyle name="Comma 2 9 6 3 3 2 2" xfId="17909" xr:uid="{00000000-0005-0000-0000-0000F2450000}"/>
    <cellStyle name="Comma 2 9 6 3 3 3" xfId="17910" xr:uid="{00000000-0005-0000-0000-0000F3450000}"/>
    <cellStyle name="Comma 2 9 6 3 3 4" xfId="17911" xr:uid="{00000000-0005-0000-0000-0000F4450000}"/>
    <cellStyle name="Comma 2 9 6 3 3 5" xfId="17912" xr:uid="{00000000-0005-0000-0000-0000F5450000}"/>
    <cellStyle name="Comma 2 9 6 3 4" xfId="17913" xr:uid="{00000000-0005-0000-0000-0000F6450000}"/>
    <cellStyle name="Comma 2 9 6 3 4 2" xfId="17914" xr:uid="{00000000-0005-0000-0000-0000F7450000}"/>
    <cellStyle name="Comma 2 9 6 3 4 3" xfId="17915" xr:uid="{00000000-0005-0000-0000-0000F8450000}"/>
    <cellStyle name="Comma 2 9 6 3 4 4" xfId="17916" xr:uid="{00000000-0005-0000-0000-0000F9450000}"/>
    <cellStyle name="Comma 2 9 6 3 5" xfId="17917" xr:uid="{00000000-0005-0000-0000-0000FA450000}"/>
    <cellStyle name="Comma 2 9 6 3 5 2" xfId="17918" xr:uid="{00000000-0005-0000-0000-0000FB450000}"/>
    <cellStyle name="Comma 2 9 6 3 6" xfId="17919" xr:uid="{00000000-0005-0000-0000-0000FC450000}"/>
    <cellStyle name="Comma 2 9 6 3 7" xfId="17920" xr:uid="{00000000-0005-0000-0000-0000FD450000}"/>
    <cellStyle name="Comma 2 9 6 3 8" xfId="17921" xr:uid="{00000000-0005-0000-0000-0000FE450000}"/>
    <cellStyle name="Comma 2 9 6 3 9" xfId="17922" xr:uid="{00000000-0005-0000-0000-0000FF450000}"/>
    <cellStyle name="Comma 2 9 6 4" xfId="17923" xr:uid="{00000000-0005-0000-0000-000000460000}"/>
    <cellStyle name="Comma 2 9 6 4 2" xfId="17924" xr:uid="{00000000-0005-0000-0000-000001460000}"/>
    <cellStyle name="Comma 2 9 6 4 2 2" xfId="17925" xr:uid="{00000000-0005-0000-0000-000002460000}"/>
    <cellStyle name="Comma 2 9 6 4 2 3" xfId="17926" xr:uid="{00000000-0005-0000-0000-000003460000}"/>
    <cellStyle name="Comma 2 9 6 4 3" xfId="17927" xr:uid="{00000000-0005-0000-0000-000004460000}"/>
    <cellStyle name="Comma 2 9 6 4 4" xfId="17928" xr:uid="{00000000-0005-0000-0000-000005460000}"/>
    <cellStyle name="Comma 2 9 6 4 5" xfId="17929" xr:uid="{00000000-0005-0000-0000-000006460000}"/>
    <cellStyle name="Comma 2 9 6 4 6" xfId="17930" xr:uid="{00000000-0005-0000-0000-000007460000}"/>
    <cellStyle name="Comma 2 9 6 5" xfId="17931" xr:uid="{00000000-0005-0000-0000-000008460000}"/>
    <cellStyle name="Comma 2 9 6 5 2" xfId="17932" xr:uid="{00000000-0005-0000-0000-000009460000}"/>
    <cellStyle name="Comma 2 9 6 5 2 2" xfId="17933" xr:uid="{00000000-0005-0000-0000-00000A460000}"/>
    <cellStyle name="Comma 2 9 6 5 3" xfId="17934" xr:uid="{00000000-0005-0000-0000-00000B460000}"/>
    <cellStyle name="Comma 2 9 6 5 4" xfId="17935" xr:uid="{00000000-0005-0000-0000-00000C460000}"/>
    <cellStyle name="Comma 2 9 6 5 5" xfId="17936" xr:uid="{00000000-0005-0000-0000-00000D460000}"/>
    <cellStyle name="Comma 2 9 6 6" xfId="17937" xr:uid="{00000000-0005-0000-0000-00000E460000}"/>
    <cellStyle name="Comma 2 9 6 6 2" xfId="17938" xr:uid="{00000000-0005-0000-0000-00000F460000}"/>
    <cellStyle name="Comma 2 9 6 6 3" xfId="17939" xr:uid="{00000000-0005-0000-0000-000010460000}"/>
    <cellStyle name="Comma 2 9 6 6 4" xfId="17940" xr:uid="{00000000-0005-0000-0000-000011460000}"/>
    <cellStyle name="Comma 2 9 6 7" xfId="17941" xr:uid="{00000000-0005-0000-0000-000012460000}"/>
    <cellStyle name="Comma 2 9 6 7 2" xfId="17942" xr:uid="{00000000-0005-0000-0000-000013460000}"/>
    <cellStyle name="Comma 2 9 6 8" xfId="17943" xr:uid="{00000000-0005-0000-0000-000014460000}"/>
    <cellStyle name="Comma 2 9 6 9" xfId="17944" xr:uid="{00000000-0005-0000-0000-000015460000}"/>
    <cellStyle name="Comma 2 9 7" xfId="17945" xr:uid="{00000000-0005-0000-0000-000016460000}"/>
    <cellStyle name="Comma 2 9 7 10" xfId="17946" xr:uid="{00000000-0005-0000-0000-000017460000}"/>
    <cellStyle name="Comma 2 9 7 11" xfId="17947" xr:uid="{00000000-0005-0000-0000-000018460000}"/>
    <cellStyle name="Comma 2 9 7 2" xfId="17948" xr:uid="{00000000-0005-0000-0000-000019460000}"/>
    <cellStyle name="Comma 2 9 7 2 2" xfId="17949" xr:uid="{00000000-0005-0000-0000-00001A460000}"/>
    <cellStyle name="Comma 2 9 7 2 2 2" xfId="17950" xr:uid="{00000000-0005-0000-0000-00001B460000}"/>
    <cellStyle name="Comma 2 9 7 2 2 2 2" xfId="17951" xr:uid="{00000000-0005-0000-0000-00001C460000}"/>
    <cellStyle name="Comma 2 9 7 2 2 2 3" xfId="17952" xr:uid="{00000000-0005-0000-0000-00001D460000}"/>
    <cellStyle name="Comma 2 9 7 2 2 3" xfId="17953" xr:uid="{00000000-0005-0000-0000-00001E460000}"/>
    <cellStyle name="Comma 2 9 7 2 2 4" xfId="17954" xr:uid="{00000000-0005-0000-0000-00001F460000}"/>
    <cellStyle name="Comma 2 9 7 2 2 5" xfId="17955" xr:uid="{00000000-0005-0000-0000-000020460000}"/>
    <cellStyle name="Comma 2 9 7 2 2 6" xfId="17956" xr:uid="{00000000-0005-0000-0000-000021460000}"/>
    <cellStyle name="Comma 2 9 7 2 3" xfId="17957" xr:uid="{00000000-0005-0000-0000-000022460000}"/>
    <cellStyle name="Comma 2 9 7 2 3 2" xfId="17958" xr:uid="{00000000-0005-0000-0000-000023460000}"/>
    <cellStyle name="Comma 2 9 7 2 3 2 2" xfId="17959" xr:uid="{00000000-0005-0000-0000-000024460000}"/>
    <cellStyle name="Comma 2 9 7 2 3 3" xfId="17960" xr:uid="{00000000-0005-0000-0000-000025460000}"/>
    <cellStyle name="Comma 2 9 7 2 3 4" xfId="17961" xr:uid="{00000000-0005-0000-0000-000026460000}"/>
    <cellStyle name="Comma 2 9 7 2 3 5" xfId="17962" xr:uid="{00000000-0005-0000-0000-000027460000}"/>
    <cellStyle name="Comma 2 9 7 2 4" xfId="17963" xr:uid="{00000000-0005-0000-0000-000028460000}"/>
    <cellStyle name="Comma 2 9 7 2 4 2" xfId="17964" xr:uid="{00000000-0005-0000-0000-000029460000}"/>
    <cellStyle name="Comma 2 9 7 2 4 3" xfId="17965" xr:uid="{00000000-0005-0000-0000-00002A460000}"/>
    <cellStyle name="Comma 2 9 7 2 4 4" xfId="17966" xr:uid="{00000000-0005-0000-0000-00002B460000}"/>
    <cellStyle name="Comma 2 9 7 2 5" xfId="17967" xr:uid="{00000000-0005-0000-0000-00002C460000}"/>
    <cellStyle name="Comma 2 9 7 2 5 2" xfId="17968" xr:uid="{00000000-0005-0000-0000-00002D460000}"/>
    <cellStyle name="Comma 2 9 7 2 6" xfId="17969" xr:uid="{00000000-0005-0000-0000-00002E460000}"/>
    <cellStyle name="Comma 2 9 7 2 7" xfId="17970" xr:uid="{00000000-0005-0000-0000-00002F460000}"/>
    <cellStyle name="Comma 2 9 7 2 8" xfId="17971" xr:uid="{00000000-0005-0000-0000-000030460000}"/>
    <cellStyle name="Comma 2 9 7 2 9" xfId="17972" xr:uid="{00000000-0005-0000-0000-000031460000}"/>
    <cellStyle name="Comma 2 9 7 3" xfId="17973" xr:uid="{00000000-0005-0000-0000-000032460000}"/>
    <cellStyle name="Comma 2 9 7 3 2" xfId="17974" xr:uid="{00000000-0005-0000-0000-000033460000}"/>
    <cellStyle name="Comma 2 9 7 3 2 2" xfId="17975" xr:uid="{00000000-0005-0000-0000-000034460000}"/>
    <cellStyle name="Comma 2 9 7 3 2 2 2" xfId="17976" xr:uid="{00000000-0005-0000-0000-000035460000}"/>
    <cellStyle name="Comma 2 9 7 3 2 2 3" xfId="17977" xr:uid="{00000000-0005-0000-0000-000036460000}"/>
    <cellStyle name="Comma 2 9 7 3 2 3" xfId="17978" xr:uid="{00000000-0005-0000-0000-000037460000}"/>
    <cellStyle name="Comma 2 9 7 3 2 4" xfId="17979" xr:uid="{00000000-0005-0000-0000-000038460000}"/>
    <cellStyle name="Comma 2 9 7 3 2 5" xfId="17980" xr:uid="{00000000-0005-0000-0000-000039460000}"/>
    <cellStyle name="Comma 2 9 7 3 2 6" xfId="17981" xr:uid="{00000000-0005-0000-0000-00003A460000}"/>
    <cellStyle name="Comma 2 9 7 3 3" xfId="17982" xr:uid="{00000000-0005-0000-0000-00003B460000}"/>
    <cellStyle name="Comma 2 9 7 3 3 2" xfId="17983" xr:uid="{00000000-0005-0000-0000-00003C460000}"/>
    <cellStyle name="Comma 2 9 7 3 3 2 2" xfId="17984" xr:uid="{00000000-0005-0000-0000-00003D460000}"/>
    <cellStyle name="Comma 2 9 7 3 3 3" xfId="17985" xr:uid="{00000000-0005-0000-0000-00003E460000}"/>
    <cellStyle name="Comma 2 9 7 3 3 4" xfId="17986" xr:uid="{00000000-0005-0000-0000-00003F460000}"/>
    <cellStyle name="Comma 2 9 7 3 3 5" xfId="17987" xr:uid="{00000000-0005-0000-0000-000040460000}"/>
    <cellStyle name="Comma 2 9 7 3 4" xfId="17988" xr:uid="{00000000-0005-0000-0000-000041460000}"/>
    <cellStyle name="Comma 2 9 7 3 4 2" xfId="17989" xr:uid="{00000000-0005-0000-0000-000042460000}"/>
    <cellStyle name="Comma 2 9 7 3 4 3" xfId="17990" xr:uid="{00000000-0005-0000-0000-000043460000}"/>
    <cellStyle name="Comma 2 9 7 3 4 4" xfId="17991" xr:uid="{00000000-0005-0000-0000-000044460000}"/>
    <cellStyle name="Comma 2 9 7 3 5" xfId="17992" xr:uid="{00000000-0005-0000-0000-000045460000}"/>
    <cellStyle name="Comma 2 9 7 3 5 2" xfId="17993" xr:uid="{00000000-0005-0000-0000-000046460000}"/>
    <cellStyle name="Comma 2 9 7 3 6" xfId="17994" xr:uid="{00000000-0005-0000-0000-000047460000}"/>
    <cellStyle name="Comma 2 9 7 3 7" xfId="17995" xr:uid="{00000000-0005-0000-0000-000048460000}"/>
    <cellStyle name="Comma 2 9 7 3 8" xfId="17996" xr:uid="{00000000-0005-0000-0000-000049460000}"/>
    <cellStyle name="Comma 2 9 7 3 9" xfId="17997" xr:uid="{00000000-0005-0000-0000-00004A460000}"/>
    <cellStyle name="Comma 2 9 7 4" xfId="17998" xr:uid="{00000000-0005-0000-0000-00004B460000}"/>
    <cellStyle name="Comma 2 9 7 4 2" xfId="17999" xr:uid="{00000000-0005-0000-0000-00004C460000}"/>
    <cellStyle name="Comma 2 9 7 4 2 2" xfId="18000" xr:uid="{00000000-0005-0000-0000-00004D460000}"/>
    <cellStyle name="Comma 2 9 7 4 2 3" xfId="18001" xr:uid="{00000000-0005-0000-0000-00004E460000}"/>
    <cellStyle name="Comma 2 9 7 4 3" xfId="18002" xr:uid="{00000000-0005-0000-0000-00004F460000}"/>
    <cellStyle name="Comma 2 9 7 4 4" xfId="18003" xr:uid="{00000000-0005-0000-0000-000050460000}"/>
    <cellStyle name="Comma 2 9 7 4 5" xfId="18004" xr:uid="{00000000-0005-0000-0000-000051460000}"/>
    <cellStyle name="Comma 2 9 7 4 6" xfId="18005" xr:uid="{00000000-0005-0000-0000-000052460000}"/>
    <cellStyle name="Comma 2 9 7 5" xfId="18006" xr:uid="{00000000-0005-0000-0000-000053460000}"/>
    <cellStyle name="Comma 2 9 7 5 2" xfId="18007" xr:uid="{00000000-0005-0000-0000-000054460000}"/>
    <cellStyle name="Comma 2 9 7 5 2 2" xfId="18008" xr:uid="{00000000-0005-0000-0000-000055460000}"/>
    <cellStyle name="Comma 2 9 7 5 3" xfId="18009" xr:uid="{00000000-0005-0000-0000-000056460000}"/>
    <cellStyle name="Comma 2 9 7 5 4" xfId="18010" xr:uid="{00000000-0005-0000-0000-000057460000}"/>
    <cellStyle name="Comma 2 9 7 5 5" xfId="18011" xr:uid="{00000000-0005-0000-0000-000058460000}"/>
    <cellStyle name="Comma 2 9 7 6" xfId="18012" xr:uid="{00000000-0005-0000-0000-000059460000}"/>
    <cellStyle name="Comma 2 9 7 6 2" xfId="18013" xr:uid="{00000000-0005-0000-0000-00005A460000}"/>
    <cellStyle name="Comma 2 9 7 6 3" xfId="18014" xr:uid="{00000000-0005-0000-0000-00005B460000}"/>
    <cellStyle name="Comma 2 9 7 6 4" xfId="18015" xr:uid="{00000000-0005-0000-0000-00005C460000}"/>
    <cellStyle name="Comma 2 9 7 7" xfId="18016" xr:uid="{00000000-0005-0000-0000-00005D460000}"/>
    <cellStyle name="Comma 2 9 7 7 2" xfId="18017" xr:uid="{00000000-0005-0000-0000-00005E460000}"/>
    <cellStyle name="Comma 2 9 7 8" xfId="18018" xr:uid="{00000000-0005-0000-0000-00005F460000}"/>
    <cellStyle name="Comma 2 9 7 9" xfId="18019" xr:uid="{00000000-0005-0000-0000-000060460000}"/>
    <cellStyle name="Comma 2 9 8" xfId="18020" xr:uid="{00000000-0005-0000-0000-000061460000}"/>
    <cellStyle name="Comma 2 9 8 10" xfId="18021" xr:uid="{00000000-0005-0000-0000-000062460000}"/>
    <cellStyle name="Comma 2 9 8 2" xfId="18022" xr:uid="{00000000-0005-0000-0000-000063460000}"/>
    <cellStyle name="Comma 2 9 8 2 2" xfId="18023" xr:uid="{00000000-0005-0000-0000-000064460000}"/>
    <cellStyle name="Comma 2 9 8 2 2 2" xfId="18024" xr:uid="{00000000-0005-0000-0000-000065460000}"/>
    <cellStyle name="Comma 2 9 8 2 2 3" xfId="18025" xr:uid="{00000000-0005-0000-0000-000066460000}"/>
    <cellStyle name="Comma 2 9 8 2 3" xfId="18026" xr:uid="{00000000-0005-0000-0000-000067460000}"/>
    <cellStyle name="Comma 2 9 8 2 4" xfId="18027" xr:uid="{00000000-0005-0000-0000-000068460000}"/>
    <cellStyle name="Comma 2 9 8 2 5" xfId="18028" xr:uid="{00000000-0005-0000-0000-000069460000}"/>
    <cellStyle name="Comma 2 9 8 2 6" xfId="18029" xr:uid="{00000000-0005-0000-0000-00006A460000}"/>
    <cellStyle name="Comma 2 9 8 3" xfId="18030" xr:uid="{00000000-0005-0000-0000-00006B460000}"/>
    <cellStyle name="Comma 2 9 8 3 2" xfId="18031" xr:uid="{00000000-0005-0000-0000-00006C460000}"/>
    <cellStyle name="Comma 2 9 8 3 2 2" xfId="18032" xr:uid="{00000000-0005-0000-0000-00006D460000}"/>
    <cellStyle name="Comma 2 9 8 3 2 3" xfId="18033" xr:uid="{00000000-0005-0000-0000-00006E460000}"/>
    <cellStyle name="Comma 2 9 8 3 3" xfId="18034" xr:uid="{00000000-0005-0000-0000-00006F460000}"/>
    <cellStyle name="Comma 2 9 8 3 4" xfId="18035" xr:uid="{00000000-0005-0000-0000-000070460000}"/>
    <cellStyle name="Comma 2 9 8 3 5" xfId="18036" xr:uid="{00000000-0005-0000-0000-000071460000}"/>
    <cellStyle name="Comma 2 9 8 3 6" xfId="18037" xr:uid="{00000000-0005-0000-0000-000072460000}"/>
    <cellStyle name="Comma 2 9 8 4" xfId="18038" xr:uid="{00000000-0005-0000-0000-000073460000}"/>
    <cellStyle name="Comma 2 9 8 4 2" xfId="18039" xr:uid="{00000000-0005-0000-0000-000074460000}"/>
    <cellStyle name="Comma 2 9 8 4 2 2" xfId="18040" xr:uid="{00000000-0005-0000-0000-000075460000}"/>
    <cellStyle name="Comma 2 9 8 4 3" xfId="18041" xr:uid="{00000000-0005-0000-0000-000076460000}"/>
    <cellStyle name="Comma 2 9 8 4 4" xfId="18042" xr:uid="{00000000-0005-0000-0000-000077460000}"/>
    <cellStyle name="Comma 2 9 8 4 5" xfId="18043" xr:uid="{00000000-0005-0000-0000-000078460000}"/>
    <cellStyle name="Comma 2 9 8 5" xfId="18044" xr:uid="{00000000-0005-0000-0000-000079460000}"/>
    <cellStyle name="Comma 2 9 8 5 2" xfId="18045" xr:uid="{00000000-0005-0000-0000-00007A460000}"/>
    <cellStyle name="Comma 2 9 8 5 3" xfId="18046" xr:uid="{00000000-0005-0000-0000-00007B460000}"/>
    <cellStyle name="Comma 2 9 8 5 4" xfId="18047" xr:uid="{00000000-0005-0000-0000-00007C460000}"/>
    <cellStyle name="Comma 2 9 8 6" xfId="18048" xr:uid="{00000000-0005-0000-0000-00007D460000}"/>
    <cellStyle name="Comma 2 9 8 6 2" xfId="18049" xr:uid="{00000000-0005-0000-0000-00007E460000}"/>
    <cellStyle name="Comma 2 9 8 7" xfId="18050" xr:uid="{00000000-0005-0000-0000-00007F460000}"/>
    <cellStyle name="Comma 2 9 8 8" xfId="18051" xr:uid="{00000000-0005-0000-0000-000080460000}"/>
    <cellStyle name="Comma 2 9 8 9" xfId="18052" xr:uid="{00000000-0005-0000-0000-000081460000}"/>
    <cellStyle name="Comma 2 9 9" xfId="18053" xr:uid="{00000000-0005-0000-0000-000082460000}"/>
    <cellStyle name="Comma 2 9 9 10" xfId="18054" xr:uid="{00000000-0005-0000-0000-000083460000}"/>
    <cellStyle name="Comma 2 9 9 2" xfId="18055" xr:uid="{00000000-0005-0000-0000-000084460000}"/>
    <cellStyle name="Comma 2 9 9 2 2" xfId="18056" xr:uid="{00000000-0005-0000-0000-000085460000}"/>
    <cellStyle name="Comma 2 9 9 2 2 2" xfId="18057" xr:uid="{00000000-0005-0000-0000-000086460000}"/>
    <cellStyle name="Comma 2 9 9 2 2 3" xfId="18058" xr:uid="{00000000-0005-0000-0000-000087460000}"/>
    <cellStyle name="Comma 2 9 9 2 3" xfId="18059" xr:uid="{00000000-0005-0000-0000-000088460000}"/>
    <cellStyle name="Comma 2 9 9 2 4" xfId="18060" xr:uid="{00000000-0005-0000-0000-000089460000}"/>
    <cellStyle name="Comma 2 9 9 2 5" xfId="18061" xr:uid="{00000000-0005-0000-0000-00008A460000}"/>
    <cellStyle name="Comma 2 9 9 2 6" xfId="18062" xr:uid="{00000000-0005-0000-0000-00008B460000}"/>
    <cellStyle name="Comma 2 9 9 3" xfId="18063" xr:uid="{00000000-0005-0000-0000-00008C460000}"/>
    <cellStyle name="Comma 2 9 9 3 2" xfId="18064" xr:uid="{00000000-0005-0000-0000-00008D460000}"/>
    <cellStyle name="Comma 2 9 9 3 2 2" xfId="18065" xr:uid="{00000000-0005-0000-0000-00008E460000}"/>
    <cellStyle name="Comma 2 9 9 3 2 3" xfId="18066" xr:uid="{00000000-0005-0000-0000-00008F460000}"/>
    <cellStyle name="Comma 2 9 9 3 3" xfId="18067" xr:uid="{00000000-0005-0000-0000-000090460000}"/>
    <cellStyle name="Comma 2 9 9 3 4" xfId="18068" xr:uid="{00000000-0005-0000-0000-000091460000}"/>
    <cellStyle name="Comma 2 9 9 3 5" xfId="18069" xr:uid="{00000000-0005-0000-0000-000092460000}"/>
    <cellStyle name="Comma 2 9 9 3 6" xfId="18070" xr:uid="{00000000-0005-0000-0000-000093460000}"/>
    <cellStyle name="Comma 2 9 9 4" xfId="18071" xr:uid="{00000000-0005-0000-0000-000094460000}"/>
    <cellStyle name="Comma 2 9 9 4 2" xfId="18072" xr:uid="{00000000-0005-0000-0000-000095460000}"/>
    <cellStyle name="Comma 2 9 9 4 2 2" xfId="18073" xr:uid="{00000000-0005-0000-0000-000096460000}"/>
    <cellStyle name="Comma 2 9 9 4 3" xfId="18074" xr:uid="{00000000-0005-0000-0000-000097460000}"/>
    <cellStyle name="Comma 2 9 9 4 4" xfId="18075" xr:uid="{00000000-0005-0000-0000-000098460000}"/>
    <cellStyle name="Comma 2 9 9 4 5" xfId="18076" xr:uid="{00000000-0005-0000-0000-000099460000}"/>
    <cellStyle name="Comma 2 9 9 5" xfId="18077" xr:uid="{00000000-0005-0000-0000-00009A460000}"/>
    <cellStyle name="Comma 2 9 9 5 2" xfId="18078" xr:uid="{00000000-0005-0000-0000-00009B460000}"/>
    <cellStyle name="Comma 2 9 9 5 3" xfId="18079" xr:uid="{00000000-0005-0000-0000-00009C460000}"/>
    <cellStyle name="Comma 2 9 9 5 4" xfId="18080" xr:uid="{00000000-0005-0000-0000-00009D460000}"/>
    <cellStyle name="Comma 2 9 9 6" xfId="18081" xr:uid="{00000000-0005-0000-0000-00009E460000}"/>
    <cellStyle name="Comma 2 9 9 6 2" xfId="18082" xr:uid="{00000000-0005-0000-0000-00009F460000}"/>
    <cellStyle name="Comma 2 9 9 7" xfId="18083" xr:uid="{00000000-0005-0000-0000-0000A0460000}"/>
    <cellStyle name="Comma 2 9 9 8" xfId="18084" xr:uid="{00000000-0005-0000-0000-0000A1460000}"/>
    <cellStyle name="Comma 2 9 9 9" xfId="18085" xr:uid="{00000000-0005-0000-0000-0000A2460000}"/>
    <cellStyle name="Comma 20" xfId="18086" xr:uid="{00000000-0005-0000-0000-0000A3460000}"/>
    <cellStyle name="Comma 21" xfId="18087" xr:uid="{00000000-0005-0000-0000-0000A4460000}"/>
    <cellStyle name="Comma 22" xfId="18088" xr:uid="{00000000-0005-0000-0000-0000A5460000}"/>
    <cellStyle name="Comma 23" xfId="42320" xr:uid="{00000000-0005-0000-0000-0000A6460000}"/>
    <cellStyle name="Comma 25" xfId="18089" xr:uid="{00000000-0005-0000-0000-0000A7460000}"/>
    <cellStyle name="Comma 3" xfId="18090" xr:uid="{00000000-0005-0000-0000-0000A8460000}"/>
    <cellStyle name="Comma 3 10" xfId="18091" xr:uid="{00000000-0005-0000-0000-0000A9460000}"/>
    <cellStyle name="Comma 3 11" xfId="18092" xr:uid="{00000000-0005-0000-0000-0000AA460000}"/>
    <cellStyle name="Comma 3 12" xfId="18093" xr:uid="{00000000-0005-0000-0000-0000AB460000}"/>
    <cellStyle name="Comma 3 13" xfId="18094" xr:uid="{00000000-0005-0000-0000-0000AC460000}"/>
    <cellStyle name="Comma 3 14" xfId="18095" xr:uid="{00000000-0005-0000-0000-0000AD460000}"/>
    <cellStyle name="Comma 3 15" xfId="18096" xr:uid="{00000000-0005-0000-0000-0000AE460000}"/>
    <cellStyle name="Comma 3 16" xfId="18097" xr:uid="{00000000-0005-0000-0000-0000AF460000}"/>
    <cellStyle name="Comma 3 17" xfId="18098" xr:uid="{00000000-0005-0000-0000-0000B0460000}"/>
    <cellStyle name="Comma 3 18" xfId="18099" xr:uid="{00000000-0005-0000-0000-0000B1460000}"/>
    <cellStyle name="Comma 3 19" xfId="18100" xr:uid="{00000000-0005-0000-0000-0000B2460000}"/>
    <cellStyle name="Comma 3 2" xfId="18101" xr:uid="{00000000-0005-0000-0000-0000B3460000}"/>
    <cellStyle name="Comma 3 2 2" xfId="18102" xr:uid="{00000000-0005-0000-0000-0000B4460000}"/>
    <cellStyle name="Comma 3 2 2 2" xfId="18103" xr:uid="{00000000-0005-0000-0000-0000B5460000}"/>
    <cellStyle name="Comma 3 2 3" xfId="18104" xr:uid="{00000000-0005-0000-0000-0000B6460000}"/>
    <cellStyle name="Comma 3 2 3 2" xfId="18105" xr:uid="{00000000-0005-0000-0000-0000B7460000}"/>
    <cellStyle name="Comma 3 2 4" xfId="18106" xr:uid="{00000000-0005-0000-0000-0000B8460000}"/>
    <cellStyle name="Comma 3 2 5" xfId="18107" xr:uid="{00000000-0005-0000-0000-0000B9460000}"/>
    <cellStyle name="Comma 3 20" xfId="18108" xr:uid="{00000000-0005-0000-0000-0000BA460000}"/>
    <cellStyle name="Comma 3 21" xfId="18109" xr:uid="{00000000-0005-0000-0000-0000BB460000}"/>
    <cellStyle name="Comma 3 22" xfId="18110" xr:uid="{00000000-0005-0000-0000-0000BC460000}"/>
    <cellStyle name="Comma 3 23" xfId="18111" xr:uid="{00000000-0005-0000-0000-0000BD460000}"/>
    <cellStyle name="Comma 3 24" xfId="18112" xr:uid="{00000000-0005-0000-0000-0000BE460000}"/>
    <cellStyle name="Comma 3 25" xfId="18113" xr:uid="{00000000-0005-0000-0000-0000BF460000}"/>
    <cellStyle name="Comma 3 26" xfId="18114" xr:uid="{00000000-0005-0000-0000-0000C0460000}"/>
    <cellStyle name="Comma 3 27" xfId="18115" xr:uid="{00000000-0005-0000-0000-0000C1460000}"/>
    <cellStyle name="Comma 3 28" xfId="18116" xr:uid="{00000000-0005-0000-0000-0000C2460000}"/>
    <cellStyle name="Comma 3 29" xfId="18117" xr:uid="{00000000-0005-0000-0000-0000C3460000}"/>
    <cellStyle name="Comma 3 3" xfId="18118" xr:uid="{00000000-0005-0000-0000-0000C4460000}"/>
    <cellStyle name="Comma 3 3 2" xfId="18119" xr:uid="{00000000-0005-0000-0000-0000C5460000}"/>
    <cellStyle name="Comma 3 3 2 2" xfId="18120" xr:uid="{00000000-0005-0000-0000-0000C6460000}"/>
    <cellStyle name="Comma 3 3 3" xfId="18121" xr:uid="{00000000-0005-0000-0000-0000C7460000}"/>
    <cellStyle name="Comma 3 3 4" xfId="18122" xr:uid="{00000000-0005-0000-0000-0000C8460000}"/>
    <cellStyle name="Comma 3 30" xfId="18123" xr:uid="{00000000-0005-0000-0000-0000C9460000}"/>
    <cellStyle name="Comma 3 31" xfId="18124" xr:uid="{00000000-0005-0000-0000-0000CA460000}"/>
    <cellStyle name="Comma 3 32" xfId="18125" xr:uid="{00000000-0005-0000-0000-0000CB460000}"/>
    <cellStyle name="Comma 3 33" xfId="18126" xr:uid="{00000000-0005-0000-0000-0000CC460000}"/>
    <cellStyle name="Comma 3 34" xfId="18127" xr:uid="{00000000-0005-0000-0000-0000CD460000}"/>
    <cellStyle name="Comma 3 35" xfId="18128" xr:uid="{00000000-0005-0000-0000-0000CE460000}"/>
    <cellStyle name="Comma 3 36" xfId="18129" xr:uid="{00000000-0005-0000-0000-0000CF460000}"/>
    <cellStyle name="Comma 3 37" xfId="18130" xr:uid="{00000000-0005-0000-0000-0000D0460000}"/>
    <cellStyle name="Comma 3 38" xfId="18131" xr:uid="{00000000-0005-0000-0000-0000D1460000}"/>
    <cellStyle name="Comma 3 39" xfId="18132" xr:uid="{00000000-0005-0000-0000-0000D2460000}"/>
    <cellStyle name="Comma 3 4" xfId="18133" xr:uid="{00000000-0005-0000-0000-0000D3460000}"/>
    <cellStyle name="Comma 3 4 2" xfId="18134" xr:uid="{00000000-0005-0000-0000-0000D4460000}"/>
    <cellStyle name="Comma 3 40" xfId="18135" xr:uid="{00000000-0005-0000-0000-0000D5460000}"/>
    <cellStyle name="Comma 3 5" xfId="18136" xr:uid="{00000000-0005-0000-0000-0000D6460000}"/>
    <cellStyle name="Comma 3 6" xfId="18137" xr:uid="{00000000-0005-0000-0000-0000D7460000}"/>
    <cellStyle name="Comma 3 7" xfId="18138" xr:uid="{00000000-0005-0000-0000-0000D8460000}"/>
    <cellStyle name="Comma 3 8" xfId="18139" xr:uid="{00000000-0005-0000-0000-0000D9460000}"/>
    <cellStyle name="Comma 3 9" xfId="18140" xr:uid="{00000000-0005-0000-0000-0000DA460000}"/>
    <cellStyle name="Comma 31" xfId="18141" xr:uid="{00000000-0005-0000-0000-0000DB460000}"/>
    <cellStyle name="Comma 32" xfId="18142" xr:uid="{00000000-0005-0000-0000-0000DC460000}"/>
    <cellStyle name="Comma 4" xfId="18143" xr:uid="{00000000-0005-0000-0000-0000DD460000}"/>
    <cellStyle name="Comma 4 10" xfId="18144" xr:uid="{00000000-0005-0000-0000-0000DE460000}"/>
    <cellStyle name="Comma 4 11" xfId="18145" xr:uid="{00000000-0005-0000-0000-0000DF460000}"/>
    <cellStyle name="Comma 4 12" xfId="18146" xr:uid="{00000000-0005-0000-0000-0000E0460000}"/>
    <cellStyle name="Comma 4 13" xfId="18147" xr:uid="{00000000-0005-0000-0000-0000E1460000}"/>
    <cellStyle name="Comma 4 14" xfId="18148" xr:uid="{00000000-0005-0000-0000-0000E2460000}"/>
    <cellStyle name="Comma 4 15" xfId="18149" xr:uid="{00000000-0005-0000-0000-0000E3460000}"/>
    <cellStyle name="Comma 4 16" xfId="18150" xr:uid="{00000000-0005-0000-0000-0000E4460000}"/>
    <cellStyle name="Comma 4 17" xfId="18151" xr:uid="{00000000-0005-0000-0000-0000E5460000}"/>
    <cellStyle name="Comma 4 18" xfId="18152" xr:uid="{00000000-0005-0000-0000-0000E6460000}"/>
    <cellStyle name="Comma 4 18 2" xfId="18153" xr:uid="{00000000-0005-0000-0000-0000E7460000}"/>
    <cellStyle name="Comma 4 19" xfId="18154" xr:uid="{00000000-0005-0000-0000-0000E8460000}"/>
    <cellStyle name="Comma 4 2" xfId="18155" xr:uid="{00000000-0005-0000-0000-0000E9460000}"/>
    <cellStyle name="Comma 4 2 2" xfId="18156" xr:uid="{00000000-0005-0000-0000-0000EA460000}"/>
    <cellStyle name="Comma 4 2 2 2" xfId="18157" xr:uid="{00000000-0005-0000-0000-0000EB460000}"/>
    <cellStyle name="Comma 4 2 2 2 2" xfId="18158" xr:uid="{00000000-0005-0000-0000-0000EC460000}"/>
    <cellStyle name="Comma 4 2 2 2 3" xfId="18159" xr:uid="{00000000-0005-0000-0000-0000ED460000}"/>
    <cellStyle name="Comma 4 2 2 3" xfId="18160" xr:uid="{00000000-0005-0000-0000-0000EE460000}"/>
    <cellStyle name="Comma 4 2 2 4" xfId="18161" xr:uid="{00000000-0005-0000-0000-0000EF460000}"/>
    <cellStyle name="Comma 4 2 2 5" xfId="18162" xr:uid="{00000000-0005-0000-0000-0000F0460000}"/>
    <cellStyle name="Comma 4 2 2 6" xfId="18163" xr:uid="{00000000-0005-0000-0000-0000F1460000}"/>
    <cellStyle name="Comma 4 2 3" xfId="18164" xr:uid="{00000000-0005-0000-0000-0000F2460000}"/>
    <cellStyle name="Comma 4 2 3 2" xfId="18165" xr:uid="{00000000-0005-0000-0000-0000F3460000}"/>
    <cellStyle name="Comma 4 2 3 2 2" xfId="18166" xr:uid="{00000000-0005-0000-0000-0000F4460000}"/>
    <cellStyle name="Comma 4 2 3 3" xfId="18167" xr:uid="{00000000-0005-0000-0000-0000F5460000}"/>
    <cellStyle name="Comma 4 2 3 4" xfId="18168" xr:uid="{00000000-0005-0000-0000-0000F6460000}"/>
    <cellStyle name="Comma 4 2 3 5" xfId="18169" xr:uid="{00000000-0005-0000-0000-0000F7460000}"/>
    <cellStyle name="Comma 4 2 3 6" xfId="18170" xr:uid="{00000000-0005-0000-0000-0000F8460000}"/>
    <cellStyle name="Comma 4 2 4" xfId="18171" xr:uid="{00000000-0005-0000-0000-0000F9460000}"/>
    <cellStyle name="Comma 4 2 4 2" xfId="18172" xr:uid="{00000000-0005-0000-0000-0000FA460000}"/>
    <cellStyle name="Comma 4 2 4 3" xfId="18173" xr:uid="{00000000-0005-0000-0000-0000FB460000}"/>
    <cellStyle name="Comma 4 2 4 4" xfId="18174" xr:uid="{00000000-0005-0000-0000-0000FC460000}"/>
    <cellStyle name="Comma 4 2 5" xfId="18175" xr:uid="{00000000-0005-0000-0000-0000FD460000}"/>
    <cellStyle name="Comma 4 2 5 2" xfId="18176" xr:uid="{00000000-0005-0000-0000-0000FE460000}"/>
    <cellStyle name="Comma 4 2 6" xfId="18177" xr:uid="{00000000-0005-0000-0000-0000FF460000}"/>
    <cellStyle name="Comma 4 2 7" xfId="18178" xr:uid="{00000000-0005-0000-0000-000000470000}"/>
    <cellStyle name="Comma 4 2 8" xfId="18179" xr:uid="{00000000-0005-0000-0000-000001470000}"/>
    <cellStyle name="Comma 4 2 9" xfId="18180" xr:uid="{00000000-0005-0000-0000-000002470000}"/>
    <cellStyle name="Comma 4 20" xfId="18181" xr:uid="{00000000-0005-0000-0000-000003470000}"/>
    <cellStyle name="Comma 4 21" xfId="18182" xr:uid="{00000000-0005-0000-0000-000004470000}"/>
    <cellStyle name="Comma 4 3" xfId="18183" xr:uid="{00000000-0005-0000-0000-000005470000}"/>
    <cellStyle name="Comma 4 3 2" xfId="18184" xr:uid="{00000000-0005-0000-0000-000006470000}"/>
    <cellStyle name="Comma 4 3 2 2" xfId="18185" xr:uid="{00000000-0005-0000-0000-000007470000}"/>
    <cellStyle name="Comma 4 3 2 2 2" xfId="18186" xr:uid="{00000000-0005-0000-0000-000008470000}"/>
    <cellStyle name="Comma 4 3 2 3" xfId="18187" xr:uid="{00000000-0005-0000-0000-000009470000}"/>
    <cellStyle name="Comma 4 3 2 4" xfId="18188" xr:uid="{00000000-0005-0000-0000-00000A470000}"/>
    <cellStyle name="Comma 4 3 2 5" xfId="18189" xr:uid="{00000000-0005-0000-0000-00000B470000}"/>
    <cellStyle name="Comma 4 3 2 6" xfId="18190" xr:uid="{00000000-0005-0000-0000-00000C470000}"/>
    <cellStyle name="Comma 4 3 3" xfId="18191" xr:uid="{00000000-0005-0000-0000-00000D470000}"/>
    <cellStyle name="Comma 4 3 3 2" xfId="18192" xr:uid="{00000000-0005-0000-0000-00000E470000}"/>
    <cellStyle name="Comma 4 3 3 3" xfId="18193" xr:uid="{00000000-0005-0000-0000-00000F470000}"/>
    <cellStyle name="Comma 4 3 3 4" xfId="18194" xr:uid="{00000000-0005-0000-0000-000010470000}"/>
    <cellStyle name="Comma 4 3 4" xfId="18195" xr:uid="{00000000-0005-0000-0000-000011470000}"/>
    <cellStyle name="Comma 4 3 4 2" xfId="18196" xr:uid="{00000000-0005-0000-0000-000012470000}"/>
    <cellStyle name="Comma 4 3 5" xfId="18197" xr:uid="{00000000-0005-0000-0000-000013470000}"/>
    <cellStyle name="Comma 4 3 6" xfId="18198" xr:uid="{00000000-0005-0000-0000-000014470000}"/>
    <cellStyle name="Comma 4 3 7" xfId="18199" xr:uid="{00000000-0005-0000-0000-000015470000}"/>
    <cellStyle name="Comma 4 3 8" xfId="18200" xr:uid="{00000000-0005-0000-0000-000016470000}"/>
    <cellStyle name="Comma 4 4" xfId="18201" xr:uid="{00000000-0005-0000-0000-000017470000}"/>
    <cellStyle name="Comma 4 4 2" xfId="18202" xr:uid="{00000000-0005-0000-0000-000018470000}"/>
    <cellStyle name="Comma 4 4 2 2" xfId="18203" xr:uid="{00000000-0005-0000-0000-000019470000}"/>
    <cellStyle name="Comma 4 4 2 3" xfId="18204" xr:uid="{00000000-0005-0000-0000-00001A470000}"/>
    <cellStyle name="Comma 4 4 3" xfId="18205" xr:uid="{00000000-0005-0000-0000-00001B470000}"/>
    <cellStyle name="Comma 4 4 4" xfId="18206" xr:uid="{00000000-0005-0000-0000-00001C470000}"/>
    <cellStyle name="Comma 4 4 5" xfId="18207" xr:uid="{00000000-0005-0000-0000-00001D470000}"/>
    <cellStyle name="Comma 4 4 6" xfId="18208" xr:uid="{00000000-0005-0000-0000-00001E470000}"/>
    <cellStyle name="Comma 4 5" xfId="18209" xr:uid="{00000000-0005-0000-0000-00001F470000}"/>
    <cellStyle name="Comma 4 5 2" xfId="18210" xr:uid="{00000000-0005-0000-0000-000020470000}"/>
    <cellStyle name="Comma 4 5 2 2" xfId="18211" xr:uid="{00000000-0005-0000-0000-000021470000}"/>
    <cellStyle name="Comma 4 5 3" xfId="18212" xr:uid="{00000000-0005-0000-0000-000022470000}"/>
    <cellStyle name="Comma 4 5 4" xfId="18213" xr:uid="{00000000-0005-0000-0000-000023470000}"/>
    <cellStyle name="Comma 4 5 5" xfId="18214" xr:uid="{00000000-0005-0000-0000-000024470000}"/>
    <cellStyle name="Comma 4 5 6" xfId="18215" xr:uid="{00000000-0005-0000-0000-000025470000}"/>
    <cellStyle name="Comma 4 6" xfId="18216" xr:uid="{00000000-0005-0000-0000-000026470000}"/>
    <cellStyle name="Comma 4 6 2" xfId="18217" xr:uid="{00000000-0005-0000-0000-000027470000}"/>
    <cellStyle name="Comma 4 6 3" xfId="18218" xr:uid="{00000000-0005-0000-0000-000028470000}"/>
    <cellStyle name="Comma 4 6 4" xfId="18219" xr:uid="{00000000-0005-0000-0000-000029470000}"/>
    <cellStyle name="Comma 4 6 5" xfId="18220" xr:uid="{00000000-0005-0000-0000-00002A470000}"/>
    <cellStyle name="Comma 4 7" xfId="18221" xr:uid="{00000000-0005-0000-0000-00002B470000}"/>
    <cellStyle name="Comma 4 7 2" xfId="18222" xr:uid="{00000000-0005-0000-0000-00002C470000}"/>
    <cellStyle name="Comma 4 7 3" xfId="18223" xr:uid="{00000000-0005-0000-0000-00002D470000}"/>
    <cellStyle name="Comma 4 8" xfId="18224" xr:uid="{00000000-0005-0000-0000-00002E470000}"/>
    <cellStyle name="Comma 4 8 2" xfId="18225" xr:uid="{00000000-0005-0000-0000-00002F470000}"/>
    <cellStyle name="Comma 4 8 3" xfId="18226" xr:uid="{00000000-0005-0000-0000-000030470000}"/>
    <cellStyle name="Comma 4 9" xfId="18227" xr:uid="{00000000-0005-0000-0000-000031470000}"/>
    <cellStyle name="Comma 5" xfId="18228" xr:uid="{00000000-0005-0000-0000-000032470000}"/>
    <cellStyle name="Comma 5 10" xfId="18229" xr:uid="{00000000-0005-0000-0000-000033470000}"/>
    <cellStyle name="Comma 5 11" xfId="42321" xr:uid="{00000000-0005-0000-0000-000034470000}"/>
    <cellStyle name="Comma 5 2" xfId="18230" xr:uid="{00000000-0005-0000-0000-000035470000}"/>
    <cellStyle name="Comma 5 2 2" xfId="18231" xr:uid="{00000000-0005-0000-0000-000036470000}"/>
    <cellStyle name="Comma 5 2 2 2" xfId="18232" xr:uid="{00000000-0005-0000-0000-000037470000}"/>
    <cellStyle name="Comma 5 2 2 2 2" xfId="18233" xr:uid="{00000000-0005-0000-0000-000038470000}"/>
    <cellStyle name="Comma 5 2 2 2 3" xfId="18234" xr:uid="{00000000-0005-0000-0000-000039470000}"/>
    <cellStyle name="Comma 5 2 2 3" xfId="18235" xr:uid="{00000000-0005-0000-0000-00003A470000}"/>
    <cellStyle name="Comma 5 2 2 4" xfId="18236" xr:uid="{00000000-0005-0000-0000-00003B470000}"/>
    <cellStyle name="Comma 5 2 2 5" xfId="18237" xr:uid="{00000000-0005-0000-0000-00003C470000}"/>
    <cellStyle name="Comma 5 2 2 6" xfId="18238" xr:uid="{00000000-0005-0000-0000-00003D470000}"/>
    <cellStyle name="Comma 5 2 3" xfId="18239" xr:uid="{00000000-0005-0000-0000-00003E470000}"/>
    <cellStyle name="Comma 5 2 3 2" xfId="18240" xr:uid="{00000000-0005-0000-0000-00003F470000}"/>
    <cellStyle name="Comma 5 2 3 2 2" xfId="18241" xr:uid="{00000000-0005-0000-0000-000040470000}"/>
    <cellStyle name="Comma 5 2 3 3" xfId="18242" xr:uid="{00000000-0005-0000-0000-000041470000}"/>
    <cellStyle name="Comma 5 2 3 4" xfId="18243" xr:uid="{00000000-0005-0000-0000-000042470000}"/>
    <cellStyle name="Comma 5 2 3 5" xfId="18244" xr:uid="{00000000-0005-0000-0000-000043470000}"/>
    <cellStyle name="Comma 5 2 4" xfId="18245" xr:uid="{00000000-0005-0000-0000-000044470000}"/>
    <cellStyle name="Comma 5 2 4 2" xfId="18246" xr:uid="{00000000-0005-0000-0000-000045470000}"/>
    <cellStyle name="Comma 5 2 4 3" xfId="18247" xr:uid="{00000000-0005-0000-0000-000046470000}"/>
    <cellStyle name="Comma 5 2 4 4" xfId="18248" xr:uid="{00000000-0005-0000-0000-000047470000}"/>
    <cellStyle name="Comma 5 2 5" xfId="18249" xr:uid="{00000000-0005-0000-0000-000048470000}"/>
    <cellStyle name="Comma 5 2 5 2" xfId="18250" xr:uid="{00000000-0005-0000-0000-000049470000}"/>
    <cellStyle name="Comma 5 2 6" xfId="18251" xr:uid="{00000000-0005-0000-0000-00004A470000}"/>
    <cellStyle name="Comma 5 2 7" xfId="18252" xr:uid="{00000000-0005-0000-0000-00004B470000}"/>
    <cellStyle name="Comma 5 2 8" xfId="18253" xr:uid="{00000000-0005-0000-0000-00004C470000}"/>
    <cellStyle name="Comma 5 2 9" xfId="18254" xr:uid="{00000000-0005-0000-0000-00004D470000}"/>
    <cellStyle name="Comma 5 3" xfId="18255" xr:uid="{00000000-0005-0000-0000-00004E470000}"/>
    <cellStyle name="Comma 5 3 2" xfId="18256" xr:uid="{00000000-0005-0000-0000-00004F470000}"/>
    <cellStyle name="Comma 5 3 2 2" xfId="18257" xr:uid="{00000000-0005-0000-0000-000050470000}"/>
    <cellStyle name="Comma 5 3 2 3" xfId="18258" xr:uid="{00000000-0005-0000-0000-000051470000}"/>
    <cellStyle name="Comma 5 3 3" xfId="18259" xr:uid="{00000000-0005-0000-0000-000052470000}"/>
    <cellStyle name="Comma 5 3 4" xfId="18260" xr:uid="{00000000-0005-0000-0000-000053470000}"/>
    <cellStyle name="Comma 5 3 5" xfId="18261" xr:uid="{00000000-0005-0000-0000-000054470000}"/>
    <cellStyle name="Comma 5 3 6" xfId="18262" xr:uid="{00000000-0005-0000-0000-000055470000}"/>
    <cellStyle name="Comma 5 4" xfId="18263" xr:uid="{00000000-0005-0000-0000-000056470000}"/>
    <cellStyle name="Comma 5 4 2" xfId="18264" xr:uid="{00000000-0005-0000-0000-000057470000}"/>
    <cellStyle name="Comma 5 4 2 2" xfId="18265" xr:uid="{00000000-0005-0000-0000-000058470000}"/>
    <cellStyle name="Comma 5 4 3" xfId="18266" xr:uid="{00000000-0005-0000-0000-000059470000}"/>
    <cellStyle name="Comma 5 4 4" xfId="18267" xr:uid="{00000000-0005-0000-0000-00005A470000}"/>
    <cellStyle name="Comma 5 4 5" xfId="18268" xr:uid="{00000000-0005-0000-0000-00005B470000}"/>
    <cellStyle name="Comma 5 5" xfId="18269" xr:uid="{00000000-0005-0000-0000-00005C470000}"/>
    <cellStyle name="Comma 5 5 2" xfId="18270" xr:uid="{00000000-0005-0000-0000-00005D470000}"/>
    <cellStyle name="Comma 5 5 3" xfId="18271" xr:uid="{00000000-0005-0000-0000-00005E470000}"/>
    <cellStyle name="Comma 5 5 4" xfId="18272" xr:uid="{00000000-0005-0000-0000-00005F470000}"/>
    <cellStyle name="Comma 5 6" xfId="18273" xr:uid="{00000000-0005-0000-0000-000060470000}"/>
    <cellStyle name="Comma 5 6 2" xfId="18274" xr:uid="{00000000-0005-0000-0000-000061470000}"/>
    <cellStyle name="Comma 5 7" xfId="18275" xr:uid="{00000000-0005-0000-0000-000062470000}"/>
    <cellStyle name="Comma 5 8" xfId="18276" xr:uid="{00000000-0005-0000-0000-000063470000}"/>
    <cellStyle name="Comma 5 9" xfId="18277" xr:uid="{00000000-0005-0000-0000-000064470000}"/>
    <cellStyle name="Comma 6" xfId="18278" xr:uid="{00000000-0005-0000-0000-000065470000}"/>
    <cellStyle name="Comma 6 2" xfId="18279" xr:uid="{00000000-0005-0000-0000-000066470000}"/>
    <cellStyle name="Comma 6 2 2" xfId="18280" xr:uid="{00000000-0005-0000-0000-000067470000}"/>
    <cellStyle name="Comma 6 2 2 2" xfId="18281" xr:uid="{00000000-0005-0000-0000-000068470000}"/>
    <cellStyle name="Comma 6 2 2 3" xfId="18282" xr:uid="{00000000-0005-0000-0000-000069470000}"/>
    <cellStyle name="Comma 6 2 3" xfId="18283" xr:uid="{00000000-0005-0000-0000-00006A470000}"/>
    <cellStyle name="Comma 6 2 4" xfId="18284" xr:uid="{00000000-0005-0000-0000-00006B470000}"/>
    <cellStyle name="Comma 6 2 5" xfId="18285" xr:uid="{00000000-0005-0000-0000-00006C470000}"/>
    <cellStyle name="Comma 6 2 6" xfId="18286" xr:uid="{00000000-0005-0000-0000-00006D470000}"/>
    <cellStyle name="Comma 6 3" xfId="18287" xr:uid="{00000000-0005-0000-0000-00006E470000}"/>
    <cellStyle name="Comma 6 3 2" xfId="18288" xr:uid="{00000000-0005-0000-0000-00006F470000}"/>
    <cellStyle name="Comma 6 3 2 2" xfId="18289" xr:uid="{00000000-0005-0000-0000-000070470000}"/>
    <cellStyle name="Comma 6 3 3" xfId="18290" xr:uid="{00000000-0005-0000-0000-000071470000}"/>
    <cellStyle name="Comma 6 3 4" xfId="18291" xr:uid="{00000000-0005-0000-0000-000072470000}"/>
    <cellStyle name="Comma 6 3 5" xfId="18292" xr:uid="{00000000-0005-0000-0000-000073470000}"/>
    <cellStyle name="Comma 6 3 6" xfId="18293" xr:uid="{00000000-0005-0000-0000-000074470000}"/>
    <cellStyle name="Comma 6 4" xfId="18294" xr:uid="{00000000-0005-0000-0000-000075470000}"/>
    <cellStyle name="Comma 6 4 2" xfId="18295" xr:uid="{00000000-0005-0000-0000-000076470000}"/>
    <cellStyle name="Comma 6 4 3" xfId="18296" xr:uid="{00000000-0005-0000-0000-000077470000}"/>
    <cellStyle name="Comma 6 4 4" xfId="18297" xr:uid="{00000000-0005-0000-0000-000078470000}"/>
    <cellStyle name="Comma 6 5" xfId="18298" xr:uid="{00000000-0005-0000-0000-000079470000}"/>
    <cellStyle name="Comma 6 5 2" xfId="18299" xr:uid="{00000000-0005-0000-0000-00007A470000}"/>
    <cellStyle name="Comma 6 6" xfId="18300" xr:uid="{00000000-0005-0000-0000-00007B470000}"/>
    <cellStyle name="Comma 6 7" xfId="18301" xr:uid="{00000000-0005-0000-0000-00007C470000}"/>
    <cellStyle name="Comma 6 8" xfId="18302" xr:uid="{00000000-0005-0000-0000-00007D470000}"/>
    <cellStyle name="Comma 6 9" xfId="18303" xr:uid="{00000000-0005-0000-0000-00007E470000}"/>
    <cellStyle name="Comma 7" xfId="18304" xr:uid="{00000000-0005-0000-0000-00007F470000}"/>
    <cellStyle name="Comma 7 2" xfId="18305" xr:uid="{00000000-0005-0000-0000-000080470000}"/>
    <cellStyle name="Comma 7 2 2" xfId="18306" xr:uid="{00000000-0005-0000-0000-000081470000}"/>
    <cellStyle name="Comma 7 2 2 2" xfId="18307" xr:uid="{00000000-0005-0000-0000-000082470000}"/>
    <cellStyle name="Comma 7 2 3" xfId="18308" xr:uid="{00000000-0005-0000-0000-000083470000}"/>
    <cellStyle name="Comma 7 2 4" xfId="18309" xr:uid="{00000000-0005-0000-0000-000084470000}"/>
    <cellStyle name="Comma 7 2 5" xfId="18310" xr:uid="{00000000-0005-0000-0000-000085470000}"/>
    <cellStyle name="Comma 7 2 6" xfId="18311" xr:uid="{00000000-0005-0000-0000-000086470000}"/>
    <cellStyle name="Comma 7 3" xfId="18312" xr:uid="{00000000-0005-0000-0000-000087470000}"/>
    <cellStyle name="Comma 7 3 2" xfId="18313" xr:uid="{00000000-0005-0000-0000-000088470000}"/>
    <cellStyle name="Comma 7 3 3" xfId="18314" xr:uid="{00000000-0005-0000-0000-000089470000}"/>
    <cellStyle name="Comma 7 3 4" xfId="18315" xr:uid="{00000000-0005-0000-0000-00008A470000}"/>
    <cellStyle name="Comma 7 4" xfId="18316" xr:uid="{00000000-0005-0000-0000-00008B470000}"/>
    <cellStyle name="Comma 7 4 2" xfId="18317" xr:uid="{00000000-0005-0000-0000-00008C470000}"/>
    <cellStyle name="Comma 7 5" xfId="18318" xr:uid="{00000000-0005-0000-0000-00008D470000}"/>
    <cellStyle name="Comma 7 6" xfId="18319" xr:uid="{00000000-0005-0000-0000-00008E470000}"/>
    <cellStyle name="Comma 7 7" xfId="18320" xr:uid="{00000000-0005-0000-0000-00008F470000}"/>
    <cellStyle name="Comma 7 8" xfId="18321" xr:uid="{00000000-0005-0000-0000-000090470000}"/>
    <cellStyle name="Comma 8" xfId="18322" xr:uid="{00000000-0005-0000-0000-000091470000}"/>
    <cellStyle name="Comma 8 2" xfId="18323" xr:uid="{00000000-0005-0000-0000-000092470000}"/>
    <cellStyle name="Comma 8 2 2" xfId="18324" xr:uid="{00000000-0005-0000-0000-000093470000}"/>
    <cellStyle name="Comma 8 2 2 2" xfId="18325" xr:uid="{00000000-0005-0000-0000-000094470000}"/>
    <cellStyle name="Comma 8 2 3" xfId="18326" xr:uid="{00000000-0005-0000-0000-000095470000}"/>
    <cellStyle name="Comma 8 2 4" xfId="18327" xr:uid="{00000000-0005-0000-0000-000096470000}"/>
    <cellStyle name="Comma 8 2 5" xfId="18328" xr:uid="{00000000-0005-0000-0000-000097470000}"/>
    <cellStyle name="Comma 8 3" xfId="18329" xr:uid="{00000000-0005-0000-0000-000098470000}"/>
    <cellStyle name="Comma 8 3 2" xfId="18330" xr:uid="{00000000-0005-0000-0000-000099470000}"/>
    <cellStyle name="Comma 8 3 3" xfId="18331" xr:uid="{00000000-0005-0000-0000-00009A470000}"/>
    <cellStyle name="Comma 8 3 4" xfId="18332" xr:uid="{00000000-0005-0000-0000-00009B470000}"/>
    <cellStyle name="Comma 8 4" xfId="18333" xr:uid="{00000000-0005-0000-0000-00009C470000}"/>
    <cellStyle name="Comma 8 4 2" xfId="18334" xr:uid="{00000000-0005-0000-0000-00009D470000}"/>
    <cellStyle name="Comma 8 5" xfId="18335" xr:uid="{00000000-0005-0000-0000-00009E470000}"/>
    <cellStyle name="Comma 8 6" xfId="18336" xr:uid="{00000000-0005-0000-0000-00009F470000}"/>
    <cellStyle name="Comma 8 7" xfId="18337" xr:uid="{00000000-0005-0000-0000-0000A0470000}"/>
    <cellStyle name="Comma 8 8" xfId="18338" xr:uid="{00000000-0005-0000-0000-0000A1470000}"/>
    <cellStyle name="Comma 9" xfId="18339" xr:uid="{00000000-0005-0000-0000-0000A2470000}"/>
    <cellStyle name="Comma 9 2" xfId="18340" xr:uid="{00000000-0005-0000-0000-0000A3470000}"/>
    <cellStyle name="Comma 9 3" xfId="18341" xr:uid="{00000000-0005-0000-0000-0000A4470000}"/>
    <cellStyle name="Comma0" xfId="18342" xr:uid="{00000000-0005-0000-0000-0000A5470000}"/>
    <cellStyle name="Currency" xfId="2" builtinId="4"/>
    <cellStyle name="Currency 10" xfId="18343" xr:uid="{00000000-0005-0000-0000-0000A7470000}"/>
    <cellStyle name="Currency 10 2" xfId="18344" xr:uid="{00000000-0005-0000-0000-0000A8470000}"/>
    <cellStyle name="Currency 10 2 2" xfId="18345" xr:uid="{00000000-0005-0000-0000-0000A9470000}"/>
    <cellStyle name="Currency 10 2 3" xfId="18346" xr:uid="{00000000-0005-0000-0000-0000AA470000}"/>
    <cellStyle name="Currency 10 2 4" xfId="18347" xr:uid="{00000000-0005-0000-0000-0000AB470000}"/>
    <cellStyle name="Currency 10 3" xfId="18348" xr:uid="{00000000-0005-0000-0000-0000AC470000}"/>
    <cellStyle name="Currency 10 3 2" xfId="18349" xr:uid="{00000000-0005-0000-0000-0000AD470000}"/>
    <cellStyle name="Currency 10 4" xfId="18350" xr:uid="{00000000-0005-0000-0000-0000AE470000}"/>
    <cellStyle name="Currency 10 5" xfId="18351" xr:uid="{00000000-0005-0000-0000-0000AF470000}"/>
    <cellStyle name="Currency 10 6" xfId="18352" xr:uid="{00000000-0005-0000-0000-0000B0470000}"/>
    <cellStyle name="Currency 11" xfId="18353" xr:uid="{00000000-0005-0000-0000-0000B1470000}"/>
    <cellStyle name="Currency 11 2" xfId="18354" xr:uid="{00000000-0005-0000-0000-0000B2470000}"/>
    <cellStyle name="Currency 11 2 2" xfId="18355" xr:uid="{00000000-0005-0000-0000-0000B3470000}"/>
    <cellStyle name="Currency 11 2 3" xfId="18356" xr:uid="{00000000-0005-0000-0000-0000B4470000}"/>
    <cellStyle name="Currency 11 3" xfId="18357" xr:uid="{00000000-0005-0000-0000-0000B5470000}"/>
    <cellStyle name="Currency 12" xfId="18358" xr:uid="{00000000-0005-0000-0000-0000B6470000}"/>
    <cellStyle name="Currency 13" xfId="42322" xr:uid="{00000000-0005-0000-0000-0000B7470000}"/>
    <cellStyle name="Currency 2" xfId="18359" xr:uid="{00000000-0005-0000-0000-0000B8470000}"/>
    <cellStyle name="Currency 2 10" xfId="18360" xr:uid="{00000000-0005-0000-0000-0000B9470000}"/>
    <cellStyle name="Currency 2 10 2" xfId="18361" xr:uid="{00000000-0005-0000-0000-0000BA470000}"/>
    <cellStyle name="Currency 2 10 3" xfId="18362" xr:uid="{00000000-0005-0000-0000-0000BB470000}"/>
    <cellStyle name="Currency 2 10 4" xfId="18363" xr:uid="{00000000-0005-0000-0000-0000BC470000}"/>
    <cellStyle name="Currency 2 10 5" xfId="18364" xr:uid="{00000000-0005-0000-0000-0000BD470000}"/>
    <cellStyle name="Currency 2 10 6" xfId="18365" xr:uid="{00000000-0005-0000-0000-0000BE470000}"/>
    <cellStyle name="Currency 2 10 7" xfId="18366" xr:uid="{00000000-0005-0000-0000-0000BF470000}"/>
    <cellStyle name="Currency 2 11" xfId="18367" xr:uid="{00000000-0005-0000-0000-0000C0470000}"/>
    <cellStyle name="Currency 2 11 2" xfId="18368" xr:uid="{00000000-0005-0000-0000-0000C1470000}"/>
    <cellStyle name="Currency 2 11 3" xfId="18369" xr:uid="{00000000-0005-0000-0000-0000C2470000}"/>
    <cellStyle name="Currency 2 11 4" xfId="18370" xr:uid="{00000000-0005-0000-0000-0000C3470000}"/>
    <cellStyle name="Currency 2 11 5" xfId="18371" xr:uid="{00000000-0005-0000-0000-0000C4470000}"/>
    <cellStyle name="Currency 2 11 6" xfId="18372" xr:uid="{00000000-0005-0000-0000-0000C5470000}"/>
    <cellStyle name="Currency 2 11 7" xfId="18373" xr:uid="{00000000-0005-0000-0000-0000C6470000}"/>
    <cellStyle name="Currency 2 12" xfId="18374" xr:uid="{00000000-0005-0000-0000-0000C7470000}"/>
    <cellStyle name="Currency 2 12 2" xfId="18375" xr:uid="{00000000-0005-0000-0000-0000C8470000}"/>
    <cellStyle name="Currency 2 12 3" xfId="18376" xr:uid="{00000000-0005-0000-0000-0000C9470000}"/>
    <cellStyle name="Currency 2 12 4" xfId="18377" xr:uid="{00000000-0005-0000-0000-0000CA470000}"/>
    <cellStyle name="Currency 2 12 5" xfId="18378" xr:uid="{00000000-0005-0000-0000-0000CB470000}"/>
    <cellStyle name="Currency 2 12 6" xfId="18379" xr:uid="{00000000-0005-0000-0000-0000CC470000}"/>
    <cellStyle name="Currency 2 12 7" xfId="18380" xr:uid="{00000000-0005-0000-0000-0000CD470000}"/>
    <cellStyle name="Currency 2 13" xfId="18381" xr:uid="{00000000-0005-0000-0000-0000CE470000}"/>
    <cellStyle name="Currency 2 13 2" xfId="18382" xr:uid="{00000000-0005-0000-0000-0000CF470000}"/>
    <cellStyle name="Currency 2 13 3" xfId="18383" xr:uid="{00000000-0005-0000-0000-0000D0470000}"/>
    <cellStyle name="Currency 2 13 4" xfId="18384" xr:uid="{00000000-0005-0000-0000-0000D1470000}"/>
    <cellStyle name="Currency 2 13 5" xfId="18385" xr:uid="{00000000-0005-0000-0000-0000D2470000}"/>
    <cellStyle name="Currency 2 13 6" xfId="18386" xr:uid="{00000000-0005-0000-0000-0000D3470000}"/>
    <cellStyle name="Currency 2 13 7" xfId="18387" xr:uid="{00000000-0005-0000-0000-0000D4470000}"/>
    <cellStyle name="Currency 2 14" xfId="18388" xr:uid="{00000000-0005-0000-0000-0000D5470000}"/>
    <cellStyle name="Currency 2 14 2" xfId="18389" xr:uid="{00000000-0005-0000-0000-0000D6470000}"/>
    <cellStyle name="Currency 2 14 3" xfId="18390" xr:uid="{00000000-0005-0000-0000-0000D7470000}"/>
    <cellStyle name="Currency 2 14 4" xfId="18391" xr:uid="{00000000-0005-0000-0000-0000D8470000}"/>
    <cellStyle name="Currency 2 14 5" xfId="18392" xr:uid="{00000000-0005-0000-0000-0000D9470000}"/>
    <cellStyle name="Currency 2 14 6" xfId="18393" xr:uid="{00000000-0005-0000-0000-0000DA470000}"/>
    <cellStyle name="Currency 2 14 7" xfId="18394" xr:uid="{00000000-0005-0000-0000-0000DB470000}"/>
    <cellStyle name="Currency 2 15" xfId="18395" xr:uid="{00000000-0005-0000-0000-0000DC470000}"/>
    <cellStyle name="Currency 2 15 2" xfId="18396" xr:uid="{00000000-0005-0000-0000-0000DD470000}"/>
    <cellStyle name="Currency 2 15 3" xfId="18397" xr:uid="{00000000-0005-0000-0000-0000DE470000}"/>
    <cellStyle name="Currency 2 15 4" xfId="18398" xr:uid="{00000000-0005-0000-0000-0000DF470000}"/>
    <cellStyle name="Currency 2 15 5" xfId="18399" xr:uid="{00000000-0005-0000-0000-0000E0470000}"/>
    <cellStyle name="Currency 2 15 6" xfId="18400" xr:uid="{00000000-0005-0000-0000-0000E1470000}"/>
    <cellStyle name="Currency 2 15 7" xfId="18401" xr:uid="{00000000-0005-0000-0000-0000E2470000}"/>
    <cellStyle name="Currency 2 16" xfId="18402" xr:uid="{00000000-0005-0000-0000-0000E3470000}"/>
    <cellStyle name="Currency 2 16 2" xfId="18403" xr:uid="{00000000-0005-0000-0000-0000E4470000}"/>
    <cellStyle name="Currency 2 16 3" xfId="18404" xr:uid="{00000000-0005-0000-0000-0000E5470000}"/>
    <cellStyle name="Currency 2 16 4" xfId="18405" xr:uid="{00000000-0005-0000-0000-0000E6470000}"/>
    <cellStyle name="Currency 2 16 5" xfId="18406" xr:uid="{00000000-0005-0000-0000-0000E7470000}"/>
    <cellStyle name="Currency 2 16 6" xfId="18407" xr:uid="{00000000-0005-0000-0000-0000E8470000}"/>
    <cellStyle name="Currency 2 16 7" xfId="18408" xr:uid="{00000000-0005-0000-0000-0000E9470000}"/>
    <cellStyle name="Currency 2 17" xfId="18409" xr:uid="{00000000-0005-0000-0000-0000EA470000}"/>
    <cellStyle name="Currency 2 17 2" xfId="18410" xr:uid="{00000000-0005-0000-0000-0000EB470000}"/>
    <cellStyle name="Currency 2 17 2 2" xfId="18411" xr:uid="{00000000-0005-0000-0000-0000EC470000}"/>
    <cellStyle name="Currency 2 17 3" xfId="18412" xr:uid="{00000000-0005-0000-0000-0000ED470000}"/>
    <cellStyle name="Currency 2 17 4" xfId="18413" xr:uid="{00000000-0005-0000-0000-0000EE470000}"/>
    <cellStyle name="Currency 2 17 5" xfId="18414" xr:uid="{00000000-0005-0000-0000-0000EF470000}"/>
    <cellStyle name="Currency 2 17 6" xfId="18415" xr:uid="{00000000-0005-0000-0000-0000F0470000}"/>
    <cellStyle name="Currency 2 17 7" xfId="18416" xr:uid="{00000000-0005-0000-0000-0000F1470000}"/>
    <cellStyle name="Currency 2 18" xfId="18417" xr:uid="{00000000-0005-0000-0000-0000F2470000}"/>
    <cellStyle name="Currency 2 18 2" xfId="18418" xr:uid="{00000000-0005-0000-0000-0000F3470000}"/>
    <cellStyle name="Currency 2 18 3" xfId="18419" xr:uid="{00000000-0005-0000-0000-0000F4470000}"/>
    <cellStyle name="Currency 2 18 4" xfId="18420" xr:uid="{00000000-0005-0000-0000-0000F5470000}"/>
    <cellStyle name="Currency 2 18 5" xfId="18421" xr:uid="{00000000-0005-0000-0000-0000F6470000}"/>
    <cellStyle name="Currency 2 18 6" xfId="18422" xr:uid="{00000000-0005-0000-0000-0000F7470000}"/>
    <cellStyle name="Currency 2 18 7" xfId="18423" xr:uid="{00000000-0005-0000-0000-0000F8470000}"/>
    <cellStyle name="Currency 2 19" xfId="18424" xr:uid="{00000000-0005-0000-0000-0000F9470000}"/>
    <cellStyle name="Currency 2 19 2" xfId="18425" xr:uid="{00000000-0005-0000-0000-0000FA470000}"/>
    <cellStyle name="Currency 2 19 3" xfId="18426" xr:uid="{00000000-0005-0000-0000-0000FB470000}"/>
    <cellStyle name="Currency 2 19 4" xfId="18427" xr:uid="{00000000-0005-0000-0000-0000FC470000}"/>
    <cellStyle name="Currency 2 19 5" xfId="18428" xr:uid="{00000000-0005-0000-0000-0000FD470000}"/>
    <cellStyle name="Currency 2 19 6" xfId="18429" xr:uid="{00000000-0005-0000-0000-0000FE470000}"/>
    <cellStyle name="Currency 2 19 7" xfId="18430" xr:uid="{00000000-0005-0000-0000-0000FF470000}"/>
    <cellStyle name="Currency 2 2" xfId="18431" xr:uid="{00000000-0005-0000-0000-000000480000}"/>
    <cellStyle name="Currency 2 2 10" xfId="18432" xr:uid="{00000000-0005-0000-0000-000001480000}"/>
    <cellStyle name="Currency 2 2 10 2" xfId="18433" xr:uid="{00000000-0005-0000-0000-000002480000}"/>
    <cellStyle name="Currency 2 2 11" xfId="18434" xr:uid="{00000000-0005-0000-0000-000003480000}"/>
    <cellStyle name="Currency 2 2 11 2" xfId="18435" xr:uid="{00000000-0005-0000-0000-000004480000}"/>
    <cellStyle name="Currency 2 2 12" xfId="18436" xr:uid="{00000000-0005-0000-0000-000005480000}"/>
    <cellStyle name="Currency 2 2 12 2" xfId="18437" xr:uid="{00000000-0005-0000-0000-000006480000}"/>
    <cellStyle name="Currency 2 2 13" xfId="18438" xr:uid="{00000000-0005-0000-0000-000007480000}"/>
    <cellStyle name="Currency 2 2 13 2" xfId="18439" xr:uid="{00000000-0005-0000-0000-000008480000}"/>
    <cellStyle name="Currency 2 2 14" xfId="18440" xr:uid="{00000000-0005-0000-0000-000009480000}"/>
    <cellStyle name="Currency 2 2 14 2" xfId="18441" xr:uid="{00000000-0005-0000-0000-00000A480000}"/>
    <cellStyle name="Currency 2 2 15" xfId="18442" xr:uid="{00000000-0005-0000-0000-00000B480000}"/>
    <cellStyle name="Currency 2 2 15 2" xfId="18443" xr:uid="{00000000-0005-0000-0000-00000C480000}"/>
    <cellStyle name="Currency 2 2 16" xfId="18444" xr:uid="{00000000-0005-0000-0000-00000D480000}"/>
    <cellStyle name="Currency 2 2 16 2" xfId="18445" xr:uid="{00000000-0005-0000-0000-00000E480000}"/>
    <cellStyle name="Currency 2 2 17" xfId="18446" xr:uid="{00000000-0005-0000-0000-00000F480000}"/>
    <cellStyle name="Currency 2 2 18" xfId="18447" xr:uid="{00000000-0005-0000-0000-000010480000}"/>
    <cellStyle name="Currency 2 2 19" xfId="18448" xr:uid="{00000000-0005-0000-0000-000011480000}"/>
    <cellStyle name="Currency 2 2 2" xfId="18449" xr:uid="{00000000-0005-0000-0000-000012480000}"/>
    <cellStyle name="Currency 2 2 2 2" xfId="18450" xr:uid="{00000000-0005-0000-0000-000013480000}"/>
    <cellStyle name="Currency 2 2 2 3" xfId="18451" xr:uid="{00000000-0005-0000-0000-000014480000}"/>
    <cellStyle name="Currency 2 2 2 4" xfId="18452" xr:uid="{00000000-0005-0000-0000-000015480000}"/>
    <cellStyle name="Currency 2 2 20" xfId="18453" xr:uid="{00000000-0005-0000-0000-000016480000}"/>
    <cellStyle name="Currency 2 2 21" xfId="18454" xr:uid="{00000000-0005-0000-0000-000017480000}"/>
    <cellStyle name="Currency 2 2 22" xfId="18455" xr:uid="{00000000-0005-0000-0000-000018480000}"/>
    <cellStyle name="Currency 2 2 23" xfId="18456" xr:uid="{00000000-0005-0000-0000-000019480000}"/>
    <cellStyle name="Currency 2 2 24" xfId="18457" xr:uid="{00000000-0005-0000-0000-00001A480000}"/>
    <cellStyle name="Currency 2 2 25" xfId="18458" xr:uid="{00000000-0005-0000-0000-00001B480000}"/>
    <cellStyle name="Currency 2 2 26" xfId="18459" xr:uid="{00000000-0005-0000-0000-00001C480000}"/>
    <cellStyle name="Currency 2 2 27" xfId="18460" xr:uid="{00000000-0005-0000-0000-00001D480000}"/>
    <cellStyle name="Currency 2 2 28" xfId="18461" xr:uid="{00000000-0005-0000-0000-00001E480000}"/>
    <cellStyle name="Currency 2 2 29" xfId="18462" xr:uid="{00000000-0005-0000-0000-00001F480000}"/>
    <cellStyle name="Currency 2 2 3" xfId="18463" xr:uid="{00000000-0005-0000-0000-000020480000}"/>
    <cellStyle name="Currency 2 2 3 2" xfId="18464" xr:uid="{00000000-0005-0000-0000-000021480000}"/>
    <cellStyle name="Currency 2 2 3 3" xfId="18465" xr:uid="{00000000-0005-0000-0000-000022480000}"/>
    <cellStyle name="Currency 2 2 3 4" xfId="18466" xr:uid="{00000000-0005-0000-0000-000023480000}"/>
    <cellStyle name="Currency 2 2 3 4 2" xfId="18467" xr:uid="{00000000-0005-0000-0000-000024480000}"/>
    <cellStyle name="Currency 2 2 3 5" xfId="18468" xr:uid="{00000000-0005-0000-0000-000025480000}"/>
    <cellStyle name="Currency 2 2 3 6" xfId="18469" xr:uid="{00000000-0005-0000-0000-000026480000}"/>
    <cellStyle name="Currency 2 2 30" xfId="18470" xr:uid="{00000000-0005-0000-0000-000027480000}"/>
    <cellStyle name="Currency 2 2 31" xfId="18471" xr:uid="{00000000-0005-0000-0000-000028480000}"/>
    <cellStyle name="Currency 2 2 32" xfId="18472" xr:uid="{00000000-0005-0000-0000-000029480000}"/>
    <cellStyle name="Currency 2 2 33" xfId="18473" xr:uid="{00000000-0005-0000-0000-00002A480000}"/>
    <cellStyle name="Currency 2 2 34" xfId="18474" xr:uid="{00000000-0005-0000-0000-00002B480000}"/>
    <cellStyle name="Currency 2 2 35" xfId="18475" xr:uid="{00000000-0005-0000-0000-00002C480000}"/>
    <cellStyle name="Currency 2 2 36" xfId="18476" xr:uid="{00000000-0005-0000-0000-00002D480000}"/>
    <cellStyle name="Currency 2 2 37" xfId="18477" xr:uid="{00000000-0005-0000-0000-00002E480000}"/>
    <cellStyle name="Currency 2 2 38" xfId="18478" xr:uid="{00000000-0005-0000-0000-00002F480000}"/>
    <cellStyle name="Currency 2 2 39" xfId="18479" xr:uid="{00000000-0005-0000-0000-000030480000}"/>
    <cellStyle name="Currency 2 2 4" xfId="18480" xr:uid="{00000000-0005-0000-0000-000031480000}"/>
    <cellStyle name="Currency 2 2 4 2" xfId="18481" xr:uid="{00000000-0005-0000-0000-000032480000}"/>
    <cellStyle name="Currency 2 2 4 3" xfId="18482" xr:uid="{00000000-0005-0000-0000-000033480000}"/>
    <cellStyle name="Currency 2 2 40" xfId="18483" xr:uid="{00000000-0005-0000-0000-000034480000}"/>
    <cellStyle name="Currency 2 2 41" xfId="18484" xr:uid="{00000000-0005-0000-0000-000035480000}"/>
    <cellStyle name="Currency 2 2 42" xfId="18485" xr:uid="{00000000-0005-0000-0000-000036480000}"/>
    <cellStyle name="Currency 2 2 43" xfId="18486" xr:uid="{00000000-0005-0000-0000-000037480000}"/>
    <cellStyle name="Currency 2 2 44" xfId="18487" xr:uid="{00000000-0005-0000-0000-000038480000}"/>
    <cellStyle name="Currency 2 2 45" xfId="18488" xr:uid="{00000000-0005-0000-0000-000039480000}"/>
    <cellStyle name="Currency 2 2 46" xfId="18489" xr:uid="{00000000-0005-0000-0000-00003A480000}"/>
    <cellStyle name="Currency 2 2 47" xfId="18490" xr:uid="{00000000-0005-0000-0000-00003B480000}"/>
    <cellStyle name="Currency 2 2 48" xfId="18491" xr:uid="{00000000-0005-0000-0000-00003C480000}"/>
    <cellStyle name="Currency 2 2 49" xfId="18492" xr:uid="{00000000-0005-0000-0000-00003D480000}"/>
    <cellStyle name="Currency 2 2 5" xfId="18493" xr:uid="{00000000-0005-0000-0000-00003E480000}"/>
    <cellStyle name="Currency 2 2 5 2" xfId="18494" xr:uid="{00000000-0005-0000-0000-00003F480000}"/>
    <cellStyle name="Currency 2 2 5 3" xfId="18495" xr:uid="{00000000-0005-0000-0000-000040480000}"/>
    <cellStyle name="Currency 2 2 50" xfId="18496" xr:uid="{00000000-0005-0000-0000-000041480000}"/>
    <cellStyle name="Currency 2 2 51" xfId="18497" xr:uid="{00000000-0005-0000-0000-000042480000}"/>
    <cellStyle name="Currency 2 2 52" xfId="18498" xr:uid="{00000000-0005-0000-0000-000043480000}"/>
    <cellStyle name="Currency 2 2 6" xfId="18499" xr:uid="{00000000-0005-0000-0000-000044480000}"/>
    <cellStyle name="Currency 2 2 6 2" xfId="18500" xr:uid="{00000000-0005-0000-0000-000045480000}"/>
    <cellStyle name="Currency 2 2 6 3" xfId="18501" xr:uid="{00000000-0005-0000-0000-000046480000}"/>
    <cellStyle name="Currency 2 2 7" xfId="18502" xr:uid="{00000000-0005-0000-0000-000047480000}"/>
    <cellStyle name="Currency 2 2 7 2" xfId="18503" xr:uid="{00000000-0005-0000-0000-000048480000}"/>
    <cellStyle name="Currency 2 2 7 3" xfId="18504" xr:uid="{00000000-0005-0000-0000-000049480000}"/>
    <cellStyle name="Currency 2 2 8" xfId="18505" xr:uid="{00000000-0005-0000-0000-00004A480000}"/>
    <cellStyle name="Currency 2 2 8 2" xfId="18506" xr:uid="{00000000-0005-0000-0000-00004B480000}"/>
    <cellStyle name="Currency 2 2 8 3" xfId="18507" xr:uid="{00000000-0005-0000-0000-00004C480000}"/>
    <cellStyle name="Currency 2 2 9" xfId="18508" xr:uid="{00000000-0005-0000-0000-00004D480000}"/>
    <cellStyle name="Currency 2 2 9 2" xfId="18509" xr:uid="{00000000-0005-0000-0000-00004E480000}"/>
    <cellStyle name="Currency 2 20" xfId="18510" xr:uid="{00000000-0005-0000-0000-00004F480000}"/>
    <cellStyle name="Currency 2 20 2" xfId="18511" xr:uid="{00000000-0005-0000-0000-000050480000}"/>
    <cellStyle name="Currency 2 20 3" xfId="18512" xr:uid="{00000000-0005-0000-0000-000051480000}"/>
    <cellStyle name="Currency 2 20 4" xfId="18513" xr:uid="{00000000-0005-0000-0000-000052480000}"/>
    <cellStyle name="Currency 2 20 5" xfId="18514" xr:uid="{00000000-0005-0000-0000-000053480000}"/>
    <cellStyle name="Currency 2 20 6" xfId="18515" xr:uid="{00000000-0005-0000-0000-000054480000}"/>
    <cellStyle name="Currency 2 20 7" xfId="18516" xr:uid="{00000000-0005-0000-0000-000055480000}"/>
    <cellStyle name="Currency 2 21" xfId="18517" xr:uid="{00000000-0005-0000-0000-000056480000}"/>
    <cellStyle name="Currency 2 21 2" xfId="18518" xr:uid="{00000000-0005-0000-0000-000057480000}"/>
    <cellStyle name="Currency 2 21 3" xfId="18519" xr:uid="{00000000-0005-0000-0000-000058480000}"/>
    <cellStyle name="Currency 2 21 4" xfId="18520" xr:uid="{00000000-0005-0000-0000-000059480000}"/>
    <cellStyle name="Currency 2 21 5" xfId="18521" xr:uid="{00000000-0005-0000-0000-00005A480000}"/>
    <cellStyle name="Currency 2 21 6" xfId="18522" xr:uid="{00000000-0005-0000-0000-00005B480000}"/>
    <cellStyle name="Currency 2 22" xfId="18523" xr:uid="{00000000-0005-0000-0000-00005C480000}"/>
    <cellStyle name="Currency 2 22 2" xfId="18524" xr:uid="{00000000-0005-0000-0000-00005D480000}"/>
    <cellStyle name="Currency 2 22 3" xfId="18525" xr:uid="{00000000-0005-0000-0000-00005E480000}"/>
    <cellStyle name="Currency 2 22 4" xfId="18526" xr:uid="{00000000-0005-0000-0000-00005F480000}"/>
    <cellStyle name="Currency 2 22 5" xfId="18527" xr:uid="{00000000-0005-0000-0000-000060480000}"/>
    <cellStyle name="Currency 2 22 6" xfId="18528" xr:uid="{00000000-0005-0000-0000-000061480000}"/>
    <cellStyle name="Currency 2 23" xfId="18529" xr:uid="{00000000-0005-0000-0000-000062480000}"/>
    <cellStyle name="Currency 2 23 2" xfId="18530" xr:uid="{00000000-0005-0000-0000-000063480000}"/>
    <cellStyle name="Currency 2 23 3" xfId="18531" xr:uid="{00000000-0005-0000-0000-000064480000}"/>
    <cellStyle name="Currency 2 23 4" xfId="18532" xr:uid="{00000000-0005-0000-0000-000065480000}"/>
    <cellStyle name="Currency 2 23 5" xfId="18533" xr:uid="{00000000-0005-0000-0000-000066480000}"/>
    <cellStyle name="Currency 2 23 6" xfId="18534" xr:uid="{00000000-0005-0000-0000-000067480000}"/>
    <cellStyle name="Currency 2 24" xfId="18535" xr:uid="{00000000-0005-0000-0000-000068480000}"/>
    <cellStyle name="Currency 2 24 2" xfId="18536" xr:uid="{00000000-0005-0000-0000-000069480000}"/>
    <cellStyle name="Currency 2 24 3" xfId="18537" xr:uid="{00000000-0005-0000-0000-00006A480000}"/>
    <cellStyle name="Currency 2 24 4" xfId="18538" xr:uid="{00000000-0005-0000-0000-00006B480000}"/>
    <cellStyle name="Currency 2 24 5" xfId="18539" xr:uid="{00000000-0005-0000-0000-00006C480000}"/>
    <cellStyle name="Currency 2 24 6" xfId="18540" xr:uid="{00000000-0005-0000-0000-00006D480000}"/>
    <cellStyle name="Currency 2 25" xfId="18541" xr:uid="{00000000-0005-0000-0000-00006E480000}"/>
    <cellStyle name="Currency 2 25 2" xfId="18542" xr:uid="{00000000-0005-0000-0000-00006F480000}"/>
    <cellStyle name="Currency 2 25 3" xfId="18543" xr:uid="{00000000-0005-0000-0000-000070480000}"/>
    <cellStyle name="Currency 2 25 4" xfId="18544" xr:uid="{00000000-0005-0000-0000-000071480000}"/>
    <cellStyle name="Currency 2 25 5" xfId="18545" xr:uid="{00000000-0005-0000-0000-000072480000}"/>
    <cellStyle name="Currency 2 25 6" xfId="18546" xr:uid="{00000000-0005-0000-0000-000073480000}"/>
    <cellStyle name="Currency 2 26" xfId="18547" xr:uid="{00000000-0005-0000-0000-000074480000}"/>
    <cellStyle name="Currency 2 26 2" xfId="18548" xr:uid="{00000000-0005-0000-0000-000075480000}"/>
    <cellStyle name="Currency 2 26 3" xfId="18549" xr:uid="{00000000-0005-0000-0000-000076480000}"/>
    <cellStyle name="Currency 2 26 4" xfId="18550" xr:uid="{00000000-0005-0000-0000-000077480000}"/>
    <cellStyle name="Currency 2 26 5" xfId="18551" xr:uid="{00000000-0005-0000-0000-000078480000}"/>
    <cellStyle name="Currency 2 26 6" xfId="18552" xr:uid="{00000000-0005-0000-0000-000079480000}"/>
    <cellStyle name="Currency 2 27" xfId="18553" xr:uid="{00000000-0005-0000-0000-00007A480000}"/>
    <cellStyle name="Currency 2 27 2" xfId="18554" xr:uid="{00000000-0005-0000-0000-00007B480000}"/>
    <cellStyle name="Currency 2 27 3" xfId="18555" xr:uid="{00000000-0005-0000-0000-00007C480000}"/>
    <cellStyle name="Currency 2 27 4" xfId="18556" xr:uid="{00000000-0005-0000-0000-00007D480000}"/>
    <cellStyle name="Currency 2 27 5" xfId="18557" xr:uid="{00000000-0005-0000-0000-00007E480000}"/>
    <cellStyle name="Currency 2 27 6" xfId="18558" xr:uid="{00000000-0005-0000-0000-00007F480000}"/>
    <cellStyle name="Currency 2 28" xfId="18559" xr:uid="{00000000-0005-0000-0000-000080480000}"/>
    <cellStyle name="Currency 2 28 2" xfId="18560" xr:uid="{00000000-0005-0000-0000-000081480000}"/>
    <cellStyle name="Currency 2 28 3" xfId="18561" xr:uid="{00000000-0005-0000-0000-000082480000}"/>
    <cellStyle name="Currency 2 28 4" xfId="18562" xr:uid="{00000000-0005-0000-0000-000083480000}"/>
    <cellStyle name="Currency 2 28 5" xfId="18563" xr:uid="{00000000-0005-0000-0000-000084480000}"/>
    <cellStyle name="Currency 2 28 6" xfId="18564" xr:uid="{00000000-0005-0000-0000-000085480000}"/>
    <cellStyle name="Currency 2 29" xfId="18565" xr:uid="{00000000-0005-0000-0000-000086480000}"/>
    <cellStyle name="Currency 2 29 2" xfId="18566" xr:uid="{00000000-0005-0000-0000-000087480000}"/>
    <cellStyle name="Currency 2 29 3" xfId="18567" xr:uid="{00000000-0005-0000-0000-000088480000}"/>
    <cellStyle name="Currency 2 29 4" xfId="18568" xr:uid="{00000000-0005-0000-0000-000089480000}"/>
    <cellStyle name="Currency 2 29 5" xfId="18569" xr:uid="{00000000-0005-0000-0000-00008A480000}"/>
    <cellStyle name="Currency 2 29 6" xfId="18570" xr:uid="{00000000-0005-0000-0000-00008B480000}"/>
    <cellStyle name="Currency 2 3" xfId="18571" xr:uid="{00000000-0005-0000-0000-00008C480000}"/>
    <cellStyle name="Currency 2 3 2" xfId="18572" xr:uid="{00000000-0005-0000-0000-00008D480000}"/>
    <cellStyle name="Currency 2 3 2 2" xfId="18573" xr:uid="{00000000-0005-0000-0000-00008E480000}"/>
    <cellStyle name="Currency 2 3 3" xfId="18574" xr:uid="{00000000-0005-0000-0000-00008F480000}"/>
    <cellStyle name="Currency 2 3 4" xfId="18575" xr:uid="{00000000-0005-0000-0000-000090480000}"/>
    <cellStyle name="Currency 2 3 5" xfId="18576" xr:uid="{00000000-0005-0000-0000-000091480000}"/>
    <cellStyle name="Currency 2 3 6" xfId="18577" xr:uid="{00000000-0005-0000-0000-000092480000}"/>
    <cellStyle name="Currency 2 3 7" xfId="18578" xr:uid="{00000000-0005-0000-0000-000093480000}"/>
    <cellStyle name="Currency 2 30" xfId="18579" xr:uid="{00000000-0005-0000-0000-000094480000}"/>
    <cellStyle name="Currency 2 30 2" xfId="18580" xr:uid="{00000000-0005-0000-0000-000095480000}"/>
    <cellStyle name="Currency 2 30 3" xfId="18581" xr:uid="{00000000-0005-0000-0000-000096480000}"/>
    <cellStyle name="Currency 2 30 4" xfId="18582" xr:uid="{00000000-0005-0000-0000-000097480000}"/>
    <cellStyle name="Currency 2 30 5" xfId="18583" xr:uid="{00000000-0005-0000-0000-000098480000}"/>
    <cellStyle name="Currency 2 30 6" xfId="18584" xr:uid="{00000000-0005-0000-0000-000099480000}"/>
    <cellStyle name="Currency 2 31" xfId="18585" xr:uid="{00000000-0005-0000-0000-00009A480000}"/>
    <cellStyle name="Currency 2 31 2" xfId="18586" xr:uid="{00000000-0005-0000-0000-00009B480000}"/>
    <cellStyle name="Currency 2 31 3" xfId="18587" xr:uid="{00000000-0005-0000-0000-00009C480000}"/>
    <cellStyle name="Currency 2 31 4" xfId="18588" xr:uid="{00000000-0005-0000-0000-00009D480000}"/>
    <cellStyle name="Currency 2 31 5" xfId="18589" xr:uid="{00000000-0005-0000-0000-00009E480000}"/>
    <cellStyle name="Currency 2 31 6" xfId="18590" xr:uid="{00000000-0005-0000-0000-00009F480000}"/>
    <cellStyle name="Currency 2 32" xfId="18591" xr:uid="{00000000-0005-0000-0000-0000A0480000}"/>
    <cellStyle name="Currency 2 32 2" xfId="18592" xr:uid="{00000000-0005-0000-0000-0000A1480000}"/>
    <cellStyle name="Currency 2 32 3" xfId="18593" xr:uid="{00000000-0005-0000-0000-0000A2480000}"/>
    <cellStyle name="Currency 2 32 4" xfId="18594" xr:uid="{00000000-0005-0000-0000-0000A3480000}"/>
    <cellStyle name="Currency 2 32 5" xfId="18595" xr:uid="{00000000-0005-0000-0000-0000A4480000}"/>
    <cellStyle name="Currency 2 32 6" xfId="18596" xr:uid="{00000000-0005-0000-0000-0000A5480000}"/>
    <cellStyle name="Currency 2 33" xfId="18597" xr:uid="{00000000-0005-0000-0000-0000A6480000}"/>
    <cellStyle name="Currency 2 33 2" xfId="18598" xr:uid="{00000000-0005-0000-0000-0000A7480000}"/>
    <cellStyle name="Currency 2 33 3" xfId="18599" xr:uid="{00000000-0005-0000-0000-0000A8480000}"/>
    <cellStyle name="Currency 2 33 4" xfId="18600" xr:uid="{00000000-0005-0000-0000-0000A9480000}"/>
    <cellStyle name="Currency 2 33 5" xfId="18601" xr:uid="{00000000-0005-0000-0000-0000AA480000}"/>
    <cellStyle name="Currency 2 33 6" xfId="18602" xr:uid="{00000000-0005-0000-0000-0000AB480000}"/>
    <cellStyle name="Currency 2 34" xfId="18603" xr:uid="{00000000-0005-0000-0000-0000AC480000}"/>
    <cellStyle name="Currency 2 34 2" xfId="18604" xr:uid="{00000000-0005-0000-0000-0000AD480000}"/>
    <cellStyle name="Currency 2 34 3" xfId="18605" xr:uid="{00000000-0005-0000-0000-0000AE480000}"/>
    <cellStyle name="Currency 2 34 4" xfId="18606" xr:uid="{00000000-0005-0000-0000-0000AF480000}"/>
    <cellStyle name="Currency 2 34 5" xfId="18607" xr:uid="{00000000-0005-0000-0000-0000B0480000}"/>
    <cellStyle name="Currency 2 34 6" xfId="18608" xr:uid="{00000000-0005-0000-0000-0000B1480000}"/>
    <cellStyle name="Currency 2 35" xfId="18609" xr:uid="{00000000-0005-0000-0000-0000B2480000}"/>
    <cellStyle name="Currency 2 35 2" xfId="18610" xr:uid="{00000000-0005-0000-0000-0000B3480000}"/>
    <cellStyle name="Currency 2 35 3" xfId="18611" xr:uid="{00000000-0005-0000-0000-0000B4480000}"/>
    <cellStyle name="Currency 2 35 4" xfId="18612" xr:uid="{00000000-0005-0000-0000-0000B5480000}"/>
    <cellStyle name="Currency 2 35 5" xfId="18613" xr:uid="{00000000-0005-0000-0000-0000B6480000}"/>
    <cellStyle name="Currency 2 35 6" xfId="18614" xr:uid="{00000000-0005-0000-0000-0000B7480000}"/>
    <cellStyle name="Currency 2 36" xfId="18615" xr:uid="{00000000-0005-0000-0000-0000B8480000}"/>
    <cellStyle name="Currency 2 36 2" xfId="18616" xr:uid="{00000000-0005-0000-0000-0000B9480000}"/>
    <cellStyle name="Currency 2 36 3" xfId="18617" xr:uid="{00000000-0005-0000-0000-0000BA480000}"/>
    <cellStyle name="Currency 2 36 4" xfId="18618" xr:uid="{00000000-0005-0000-0000-0000BB480000}"/>
    <cellStyle name="Currency 2 36 5" xfId="18619" xr:uid="{00000000-0005-0000-0000-0000BC480000}"/>
    <cellStyle name="Currency 2 36 6" xfId="18620" xr:uid="{00000000-0005-0000-0000-0000BD480000}"/>
    <cellStyle name="Currency 2 37" xfId="18621" xr:uid="{00000000-0005-0000-0000-0000BE480000}"/>
    <cellStyle name="Currency 2 37 2" xfId="18622" xr:uid="{00000000-0005-0000-0000-0000BF480000}"/>
    <cellStyle name="Currency 2 37 3" xfId="18623" xr:uid="{00000000-0005-0000-0000-0000C0480000}"/>
    <cellStyle name="Currency 2 37 4" xfId="18624" xr:uid="{00000000-0005-0000-0000-0000C1480000}"/>
    <cellStyle name="Currency 2 37 5" xfId="18625" xr:uid="{00000000-0005-0000-0000-0000C2480000}"/>
    <cellStyle name="Currency 2 37 6" xfId="18626" xr:uid="{00000000-0005-0000-0000-0000C3480000}"/>
    <cellStyle name="Currency 2 38" xfId="18627" xr:uid="{00000000-0005-0000-0000-0000C4480000}"/>
    <cellStyle name="Currency 2 38 2" xfId="18628" xr:uid="{00000000-0005-0000-0000-0000C5480000}"/>
    <cellStyle name="Currency 2 38 3" xfId="18629" xr:uid="{00000000-0005-0000-0000-0000C6480000}"/>
    <cellStyle name="Currency 2 38 4" xfId="18630" xr:uid="{00000000-0005-0000-0000-0000C7480000}"/>
    <cellStyle name="Currency 2 38 5" xfId="18631" xr:uid="{00000000-0005-0000-0000-0000C8480000}"/>
    <cellStyle name="Currency 2 38 6" xfId="18632" xr:uid="{00000000-0005-0000-0000-0000C9480000}"/>
    <cellStyle name="Currency 2 39" xfId="18633" xr:uid="{00000000-0005-0000-0000-0000CA480000}"/>
    <cellStyle name="Currency 2 39 2" xfId="18634" xr:uid="{00000000-0005-0000-0000-0000CB480000}"/>
    <cellStyle name="Currency 2 39 3" xfId="18635" xr:uid="{00000000-0005-0000-0000-0000CC480000}"/>
    <cellStyle name="Currency 2 39 4" xfId="18636" xr:uid="{00000000-0005-0000-0000-0000CD480000}"/>
    <cellStyle name="Currency 2 39 5" xfId="18637" xr:uid="{00000000-0005-0000-0000-0000CE480000}"/>
    <cellStyle name="Currency 2 39 6" xfId="18638" xr:uid="{00000000-0005-0000-0000-0000CF480000}"/>
    <cellStyle name="Currency 2 4" xfId="18639" xr:uid="{00000000-0005-0000-0000-0000D0480000}"/>
    <cellStyle name="Currency 2 4 2" xfId="18640" xr:uid="{00000000-0005-0000-0000-0000D1480000}"/>
    <cellStyle name="Currency 2 4 3" xfId="18641" xr:uid="{00000000-0005-0000-0000-0000D2480000}"/>
    <cellStyle name="Currency 2 4 4" xfId="18642" xr:uid="{00000000-0005-0000-0000-0000D3480000}"/>
    <cellStyle name="Currency 2 4 5" xfId="18643" xr:uid="{00000000-0005-0000-0000-0000D4480000}"/>
    <cellStyle name="Currency 2 4 6" xfId="18644" xr:uid="{00000000-0005-0000-0000-0000D5480000}"/>
    <cellStyle name="Currency 2 4 7" xfId="18645" xr:uid="{00000000-0005-0000-0000-0000D6480000}"/>
    <cellStyle name="Currency 2 40" xfId="18646" xr:uid="{00000000-0005-0000-0000-0000D7480000}"/>
    <cellStyle name="Currency 2 40 2" xfId="18647" xr:uid="{00000000-0005-0000-0000-0000D8480000}"/>
    <cellStyle name="Currency 2 40 3" xfId="18648" xr:uid="{00000000-0005-0000-0000-0000D9480000}"/>
    <cellStyle name="Currency 2 40 4" xfId="18649" xr:uid="{00000000-0005-0000-0000-0000DA480000}"/>
    <cellStyle name="Currency 2 40 5" xfId="18650" xr:uid="{00000000-0005-0000-0000-0000DB480000}"/>
    <cellStyle name="Currency 2 40 6" xfId="18651" xr:uid="{00000000-0005-0000-0000-0000DC480000}"/>
    <cellStyle name="Currency 2 41" xfId="18652" xr:uid="{00000000-0005-0000-0000-0000DD480000}"/>
    <cellStyle name="Currency 2 41 2" xfId="18653" xr:uid="{00000000-0005-0000-0000-0000DE480000}"/>
    <cellStyle name="Currency 2 41 3" xfId="18654" xr:uid="{00000000-0005-0000-0000-0000DF480000}"/>
    <cellStyle name="Currency 2 41 4" xfId="18655" xr:uid="{00000000-0005-0000-0000-0000E0480000}"/>
    <cellStyle name="Currency 2 41 5" xfId="18656" xr:uid="{00000000-0005-0000-0000-0000E1480000}"/>
    <cellStyle name="Currency 2 41 6" xfId="18657" xr:uid="{00000000-0005-0000-0000-0000E2480000}"/>
    <cellStyle name="Currency 2 42" xfId="18658" xr:uid="{00000000-0005-0000-0000-0000E3480000}"/>
    <cellStyle name="Currency 2 42 2" xfId="18659" xr:uid="{00000000-0005-0000-0000-0000E4480000}"/>
    <cellStyle name="Currency 2 42 3" xfId="18660" xr:uid="{00000000-0005-0000-0000-0000E5480000}"/>
    <cellStyle name="Currency 2 42 4" xfId="18661" xr:uid="{00000000-0005-0000-0000-0000E6480000}"/>
    <cellStyle name="Currency 2 42 5" xfId="18662" xr:uid="{00000000-0005-0000-0000-0000E7480000}"/>
    <cellStyle name="Currency 2 42 6" xfId="18663" xr:uid="{00000000-0005-0000-0000-0000E8480000}"/>
    <cellStyle name="Currency 2 43" xfId="18664" xr:uid="{00000000-0005-0000-0000-0000E9480000}"/>
    <cellStyle name="Currency 2 43 2" xfId="18665" xr:uid="{00000000-0005-0000-0000-0000EA480000}"/>
    <cellStyle name="Currency 2 43 3" xfId="18666" xr:uid="{00000000-0005-0000-0000-0000EB480000}"/>
    <cellStyle name="Currency 2 43 4" xfId="18667" xr:uid="{00000000-0005-0000-0000-0000EC480000}"/>
    <cellStyle name="Currency 2 43 5" xfId="18668" xr:uid="{00000000-0005-0000-0000-0000ED480000}"/>
    <cellStyle name="Currency 2 43 6" xfId="18669" xr:uid="{00000000-0005-0000-0000-0000EE480000}"/>
    <cellStyle name="Currency 2 44" xfId="18670" xr:uid="{00000000-0005-0000-0000-0000EF480000}"/>
    <cellStyle name="Currency 2 44 2" xfId="18671" xr:uid="{00000000-0005-0000-0000-0000F0480000}"/>
    <cellStyle name="Currency 2 44 3" xfId="18672" xr:uid="{00000000-0005-0000-0000-0000F1480000}"/>
    <cellStyle name="Currency 2 44 4" xfId="18673" xr:uid="{00000000-0005-0000-0000-0000F2480000}"/>
    <cellStyle name="Currency 2 44 5" xfId="18674" xr:uid="{00000000-0005-0000-0000-0000F3480000}"/>
    <cellStyle name="Currency 2 44 6" xfId="18675" xr:uid="{00000000-0005-0000-0000-0000F4480000}"/>
    <cellStyle name="Currency 2 45" xfId="18676" xr:uid="{00000000-0005-0000-0000-0000F5480000}"/>
    <cellStyle name="Currency 2 45 2" xfId="18677" xr:uid="{00000000-0005-0000-0000-0000F6480000}"/>
    <cellStyle name="Currency 2 45 3" xfId="18678" xr:uid="{00000000-0005-0000-0000-0000F7480000}"/>
    <cellStyle name="Currency 2 45 4" xfId="18679" xr:uid="{00000000-0005-0000-0000-0000F8480000}"/>
    <cellStyle name="Currency 2 45 5" xfId="18680" xr:uid="{00000000-0005-0000-0000-0000F9480000}"/>
    <cellStyle name="Currency 2 45 6" xfId="18681" xr:uid="{00000000-0005-0000-0000-0000FA480000}"/>
    <cellStyle name="Currency 2 46" xfId="18682" xr:uid="{00000000-0005-0000-0000-0000FB480000}"/>
    <cellStyle name="Currency 2 46 2" xfId="18683" xr:uid="{00000000-0005-0000-0000-0000FC480000}"/>
    <cellStyle name="Currency 2 46 3" xfId="18684" xr:uid="{00000000-0005-0000-0000-0000FD480000}"/>
    <cellStyle name="Currency 2 46 4" xfId="18685" xr:uid="{00000000-0005-0000-0000-0000FE480000}"/>
    <cellStyle name="Currency 2 46 5" xfId="18686" xr:uid="{00000000-0005-0000-0000-0000FF480000}"/>
    <cellStyle name="Currency 2 46 6" xfId="18687" xr:uid="{00000000-0005-0000-0000-000000490000}"/>
    <cellStyle name="Currency 2 47" xfId="18688" xr:uid="{00000000-0005-0000-0000-000001490000}"/>
    <cellStyle name="Currency 2 47 2" xfId="18689" xr:uid="{00000000-0005-0000-0000-000002490000}"/>
    <cellStyle name="Currency 2 47 3" xfId="18690" xr:uid="{00000000-0005-0000-0000-000003490000}"/>
    <cellStyle name="Currency 2 47 4" xfId="18691" xr:uid="{00000000-0005-0000-0000-000004490000}"/>
    <cellStyle name="Currency 2 47 5" xfId="18692" xr:uid="{00000000-0005-0000-0000-000005490000}"/>
    <cellStyle name="Currency 2 47 6" xfId="18693" xr:uid="{00000000-0005-0000-0000-000006490000}"/>
    <cellStyle name="Currency 2 48" xfId="18694" xr:uid="{00000000-0005-0000-0000-000007490000}"/>
    <cellStyle name="Currency 2 48 2" xfId="18695" xr:uid="{00000000-0005-0000-0000-000008490000}"/>
    <cellStyle name="Currency 2 48 3" xfId="18696" xr:uid="{00000000-0005-0000-0000-000009490000}"/>
    <cellStyle name="Currency 2 48 4" xfId="18697" xr:uid="{00000000-0005-0000-0000-00000A490000}"/>
    <cellStyle name="Currency 2 48 5" xfId="18698" xr:uid="{00000000-0005-0000-0000-00000B490000}"/>
    <cellStyle name="Currency 2 48 6" xfId="18699" xr:uid="{00000000-0005-0000-0000-00000C490000}"/>
    <cellStyle name="Currency 2 49" xfId="18700" xr:uid="{00000000-0005-0000-0000-00000D490000}"/>
    <cellStyle name="Currency 2 49 2" xfId="18701" xr:uid="{00000000-0005-0000-0000-00000E490000}"/>
    <cellStyle name="Currency 2 49 3" xfId="18702" xr:uid="{00000000-0005-0000-0000-00000F490000}"/>
    <cellStyle name="Currency 2 49 4" xfId="18703" xr:uid="{00000000-0005-0000-0000-000010490000}"/>
    <cellStyle name="Currency 2 49 5" xfId="18704" xr:uid="{00000000-0005-0000-0000-000011490000}"/>
    <cellStyle name="Currency 2 49 6" xfId="18705" xr:uid="{00000000-0005-0000-0000-000012490000}"/>
    <cellStyle name="Currency 2 5" xfId="18706" xr:uid="{00000000-0005-0000-0000-000013490000}"/>
    <cellStyle name="Currency 2 5 2" xfId="18707" xr:uid="{00000000-0005-0000-0000-000014490000}"/>
    <cellStyle name="Currency 2 5 3" xfId="18708" xr:uid="{00000000-0005-0000-0000-000015490000}"/>
    <cellStyle name="Currency 2 5 4" xfId="18709" xr:uid="{00000000-0005-0000-0000-000016490000}"/>
    <cellStyle name="Currency 2 5 5" xfId="18710" xr:uid="{00000000-0005-0000-0000-000017490000}"/>
    <cellStyle name="Currency 2 5 6" xfId="18711" xr:uid="{00000000-0005-0000-0000-000018490000}"/>
    <cellStyle name="Currency 2 5 7" xfId="18712" xr:uid="{00000000-0005-0000-0000-000019490000}"/>
    <cellStyle name="Currency 2 50" xfId="18713" xr:uid="{00000000-0005-0000-0000-00001A490000}"/>
    <cellStyle name="Currency 2 50 2" xfId="18714" xr:uid="{00000000-0005-0000-0000-00001B490000}"/>
    <cellStyle name="Currency 2 50 3" xfId="18715" xr:uid="{00000000-0005-0000-0000-00001C490000}"/>
    <cellStyle name="Currency 2 50 4" xfId="18716" xr:uid="{00000000-0005-0000-0000-00001D490000}"/>
    <cellStyle name="Currency 2 50 5" xfId="18717" xr:uid="{00000000-0005-0000-0000-00001E490000}"/>
    <cellStyle name="Currency 2 50 6" xfId="18718" xr:uid="{00000000-0005-0000-0000-00001F490000}"/>
    <cellStyle name="Currency 2 51" xfId="18719" xr:uid="{00000000-0005-0000-0000-000020490000}"/>
    <cellStyle name="Currency 2 51 2" xfId="18720" xr:uid="{00000000-0005-0000-0000-000021490000}"/>
    <cellStyle name="Currency 2 51 3" xfId="18721" xr:uid="{00000000-0005-0000-0000-000022490000}"/>
    <cellStyle name="Currency 2 51 4" xfId="18722" xr:uid="{00000000-0005-0000-0000-000023490000}"/>
    <cellStyle name="Currency 2 51 5" xfId="18723" xr:uid="{00000000-0005-0000-0000-000024490000}"/>
    <cellStyle name="Currency 2 51 6" xfId="18724" xr:uid="{00000000-0005-0000-0000-000025490000}"/>
    <cellStyle name="Currency 2 52" xfId="18725" xr:uid="{00000000-0005-0000-0000-000026490000}"/>
    <cellStyle name="Currency 2 52 2" xfId="18726" xr:uid="{00000000-0005-0000-0000-000027490000}"/>
    <cellStyle name="Currency 2 52 3" xfId="18727" xr:uid="{00000000-0005-0000-0000-000028490000}"/>
    <cellStyle name="Currency 2 52 4" xfId="18728" xr:uid="{00000000-0005-0000-0000-000029490000}"/>
    <cellStyle name="Currency 2 52 5" xfId="18729" xr:uid="{00000000-0005-0000-0000-00002A490000}"/>
    <cellStyle name="Currency 2 52 6" xfId="18730" xr:uid="{00000000-0005-0000-0000-00002B490000}"/>
    <cellStyle name="Currency 2 53" xfId="18731" xr:uid="{00000000-0005-0000-0000-00002C490000}"/>
    <cellStyle name="Currency 2 53 2" xfId="18732" xr:uid="{00000000-0005-0000-0000-00002D490000}"/>
    <cellStyle name="Currency 2 53 3" xfId="18733" xr:uid="{00000000-0005-0000-0000-00002E490000}"/>
    <cellStyle name="Currency 2 53 4" xfId="18734" xr:uid="{00000000-0005-0000-0000-00002F490000}"/>
    <cellStyle name="Currency 2 53 5" xfId="18735" xr:uid="{00000000-0005-0000-0000-000030490000}"/>
    <cellStyle name="Currency 2 53 6" xfId="18736" xr:uid="{00000000-0005-0000-0000-000031490000}"/>
    <cellStyle name="Currency 2 54" xfId="18737" xr:uid="{00000000-0005-0000-0000-000032490000}"/>
    <cellStyle name="Currency 2 54 2" xfId="18738" xr:uid="{00000000-0005-0000-0000-000033490000}"/>
    <cellStyle name="Currency 2 54 3" xfId="18739" xr:uid="{00000000-0005-0000-0000-000034490000}"/>
    <cellStyle name="Currency 2 54 4" xfId="18740" xr:uid="{00000000-0005-0000-0000-000035490000}"/>
    <cellStyle name="Currency 2 54 5" xfId="18741" xr:uid="{00000000-0005-0000-0000-000036490000}"/>
    <cellStyle name="Currency 2 54 6" xfId="18742" xr:uid="{00000000-0005-0000-0000-000037490000}"/>
    <cellStyle name="Currency 2 55" xfId="18743" xr:uid="{00000000-0005-0000-0000-000038490000}"/>
    <cellStyle name="Currency 2 55 2" xfId="18744" xr:uid="{00000000-0005-0000-0000-000039490000}"/>
    <cellStyle name="Currency 2 55 3" xfId="18745" xr:uid="{00000000-0005-0000-0000-00003A490000}"/>
    <cellStyle name="Currency 2 55 4" xfId="18746" xr:uid="{00000000-0005-0000-0000-00003B490000}"/>
    <cellStyle name="Currency 2 55 5" xfId="18747" xr:uid="{00000000-0005-0000-0000-00003C490000}"/>
    <cellStyle name="Currency 2 55 6" xfId="18748" xr:uid="{00000000-0005-0000-0000-00003D490000}"/>
    <cellStyle name="Currency 2 56" xfId="18749" xr:uid="{00000000-0005-0000-0000-00003E490000}"/>
    <cellStyle name="Currency 2 6" xfId="18750" xr:uid="{00000000-0005-0000-0000-00003F490000}"/>
    <cellStyle name="Currency 2 6 2" xfId="18751" xr:uid="{00000000-0005-0000-0000-000040490000}"/>
    <cellStyle name="Currency 2 6 3" xfId="18752" xr:uid="{00000000-0005-0000-0000-000041490000}"/>
    <cellStyle name="Currency 2 6 4" xfId="18753" xr:uid="{00000000-0005-0000-0000-000042490000}"/>
    <cellStyle name="Currency 2 6 5" xfId="18754" xr:uid="{00000000-0005-0000-0000-000043490000}"/>
    <cellStyle name="Currency 2 6 6" xfId="18755" xr:uid="{00000000-0005-0000-0000-000044490000}"/>
    <cellStyle name="Currency 2 6 7" xfId="18756" xr:uid="{00000000-0005-0000-0000-000045490000}"/>
    <cellStyle name="Currency 2 7" xfId="18757" xr:uid="{00000000-0005-0000-0000-000046490000}"/>
    <cellStyle name="Currency 2 7 10" xfId="18758" xr:uid="{00000000-0005-0000-0000-000047490000}"/>
    <cellStyle name="Currency 2 7 2" xfId="18759" xr:uid="{00000000-0005-0000-0000-000048490000}"/>
    <cellStyle name="Currency 2 7 2 2" xfId="18760" xr:uid="{00000000-0005-0000-0000-000049490000}"/>
    <cellStyle name="Currency 2 7 2 2 2" xfId="18761" xr:uid="{00000000-0005-0000-0000-00004A490000}"/>
    <cellStyle name="Currency 2 7 2 3" xfId="18762" xr:uid="{00000000-0005-0000-0000-00004B490000}"/>
    <cellStyle name="Currency 2 7 2 4" xfId="18763" xr:uid="{00000000-0005-0000-0000-00004C490000}"/>
    <cellStyle name="Currency 2 7 2 5" xfId="18764" xr:uid="{00000000-0005-0000-0000-00004D490000}"/>
    <cellStyle name="Currency 2 7 2 6" xfId="18765" xr:uid="{00000000-0005-0000-0000-00004E490000}"/>
    <cellStyle name="Currency 2 7 3" xfId="18766" xr:uid="{00000000-0005-0000-0000-00004F490000}"/>
    <cellStyle name="Currency 2 7 3 2" xfId="18767" xr:uid="{00000000-0005-0000-0000-000050490000}"/>
    <cellStyle name="Currency 2 7 3 3" xfId="18768" xr:uid="{00000000-0005-0000-0000-000051490000}"/>
    <cellStyle name="Currency 2 7 3 4" xfId="18769" xr:uid="{00000000-0005-0000-0000-000052490000}"/>
    <cellStyle name="Currency 2 7 3 5" xfId="18770" xr:uid="{00000000-0005-0000-0000-000053490000}"/>
    <cellStyle name="Currency 2 7 4" xfId="18771" xr:uid="{00000000-0005-0000-0000-000054490000}"/>
    <cellStyle name="Currency 2 7 4 2" xfId="18772" xr:uid="{00000000-0005-0000-0000-000055490000}"/>
    <cellStyle name="Currency 2 7 4 3" xfId="18773" xr:uid="{00000000-0005-0000-0000-000056490000}"/>
    <cellStyle name="Currency 2 7 5" xfId="18774" xr:uid="{00000000-0005-0000-0000-000057490000}"/>
    <cellStyle name="Currency 2 7 5 2" xfId="18775" xr:uid="{00000000-0005-0000-0000-000058490000}"/>
    <cellStyle name="Currency 2 7 6" xfId="18776" xr:uid="{00000000-0005-0000-0000-000059490000}"/>
    <cellStyle name="Currency 2 7 6 2" xfId="18777" xr:uid="{00000000-0005-0000-0000-00005A490000}"/>
    <cellStyle name="Currency 2 7 7" xfId="18778" xr:uid="{00000000-0005-0000-0000-00005B490000}"/>
    <cellStyle name="Currency 2 7 7 2" xfId="18779" xr:uid="{00000000-0005-0000-0000-00005C490000}"/>
    <cellStyle name="Currency 2 7 8" xfId="18780" xr:uid="{00000000-0005-0000-0000-00005D490000}"/>
    <cellStyle name="Currency 2 7 9" xfId="18781" xr:uid="{00000000-0005-0000-0000-00005E490000}"/>
    <cellStyle name="Currency 2 8" xfId="18782" xr:uid="{00000000-0005-0000-0000-00005F490000}"/>
    <cellStyle name="Currency 2 8 2" xfId="18783" xr:uid="{00000000-0005-0000-0000-000060490000}"/>
    <cellStyle name="Currency 2 8 2 2" xfId="18784" xr:uid="{00000000-0005-0000-0000-000061490000}"/>
    <cellStyle name="Currency 2 8 3" xfId="18785" xr:uid="{00000000-0005-0000-0000-000062490000}"/>
    <cellStyle name="Currency 2 8 3 2" xfId="18786" xr:uid="{00000000-0005-0000-0000-000063490000}"/>
    <cellStyle name="Currency 2 8 4" xfId="18787" xr:uid="{00000000-0005-0000-0000-000064490000}"/>
    <cellStyle name="Currency 2 8 5" xfId="18788" xr:uid="{00000000-0005-0000-0000-000065490000}"/>
    <cellStyle name="Currency 2 8 6" xfId="18789" xr:uid="{00000000-0005-0000-0000-000066490000}"/>
    <cellStyle name="Currency 2 8 7" xfId="18790" xr:uid="{00000000-0005-0000-0000-000067490000}"/>
    <cellStyle name="Currency 2 9" xfId="18791" xr:uid="{00000000-0005-0000-0000-000068490000}"/>
    <cellStyle name="Currency 2 9 2" xfId="18792" xr:uid="{00000000-0005-0000-0000-000069490000}"/>
    <cellStyle name="Currency 2 9 3" xfId="18793" xr:uid="{00000000-0005-0000-0000-00006A490000}"/>
    <cellStyle name="Currency 2 9 4" xfId="18794" xr:uid="{00000000-0005-0000-0000-00006B490000}"/>
    <cellStyle name="Currency 2 9 5" xfId="18795" xr:uid="{00000000-0005-0000-0000-00006C490000}"/>
    <cellStyle name="Currency 2 9 6" xfId="18796" xr:uid="{00000000-0005-0000-0000-00006D490000}"/>
    <cellStyle name="Currency 2 9 7" xfId="18797" xr:uid="{00000000-0005-0000-0000-00006E490000}"/>
    <cellStyle name="Currency 3" xfId="18798" xr:uid="{00000000-0005-0000-0000-00006F490000}"/>
    <cellStyle name="Currency 3 10" xfId="18799" xr:uid="{00000000-0005-0000-0000-000070490000}"/>
    <cellStyle name="Currency 3 11" xfId="18800" xr:uid="{00000000-0005-0000-0000-000071490000}"/>
    <cellStyle name="Currency 3 12" xfId="18801" xr:uid="{00000000-0005-0000-0000-000072490000}"/>
    <cellStyle name="Currency 3 13" xfId="18802" xr:uid="{00000000-0005-0000-0000-000073490000}"/>
    <cellStyle name="Currency 3 14" xfId="18803" xr:uid="{00000000-0005-0000-0000-000074490000}"/>
    <cellStyle name="Currency 3 15" xfId="18804" xr:uid="{00000000-0005-0000-0000-000075490000}"/>
    <cellStyle name="Currency 3 16" xfId="18805" xr:uid="{00000000-0005-0000-0000-000076490000}"/>
    <cellStyle name="Currency 3 17" xfId="18806" xr:uid="{00000000-0005-0000-0000-000077490000}"/>
    <cellStyle name="Currency 3 18" xfId="18807" xr:uid="{00000000-0005-0000-0000-000078490000}"/>
    <cellStyle name="Currency 3 19" xfId="18808" xr:uid="{00000000-0005-0000-0000-000079490000}"/>
    <cellStyle name="Currency 3 2" xfId="18809" xr:uid="{00000000-0005-0000-0000-00007A490000}"/>
    <cellStyle name="Currency 3 2 2" xfId="18810" xr:uid="{00000000-0005-0000-0000-00007B490000}"/>
    <cellStyle name="Currency 3 20" xfId="18811" xr:uid="{00000000-0005-0000-0000-00007C490000}"/>
    <cellStyle name="Currency 3 21" xfId="18812" xr:uid="{00000000-0005-0000-0000-00007D490000}"/>
    <cellStyle name="Currency 3 22" xfId="18813" xr:uid="{00000000-0005-0000-0000-00007E490000}"/>
    <cellStyle name="Currency 3 23" xfId="18814" xr:uid="{00000000-0005-0000-0000-00007F490000}"/>
    <cellStyle name="Currency 3 24" xfId="18815" xr:uid="{00000000-0005-0000-0000-000080490000}"/>
    <cellStyle name="Currency 3 25" xfId="18816" xr:uid="{00000000-0005-0000-0000-000081490000}"/>
    <cellStyle name="Currency 3 26" xfId="18817" xr:uid="{00000000-0005-0000-0000-000082490000}"/>
    <cellStyle name="Currency 3 27" xfId="18818" xr:uid="{00000000-0005-0000-0000-000083490000}"/>
    <cellStyle name="Currency 3 28" xfId="18819" xr:uid="{00000000-0005-0000-0000-000084490000}"/>
    <cellStyle name="Currency 3 29" xfId="18820" xr:uid="{00000000-0005-0000-0000-000085490000}"/>
    <cellStyle name="Currency 3 3" xfId="18821" xr:uid="{00000000-0005-0000-0000-000086490000}"/>
    <cellStyle name="Currency 3 30" xfId="18822" xr:uid="{00000000-0005-0000-0000-000087490000}"/>
    <cellStyle name="Currency 3 31" xfId="18823" xr:uid="{00000000-0005-0000-0000-000088490000}"/>
    <cellStyle name="Currency 3 32" xfId="18824" xr:uid="{00000000-0005-0000-0000-000089490000}"/>
    <cellStyle name="Currency 3 33" xfId="18825" xr:uid="{00000000-0005-0000-0000-00008A490000}"/>
    <cellStyle name="Currency 3 34" xfId="18826" xr:uid="{00000000-0005-0000-0000-00008B490000}"/>
    <cellStyle name="Currency 3 35" xfId="18827" xr:uid="{00000000-0005-0000-0000-00008C490000}"/>
    <cellStyle name="Currency 3 36" xfId="18828" xr:uid="{00000000-0005-0000-0000-00008D490000}"/>
    <cellStyle name="Currency 3 37" xfId="18829" xr:uid="{00000000-0005-0000-0000-00008E490000}"/>
    <cellStyle name="Currency 3 38" xfId="18830" xr:uid="{00000000-0005-0000-0000-00008F490000}"/>
    <cellStyle name="Currency 3 39" xfId="18831" xr:uid="{00000000-0005-0000-0000-000090490000}"/>
    <cellStyle name="Currency 3 4" xfId="18832" xr:uid="{00000000-0005-0000-0000-000091490000}"/>
    <cellStyle name="Currency 3 40" xfId="18833" xr:uid="{00000000-0005-0000-0000-000092490000}"/>
    <cellStyle name="Currency 3 5" xfId="18834" xr:uid="{00000000-0005-0000-0000-000093490000}"/>
    <cellStyle name="Currency 3 6" xfId="18835" xr:uid="{00000000-0005-0000-0000-000094490000}"/>
    <cellStyle name="Currency 3 7" xfId="18836" xr:uid="{00000000-0005-0000-0000-000095490000}"/>
    <cellStyle name="Currency 3 8" xfId="18837" xr:uid="{00000000-0005-0000-0000-000096490000}"/>
    <cellStyle name="Currency 3 9" xfId="18838" xr:uid="{00000000-0005-0000-0000-000097490000}"/>
    <cellStyle name="Currency 4" xfId="18839" xr:uid="{00000000-0005-0000-0000-000098490000}"/>
    <cellStyle name="Currency 4 10" xfId="18840" xr:uid="{00000000-0005-0000-0000-000099490000}"/>
    <cellStyle name="Currency 4 10 2" xfId="18841" xr:uid="{00000000-0005-0000-0000-00009A490000}"/>
    <cellStyle name="Currency 4 10 2 2" xfId="18842" xr:uid="{00000000-0005-0000-0000-00009B490000}"/>
    <cellStyle name="Currency 4 10 2 3" xfId="18843" xr:uid="{00000000-0005-0000-0000-00009C490000}"/>
    <cellStyle name="Currency 4 10 3" xfId="18844" xr:uid="{00000000-0005-0000-0000-00009D490000}"/>
    <cellStyle name="Currency 4 10 4" xfId="18845" xr:uid="{00000000-0005-0000-0000-00009E490000}"/>
    <cellStyle name="Currency 4 10 5" xfId="18846" xr:uid="{00000000-0005-0000-0000-00009F490000}"/>
    <cellStyle name="Currency 4 10 6" xfId="18847" xr:uid="{00000000-0005-0000-0000-0000A0490000}"/>
    <cellStyle name="Currency 4 11" xfId="18848" xr:uid="{00000000-0005-0000-0000-0000A1490000}"/>
    <cellStyle name="Currency 4 11 2" xfId="18849" xr:uid="{00000000-0005-0000-0000-0000A2490000}"/>
    <cellStyle name="Currency 4 11 2 2" xfId="18850" xr:uid="{00000000-0005-0000-0000-0000A3490000}"/>
    <cellStyle name="Currency 4 11 3" xfId="18851" xr:uid="{00000000-0005-0000-0000-0000A4490000}"/>
    <cellStyle name="Currency 4 11 4" xfId="18852" xr:uid="{00000000-0005-0000-0000-0000A5490000}"/>
    <cellStyle name="Currency 4 11 5" xfId="18853" xr:uid="{00000000-0005-0000-0000-0000A6490000}"/>
    <cellStyle name="Currency 4 12" xfId="18854" xr:uid="{00000000-0005-0000-0000-0000A7490000}"/>
    <cellStyle name="Currency 4 12 2" xfId="18855" xr:uid="{00000000-0005-0000-0000-0000A8490000}"/>
    <cellStyle name="Currency 4 12 3" xfId="18856" xr:uid="{00000000-0005-0000-0000-0000A9490000}"/>
    <cellStyle name="Currency 4 12 4" xfId="18857" xr:uid="{00000000-0005-0000-0000-0000AA490000}"/>
    <cellStyle name="Currency 4 13" xfId="18858" xr:uid="{00000000-0005-0000-0000-0000AB490000}"/>
    <cellStyle name="Currency 4 14" xfId="18859" xr:uid="{00000000-0005-0000-0000-0000AC490000}"/>
    <cellStyle name="Currency 4 15" xfId="18860" xr:uid="{00000000-0005-0000-0000-0000AD490000}"/>
    <cellStyle name="Currency 4 16" xfId="18861" xr:uid="{00000000-0005-0000-0000-0000AE490000}"/>
    <cellStyle name="Currency 4 2" xfId="18862" xr:uid="{00000000-0005-0000-0000-0000AF490000}"/>
    <cellStyle name="Currency 4 2 10" xfId="18863" xr:uid="{00000000-0005-0000-0000-0000B0490000}"/>
    <cellStyle name="Currency 4 2 2" xfId="18864" xr:uid="{00000000-0005-0000-0000-0000B1490000}"/>
    <cellStyle name="Currency 4 2 2 2" xfId="18865" xr:uid="{00000000-0005-0000-0000-0000B2490000}"/>
    <cellStyle name="Currency 4 2 2 2 2" xfId="18866" xr:uid="{00000000-0005-0000-0000-0000B3490000}"/>
    <cellStyle name="Currency 4 2 2 2 2 2" xfId="18867" xr:uid="{00000000-0005-0000-0000-0000B4490000}"/>
    <cellStyle name="Currency 4 2 2 2 2 3" xfId="18868" xr:uid="{00000000-0005-0000-0000-0000B5490000}"/>
    <cellStyle name="Currency 4 2 2 2 3" xfId="18869" xr:uid="{00000000-0005-0000-0000-0000B6490000}"/>
    <cellStyle name="Currency 4 2 2 2 4" xfId="18870" xr:uid="{00000000-0005-0000-0000-0000B7490000}"/>
    <cellStyle name="Currency 4 2 2 2 5" xfId="18871" xr:uid="{00000000-0005-0000-0000-0000B8490000}"/>
    <cellStyle name="Currency 4 2 2 2 6" xfId="18872" xr:uid="{00000000-0005-0000-0000-0000B9490000}"/>
    <cellStyle name="Currency 4 2 2 3" xfId="18873" xr:uid="{00000000-0005-0000-0000-0000BA490000}"/>
    <cellStyle name="Currency 4 2 2 3 2" xfId="18874" xr:uid="{00000000-0005-0000-0000-0000BB490000}"/>
    <cellStyle name="Currency 4 2 2 3 2 2" xfId="18875" xr:uid="{00000000-0005-0000-0000-0000BC490000}"/>
    <cellStyle name="Currency 4 2 2 3 3" xfId="18876" xr:uid="{00000000-0005-0000-0000-0000BD490000}"/>
    <cellStyle name="Currency 4 2 2 3 4" xfId="18877" xr:uid="{00000000-0005-0000-0000-0000BE490000}"/>
    <cellStyle name="Currency 4 2 2 3 5" xfId="18878" xr:uid="{00000000-0005-0000-0000-0000BF490000}"/>
    <cellStyle name="Currency 4 2 2 4" xfId="18879" xr:uid="{00000000-0005-0000-0000-0000C0490000}"/>
    <cellStyle name="Currency 4 2 2 4 2" xfId="18880" xr:uid="{00000000-0005-0000-0000-0000C1490000}"/>
    <cellStyle name="Currency 4 2 2 4 3" xfId="18881" xr:uid="{00000000-0005-0000-0000-0000C2490000}"/>
    <cellStyle name="Currency 4 2 2 4 4" xfId="18882" xr:uid="{00000000-0005-0000-0000-0000C3490000}"/>
    <cellStyle name="Currency 4 2 2 5" xfId="18883" xr:uid="{00000000-0005-0000-0000-0000C4490000}"/>
    <cellStyle name="Currency 4 2 2 5 2" xfId="18884" xr:uid="{00000000-0005-0000-0000-0000C5490000}"/>
    <cellStyle name="Currency 4 2 2 6" xfId="18885" xr:uid="{00000000-0005-0000-0000-0000C6490000}"/>
    <cellStyle name="Currency 4 2 2 7" xfId="18886" xr:uid="{00000000-0005-0000-0000-0000C7490000}"/>
    <cellStyle name="Currency 4 2 2 8" xfId="18887" xr:uid="{00000000-0005-0000-0000-0000C8490000}"/>
    <cellStyle name="Currency 4 2 2 9" xfId="18888" xr:uid="{00000000-0005-0000-0000-0000C9490000}"/>
    <cellStyle name="Currency 4 2 3" xfId="18889" xr:uid="{00000000-0005-0000-0000-0000CA490000}"/>
    <cellStyle name="Currency 4 2 3 2" xfId="18890" xr:uid="{00000000-0005-0000-0000-0000CB490000}"/>
    <cellStyle name="Currency 4 2 3 2 2" xfId="18891" xr:uid="{00000000-0005-0000-0000-0000CC490000}"/>
    <cellStyle name="Currency 4 2 3 2 3" xfId="18892" xr:uid="{00000000-0005-0000-0000-0000CD490000}"/>
    <cellStyle name="Currency 4 2 3 3" xfId="18893" xr:uid="{00000000-0005-0000-0000-0000CE490000}"/>
    <cellStyle name="Currency 4 2 3 4" xfId="18894" xr:uid="{00000000-0005-0000-0000-0000CF490000}"/>
    <cellStyle name="Currency 4 2 3 5" xfId="18895" xr:uid="{00000000-0005-0000-0000-0000D0490000}"/>
    <cellStyle name="Currency 4 2 3 6" xfId="18896" xr:uid="{00000000-0005-0000-0000-0000D1490000}"/>
    <cellStyle name="Currency 4 2 4" xfId="18897" xr:uid="{00000000-0005-0000-0000-0000D2490000}"/>
    <cellStyle name="Currency 4 2 4 2" xfId="18898" xr:uid="{00000000-0005-0000-0000-0000D3490000}"/>
    <cellStyle name="Currency 4 2 4 2 2" xfId="18899" xr:uid="{00000000-0005-0000-0000-0000D4490000}"/>
    <cellStyle name="Currency 4 2 4 3" xfId="18900" xr:uid="{00000000-0005-0000-0000-0000D5490000}"/>
    <cellStyle name="Currency 4 2 4 4" xfId="18901" xr:uid="{00000000-0005-0000-0000-0000D6490000}"/>
    <cellStyle name="Currency 4 2 4 5" xfId="18902" xr:uid="{00000000-0005-0000-0000-0000D7490000}"/>
    <cellStyle name="Currency 4 2 5" xfId="18903" xr:uid="{00000000-0005-0000-0000-0000D8490000}"/>
    <cellStyle name="Currency 4 2 5 2" xfId="18904" xr:uid="{00000000-0005-0000-0000-0000D9490000}"/>
    <cellStyle name="Currency 4 2 5 2 2" xfId="18905" xr:uid="{00000000-0005-0000-0000-0000DA490000}"/>
    <cellStyle name="Currency 4 2 5 3" xfId="18906" xr:uid="{00000000-0005-0000-0000-0000DB490000}"/>
    <cellStyle name="Currency 4 2 5 4" xfId="18907" xr:uid="{00000000-0005-0000-0000-0000DC490000}"/>
    <cellStyle name="Currency 4 2 5 5" xfId="18908" xr:uid="{00000000-0005-0000-0000-0000DD490000}"/>
    <cellStyle name="Currency 4 2 6" xfId="18909" xr:uid="{00000000-0005-0000-0000-0000DE490000}"/>
    <cellStyle name="Currency 4 2 6 2" xfId="18910" xr:uid="{00000000-0005-0000-0000-0000DF490000}"/>
    <cellStyle name="Currency 4 2 7" xfId="18911" xr:uid="{00000000-0005-0000-0000-0000E0490000}"/>
    <cellStyle name="Currency 4 2 8" xfId="18912" xr:uid="{00000000-0005-0000-0000-0000E1490000}"/>
    <cellStyle name="Currency 4 2 9" xfId="18913" xr:uid="{00000000-0005-0000-0000-0000E2490000}"/>
    <cellStyle name="Currency 4 3" xfId="18914" xr:uid="{00000000-0005-0000-0000-0000E3490000}"/>
    <cellStyle name="Currency 4 3 10" xfId="18915" xr:uid="{00000000-0005-0000-0000-0000E4490000}"/>
    <cellStyle name="Currency 4 3 2" xfId="18916" xr:uid="{00000000-0005-0000-0000-0000E5490000}"/>
    <cellStyle name="Currency 4 3 2 2" xfId="18917" xr:uid="{00000000-0005-0000-0000-0000E6490000}"/>
    <cellStyle name="Currency 4 3 2 2 2" xfId="18918" xr:uid="{00000000-0005-0000-0000-0000E7490000}"/>
    <cellStyle name="Currency 4 3 2 2 2 2" xfId="18919" xr:uid="{00000000-0005-0000-0000-0000E8490000}"/>
    <cellStyle name="Currency 4 3 2 2 2 3" xfId="18920" xr:uid="{00000000-0005-0000-0000-0000E9490000}"/>
    <cellStyle name="Currency 4 3 2 2 3" xfId="18921" xr:uid="{00000000-0005-0000-0000-0000EA490000}"/>
    <cellStyle name="Currency 4 3 2 2 4" xfId="18922" xr:uid="{00000000-0005-0000-0000-0000EB490000}"/>
    <cellStyle name="Currency 4 3 2 2 5" xfId="18923" xr:uid="{00000000-0005-0000-0000-0000EC490000}"/>
    <cellStyle name="Currency 4 3 2 2 6" xfId="18924" xr:uid="{00000000-0005-0000-0000-0000ED490000}"/>
    <cellStyle name="Currency 4 3 2 3" xfId="18925" xr:uid="{00000000-0005-0000-0000-0000EE490000}"/>
    <cellStyle name="Currency 4 3 2 3 2" xfId="18926" xr:uid="{00000000-0005-0000-0000-0000EF490000}"/>
    <cellStyle name="Currency 4 3 2 3 2 2" xfId="18927" xr:uid="{00000000-0005-0000-0000-0000F0490000}"/>
    <cellStyle name="Currency 4 3 2 3 3" xfId="18928" xr:uid="{00000000-0005-0000-0000-0000F1490000}"/>
    <cellStyle name="Currency 4 3 2 3 4" xfId="18929" xr:uid="{00000000-0005-0000-0000-0000F2490000}"/>
    <cellStyle name="Currency 4 3 2 3 5" xfId="18930" xr:uid="{00000000-0005-0000-0000-0000F3490000}"/>
    <cellStyle name="Currency 4 3 2 4" xfId="18931" xr:uid="{00000000-0005-0000-0000-0000F4490000}"/>
    <cellStyle name="Currency 4 3 2 4 2" xfId="18932" xr:uid="{00000000-0005-0000-0000-0000F5490000}"/>
    <cellStyle name="Currency 4 3 2 4 3" xfId="18933" xr:uid="{00000000-0005-0000-0000-0000F6490000}"/>
    <cellStyle name="Currency 4 3 2 4 4" xfId="18934" xr:uid="{00000000-0005-0000-0000-0000F7490000}"/>
    <cellStyle name="Currency 4 3 2 5" xfId="18935" xr:uid="{00000000-0005-0000-0000-0000F8490000}"/>
    <cellStyle name="Currency 4 3 2 5 2" xfId="18936" xr:uid="{00000000-0005-0000-0000-0000F9490000}"/>
    <cellStyle name="Currency 4 3 2 6" xfId="18937" xr:uid="{00000000-0005-0000-0000-0000FA490000}"/>
    <cellStyle name="Currency 4 3 2 7" xfId="18938" xr:uid="{00000000-0005-0000-0000-0000FB490000}"/>
    <cellStyle name="Currency 4 3 2 8" xfId="18939" xr:uid="{00000000-0005-0000-0000-0000FC490000}"/>
    <cellStyle name="Currency 4 3 2 9" xfId="18940" xr:uid="{00000000-0005-0000-0000-0000FD490000}"/>
    <cellStyle name="Currency 4 3 3" xfId="18941" xr:uid="{00000000-0005-0000-0000-0000FE490000}"/>
    <cellStyle name="Currency 4 3 3 2" xfId="18942" xr:uid="{00000000-0005-0000-0000-0000FF490000}"/>
    <cellStyle name="Currency 4 3 3 2 2" xfId="18943" xr:uid="{00000000-0005-0000-0000-0000004A0000}"/>
    <cellStyle name="Currency 4 3 3 2 3" xfId="18944" xr:uid="{00000000-0005-0000-0000-0000014A0000}"/>
    <cellStyle name="Currency 4 3 3 3" xfId="18945" xr:uid="{00000000-0005-0000-0000-0000024A0000}"/>
    <cellStyle name="Currency 4 3 3 4" xfId="18946" xr:uid="{00000000-0005-0000-0000-0000034A0000}"/>
    <cellStyle name="Currency 4 3 3 5" xfId="18947" xr:uid="{00000000-0005-0000-0000-0000044A0000}"/>
    <cellStyle name="Currency 4 3 3 6" xfId="18948" xr:uid="{00000000-0005-0000-0000-0000054A0000}"/>
    <cellStyle name="Currency 4 3 4" xfId="18949" xr:uid="{00000000-0005-0000-0000-0000064A0000}"/>
    <cellStyle name="Currency 4 3 4 2" xfId="18950" xr:uid="{00000000-0005-0000-0000-0000074A0000}"/>
    <cellStyle name="Currency 4 3 4 2 2" xfId="18951" xr:uid="{00000000-0005-0000-0000-0000084A0000}"/>
    <cellStyle name="Currency 4 3 4 3" xfId="18952" xr:uid="{00000000-0005-0000-0000-0000094A0000}"/>
    <cellStyle name="Currency 4 3 4 4" xfId="18953" xr:uid="{00000000-0005-0000-0000-00000A4A0000}"/>
    <cellStyle name="Currency 4 3 4 5" xfId="18954" xr:uid="{00000000-0005-0000-0000-00000B4A0000}"/>
    <cellStyle name="Currency 4 3 5" xfId="18955" xr:uid="{00000000-0005-0000-0000-00000C4A0000}"/>
    <cellStyle name="Currency 4 3 5 2" xfId="18956" xr:uid="{00000000-0005-0000-0000-00000D4A0000}"/>
    <cellStyle name="Currency 4 3 5 2 2" xfId="18957" xr:uid="{00000000-0005-0000-0000-00000E4A0000}"/>
    <cellStyle name="Currency 4 3 5 3" xfId="18958" xr:uid="{00000000-0005-0000-0000-00000F4A0000}"/>
    <cellStyle name="Currency 4 3 5 4" xfId="18959" xr:uid="{00000000-0005-0000-0000-0000104A0000}"/>
    <cellStyle name="Currency 4 3 5 5" xfId="18960" xr:uid="{00000000-0005-0000-0000-0000114A0000}"/>
    <cellStyle name="Currency 4 3 6" xfId="18961" xr:uid="{00000000-0005-0000-0000-0000124A0000}"/>
    <cellStyle name="Currency 4 3 6 2" xfId="18962" xr:uid="{00000000-0005-0000-0000-0000134A0000}"/>
    <cellStyle name="Currency 4 3 7" xfId="18963" xr:uid="{00000000-0005-0000-0000-0000144A0000}"/>
    <cellStyle name="Currency 4 3 8" xfId="18964" xr:uid="{00000000-0005-0000-0000-0000154A0000}"/>
    <cellStyle name="Currency 4 3 9" xfId="18965" xr:uid="{00000000-0005-0000-0000-0000164A0000}"/>
    <cellStyle name="Currency 4 4" xfId="18966" xr:uid="{00000000-0005-0000-0000-0000174A0000}"/>
    <cellStyle name="Currency 4 4 10" xfId="18967" xr:uid="{00000000-0005-0000-0000-0000184A0000}"/>
    <cellStyle name="Currency 4 4 2" xfId="18968" xr:uid="{00000000-0005-0000-0000-0000194A0000}"/>
    <cellStyle name="Currency 4 4 2 2" xfId="18969" xr:uid="{00000000-0005-0000-0000-00001A4A0000}"/>
    <cellStyle name="Currency 4 4 2 2 2" xfId="18970" xr:uid="{00000000-0005-0000-0000-00001B4A0000}"/>
    <cellStyle name="Currency 4 4 2 2 2 2" xfId="18971" xr:uid="{00000000-0005-0000-0000-00001C4A0000}"/>
    <cellStyle name="Currency 4 4 2 2 2 3" xfId="18972" xr:uid="{00000000-0005-0000-0000-00001D4A0000}"/>
    <cellStyle name="Currency 4 4 2 2 3" xfId="18973" xr:uid="{00000000-0005-0000-0000-00001E4A0000}"/>
    <cellStyle name="Currency 4 4 2 2 4" xfId="18974" xr:uid="{00000000-0005-0000-0000-00001F4A0000}"/>
    <cellStyle name="Currency 4 4 2 2 5" xfId="18975" xr:uid="{00000000-0005-0000-0000-0000204A0000}"/>
    <cellStyle name="Currency 4 4 2 2 6" xfId="18976" xr:uid="{00000000-0005-0000-0000-0000214A0000}"/>
    <cellStyle name="Currency 4 4 2 3" xfId="18977" xr:uid="{00000000-0005-0000-0000-0000224A0000}"/>
    <cellStyle name="Currency 4 4 2 3 2" xfId="18978" xr:uid="{00000000-0005-0000-0000-0000234A0000}"/>
    <cellStyle name="Currency 4 4 2 3 2 2" xfId="18979" xr:uid="{00000000-0005-0000-0000-0000244A0000}"/>
    <cellStyle name="Currency 4 4 2 3 3" xfId="18980" xr:uid="{00000000-0005-0000-0000-0000254A0000}"/>
    <cellStyle name="Currency 4 4 2 3 4" xfId="18981" xr:uid="{00000000-0005-0000-0000-0000264A0000}"/>
    <cellStyle name="Currency 4 4 2 3 5" xfId="18982" xr:uid="{00000000-0005-0000-0000-0000274A0000}"/>
    <cellStyle name="Currency 4 4 2 4" xfId="18983" xr:uid="{00000000-0005-0000-0000-0000284A0000}"/>
    <cellStyle name="Currency 4 4 2 4 2" xfId="18984" xr:uid="{00000000-0005-0000-0000-0000294A0000}"/>
    <cellStyle name="Currency 4 4 2 4 3" xfId="18985" xr:uid="{00000000-0005-0000-0000-00002A4A0000}"/>
    <cellStyle name="Currency 4 4 2 4 4" xfId="18986" xr:uid="{00000000-0005-0000-0000-00002B4A0000}"/>
    <cellStyle name="Currency 4 4 2 5" xfId="18987" xr:uid="{00000000-0005-0000-0000-00002C4A0000}"/>
    <cellStyle name="Currency 4 4 2 5 2" xfId="18988" xr:uid="{00000000-0005-0000-0000-00002D4A0000}"/>
    <cellStyle name="Currency 4 4 2 6" xfId="18989" xr:uid="{00000000-0005-0000-0000-00002E4A0000}"/>
    <cellStyle name="Currency 4 4 2 7" xfId="18990" xr:uid="{00000000-0005-0000-0000-00002F4A0000}"/>
    <cellStyle name="Currency 4 4 2 8" xfId="18991" xr:uid="{00000000-0005-0000-0000-0000304A0000}"/>
    <cellStyle name="Currency 4 4 2 9" xfId="18992" xr:uid="{00000000-0005-0000-0000-0000314A0000}"/>
    <cellStyle name="Currency 4 4 3" xfId="18993" xr:uid="{00000000-0005-0000-0000-0000324A0000}"/>
    <cellStyle name="Currency 4 4 3 2" xfId="18994" xr:uid="{00000000-0005-0000-0000-0000334A0000}"/>
    <cellStyle name="Currency 4 4 3 2 2" xfId="18995" xr:uid="{00000000-0005-0000-0000-0000344A0000}"/>
    <cellStyle name="Currency 4 4 3 2 3" xfId="18996" xr:uid="{00000000-0005-0000-0000-0000354A0000}"/>
    <cellStyle name="Currency 4 4 3 3" xfId="18997" xr:uid="{00000000-0005-0000-0000-0000364A0000}"/>
    <cellStyle name="Currency 4 4 3 4" xfId="18998" xr:uid="{00000000-0005-0000-0000-0000374A0000}"/>
    <cellStyle name="Currency 4 4 3 5" xfId="18999" xr:uid="{00000000-0005-0000-0000-0000384A0000}"/>
    <cellStyle name="Currency 4 4 3 6" xfId="19000" xr:uid="{00000000-0005-0000-0000-0000394A0000}"/>
    <cellStyle name="Currency 4 4 4" xfId="19001" xr:uid="{00000000-0005-0000-0000-00003A4A0000}"/>
    <cellStyle name="Currency 4 4 4 2" xfId="19002" xr:uid="{00000000-0005-0000-0000-00003B4A0000}"/>
    <cellStyle name="Currency 4 4 4 2 2" xfId="19003" xr:uid="{00000000-0005-0000-0000-00003C4A0000}"/>
    <cellStyle name="Currency 4 4 4 3" xfId="19004" xr:uid="{00000000-0005-0000-0000-00003D4A0000}"/>
    <cellStyle name="Currency 4 4 4 4" xfId="19005" xr:uid="{00000000-0005-0000-0000-00003E4A0000}"/>
    <cellStyle name="Currency 4 4 4 5" xfId="19006" xr:uid="{00000000-0005-0000-0000-00003F4A0000}"/>
    <cellStyle name="Currency 4 4 5" xfId="19007" xr:uid="{00000000-0005-0000-0000-0000404A0000}"/>
    <cellStyle name="Currency 4 4 5 2" xfId="19008" xr:uid="{00000000-0005-0000-0000-0000414A0000}"/>
    <cellStyle name="Currency 4 4 5 2 2" xfId="19009" xr:uid="{00000000-0005-0000-0000-0000424A0000}"/>
    <cellStyle name="Currency 4 4 5 3" xfId="19010" xr:uid="{00000000-0005-0000-0000-0000434A0000}"/>
    <cellStyle name="Currency 4 4 5 4" xfId="19011" xr:uid="{00000000-0005-0000-0000-0000444A0000}"/>
    <cellStyle name="Currency 4 4 5 5" xfId="19012" xr:uid="{00000000-0005-0000-0000-0000454A0000}"/>
    <cellStyle name="Currency 4 4 6" xfId="19013" xr:uid="{00000000-0005-0000-0000-0000464A0000}"/>
    <cellStyle name="Currency 4 4 6 2" xfId="19014" xr:uid="{00000000-0005-0000-0000-0000474A0000}"/>
    <cellStyle name="Currency 4 4 7" xfId="19015" xr:uid="{00000000-0005-0000-0000-0000484A0000}"/>
    <cellStyle name="Currency 4 4 8" xfId="19016" xr:uid="{00000000-0005-0000-0000-0000494A0000}"/>
    <cellStyle name="Currency 4 4 9" xfId="19017" xr:uid="{00000000-0005-0000-0000-00004A4A0000}"/>
    <cellStyle name="Currency 4 5" xfId="19018" xr:uid="{00000000-0005-0000-0000-00004B4A0000}"/>
    <cellStyle name="Currency 4 5 10" xfId="19019" xr:uid="{00000000-0005-0000-0000-00004C4A0000}"/>
    <cellStyle name="Currency 4 5 2" xfId="19020" xr:uid="{00000000-0005-0000-0000-00004D4A0000}"/>
    <cellStyle name="Currency 4 5 2 2" xfId="19021" xr:uid="{00000000-0005-0000-0000-00004E4A0000}"/>
    <cellStyle name="Currency 4 5 2 2 2" xfId="19022" xr:uid="{00000000-0005-0000-0000-00004F4A0000}"/>
    <cellStyle name="Currency 4 5 2 2 2 2" xfId="19023" xr:uid="{00000000-0005-0000-0000-0000504A0000}"/>
    <cellStyle name="Currency 4 5 2 2 2 3" xfId="19024" xr:uid="{00000000-0005-0000-0000-0000514A0000}"/>
    <cellStyle name="Currency 4 5 2 2 3" xfId="19025" xr:uid="{00000000-0005-0000-0000-0000524A0000}"/>
    <cellStyle name="Currency 4 5 2 2 4" xfId="19026" xr:uid="{00000000-0005-0000-0000-0000534A0000}"/>
    <cellStyle name="Currency 4 5 2 2 5" xfId="19027" xr:uid="{00000000-0005-0000-0000-0000544A0000}"/>
    <cellStyle name="Currency 4 5 2 2 6" xfId="19028" xr:uid="{00000000-0005-0000-0000-0000554A0000}"/>
    <cellStyle name="Currency 4 5 2 3" xfId="19029" xr:uid="{00000000-0005-0000-0000-0000564A0000}"/>
    <cellStyle name="Currency 4 5 2 3 2" xfId="19030" xr:uid="{00000000-0005-0000-0000-0000574A0000}"/>
    <cellStyle name="Currency 4 5 2 3 2 2" xfId="19031" xr:uid="{00000000-0005-0000-0000-0000584A0000}"/>
    <cellStyle name="Currency 4 5 2 3 3" xfId="19032" xr:uid="{00000000-0005-0000-0000-0000594A0000}"/>
    <cellStyle name="Currency 4 5 2 3 4" xfId="19033" xr:uid="{00000000-0005-0000-0000-00005A4A0000}"/>
    <cellStyle name="Currency 4 5 2 3 5" xfId="19034" xr:uid="{00000000-0005-0000-0000-00005B4A0000}"/>
    <cellStyle name="Currency 4 5 2 4" xfId="19035" xr:uid="{00000000-0005-0000-0000-00005C4A0000}"/>
    <cellStyle name="Currency 4 5 2 4 2" xfId="19036" xr:uid="{00000000-0005-0000-0000-00005D4A0000}"/>
    <cellStyle name="Currency 4 5 2 4 3" xfId="19037" xr:uid="{00000000-0005-0000-0000-00005E4A0000}"/>
    <cellStyle name="Currency 4 5 2 4 4" xfId="19038" xr:uid="{00000000-0005-0000-0000-00005F4A0000}"/>
    <cellStyle name="Currency 4 5 2 5" xfId="19039" xr:uid="{00000000-0005-0000-0000-0000604A0000}"/>
    <cellStyle name="Currency 4 5 2 5 2" xfId="19040" xr:uid="{00000000-0005-0000-0000-0000614A0000}"/>
    <cellStyle name="Currency 4 5 2 6" xfId="19041" xr:uid="{00000000-0005-0000-0000-0000624A0000}"/>
    <cellStyle name="Currency 4 5 2 7" xfId="19042" xr:uid="{00000000-0005-0000-0000-0000634A0000}"/>
    <cellStyle name="Currency 4 5 2 8" xfId="19043" xr:uid="{00000000-0005-0000-0000-0000644A0000}"/>
    <cellStyle name="Currency 4 5 2 9" xfId="19044" xr:uid="{00000000-0005-0000-0000-0000654A0000}"/>
    <cellStyle name="Currency 4 5 3" xfId="19045" xr:uid="{00000000-0005-0000-0000-0000664A0000}"/>
    <cellStyle name="Currency 4 5 3 2" xfId="19046" xr:uid="{00000000-0005-0000-0000-0000674A0000}"/>
    <cellStyle name="Currency 4 5 3 2 2" xfId="19047" xr:uid="{00000000-0005-0000-0000-0000684A0000}"/>
    <cellStyle name="Currency 4 5 3 2 3" xfId="19048" xr:uid="{00000000-0005-0000-0000-0000694A0000}"/>
    <cellStyle name="Currency 4 5 3 3" xfId="19049" xr:uid="{00000000-0005-0000-0000-00006A4A0000}"/>
    <cellStyle name="Currency 4 5 3 4" xfId="19050" xr:uid="{00000000-0005-0000-0000-00006B4A0000}"/>
    <cellStyle name="Currency 4 5 3 5" xfId="19051" xr:uid="{00000000-0005-0000-0000-00006C4A0000}"/>
    <cellStyle name="Currency 4 5 3 6" xfId="19052" xr:uid="{00000000-0005-0000-0000-00006D4A0000}"/>
    <cellStyle name="Currency 4 5 4" xfId="19053" xr:uid="{00000000-0005-0000-0000-00006E4A0000}"/>
    <cellStyle name="Currency 4 5 4 2" xfId="19054" xr:uid="{00000000-0005-0000-0000-00006F4A0000}"/>
    <cellStyle name="Currency 4 5 4 2 2" xfId="19055" xr:uid="{00000000-0005-0000-0000-0000704A0000}"/>
    <cellStyle name="Currency 4 5 4 3" xfId="19056" xr:uid="{00000000-0005-0000-0000-0000714A0000}"/>
    <cellStyle name="Currency 4 5 4 4" xfId="19057" xr:uid="{00000000-0005-0000-0000-0000724A0000}"/>
    <cellStyle name="Currency 4 5 4 5" xfId="19058" xr:uid="{00000000-0005-0000-0000-0000734A0000}"/>
    <cellStyle name="Currency 4 5 5" xfId="19059" xr:uid="{00000000-0005-0000-0000-0000744A0000}"/>
    <cellStyle name="Currency 4 5 5 2" xfId="19060" xr:uid="{00000000-0005-0000-0000-0000754A0000}"/>
    <cellStyle name="Currency 4 5 5 2 2" xfId="19061" xr:uid="{00000000-0005-0000-0000-0000764A0000}"/>
    <cellStyle name="Currency 4 5 5 3" xfId="19062" xr:uid="{00000000-0005-0000-0000-0000774A0000}"/>
    <cellStyle name="Currency 4 5 5 4" xfId="19063" xr:uid="{00000000-0005-0000-0000-0000784A0000}"/>
    <cellStyle name="Currency 4 5 5 5" xfId="19064" xr:uid="{00000000-0005-0000-0000-0000794A0000}"/>
    <cellStyle name="Currency 4 5 6" xfId="19065" xr:uid="{00000000-0005-0000-0000-00007A4A0000}"/>
    <cellStyle name="Currency 4 5 6 2" xfId="19066" xr:uid="{00000000-0005-0000-0000-00007B4A0000}"/>
    <cellStyle name="Currency 4 5 7" xfId="19067" xr:uid="{00000000-0005-0000-0000-00007C4A0000}"/>
    <cellStyle name="Currency 4 5 8" xfId="19068" xr:uid="{00000000-0005-0000-0000-00007D4A0000}"/>
    <cellStyle name="Currency 4 5 9" xfId="19069" xr:uid="{00000000-0005-0000-0000-00007E4A0000}"/>
    <cellStyle name="Currency 4 6" xfId="19070" xr:uid="{00000000-0005-0000-0000-00007F4A0000}"/>
    <cellStyle name="Currency 4 6 10" xfId="19071" xr:uid="{00000000-0005-0000-0000-0000804A0000}"/>
    <cellStyle name="Currency 4 6 2" xfId="19072" xr:uid="{00000000-0005-0000-0000-0000814A0000}"/>
    <cellStyle name="Currency 4 6 2 2" xfId="19073" xr:uid="{00000000-0005-0000-0000-0000824A0000}"/>
    <cellStyle name="Currency 4 6 2 2 2" xfId="19074" xr:uid="{00000000-0005-0000-0000-0000834A0000}"/>
    <cellStyle name="Currency 4 6 2 2 2 2" xfId="19075" xr:uid="{00000000-0005-0000-0000-0000844A0000}"/>
    <cellStyle name="Currency 4 6 2 2 2 3" xfId="19076" xr:uid="{00000000-0005-0000-0000-0000854A0000}"/>
    <cellStyle name="Currency 4 6 2 2 3" xfId="19077" xr:uid="{00000000-0005-0000-0000-0000864A0000}"/>
    <cellStyle name="Currency 4 6 2 2 4" xfId="19078" xr:uid="{00000000-0005-0000-0000-0000874A0000}"/>
    <cellStyle name="Currency 4 6 2 2 5" xfId="19079" xr:uid="{00000000-0005-0000-0000-0000884A0000}"/>
    <cellStyle name="Currency 4 6 2 2 6" xfId="19080" xr:uid="{00000000-0005-0000-0000-0000894A0000}"/>
    <cellStyle name="Currency 4 6 2 3" xfId="19081" xr:uid="{00000000-0005-0000-0000-00008A4A0000}"/>
    <cellStyle name="Currency 4 6 2 3 2" xfId="19082" xr:uid="{00000000-0005-0000-0000-00008B4A0000}"/>
    <cellStyle name="Currency 4 6 2 3 2 2" xfId="19083" xr:uid="{00000000-0005-0000-0000-00008C4A0000}"/>
    <cellStyle name="Currency 4 6 2 3 3" xfId="19084" xr:uid="{00000000-0005-0000-0000-00008D4A0000}"/>
    <cellStyle name="Currency 4 6 2 3 4" xfId="19085" xr:uid="{00000000-0005-0000-0000-00008E4A0000}"/>
    <cellStyle name="Currency 4 6 2 3 5" xfId="19086" xr:uid="{00000000-0005-0000-0000-00008F4A0000}"/>
    <cellStyle name="Currency 4 6 2 4" xfId="19087" xr:uid="{00000000-0005-0000-0000-0000904A0000}"/>
    <cellStyle name="Currency 4 6 2 4 2" xfId="19088" xr:uid="{00000000-0005-0000-0000-0000914A0000}"/>
    <cellStyle name="Currency 4 6 2 4 3" xfId="19089" xr:uid="{00000000-0005-0000-0000-0000924A0000}"/>
    <cellStyle name="Currency 4 6 2 4 4" xfId="19090" xr:uid="{00000000-0005-0000-0000-0000934A0000}"/>
    <cellStyle name="Currency 4 6 2 5" xfId="19091" xr:uid="{00000000-0005-0000-0000-0000944A0000}"/>
    <cellStyle name="Currency 4 6 2 5 2" xfId="19092" xr:uid="{00000000-0005-0000-0000-0000954A0000}"/>
    <cellStyle name="Currency 4 6 2 6" xfId="19093" xr:uid="{00000000-0005-0000-0000-0000964A0000}"/>
    <cellStyle name="Currency 4 6 2 7" xfId="19094" xr:uid="{00000000-0005-0000-0000-0000974A0000}"/>
    <cellStyle name="Currency 4 6 2 8" xfId="19095" xr:uid="{00000000-0005-0000-0000-0000984A0000}"/>
    <cellStyle name="Currency 4 6 2 9" xfId="19096" xr:uid="{00000000-0005-0000-0000-0000994A0000}"/>
    <cellStyle name="Currency 4 6 3" xfId="19097" xr:uid="{00000000-0005-0000-0000-00009A4A0000}"/>
    <cellStyle name="Currency 4 6 3 2" xfId="19098" xr:uid="{00000000-0005-0000-0000-00009B4A0000}"/>
    <cellStyle name="Currency 4 6 3 2 2" xfId="19099" xr:uid="{00000000-0005-0000-0000-00009C4A0000}"/>
    <cellStyle name="Currency 4 6 3 2 3" xfId="19100" xr:uid="{00000000-0005-0000-0000-00009D4A0000}"/>
    <cellStyle name="Currency 4 6 3 3" xfId="19101" xr:uid="{00000000-0005-0000-0000-00009E4A0000}"/>
    <cellStyle name="Currency 4 6 3 4" xfId="19102" xr:uid="{00000000-0005-0000-0000-00009F4A0000}"/>
    <cellStyle name="Currency 4 6 3 5" xfId="19103" xr:uid="{00000000-0005-0000-0000-0000A04A0000}"/>
    <cellStyle name="Currency 4 6 3 6" xfId="19104" xr:uid="{00000000-0005-0000-0000-0000A14A0000}"/>
    <cellStyle name="Currency 4 6 4" xfId="19105" xr:uid="{00000000-0005-0000-0000-0000A24A0000}"/>
    <cellStyle name="Currency 4 6 4 2" xfId="19106" xr:uid="{00000000-0005-0000-0000-0000A34A0000}"/>
    <cellStyle name="Currency 4 6 4 2 2" xfId="19107" xr:uid="{00000000-0005-0000-0000-0000A44A0000}"/>
    <cellStyle name="Currency 4 6 4 3" xfId="19108" xr:uid="{00000000-0005-0000-0000-0000A54A0000}"/>
    <cellStyle name="Currency 4 6 4 4" xfId="19109" xr:uid="{00000000-0005-0000-0000-0000A64A0000}"/>
    <cellStyle name="Currency 4 6 4 5" xfId="19110" xr:uid="{00000000-0005-0000-0000-0000A74A0000}"/>
    <cellStyle name="Currency 4 6 5" xfId="19111" xr:uid="{00000000-0005-0000-0000-0000A84A0000}"/>
    <cellStyle name="Currency 4 6 5 2" xfId="19112" xr:uid="{00000000-0005-0000-0000-0000A94A0000}"/>
    <cellStyle name="Currency 4 6 5 2 2" xfId="19113" xr:uid="{00000000-0005-0000-0000-0000AA4A0000}"/>
    <cellStyle name="Currency 4 6 5 3" xfId="19114" xr:uid="{00000000-0005-0000-0000-0000AB4A0000}"/>
    <cellStyle name="Currency 4 6 5 4" xfId="19115" xr:uid="{00000000-0005-0000-0000-0000AC4A0000}"/>
    <cellStyle name="Currency 4 6 5 5" xfId="19116" xr:uid="{00000000-0005-0000-0000-0000AD4A0000}"/>
    <cellStyle name="Currency 4 6 6" xfId="19117" xr:uid="{00000000-0005-0000-0000-0000AE4A0000}"/>
    <cellStyle name="Currency 4 6 6 2" xfId="19118" xr:uid="{00000000-0005-0000-0000-0000AF4A0000}"/>
    <cellStyle name="Currency 4 6 7" xfId="19119" xr:uid="{00000000-0005-0000-0000-0000B04A0000}"/>
    <cellStyle name="Currency 4 6 8" xfId="19120" xr:uid="{00000000-0005-0000-0000-0000B14A0000}"/>
    <cellStyle name="Currency 4 6 9" xfId="19121" xr:uid="{00000000-0005-0000-0000-0000B24A0000}"/>
    <cellStyle name="Currency 4 7" xfId="19122" xr:uid="{00000000-0005-0000-0000-0000B34A0000}"/>
    <cellStyle name="Currency 4 7 10" xfId="19123" xr:uid="{00000000-0005-0000-0000-0000B44A0000}"/>
    <cellStyle name="Currency 4 7 2" xfId="19124" xr:uid="{00000000-0005-0000-0000-0000B54A0000}"/>
    <cellStyle name="Currency 4 7 2 2" xfId="19125" xr:uid="{00000000-0005-0000-0000-0000B64A0000}"/>
    <cellStyle name="Currency 4 7 2 2 2" xfId="19126" xr:uid="{00000000-0005-0000-0000-0000B74A0000}"/>
    <cellStyle name="Currency 4 7 2 2 2 2" xfId="19127" xr:uid="{00000000-0005-0000-0000-0000B84A0000}"/>
    <cellStyle name="Currency 4 7 2 2 2 3" xfId="19128" xr:uid="{00000000-0005-0000-0000-0000B94A0000}"/>
    <cellStyle name="Currency 4 7 2 2 3" xfId="19129" xr:uid="{00000000-0005-0000-0000-0000BA4A0000}"/>
    <cellStyle name="Currency 4 7 2 2 4" xfId="19130" xr:uid="{00000000-0005-0000-0000-0000BB4A0000}"/>
    <cellStyle name="Currency 4 7 2 2 5" xfId="19131" xr:uid="{00000000-0005-0000-0000-0000BC4A0000}"/>
    <cellStyle name="Currency 4 7 2 2 6" xfId="19132" xr:uid="{00000000-0005-0000-0000-0000BD4A0000}"/>
    <cellStyle name="Currency 4 7 2 3" xfId="19133" xr:uid="{00000000-0005-0000-0000-0000BE4A0000}"/>
    <cellStyle name="Currency 4 7 2 3 2" xfId="19134" xr:uid="{00000000-0005-0000-0000-0000BF4A0000}"/>
    <cellStyle name="Currency 4 7 2 3 2 2" xfId="19135" xr:uid="{00000000-0005-0000-0000-0000C04A0000}"/>
    <cellStyle name="Currency 4 7 2 3 3" xfId="19136" xr:uid="{00000000-0005-0000-0000-0000C14A0000}"/>
    <cellStyle name="Currency 4 7 2 3 4" xfId="19137" xr:uid="{00000000-0005-0000-0000-0000C24A0000}"/>
    <cellStyle name="Currency 4 7 2 3 5" xfId="19138" xr:uid="{00000000-0005-0000-0000-0000C34A0000}"/>
    <cellStyle name="Currency 4 7 2 4" xfId="19139" xr:uid="{00000000-0005-0000-0000-0000C44A0000}"/>
    <cellStyle name="Currency 4 7 2 4 2" xfId="19140" xr:uid="{00000000-0005-0000-0000-0000C54A0000}"/>
    <cellStyle name="Currency 4 7 2 4 3" xfId="19141" xr:uid="{00000000-0005-0000-0000-0000C64A0000}"/>
    <cellStyle name="Currency 4 7 2 4 4" xfId="19142" xr:uid="{00000000-0005-0000-0000-0000C74A0000}"/>
    <cellStyle name="Currency 4 7 2 5" xfId="19143" xr:uid="{00000000-0005-0000-0000-0000C84A0000}"/>
    <cellStyle name="Currency 4 7 2 5 2" xfId="19144" xr:uid="{00000000-0005-0000-0000-0000C94A0000}"/>
    <cellStyle name="Currency 4 7 2 6" xfId="19145" xr:uid="{00000000-0005-0000-0000-0000CA4A0000}"/>
    <cellStyle name="Currency 4 7 2 7" xfId="19146" xr:uid="{00000000-0005-0000-0000-0000CB4A0000}"/>
    <cellStyle name="Currency 4 7 2 8" xfId="19147" xr:uid="{00000000-0005-0000-0000-0000CC4A0000}"/>
    <cellStyle name="Currency 4 7 2 9" xfId="19148" xr:uid="{00000000-0005-0000-0000-0000CD4A0000}"/>
    <cellStyle name="Currency 4 7 3" xfId="19149" xr:uid="{00000000-0005-0000-0000-0000CE4A0000}"/>
    <cellStyle name="Currency 4 7 3 2" xfId="19150" xr:uid="{00000000-0005-0000-0000-0000CF4A0000}"/>
    <cellStyle name="Currency 4 7 3 2 2" xfId="19151" xr:uid="{00000000-0005-0000-0000-0000D04A0000}"/>
    <cellStyle name="Currency 4 7 3 2 3" xfId="19152" xr:uid="{00000000-0005-0000-0000-0000D14A0000}"/>
    <cellStyle name="Currency 4 7 3 3" xfId="19153" xr:uid="{00000000-0005-0000-0000-0000D24A0000}"/>
    <cellStyle name="Currency 4 7 3 4" xfId="19154" xr:uid="{00000000-0005-0000-0000-0000D34A0000}"/>
    <cellStyle name="Currency 4 7 3 5" xfId="19155" xr:uid="{00000000-0005-0000-0000-0000D44A0000}"/>
    <cellStyle name="Currency 4 7 3 6" xfId="19156" xr:uid="{00000000-0005-0000-0000-0000D54A0000}"/>
    <cellStyle name="Currency 4 7 4" xfId="19157" xr:uid="{00000000-0005-0000-0000-0000D64A0000}"/>
    <cellStyle name="Currency 4 7 4 2" xfId="19158" xr:uid="{00000000-0005-0000-0000-0000D74A0000}"/>
    <cellStyle name="Currency 4 7 4 2 2" xfId="19159" xr:uid="{00000000-0005-0000-0000-0000D84A0000}"/>
    <cellStyle name="Currency 4 7 4 3" xfId="19160" xr:uid="{00000000-0005-0000-0000-0000D94A0000}"/>
    <cellStyle name="Currency 4 7 4 4" xfId="19161" xr:uid="{00000000-0005-0000-0000-0000DA4A0000}"/>
    <cellStyle name="Currency 4 7 4 5" xfId="19162" xr:uid="{00000000-0005-0000-0000-0000DB4A0000}"/>
    <cellStyle name="Currency 4 7 5" xfId="19163" xr:uid="{00000000-0005-0000-0000-0000DC4A0000}"/>
    <cellStyle name="Currency 4 7 5 2" xfId="19164" xr:uid="{00000000-0005-0000-0000-0000DD4A0000}"/>
    <cellStyle name="Currency 4 7 5 2 2" xfId="19165" xr:uid="{00000000-0005-0000-0000-0000DE4A0000}"/>
    <cellStyle name="Currency 4 7 5 3" xfId="19166" xr:uid="{00000000-0005-0000-0000-0000DF4A0000}"/>
    <cellStyle name="Currency 4 7 5 4" xfId="19167" xr:uid="{00000000-0005-0000-0000-0000E04A0000}"/>
    <cellStyle name="Currency 4 7 5 5" xfId="19168" xr:uid="{00000000-0005-0000-0000-0000E14A0000}"/>
    <cellStyle name="Currency 4 7 6" xfId="19169" xr:uid="{00000000-0005-0000-0000-0000E24A0000}"/>
    <cellStyle name="Currency 4 7 6 2" xfId="19170" xr:uid="{00000000-0005-0000-0000-0000E34A0000}"/>
    <cellStyle name="Currency 4 7 7" xfId="19171" xr:uid="{00000000-0005-0000-0000-0000E44A0000}"/>
    <cellStyle name="Currency 4 7 8" xfId="19172" xr:uid="{00000000-0005-0000-0000-0000E54A0000}"/>
    <cellStyle name="Currency 4 7 9" xfId="19173" xr:uid="{00000000-0005-0000-0000-0000E64A0000}"/>
    <cellStyle name="Currency 4 8" xfId="19174" xr:uid="{00000000-0005-0000-0000-0000E74A0000}"/>
    <cellStyle name="Currency 4 8 10" xfId="19175" xr:uid="{00000000-0005-0000-0000-0000E84A0000}"/>
    <cellStyle name="Currency 4 8 2" xfId="19176" xr:uid="{00000000-0005-0000-0000-0000E94A0000}"/>
    <cellStyle name="Currency 4 8 2 2" xfId="19177" xr:uid="{00000000-0005-0000-0000-0000EA4A0000}"/>
    <cellStyle name="Currency 4 8 2 2 2" xfId="19178" xr:uid="{00000000-0005-0000-0000-0000EB4A0000}"/>
    <cellStyle name="Currency 4 8 2 2 2 2" xfId="19179" xr:uid="{00000000-0005-0000-0000-0000EC4A0000}"/>
    <cellStyle name="Currency 4 8 2 2 2 3" xfId="19180" xr:uid="{00000000-0005-0000-0000-0000ED4A0000}"/>
    <cellStyle name="Currency 4 8 2 2 3" xfId="19181" xr:uid="{00000000-0005-0000-0000-0000EE4A0000}"/>
    <cellStyle name="Currency 4 8 2 2 4" xfId="19182" xr:uid="{00000000-0005-0000-0000-0000EF4A0000}"/>
    <cellStyle name="Currency 4 8 2 2 5" xfId="19183" xr:uid="{00000000-0005-0000-0000-0000F04A0000}"/>
    <cellStyle name="Currency 4 8 2 2 6" xfId="19184" xr:uid="{00000000-0005-0000-0000-0000F14A0000}"/>
    <cellStyle name="Currency 4 8 2 3" xfId="19185" xr:uid="{00000000-0005-0000-0000-0000F24A0000}"/>
    <cellStyle name="Currency 4 8 2 3 2" xfId="19186" xr:uid="{00000000-0005-0000-0000-0000F34A0000}"/>
    <cellStyle name="Currency 4 8 2 3 2 2" xfId="19187" xr:uid="{00000000-0005-0000-0000-0000F44A0000}"/>
    <cellStyle name="Currency 4 8 2 3 3" xfId="19188" xr:uid="{00000000-0005-0000-0000-0000F54A0000}"/>
    <cellStyle name="Currency 4 8 2 3 4" xfId="19189" xr:uid="{00000000-0005-0000-0000-0000F64A0000}"/>
    <cellStyle name="Currency 4 8 2 3 5" xfId="19190" xr:uid="{00000000-0005-0000-0000-0000F74A0000}"/>
    <cellStyle name="Currency 4 8 2 4" xfId="19191" xr:uid="{00000000-0005-0000-0000-0000F84A0000}"/>
    <cellStyle name="Currency 4 8 2 4 2" xfId="19192" xr:uid="{00000000-0005-0000-0000-0000F94A0000}"/>
    <cellStyle name="Currency 4 8 2 4 3" xfId="19193" xr:uid="{00000000-0005-0000-0000-0000FA4A0000}"/>
    <cellStyle name="Currency 4 8 2 4 4" xfId="19194" xr:uid="{00000000-0005-0000-0000-0000FB4A0000}"/>
    <cellStyle name="Currency 4 8 2 5" xfId="19195" xr:uid="{00000000-0005-0000-0000-0000FC4A0000}"/>
    <cellStyle name="Currency 4 8 2 5 2" xfId="19196" xr:uid="{00000000-0005-0000-0000-0000FD4A0000}"/>
    <cellStyle name="Currency 4 8 2 6" xfId="19197" xr:uid="{00000000-0005-0000-0000-0000FE4A0000}"/>
    <cellStyle name="Currency 4 8 2 7" xfId="19198" xr:uid="{00000000-0005-0000-0000-0000FF4A0000}"/>
    <cellStyle name="Currency 4 8 2 8" xfId="19199" xr:uid="{00000000-0005-0000-0000-0000004B0000}"/>
    <cellStyle name="Currency 4 8 2 9" xfId="19200" xr:uid="{00000000-0005-0000-0000-0000014B0000}"/>
    <cellStyle name="Currency 4 8 3" xfId="19201" xr:uid="{00000000-0005-0000-0000-0000024B0000}"/>
    <cellStyle name="Currency 4 8 3 2" xfId="19202" xr:uid="{00000000-0005-0000-0000-0000034B0000}"/>
    <cellStyle name="Currency 4 8 3 2 2" xfId="19203" xr:uid="{00000000-0005-0000-0000-0000044B0000}"/>
    <cellStyle name="Currency 4 8 3 2 3" xfId="19204" xr:uid="{00000000-0005-0000-0000-0000054B0000}"/>
    <cellStyle name="Currency 4 8 3 3" xfId="19205" xr:uid="{00000000-0005-0000-0000-0000064B0000}"/>
    <cellStyle name="Currency 4 8 3 4" xfId="19206" xr:uid="{00000000-0005-0000-0000-0000074B0000}"/>
    <cellStyle name="Currency 4 8 3 5" xfId="19207" xr:uid="{00000000-0005-0000-0000-0000084B0000}"/>
    <cellStyle name="Currency 4 8 3 6" xfId="19208" xr:uid="{00000000-0005-0000-0000-0000094B0000}"/>
    <cellStyle name="Currency 4 8 4" xfId="19209" xr:uid="{00000000-0005-0000-0000-00000A4B0000}"/>
    <cellStyle name="Currency 4 8 4 2" xfId="19210" xr:uid="{00000000-0005-0000-0000-00000B4B0000}"/>
    <cellStyle name="Currency 4 8 4 2 2" xfId="19211" xr:uid="{00000000-0005-0000-0000-00000C4B0000}"/>
    <cellStyle name="Currency 4 8 4 3" xfId="19212" xr:uid="{00000000-0005-0000-0000-00000D4B0000}"/>
    <cellStyle name="Currency 4 8 4 4" xfId="19213" xr:uid="{00000000-0005-0000-0000-00000E4B0000}"/>
    <cellStyle name="Currency 4 8 4 5" xfId="19214" xr:uid="{00000000-0005-0000-0000-00000F4B0000}"/>
    <cellStyle name="Currency 4 8 5" xfId="19215" xr:uid="{00000000-0005-0000-0000-0000104B0000}"/>
    <cellStyle name="Currency 4 8 5 2" xfId="19216" xr:uid="{00000000-0005-0000-0000-0000114B0000}"/>
    <cellStyle name="Currency 4 8 5 2 2" xfId="19217" xr:uid="{00000000-0005-0000-0000-0000124B0000}"/>
    <cellStyle name="Currency 4 8 5 3" xfId="19218" xr:uid="{00000000-0005-0000-0000-0000134B0000}"/>
    <cellStyle name="Currency 4 8 5 4" xfId="19219" xr:uid="{00000000-0005-0000-0000-0000144B0000}"/>
    <cellStyle name="Currency 4 8 5 5" xfId="19220" xr:uid="{00000000-0005-0000-0000-0000154B0000}"/>
    <cellStyle name="Currency 4 8 6" xfId="19221" xr:uid="{00000000-0005-0000-0000-0000164B0000}"/>
    <cellStyle name="Currency 4 8 6 2" xfId="19222" xr:uid="{00000000-0005-0000-0000-0000174B0000}"/>
    <cellStyle name="Currency 4 8 7" xfId="19223" xr:uid="{00000000-0005-0000-0000-0000184B0000}"/>
    <cellStyle name="Currency 4 8 8" xfId="19224" xr:uid="{00000000-0005-0000-0000-0000194B0000}"/>
    <cellStyle name="Currency 4 8 9" xfId="19225" xr:uid="{00000000-0005-0000-0000-00001A4B0000}"/>
    <cellStyle name="Currency 4 9" xfId="19226" xr:uid="{00000000-0005-0000-0000-00001B4B0000}"/>
    <cellStyle name="Currency 4 9 2" xfId="19227" xr:uid="{00000000-0005-0000-0000-00001C4B0000}"/>
    <cellStyle name="Currency 4 9 2 2" xfId="19228" xr:uid="{00000000-0005-0000-0000-00001D4B0000}"/>
    <cellStyle name="Currency 4 9 2 2 2" xfId="19229" xr:uid="{00000000-0005-0000-0000-00001E4B0000}"/>
    <cellStyle name="Currency 4 9 2 2 3" xfId="19230" xr:uid="{00000000-0005-0000-0000-00001F4B0000}"/>
    <cellStyle name="Currency 4 9 2 3" xfId="19231" xr:uid="{00000000-0005-0000-0000-0000204B0000}"/>
    <cellStyle name="Currency 4 9 2 4" xfId="19232" xr:uid="{00000000-0005-0000-0000-0000214B0000}"/>
    <cellStyle name="Currency 4 9 2 5" xfId="19233" xr:uid="{00000000-0005-0000-0000-0000224B0000}"/>
    <cellStyle name="Currency 4 9 2 6" xfId="19234" xr:uid="{00000000-0005-0000-0000-0000234B0000}"/>
    <cellStyle name="Currency 4 9 3" xfId="19235" xr:uid="{00000000-0005-0000-0000-0000244B0000}"/>
    <cellStyle name="Currency 4 9 3 2" xfId="19236" xr:uid="{00000000-0005-0000-0000-0000254B0000}"/>
    <cellStyle name="Currency 4 9 3 2 2" xfId="19237" xr:uid="{00000000-0005-0000-0000-0000264B0000}"/>
    <cellStyle name="Currency 4 9 3 3" xfId="19238" xr:uid="{00000000-0005-0000-0000-0000274B0000}"/>
    <cellStyle name="Currency 4 9 3 4" xfId="19239" xr:uid="{00000000-0005-0000-0000-0000284B0000}"/>
    <cellStyle name="Currency 4 9 3 5" xfId="19240" xr:uid="{00000000-0005-0000-0000-0000294B0000}"/>
    <cellStyle name="Currency 4 9 4" xfId="19241" xr:uid="{00000000-0005-0000-0000-00002A4B0000}"/>
    <cellStyle name="Currency 4 9 4 2" xfId="19242" xr:uid="{00000000-0005-0000-0000-00002B4B0000}"/>
    <cellStyle name="Currency 4 9 4 3" xfId="19243" xr:uid="{00000000-0005-0000-0000-00002C4B0000}"/>
    <cellStyle name="Currency 4 9 4 4" xfId="19244" xr:uid="{00000000-0005-0000-0000-00002D4B0000}"/>
    <cellStyle name="Currency 4 9 5" xfId="19245" xr:uid="{00000000-0005-0000-0000-00002E4B0000}"/>
    <cellStyle name="Currency 4 9 5 2" xfId="19246" xr:uid="{00000000-0005-0000-0000-00002F4B0000}"/>
    <cellStyle name="Currency 4 9 6" xfId="19247" xr:uid="{00000000-0005-0000-0000-0000304B0000}"/>
    <cellStyle name="Currency 4 9 7" xfId="19248" xr:uid="{00000000-0005-0000-0000-0000314B0000}"/>
    <cellStyle name="Currency 4 9 8" xfId="19249" xr:uid="{00000000-0005-0000-0000-0000324B0000}"/>
    <cellStyle name="Currency 4 9 9" xfId="19250" xr:uid="{00000000-0005-0000-0000-0000334B0000}"/>
    <cellStyle name="Currency 5" xfId="19251" xr:uid="{00000000-0005-0000-0000-0000344B0000}"/>
    <cellStyle name="Currency 5 10" xfId="19252" xr:uid="{00000000-0005-0000-0000-0000354B0000}"/>
    <cellStyle name="Currency 5 2" xfId="19253" xr:uid="{00000000-0005-0000-0000-0000364B0000}"/>
    <cellStyle name="Currency 5 2 2" xfId="19254" xr:uid="{00000000-0005-0000-0000-0000374B0000}"/>
    <cellStyle name="Currency 5 2 2 2" xfId="19255" xr:uid="{00000000-0005-0000-0000-0000384B0000}"/>
    <cellStyle name="Currency 5 2 2 2 2" xfId="19256" xr:uid="{00000000-0005-0000-0000-0000394B0000}"/>
    <cellStyle name="Currency 5 2 2 2 3" xfId="19257" xr:uid="{00000000-0005-0000-0000-00003A4B0000}"/>
    <cellStyle name="Currency 5 2 2 3" xfId="19258" xr:uid="{00000000-0005-0000-0000-00003B4B0000}"/>
    <cellStyle name="Currency 5 2 2 4" xfId="19259" xr:uid="{00000000-0005-0000-0000-00003C4B0000}"/>
    <cellStyle name="Currency 5 2 2 5" xfId="19260" xr:uid="{00000000-0005-0000-0000-00003D4B0000}"/>
    <cellStyle name="Currency 5 2 2 6" xfId="19261" xr:uid="{00000000-0005-0000-0000-00003E4B0000}"/>
    <cellStyle name="Currency 5 2 3" xfId="19262" xr:uid="{00000000-0005-0000-0000-00003F4B0000}"/>
    <cellStyle name="Currency 5 2 3 2" xfId="19263" xr:uid="{00000000-0005-0000-0000-0000404B0000}"/>
    <cellStyle name="Currency 5 2 3 2 2" xfId="19264" xr:uid="{00000000-0005-0000-0000-0000414B0000}"/>
    <cellStyle name="Currency 5 2 3 3" xfId="19265" xr:uid="{00000000-0005-0000-0000-0000424B0000}"/>
    <cellStyle name="Currency 5 2 3 4" xfId="19266" xr:uid="{00000000-0005-0000-0000-0000434B0000}"/>
    <cellStyle name="Currency 5 2 3 5" xfId="19267" xr:uid="{00000000-0005-0000-0000-0000444B0000}"/>
    <cellStyle name="Currency 5 2 4" xfId="19268" xr:uid="{00000000-0005-0000-0000-0000454B0000}"/>
    <cellStyle name="Currency 5 2 4 2" xfId="19269" xr:uid="{00000000-0005-0000-0000-0000464B0000}"/>
    <cellStyle name="Currency 5 2 4 3" xfId="19270" xr:uid="{00000000-0005-0000-0000-0000474B0000}"/>
    <cellStyle name="Currency 5 2 4 4" xfId="19271" xr:uid="{00000000-0005-0000-0000-0000484B0000}"/>
    <cellStyle name="Currency 5 2 5" xfId="19272" xr:uid="{00000000-0005-0000-0000-0000494B0000}"/>
    <cellStyle name="Currency 5 2 5 2" xfId="19273" xr:uid="{00000000-0005-0000-0000-00004A4B0000}"/>
    <cellStyle name="Currency 5 2 6" xfId="19274" xr:uid="{00000000-0005-0000-0000-00004B4B0000}"/>
    <cellStyle name="Currency 5 2 7" xfId="19275" xr:uid="{00000000-0005-0000-0000-00004C4B0000}"/>
    <cellStyle name="Currency 5 2 8" xfId="19276" xr:uid="{00000000-0005-0000-0000-00004D4B0000}"/>
    <cellStyle name="Currency 5 2 9" xfId="19277" xr:uid="{00000000-0005-0000-0000-00004E4B0000}"/>
    <cellStyle name="Currency 5 3" xfId="19278" xr:uid="{00000000-0005-0000-0000-00004F4B0000}"/>
    <cellStyle name="Currency 5 3 2" xfId="19279" xr:uid="{00000000-0005-0000-0000-0000504B0000}"/>
    <cellStyle name="Currency 5 3 2 2" xfId="19280" xr:uid="{00000000-0005-0000-0000-0000514B0000}"/>
    <cellStyle name="Currency 5 3 2 3" xfId="19281" xr:uid="{00000000-0005-0000-0000-0000524B0000}"/>
    <cellStyle name="Currency 5 3 3" xfId="19282" xr:uid="{00000000-0005-0000-0000-0000534B0000}"/>
    <cellStyle name="Currency 5 3 4" xfId="19283" xr:uid="{00000000-0005-0000-0000-0000544B0000}"/>
    <cellStyle name="Currency 5 3 5" xfId="19284" xr:uid="{00000000-0005-0000-0000-0000554B0000}"/>
    <cellStyle name="Currency 5 3 6" xfId="19285" xr:uid="{00000000-0005-0000-0000-0000564B0000}"/>
    <cellStyle name="Currency 5 4" xfId="19286" xr:uid="{00000000-0005-0000-0000-0000574B0000}"/>
    <cellStyle name="Currency 5 4 2" xfId="19287" xr:uid="{00000000-0005-0000-0000-0000584B0000}"/>
    <cellStyle name="Currency 5 4 2 2" xfId="19288" xr:uid="{00000000-0005-0000-0000-0000594B0000}"/>
    <cellStyle name="Currency 5 4 3" xfId="19289" xr:uid="{00000000-0005-0000-0000-00005A4B0000}"/>
    <cellStyle name="Currency 5 4 4" xfId="19290" xr:uid="{00000000-0005-0000-0000-00005B4B0000}"/>
    <cellStyle name="Currency 5 4 5" xfId="19291" xr:uid="{00000000-0005-0000-0000-00005C4B0000}"/>
    <cellStyle name="Currency 5 5" xfId="19292" xr:uid="{00000000-0005-0000-0000-00005D4B0000}"/>
    <cellStyle name="Currency 5 5 2" xfId="19293" xr:uid="{00000000-0005-0000-0000-00005E4B0000}"/>
    <cellStyle name="Currency 5 5 3" xfId="19294" xr:uid="{00000000-0005-0000-0000-00005F4B0000}"/>
    <cellStyle name="Currency 5 5 4" xfId="19295" xr:uid="{00000000-0005-0000-0000-0000604B0000}"/>
    <cellStyle name="Currency 5 6" xfId="19296" xr:uid="{00000000-0005-0000-0000-0000614B0000}"/>
    <cellStyle name="Currency 5 6 2" xfId="19297" xr:uid="{00000000-0005-0000-0000-0000624B0000}"/>
    <cellStyle name="Currency 5 7" xfId="19298" xr:uid="{00000000-0005-0000-0000-0000634B0000}"/>
    <cellStyle name="Currency 5 8" xfId="19299" xr:uid="{00000000-0005-0000-0000-0000644B0000}"/>
    <cellStyle name="Currency 5 9" xfId="19300" xr:uid="{00000000-0005-0000-0000-0000654B0000}"/>
    <cellStyle name="Currency 6" xfId="19301" xr:uid="{00000000-0005-0000-0000-0000664B0000}"/>
    <cellStyle name="Currency 6 2" xfId="19302" xr:uid="{00000000-0005-0000-0000-0000674B0000}"/>
    <cellStyle name="Currency 6 2 2" xfId="19303" xr:uid="{00000000-0005-0000-0000-0000684B0000}"/>
    <cellStyle name="Currency 6 2 2 2" xfId="19304" xr:uid="{00000000-0005-0000-0000-0000694B0000}"/>
    <cellStyle name="Currency 6 2 2 3" xfId="19305" xr:uid="{00000000-0005-0000-0000-00006A4B0000}"/>
    <cellStyle name="Currency 6 2 3" xfId="19306" xr:uid="{00000000-0005-0000-0000-00006B4B0000}"/>
    <cellStyle name="Currency 6 2 4" xfId="19307" xr:uid="{00000000-0005-0000-0000-00006C4B0000}"/>
    <cellStyle name="Currency 6 2 5" xfId="19308" xr:uid="{00000000-0005-0000-0000-00006D4B0000}"/>
    <cellStyle name="Currency 6 2 6" xfId="19309" xr:uid="{00000000-0005-0000-0000-00006E4B0000}"/>
    <cellStyle name="Currency 6 3" xfId="19310" xr:uid="{00000000-0005-0000-0000-00006F4B0000}"/>
    <cellStyle name="Currency 6 3 2" xfId="19311" xr:uid="{00000000-0005-0000-0000-0000704B0000}"/>
    <cellStyle name="Currency 6 3 2 2" xfId="19312" xr:uid="{00000000-0005-0000-0000-0000714B0000}"/>
    <cellStyle name="Currency 6 3 3" xfId="19313" xr:uid="{00000000-0005-0000-0000-0000724B0000}"/>
    <cellStyle name="Currency 6 3 4" xfId="19314" xr:uid="{00000000-0005-0000-0000-0000734B0000}"/>
    <cellStyle name="Currency 6 3 5" xfId="19315" xr:uid="{00000000-0005-0000-0000-0000744B0000}"/>
    <cellStyle name="Currency 6 4" xfId="19316" xr:uid="{00000000-0005-0000-0000-0000754B0000}"/>
    <cellStyle name="Currency 6 4 2" xfId="19317" xr:uid="{00000000-0005-0000-0000-0000764B0000}"/>
    <cellStyle name="Currency 6 4 3" xfId="19318" xr:uid="{00000000-0005-0000-0000-0000774B0000}"/>
    <cellStyle name="Currency 6 4 4" xfId="19319" xr:uid="{00000000-0005-0000-0000-0000784B0000}"/>
    <cellStyle name="Currency 6 5" xfId="19320" xr:uid="{00000000-0005-0000-0000-0000794B0000}"/>
    <cellStyle name="Currency 6 5 2" xfId="19321" xr:uid="{00000000-0005-0000-0000-00007A4B0000}"/>
    <cellStyle name="Currency 6 6" xfId="19322" xr:uid="{00000000-0005-0000-0000-00007B4B0000}"/>
    <cellStyle name="Currency 6 7" xfId="19323" xr:uid="{00000000-0005-0000-0000-00007C4B0000}"/>
    <cellStyle name="Currency 6 8" xfId="19324" xr:uid="{00000000-0005-0000-0000-00007D4B0000}"/>
    <cellStyle name="Currency 6 9" xfId="19325" xr:uid="{00000000-0005-0000-0000-00007E4B0000}"/>
    <cellStyle name="Currency 7" xfId="19326" xr:uid="{00000000-0005-0000-0000-00007F4B0000}"/>
    <cellStyle name="Currency 7 2" xfId="19327" xr:uid="{00000000-0005-0000-0000-0000804B0000}"/>
    <cellStyle name="Currency 7 2 2" xfId="19328" xr:uid="{00000000-0005-0000-0000-0000814B0000}"/>
    <cellStyle name="Currency 7 2 2 2" xfId="19329" xr:uid="{00000000-0005-0000-0000-0000824B0000}"/>
    <cellStyle name="Currency 7 2 3" xfId="19330" xr:uid="{00000000-0005-0000-0000-0000834B0000}"/>
    <cellStyle name="Currency 7 2 4" xfId="19331" xr:uid="{00000000-0005-0000-0000-0000844B0000}"/>
    <cellStyle name="Currency 7 2 5" xfId="19332" xr:uid="{00000000-0005-0000-0000-0000854B0000}"/>
    <cellStyle name="Currency 7 3" xfId="19333" xr:uid="{00000000-0005-0000-0000-0000864B0000}"/>
    <cellStyle name="Currency 7 3 2" xfId="19334" xr:uid="{00000000-0005-0000-0000-0000874B0000}"/>
    <cellStyle name="Currency 7 3 3" xfId="19335" xr:uid="{00000000-0005-0000-0000-0000884B0000}"/>
    <cellStyle name="Currency 7 3 4" xfId="19336" xr:uid="{00000000-0005-0000-0000-0000894B0000}"/>
    <cellStyle name="Currency 7 4" xfId="19337" xr:uid="{00000000-0005-0000-0000-00008A4B0000}"/>
    <cellStyle name="Currency 7 4 2" xfId="19338" xr:uid="{00000000-0005-0000-0000-00008B4B0000}"/>
    <cellStyle name="Currency 7 5" xfId="19339" xr:uid="{00000000-0005-0000-0000-00008C4B0000}"/>
    <cellStyle name="Currency 7 6" xfId="19340" xr:uid="{00000000-0005-0000-0000-00008D4B0000}"/>
    <cellStyle name="Currency 7 7" xfId="19341" xr:uid="{00000000-0005-0000-0000-00008E4B0000}"/>
    <cellStyle name="Currency 7 8" xfId="19342" xr:uid="{00000000-0005-0000-0000-00008F4B0000}"/>
    <cellStyle name="Currency 8" xfId="19343" xr:uid="{00000000-0005-0000-0000-0000904B0000}"/>
    <cellStyle name="Currency 8 2" xfId="19344" xr:uid="{00000000-0005-0000-0000-0000914B0000}"/>
    <cellStyle name="Currency 8 2 2" xfId="19345" xr:uid="{00000000-0005-0000-0000-0000924B0000}"/>
    <cellStyle name="Currency 8 2 2 2" xfId="19346" xr:uid="{00000000-0005-0000-0000-0000934B0000}"/>
    <cellStyle name="Currency 8 2 3" xfId="19347" xr:uid="{00000000-0005-0000-0000-0000944B0000}"/>
    <cellStyle name="Currency 8 2 4" xfId="19348" xr:uid="{00000000-0005-0000-0000-0000954B0000}"/>
    <cellStyle name="Currency 8 2 5" xfId="19349" xr:uid="{00000000-0005-0000-0000-0000964B0000}"/>
    <cellStyle name="Currency 8 3" xfId="19350" xr:uid="{00000000-0005-0000-0000-0000974B0000}"/>
    <cellStyle name="Currency 8 3 2" xfId="19351" xr:uid="{00000000-0005-0000-0000-0000984B0000}"/>
    <cellStyle name="Currency 8 3 3" xfId="19352" xr:uid="{00000000-0005-0000-0000-0000994B0000}"/>
    <cellStyle name="Currency 8 3 4" xfId="19353" xr:uid="{00000000-0005-0000-0000-00009A4B0000}"/>
    <cellStyle name="Currency 8 4" xfId="19354" xr:uid="{00000000-0005-0000-0000-00009B4B0000}"/>
    <cellStyle name="Currency 8 4 2" xfId="19355" xr:uid="{00000000-0005-0000-0000-00009C4B0000}"/>
    <cellStyle name="Currency 8 5" xfId="19356" xr:uid="{00000000-0005-0000-0000-00009D4B0000}"/>
    <cellStyle name="Currency 8 6" xfId="19357" xr:uid="{00000000-0005-0000-0000-00009E4B0000}"/>
    <cellStyle name="Currency 8 7" xfId="19358" xr:uid="{00000000-0005-0000-0000-00009F4B0000}"/>
    <cellStyle name="Currency 8 8" xfId="19359" xr:uid="{00000000-0005-0000-0000-0000A04B0000}"/>
    <cellStyle name="Currency 9" xfId="19360" xr:uid="{00000000-0005-0000-0000-0000A14B0000}"/>
    <cellStyle name="Currency 9 2" xfId="19361" xr:uid="{00000000-0005-0000-0000-0000A24B0000}"/>
    <cellStyle name="Currency 9 2 2" xfId="19362" xr:uid="{00000000-0005-0000-0000-0000A34B0000}"/>
    <cellStyle name="Currency 9 2 3" xfId="19363" xr:uid="{00000000-0005-0000-0000-0000A44B0000}"/>
    <cellStyle name="Currency 9 2 4" xfId="19364" xr:uid="{00000000-0005-0000-0000-0000A54B0000}"/>
    <cellStyle name="Currency 9 3" xfId="19365" xr:uid="{00000000-0005-0000-0000-0000A64B0000}"/>
    <cellStyle name="Currency 9 3 2" xfId="19366" xr:uid="{00000000-0005-0000-0000-0000A74B0000}"/>
    <cellStyle name="Currency 9 4" xfId="19367" xr:uid="{00000000-0005-0000-0000-0000A84B0000}"/>
    <cellStyle name="Currency 9 5" xfId="19368" xr:uid="{00000000-0005-0000-0000-0000A94B0000}"/>
    <cellStyle name="Currency 9 6" xfId="19369" xr:uid="{00000000-0005-0000-0000-0000AA4B0000}"/>
    <cellStyle name="Currency0" xfId="19370" xr:uid="{00000000-0005-0000-0000-0000AB4B0000}"/>
    <cellStyle name="Date" xfId="19371" xr:uid="{00000000-0005-0000-0000-0000AC4B0000}"/>
    <cellStyle name="Fixed" xfId="19372" xr:uid="{00000000-0005-0000-0000-0000AD4B0000}"/>
    <cellStyle name="govt_labor" xfId="19373" xr:uid="{00000000-0005-0000-0000-0000AE4B0000}"/>
    <cellStyle name="Grey" xfId="19374" xr:uid="{00000000-0005-0000-0000-0000AF4B0000}"/>
    <cellStyle name="Heading 1 2" xfId="19375" xr:uid="{00000000-0005-0000-0000-0000B04B0000}"/>
    <cellStyle name="Heading 2 2" xfId="19376" xr:uid="{00000000-0005-0000-0000-0000B14B0000}"/>
    <cellStyle name="Heading1" xfId="19377" xr:uid="{00000000-0005-0000-0000-0000B24B0000}"/>
    <cellStyle name="Heading2" xfId="19378" xr:uid="{00000000-0005-0000-0000-0000B34B0000}"/>
    <cellStyle name="Hyperlink" xfId="42327" builtinId="8"/>
    <cellStyle name="Hyperlink 2" xfId="19379" xr:uid="{00000000-0005-0000-0000-0000B54B0000}"/>
    <cellStyle name="Input [yellow]" xfId="19380" xr:uid="{00000000-0005-0000-0000-0000B64B0000}"/>
    <cellStyle name="Normal" xfId="0" builtinId="0"/>
    <cellStyle name="Normal - Style1" xfId="19381" xr:uid="{00000000-0005-0000-0000-0000B84B0000}"/>
    <cellStyle name="Normal 10" xfId="19382" xr:uid="{00000000-0005-0000-0000-0000B94B0000}"/>
    <cellStyle name="Normal 10 2" xfId="19383" xr:uid="{00000000-0005-0000-0000-0000BA4B0000}"/>
    <cellStyle name="Normal 10 2 2" xfId="19384" xr:uid="{00000000-0005-0000-0000-0000BB4B0000}"/>
    <cellStyle name="Normal 10 3" xfId="19385" xr:uid="{00000000-0005-0000-0000-0000BC4B0000}"/>
    <cellStyle name="Normal 11" xfId="19386" xr:uid="{00000000-0005-0000-0000-0000BD4B0000}"/>
    <cellStyle name="Normal 11 2" xfId="19387" xr:uid="{00000000-0005-0000-0000-0000BE4B0000}"/>
    <cellStyle name="Normal 11 2 2" xfId="19388" xr:uid="{00000000-0005-0000-0000-0000BF4B0000}"/>
    <cellStyle name="Normal 11 3" xfId="19389" xr:uid="{00000000-0005-0000-0000-0000C04B0000}"/>
    <cellStyle name="Normal 11 4" xfId="19390" xr:uid="{00000000-0005-0000-0000-0000C14B0000}"/>
    <cellStyle name="Normal 11 5" xfId="19391" xr:uid="{00000000-0005-0000-0000-0000C24B0000}"/>
    <cellStyle name="Normal 12" xfId="19392" xr:uid="{00000000-0005-0000-0000-0000C34B0000}"/>
    <cellStyle name="Normal 12 10" xfId="19393" xr:uid="{00000000-0005-0000-0000-0000C44B0000}"/>
    <cellStyle name="Normal 12 2" xfId="19394" xr:uid="{00000000-0005-0000-0000-0000C54B0000}"/>
    <cellStyle name="Normal 12 2 2" xfId="19395" xr:uid="{00000000-0005-0000-0000-0000C64B0000}"/>
    <cellStyle name="Normal 12 2 2 2" xfId="19396" xr:uid="{00000000-0005-0000-0000-0000C74B0000}"/>
    <cellStyle name="Normal 12 2 2 2 2" xfId="19397" xr:uid="{00000000-0005-0000-0000-0000C84B0000}"/>
    <cellStyle name="Normal 12 2 2 2 3" xfId="19398" xr:uid="{00000000-0005-0000-0000-0000C94B0000}"/>
    <cellStyle name="Normal 12 2 2 3" xfId="19399" xr:uid="{00000000-0005-0000-0000-0000CA4B0000}"/>
    <cellStyle name="Normal 12 2 2 4" xfId="19400" xr:uid="{00000000-0005-0000-0000-0000CB4B0000}"/>
    <cellStyle name="Normal 12 2 2 5" xfId="19401" xr:uid="{00000000-0005-0000-0000-0000CC4B0000}"/>
    <cellStyle name="Normal 12 2 2 6" xfId="19402" xr:uid="{00000000-0005-0000-0000-0000CD4B0000}"/>
    <cellStyle name="Normal 12 2 3" xfId="19403" xr:uid="{00000000-0005-0000-0000-0000CE4B0000}"/>
    <cellStyle name="Normal 12 2 3 2" xfId="19404" xr:uid="{00000000-0005-0000-0000-0000CF4B0000}"/>
    <cellStyle name="Normal 12 2 3 2 2" xfId="19405" xr:uid="{00000000-0005-0000-0000-0000D04B0000}"/>
    <cellStyle name="Normal 12 2 3 3" xfId="19406" xr:uid="{00000000-0005-0000-0000-0000D14B0000}"/>
    <cellStyle name="Normal 12 2 3 4" xfId="19407" xr:uid="{00000000-0005-0000-0000-0000D24B0000}"/>
    <cellStyle name="Normal 12 2 3 5" xfId="19408" xr:uid="{00000000-0005-0000-0000-0000D34B0000}"/>
    <cellStyle name="Normal 12 2 4" xfId="19409" xr:uid="{00000000-0005-0000-0000-0000D44B0000}"/>
    <cellStyle name="Normal 12 2 4 2" xfId="19410" xr:uid="{00000000-0005-0000-0000-0000D54B0000}"/>
    <cellStyle name="Normal 12 2 4 3" xfId="19411" xr:uid="{00000000-0005-0000-0000-0000D64B0000}"/>
    <cellStyle name="Normal 12 2 4 4" xfId="19412" xr:uid="{00000000-0005-0000-0000-0000D74B0000}"/>
    <cellStyle name="Normal 12 2 5" xfId="19413" xr:uid="{00000000-0005-0000-0000-0000D84B0000}"/>
    <cellStyle name="Normal 12 2 5 2" xfId="19414" xr:uid="{00000000-0005-0000-0000-0000D94B0000}"/>
    <cellStyle name="Normal 12 2 6" xfId="19415" xr:uid="{00000000-0005-0000-0000-0000DA4B0000}"/>
    <cellStyle name="Normal 12 2 7" xfId="19416" xr:uid="{00000000-0005-0000-0000-0000DB4B0000}"/>
    <cellStyle name="Normal 12 2 8" xfId="19417" xr:uid="{00000000-0005-0000-0000-0000DC4B0000}"/>
    <cellStyle name="Normal 12 2 9" xfId="19418" xr:uid="{00000000-0005-0000-0000-0000DD4B0000}"/>
    <cellStyle name="Normal 12 3" xfId="19419" xr:uid="{00000000-0005-0000-0000-0000DE4B0000}"/>
    <cellStyle name="Normal 12 3 2" xfId="19420" xr:uid="{00000000-0005-0000-0000-0000DF4B0000}"/>
    <cellStyle name="Normal 12 3 2 2" xfId="19421" xr:uid="{00000000-0005-0000-0000-0000E04B0000}"/>
    <cellStyle name="Normal 12 3 2 3" xfId="19422" xr:uid="{00000000-0005-0000-0000-0000E14B0000}"/>
    <cellStyle name="Normal 12 3 3" xfId="19423" xr:uid="{00000000-0005-0000-0000-0000E24B0000}"/>
    <cellStyle name="Normal 12 3 4" xfId="19424" xr:uid="{00000000-0005-0000-0000-0000E34B0000}"/>
    <cellStyle name="Normal 12 3 5" xfId="19425" xr:uid="{00000000-0005-0000-0000-0000E44B0000}"/>
    <cellStyle name="Normal 12 3 6" xfId="19426" xr:uid="{00000000-0005-0000-0000-0000E54B0000}"/>
    <cellStyle name="Normal 12 4" xfId="19427" xr:uid="{00000000-0005-0000-0000-0000E64B0000}"/>
    <cellStyle name="Normal 12 4 2" xfId="19428" xr:uid="{00000000-0005-0000-0000-0000E74B0000}"/>
    <cellStyle name="Normal 12 4 2 2" xfId="19429" xr:uid="{00000000-0005-0000-0000-0000E84B0000}"/>
    <cellStyle name="Normal 12 4 3" xfId="19430" xr:uid="{00000000-0005-0000-0000-0000E94B0000}"/>
    <cellStyle name="Normal 12 4 4" xfId="19431" xr:uid="{00000000-0005-0000-0000-0000EA4B0000}"/>
    <cellStyle name="Normal 12 4 5" xfId="19432" xr:uid="{00000000-0005-0000-0000-0000EB4B0000}"/>
    <cellStyle name="Normal 12 5" xfId="19433" xr:uid="{00000000-0005-0000-0000-0000EC4B0000}"/>
    <cellStyle name="Normal 12 5 2" xfId="19434" xr:uid="{00000000-0005-0000-0000-0000ED4B0000}"/>
    <cellStyle name="Normal 12 5 2 2" xfId="19435" xr:uid="{00000000-0005-0000-0000-0000EE4B0000}"/>
    <cellStyle name="Normal 12 5 3" xfId="19436" xr:uid="{00000000-0005-0000-0000-0000EF4B0000}"/>
    <cellStyle name="Normal 12 5 4" xfId="19437" xr:uid="{00000000-0005-0000-0000-0000F04B0000}"/>
    <cellStyle name="Normal 12 5 5" xfId="19438" xr:uid="{00000000-0005-0000-0000-0000F14B0000}"/>
    <cellStyle name="Normal 12 6" xfId="19439" xr:uid="{00000000-0005-0000-0000-0000F24B0000}"/>
    <cellStyle name="Normal 12 6 2" xfId="19440" xr:uid="{00000000-0005-0000-0000-0000F34B0000}"/>
    <cellStyle name="Normal 12 7" xfId="19441" xr:uid="{00000000-0005-0000-0000-0000F44B0000}"/>
    <cellStyle name="Normal 12 8" xfId="19442" xr:uid="{00000000-0005-0000-0000-0000F54B0000}"/>
    <cellStyle name="Normal 12 9" xfId="19443" xr:uid="{00000000-0005-0000-0000-0000F64B0000}"/>
    <cellStyle name="Normal 13" xfId="19444" xr:uid="{00000000-0005-0000-0000-0000F74B0000}"/>
    <cellStyle name="Normal 13 10" xfId="19445" xr:uid="{00000000-0005-0000-0000-0000F84B0000}"/>
    <cellStyle name="Normal 13 2" xfId="19446" xr:uid="{00000000-0005-0000-0000-0000F94B0000}"/>
    <cellStyle name="Normal 13 2 2" xfId="19447" xr:uid="{00000000-0005-0000-0000-0000FA4B0000}"/>
    <cellStyle name="Normal 13 2 2 2" xfId="19448" xr:uid="{00000000-0005-0000-0000-0000FB4B0000}"/>
    <cellStyle name="Normal 13 2 2 2 2" xfId="19449" xr:uid="{00000000-0005-0000-0000-0000FC4B0000}"/>
    <cellStyle name="Normal 13 2 2 2 3" xfId="19450" xr:uid="{00000000-0005-0000-0000-0000FD4B0000}"/>
    <cellStyle name="Normal 13 2 2 3" xfId="19451" xr:uid="{00000000-0005-0000-0000-0000FE4B0000}"/>
    <cellStyle name="Normal 13 2 2 4" xfId="19452" xr:uid="{00000000-0005-0000-0000-0000FF4B0000}"/>
    <cellStyle name="Normal 13 2 2 5" xfId="19453" xr:uid="{00000000-0005-0000-0000-0000004C0000}"/>
    <cellStyle name="Normal 13 2 2 6" xfId="19454" xr:uid="{00000000-0005-0000-0000-0000014C0000}"/>
    <cellStyle name="Normal 13 2 3" xfId="19455" xr:uid="{00000000-0005-0000-0000-0000024C0000}"/>
    <cellStyle name="Normal 13 2 3 2" xfId="19456" xr:uid="{00000000-0005-0000-0000-0000034C0000}"/>
    <cellStyle name="Normal 13 2 3 2 2" xfId="19457" xr:uid="{00000000-0005-0000-0000-0000044C0000}"/>
    <cellStyle name="Normal 13 2 3 3" xfId="19458" xr:uid="{00000000-0005-0000-0000-0000054C0000}"/>
    <cellStyle name="Normal 13 2 3 4" xfId="19459" xr:uid="{00000000-0005-0000-0000-0000064C0000}"/>
    <cellStyle name="Normal 13 2 3 5" xfId="19460" xr:uid="{00000000-0005-0000-0000-0000074C0000}"/>
    <cellStyle name="Normal 13 2 4" xfId="19461" xr:uid="{00000000-0005-0000-0000-0000084C0000}"/>
    <cellStyle name="Normal 13 2 4 2" xfId="19462" xr:uid="{00000000-0005-0000-0000-0000094C0000}"/>
    <cellStyle name="Normal 13 2 4 3" xfId="19463" xr:uid="{00000000-0005-0000-0000-00000A4C0000}"/>
    <cellStyle name="Normal 13 2 4 4" xfId="19464" xr:uid="{00000000-0005-0000-0000-00000B4C0000}"/>
    <cellStyle name="Normal 13 2 5" xfId="19465" xr:uid="{00000000-0005-0000-0000-00000C4C0000}"/>
    <cellStyle name="Normal 13 2 5 2" xfId="19466" xr:uid="{00000000-0005-0000-0000-00000D4C0000}"/>
    <cellStyle name="Normal 13 2 6" xfId="19467" xr:uid="{00000000-0005-0000-0000-00000E4C0000}"/>
    <cellStyle name="Normal 13 2 7" xfId="19468" xr:uid="{00000000-0005-0000-0000-00000F4C0000}"/>
    <cellStyle name="Normal 13 2 8" xfId="19469" xr:uid="{00000000-0005-0000-0000-0000104C0000}"/>
    <cellStyle name="Normal 13 2 9" xfId="19470" xr:uid="{00000000-0005-0000-0000-0000114C0000}"/>
    <cellStyle name="Normal 13 3" xfId="19471" xr:uid="{00000000-0005-0000-0000-0000124C0000}"/>
    <cellStyle name="Normal 13 3 2" xfId="19472" xr:uid="{00000000-0005-0000-0000-0000134C0000}"/>
    <cellStyle name="Normal 13 3 2 2" xfId="19473" xr:uid="{00000000-0005-0000-0000-0000144C0000}"/>
    <cellStyle name="Normal 13 3 2 3" xfId="19474" xr:uid="{00000000-0005-0000-0000-0000154C0000}"/>
    <cellStyle name="Normal 13 3 3" xfId="19475" xr:uid="{00000000-0005-0000-0000-0000164C0000}"/>
    <cellStyle name="Normal 13 3 4" xfId="19476" xr:uid="{00000000-0005-0000-0000-0000174C0000}"/>
    <cellStyle name="Normal 13 3 5" xfId="19477" xr:uid="{00000000-0005-0000-0000-0000184C0000}"/>
    <cellStyle name="Normal 13 3 6" xfId="19478" xr:uid="{00000000-0005-0000-0000-0000194C0000}"/>
    <cellStyle name="Normal 13 4" xfId="19479" xr:uid="{00000000-0005-0000-0000-00001A4C0000}"/>
    <cellStyle name="Normal 13 4 2" xfId="19480" xr:uid="{00000000-0005-0000-0000-00001B4C0000}"/>
    <cellStyle name="Normal 13 4 2 2" xfId="19481" xr:uid="{00000000-0005-0000-0000-00001C4C0000}"/>
    <cellStyle name="Normal 13 4 3" xfId="19482" xr:uid="{00000000-0005-0000-0000-00001D4C0000}"/>
    <cellStyle name="Normal 13 4 4" xfId="19483" xr:uid="{00000000-0005-0000-0000-00001E4C0000}"/>
    <cellStyle name="Normal 13 4 5" xfId="19484" xr:uid="{00000000-0005-0000-0000-00001F4C0000}"/>
    <cellStyle name="Normal 13 5" xfId="19485" xr:uid="{00000000-0005-0000-0000-0000204C0000}"/>
    <cellStyle name="Normal 13 5 2" xfId="19486" xr:uid="{00000000-0005-0000-0000-0000214C0000}"/>
    <cellStyle name="Normal 13 5 2 2" xfId="19487" xr:uid="{00000000-0005-0000-0000-0000224C0000}"/>
    <cellStyle name="Normal 13 5 3" xfId="19488" xr:uid="{00000000-0005-0000-0000-0000234C0000}"/>
    <cellStyle name="Normal 13 5 4" xfId="19489" xr:uid="{00000000-0005-0000-0000-0000244C0000}"/>
    <cellStyle name="Normal 13 5 5" xfId="19490" xr:uid="{00000000-0005-0000-0000-0000254C0000}"/>
    <cellStyle name="Normal 13 6" xfId="19491" xr:uid="{00000000-0005-0000-0000-0000264C0000}"/>
    <cellStyle name="Normal 13 6 2" xfId="19492" xr:uid="{00000000-0005-0000-0000-0000274C0000}"/>
    <cellStyle name="Normal 13 7" xfId="19493" xr:uid="{00000000-0005-0000-0000-0000284C0000}"/>
    <cellStyle name="Normal 13 8" xfId="19494" xr:uid="{00000000-0005-0000-0000-0000294C0000}"/>
    <cellStyle name="Normal 13 9" xfId="19495" xr:uid="{00000000-0005-0000-0000-00002A4C0000}"/>
    <cellStyle name="Normal 14" xfId="19496" xr:uid="{00000000-0005-0000-0000-00002B4C0000}"/>
    <cellStyle name="Normal 14 10" xfId="19497" xr:uid="{00000000-0005-0000-0000-00002C4C0000}"/>
    <cellStyle name="Normal 14 2" xfId="19498" xr:uid="{00000000-0005-0000-0000-00002D4C0000}"/>
    <cellStyle name="Normal 14 2 2" xfId="19499" xr:uid="{00000000-0005-0000-0000-00002E4C0000}"/>
    <cellStyle name="Normal 14 2 2 2" xfId="19500" xr:uid="{00000000-0005-0000-0000-00002F4C0000}"/>
    <cellStyle name="Normal 14 2 2 2 2" xfId="19501" xr:uid="{00000000-0005-0000-0000-0000304C0000}"/>
    <cellStyle name="Normal 14 2 2 2 3" xfId="19502" xr:uid="{00000000-0005-0000-0000-0000314C0000}"/>
    <cellStyle name="Normal 14 2 2 3" xfId="19503" xr:uid="{00000000-0005-0000-0000-0000324C0000}"/>
    <cellStyle name="Normal 14 2 2 4" xfId="19504" xr:uid="{00000000-0005-0000-0000-0000334C0000}"/>
    <cellStyle name="Normal 14 2 2 5" xfId="19505" xr:uid="{00000000-0005-0000-0000-0000344C0000}"/>
    <cellStyle name="Normal 14 2 2 6" xfId="19506" xr:uid="{00000000-0005-0000-0000-0000354C0000}"/>
    <cellStyle name="Normal 14 2 3" xfId="19507" xr:uid="{00000000-0005-0000-0000-0000364C0000}"/>
    <cellStyle name="Normal 14 2 3 2" xfId="19508" xr:uid="{00000000-0005-0000-0000-0000374C0000}"/>
    <cellStyle name="Normal 14 2 3 2 2" xfId="19509" xr:uid="{00000000-0005-0000-0000-0000384C0000}"/>
    <cellStyle name="Normal 14 2 3 3" xfId="19510" xr:uid="{00000000-0005-0000-0000-0000394C0000}"/>
    <cellStyle name="Normal 14 2 3 4" xfId="19511" xr:uid="{00000000-0005-0000-0000-00003A4C0000}"/>
    <cellStyle name="Normal 14 2 3 5" xfId="19512" xr:uid="{00000000-0005-0000-0000-00003B4C0000}"/>
    <cellStyle name="Normal 14 2 4" xfId="19513" xr:uid="{00000000-0005-0000-0000-00003C4C0000}"/>
    <cellStyle name="Normal 14 2 4 2" xfId="19514" xr:uid="{00000000-0005-0000-0000-00003D4C0000}"/>
    <cellStyle name="Normal 14 2 4 3" xfId="19515" xr:uid="{00000000-0005-0000-0000-00003E4C0000}"/>
    <cellStyle name="Normal 14 2 4 4" xfId="19516" xr:uid="{00000000-0005-0000-0000-00003F4C0000}"/>
    <cellStyle name="Normal 14 2 5" xfId="19517" xr:uid="{00000000-0005-0000-0000-0000404C0000}"/>
    <cellStyle name="Normal 14 2 5 2" xfId="19518" xr:uid="{00000000-0005-0000-0000-0000414C0000}"/>
    <cellStyle name="Normal 14 2 6" xfId="19519" xr:uid="{00000000-0005-0000-0000-0000424C0000}"/>
    <cellStyle name="Normal 14 2 7" xfId="19520" xr:uid="{00000000-0005-0000-0000-0000434C0000}"/>
    <cellStyle name="Normal 14 2 8" xfId="19521" xr:uid="{00000000-0005-0000-0000-0000444C0000}"/>
    <cellStyle name="Normal 14 2 9" xfId="19522" xr:uid="{00000000-0005-0000-0000-0000454C0000}"/>
    <cellStyle name="Normal 14 3" xfId="19523" xr:uid="{00000000-0005-0000-0000-0000464C0000}"/>
    <cellStyle name="Normal 14 3 2" xfId="19524" xr:uid="{00000000-0005-0000-0000-0000474C0000}"/>
    <cellStyle name="Normal 14 3 2 2" xfId="19525" xr:uid="{00000000-0005-0000-0000-0000484C0000}"/>
    <cellStyle name="Normal 14 3 2 3" xfId="19526" xr:uid="{00000000-0005-0000-0000-0000494C0000}"/>
    <cellStyle name="Normal 14 3 3" xfId="19527" xr:uid="{00000000-0005-0000-0000-00004A4C0000}"/>
    <cellStyle name="Normal 14 3 4" xfId="19528" xr:uid="{00000000-0005-0000-0000-00004B4C0000}"/>
    <cellStyle name="Normal 14 3 5" xfId="19529" xr:uid="{00000000-0005-0000-0000-00004C4C0000}"/>
    <cellStyle name="Normal 14 3 6" xfId="19530" xr:uid="{00000000-0005-0000-0000-00004D4C0000}"/>
    <cellStyle name="Normal 14 4" xfId="19531" xr:uid="{00000000-0005-0000-0000-00004E4C0000}"/>
    <cellStyle name="Normal 14 4 2" xfId="19532" xr:uid="{00000000-0005-0000-0000-00004F4C0000}"/>
    <cellStyle name="Normal 14 4 2 2" xfId="19533" xr:uid="{00000000-0005-0000-0000-0000504C0000}"/>
    <cellStyle name="Normal 14 4 3" xfId="19534" xr:uid="{00000000-0005-0000-0000-0000514C0000}"/>
    <cellStyle name="Normal 14 4 4" xfId="19535" xr:uid="{00000000-0005-0000-0000-0000524C0000}"/>
    <cellStyle name="Normal 14 4 5" xfId="19536" xr:uid="{00000000-0005-0000-0000-0000534C0000}"/>
    <cellStyle name="Normal 14 5" xfId="19537" xr:uid="{00000000-0005-0000-0000-0000544C0000}"/>
    <cellStyle name="Normal 14 5 2" xfId="19538" xr:uid="{00000000-0005-0000-0000-0000554C0000}"/>
    <cellStyle name="Normal 14 5 3" xfId="19539" xr:uid="{00000000-0005-0000-0000-0000564C0000}"/>
    <cellStyle name="Normal 14 5 4" xfId="19540" xr:uid="{00000000-0005-0000-0000-0000574C0000}"/>
    <cellStyle name="Normal 14 6" xfId="19541" xr:uid="{00000000-0005-0000-0000-0000584C0000}"/>
    <cellStyle name="Normal 14 6 2" xfId="19542" xr:uid="{00000000-0005-0000-0000-0000594C0000}"/>
    <cellStyle name="Normal 14 7" xfId="19543" xr:uid="{00000000-0005-0000-0000-00005A4C0000}"/>
    <cellStyle name="Normal 14 8" xfId="19544" xr:uid="{00000000-0005-0000-0000-00005B4C0000}"/>
    <cellStyle name="Normal 14 9" xfId="19545" xr:uid="{00000000-0005-0000-0000-00005C4C0000}"/>
    <cellStyle name="Normal 15" xfId="19546" xr:uid="{00000000-0005-0000-0000-00005D4C0000}"/>
    <cellStyle name="Normal 15 2" xfId="19547" xr:uid="{00000000-0005-0000-0000-00005E4C0000}"/>
    <cellStyle name="Normal 15 2 2" xfId="19548" xr:uid="{00000000-0005-0000-0000-00005F4C0000}"/>
    <cellStyle name="Normal 15 2 2 2" xfId="19549" xr:uid="{00000000-0005-0000-0000-0000604C0000}"/>
    <cellStyle name="Normal 15 2 2 3" xfId="19550" xr:uid="{00000000-0005-0000-0000-0000614C0000}"/>
    <cellStyle name="Normal 15 2 3" xfId="19551" xr:uid="{00000000-0005-0000-0000-0000624C0000}"/>
    <cellStyle name="Normal 15 2 4" xfId="19552" xr:uid="{00000000-0005-0000-0000-0000634C0000}"/>
    <cellStyle name="Normal 15 2 5" xfId="19553" xr:uid="{00000000-0005-0000-0000-0000644C0000}"/>
    <cellStyle name="Normal 15 2 6" xfId="19554" xr:uid="{00000000-0005-0000-0000-0000654C0000}"/>
    <cellStyle name="Normal 15 3" xfId="19555" xr:uid="{00000000-0005-0000-0000-0000664C0000}"/>
    <cellStyle name="Normal 15 3 2" xfId="19556" xr:uid="{00000000-0005-0000-0000-0000674C0000}"/>
    <cellStyle name="Normal 15 3 2 2" xfId="19557" xr:uid="{00000000-0005-0000-0000-0000684C0000}"/>
    <cellStyle name="Normal 15 3 3" xfId="19558" xr:uid="{00000000-0005-0000-0000-0000694C0000}"/>
    <cellStyle name="Normal 15 3 4" xfId="19559" xr:uid="{00000000-0005-0000-0000-00006A4C0000}"/>
    <cellStyle name="Normal 15 3 5" xfId="19560" xr:uid="{00000000-0005-0000-0000-00006B4C0000}"/>
    <cellStyle name="Normal 15 4" xfId="19561" xr:uid="{00000000-0005-0000-0000-00006C4C0000}"/>
    <cellStyle name="Normal 15 4 2" xfId="19562" xr:uid="{00000000-0005-0000-0000-00006D4C0000}"/>
    <cellStyle name="Normal 15 4 3" xfId="19563" xr:uid="{00000000-0005-0000-0000-00006E4C0000}"/>
    <cellStyle name="Normal 15 4 4" xfId="19564" xr:uid="{00000000-0005-0000-0000-00006F4C0000}"/>
    <cellStyle name="Normal 15 5" xfId="19565" xr:uid="{00000000-0005-0000-0000-0000704C0000}"/>
    <cellStyle name="Normal 15 5 2" xfId="19566" xr:uid="{00000000-0005-0000-0000-0000714C0000}"/>
    <cellStyle name="Normal 15 6" xfId="19567" xr:uid="{00000000-0005-0000-0000-0000724C0000}"/>
    <cellStyle name="Normal 15 7" xfId="19568" xr:uid="{00000000-0005-0000-0000-0000734C0000}"/>
    <cellStyle name="Normal 15 8" xfId="19569" xr:uid="{00000000-0005-0000-0000-0000744C0000}"/>
    <cellStyle name="Normal 15 9" xfId="19570" xr:uid="{00000000-0005-0000-0000-0000754C0000}"/>
    <cellStyle name="Normal 16" xfId="19571" xr:uid="{00000000-0005-0000-0000-0000764C0000}"/>
    <cellStyle name="Normal 16 2" xfId="19572" xr:uid="{00000000-0005-0000-0000-0000774C0000}"/>
    <cellStyle name="Normal 16 2 2" xfId="19573" xr:uid="{00000000-0005-0000-0000-0000784C0000}"/>
    <cellStyle name="Normal 16 2 2 2" xfId="19574" xr:uid="{00000000-0005-0000-0000-0000794C0000}"/>
    <cellStyle name="Normal 16 2 3" xfId="19575" xr:uid="{00000000-0005-0000-0000-00007A4C0000}"/>
    <cellStyle name="Normal 16 2 4" xfId="19576" xr:uid="{00000000-0005-0000-0000-00007B4C0000}"/>
    <cellStyle name="Normal 16 2 5" xfId="19577" xr:uid="{00000000-0005-0000-0000-00007C4C0000}"/>
    <cellStyle name="Normal 16 2 6" xfId="19578" xr:uid="{00000000-0005-0000-0000-00007D4C0000}"/>
    <cellStyle name="Normal 16 3" xfId="19579" xr:uid="{00000000-0005-0000-0000-00007E4C0000}"/>
    <cellStyle name="Normal 16 3 2" xfId="19580" xr:uid="{00000000-0005-0000-0000-00007F4C0000}"/>
    <cellStyle name="Normal 16 3 3" xfId="19581" xr:uid="{00000000-0005-0000-0000-0000804C0000}"/>
    <cellStyle name="Normal 16 3 4" xfId="19582" xr:uid="{00000000-0005-0000-0000-0000814C0000}"/>
    <cellStyle name="Normal 16 4" xfId="19583" xr:uid="{00000000-0005-0000-0000-0000824C0000}"/>
    <cellStyle name="Normal 16 4 2" xfId="19584" xr:uid="{00000000-0005-0000-0000-0000834C0000}"/>
    <cellStyle name="Normal 16 5" xfId="19585" xr:uid="{00000000-0005-0000-0000-0000844C0000}"/>
    <cellStyle name="Normal 16 6" xfId="19586" xr:uid="{00000000-0005-0000-0000-0000854C0000}"/>
    <cellStyle name="Normal 16 7" xfId="19587" xr:uid="{00000000-0005-0000-0000-0000864C0000}"/>
    <cellStyle name="Normal 16 8" xfId="19588" xr:uid="{00000000-0005-0000-0000-0000874C0000}"/>
    <cellStyle name="Normal 17" xfId="19589" xr:uid="{00000000-0005-0000-0000-0000884C0000}"/>
    <cellStyle name="Normal 17 2" xfId="19590" xr:uid="{00000000-0005-0000-0000-0000894C0000}"/>
    <cellStyle name="Normal 17 2 2" xfId="19591" xr:uid="{00000000-0005-0000-0000-00008A4C0000}"/>
    <cellStyle name="Normal 17 2 2 2" xfId="19592" xr:uid="{00000000-0005-0000-0000-00008B4C0000}"/>
    <cellStyle name="Normal 17 2 3" xfId="19593" xr:uid="{00000000-0005-0000-0000-00008C4C0000}"/>
    <cellStyle name="Normal 17 2 4" xfId="19594" xr:uid="{00000000-0005-0000-0000-00008D4C0000}"/>
    <cellStyle name="Normal 17 2 5" xfId="19595" xr:uid="{00000000-0005-0000-0000-00008E4C0000}"/>
    <cellStyle name="Normal 17 2 6" xfId="19596" xr:uid="{00000000-0005-0000-0000-00008F4C0000}"/>
    <cellStyle name="Normal 17 3" xfId="19597" xr:uid="{00000000-0005-0000-0000-0000904C0000}"/>
    <cellStyle name="Normal 17 3 2" xfId="19598" xr:uid="{00000000-0005-0000-0000-0000914C0000}"/>
    <cellStyle name="Normal 17 3 3" xfId="19599" xr:uid="{00000000-0005-0000-0000-0000924C0000}"/>
    <cellStyle name="Normal 17 3 4" xfId="19600" xr:uid="{00000000-0005-0000-0000-0000934C0000}"/>
    <cellStyle name="Normal 17 4" xfId="19601" xr:uid="{00000000-0005-0000-0000-0000944C0000}"/>
    <cellStyle name="Normal 17 4 2" xfId="19602" xr:uid="{00000000-0005-0000-0000-0000954C0000}"/>
    <cellStyle name="Normal 17 5" xfId="19603" xr:uid="{00000000-0005-0000-0000-0000964C0000}"/>
    <cellStyle name="Normal 17 6" xfId="19604" xr:uid="{00000000-0005-0000-0000-0000974C0000}"/>
    <cellStyle name="Normal 17 7" xfId="19605" xr:uid="{00000000-0005-0000-0000-0000984C0000}"/>
    <cellStyle name="Normal 17 8" xfId="19606" xr:uid="{00000000-0005-0000-0000-0000994C0000}"/>
    <cellStyle name="Normal 18" xfId="19607" xr:uid="{00000000-0005-0000-0000-00009A4C0000}"/>
    <cellStyle name="Normal 18 2" xfId="19608" xr:uid="{00000000-0005-0000-0000-00009B4C0000}"/>
    <cellStyle name="Normal 18 2 2" xfId="19609" xr:uid="{00000000-0005-0000-0000-00009C4C0000}"/>
    <cellStyle name="Normal 18 2 3" xfId="19610" xr:uid="{00000000-0005-0000-0000-00009D4C0000}"/>
    <cellStyle name="Normal 18 2 4" xfId="19611" xr:uid="{00000000-0005-0000-0000-00009E4C0000}"/>
    <cellStyle name="Normal 18 2 5" xfId="19612" xr:uid="{00000000-0005-0000-0000-00009F4C0000}"/>
    <cellStyle name="Normal 18 3" xfId="19613" xr:uid="{00000000-0005-0000-0000-0000A04C0000}"/>
    <cellStyle name="Normal 18 3 2" xfId="19614" xr:uid="{00000000-0005-0000-0000-0000A14C0000}"/>
    <cellStyle name="Normal 18 4" xfId="19615" xr:uid="{00000000-0005-0000-0000-0000A24C0000}"/>
    <cellStyle name="Normal 18 5" xfId="19616" xr:uid="{00000000-0005-0000-0000-0000A34C0000}"/>
    <cellStyle name="Normal 18 6" xfId="19617" xr:uid="{00000000-0005-0000-0000-0000A44C0000}"/>
    <cellStyle name="Normal 18 7" xfId="19618" xr:uid="{00000000-0005-0000-0000-0000A54C0000}"/>
    <cellStyle name="Normal 19" xfId="19619" xr:uid="{00000000-0005-0000-0000-0000A64C0000}"/>
    <cellStyle name="Normal 19 2" xfId="19620" xr:uid="{00000000-0005-0000-0000-0000A74C0000}"/>
    <cellStyle name="Normal 19 2 2" xfId="19621" xr:uid="{00000000-0005-0000-0000-0000A84C0000}"/>
    <cellStyle name="Normal 19 2 3" xfId="19622" xr:uid="{00000000-0005-0000-0000-0000A94C0000}"/>
    <cellStyle name="Normal 19 2 4" xfId="19623" xr:uid="{00000000-0005-0000-0000-0000AA4C0000}"/>
    <cellStyle name="Normal 19 2 5" xfId="19624" xr:uid="{00000000-0005-0000-0000-0000AB4C0000}"/>
    <cellStyle name="Normal 19 3" xfId="19625" xr:uid="{00000000-0005-0000-0000-0000AC4C0000}"/>
    <cellStyle name="Normal 19 3 2" xfId="19626" xr:uid="{00000000-0005-0000-0000-0000AD4C0000}"/>
    <cellStyle name="Normal 19 4" xfId="19627" xr:uid="{00000000-0005-0000-0000-0000AE4C0000}"/>
    <cellStyle name="Normal 19 5" xfId="19628" xr:uid="{00000000-0005-0000-0000-0000AF4C0000}"/>
    <cellStyle name="Normal 19 6" xfId="19629" xr:uid="{00000000-0005-0000-0000-0000B04C0000}"/>
    <cellStyle name="Normal 19 7" xfId="19630" xr:uid="{00000000-0005-0000-0000-0000B14C0000}"/>
    <cellStyle name="Normal 2" xfId="19631" xr:uid="{00000000-0005-0000-0000-0000B24C0000}"/>
    <cellStyle name="Normal 2 10" xfId="19632" xr:uid="{00000000-0005-0000-0000-0000B34C0000}"/>
    <cellStyle name="Normal 2 10 2" xfId="19633" xr:uid="{00000000-0005-0000-0000-0000B44C0000}"/>
    <cellStyle name="Normal 2 10 2 2" xfId="19634" xr:uid="{00000000-0005-0000-0000-0000B54C0000}"/>
    <cellStyle name="Normal 2 10 3" xfId="19635" xr:uid="{00000000-0005-0000-0000-0000B64C0000}"/>
    <cellStyle name="Normal 2 10 3 2" xfId="19636" xr:uid="{00000000-0005-0000-0000-0000B74C0000}"/>
    <cellStyle name="Normal 2 10 4" xfId="19637" xr:uid="{00000000-0005-0000-0000-0000B84C0000}"/>
    <cellStyle name="Normal 2 10 5" xfId="19638" xr:uid="{00000000-0005-0000-0000-0000B94C0000}"/>
    <cellStyle name="Normal 2 10 6" xfId="19639" xr:uid="{00000000-0005-0000-0000-0000BA4C0000}"/>
    <cellStyle name="Normal 2 10 7" xfId="19640" xr:uid="{00000000-0005-0000-0000-0000BB4C0000}"/>
    <cellStyle name="Normal 2 10 8" xfId="19641" xr:uid="{00000000-0005-0000-0000-0000BC4C0000}"/>
    <cellStyle name="Normal 2 11" xfId="19642" xr:uid="{00000000-0005-0000-0000-0000BD4C0000}"/>
    <cellStyle name="Normal 2 11 10" xfId="19643" xr:uid="{00000000-0005-0000-0000-0000BE4C0000}"/>
    <cellStyle name="Normal 2 11 10 10" xfId="19644" xr:uid="{00000000-0005-0000-0000-0000BF4C0000}"/>
    <cellStyle name="Normal 2 11 10 2" xfId="19645" xr:uid="{00000000-0005-0000-0000-0000C04C0000}"/>
    <cellStyle name="Normal 2 11 10 2 2" xfId="19646" xr:uid="{00000000-0005-0000-0000-0000C14C0000}"/>
    <cellStyle name="Normal 2 11 10 2 2 2" xfId="19647" xr:uid="{00000000-0005-0000-0000-0000C24C0000}"/>
    <cellStyle name="Normal 2 11 10 2 2 3" xfId="19648" xr:uid="{00000000-0005-0000-0000-0000C34C0000}"/>
    <cellStyle name="Normal 2 11 10 2 3" xfId="19649" xr:uid="{00000000-0005-0000-0000-0000C44C0000}"/>
    <cellStyle name="Normal 2 11 10 2 4" xfId="19650" xr:uid="{00000000-0005-0000-0000-0000C54C0000}"/>
    <cellStyle name="Normal 2 11 10 2 5" xfId="19651" xr:uid="{00000000-0005-0000-0000-0000C64C0000}"/>
    <cellStyle name="Normal 2 11 10 2 6" xfId="19652" xr:uid="{00000000-0005-0000-0000-0000C74C0000}"/>
    <cellStyle name="Normal 2 11 10 3" xfId="19653" xr:uid="{00000000-0005-0000-0000-0000C84C0000}"/>
    <cellStyle name="Normal 2 11 10 3 2" xfId="19654" xr:uid="{00000000-0005-0000-0000-0000C94C0000}"/>
    <cellStyle name="Normal 2 11 10 3 2 2" xfId="19655" xr:uid="{00000000-0005-0000-0000-0000CA4C0000}"/>
    <cellStyle name="Normal 2 11 10 3 2 3" xfId="19656" xr:uid="{00000000-0005-0000-0000-0000CB4C0000}"/>
    <cellStyle name="Normal 2 11 10 3 3" xfId="19657" xr:uid="{00000000-0005-0000-0000-0000CC4C0000}"/>
    <cellStyle name="Normal 2 11 10 3 4" xfId="19658" xr:uid="{00000000-0005-0000-0000-0000CD4C0000}"/>
    <cellStyle name="Normal 2 11 10 3 5" xfId="19659" xr:uid="{00000000-0005-0000-0000-0000CE4C0000}"/>
    <cellStyle name="Normal 2 11 10 3 6" xfId="19660" xr:uid="{00000000-0005-0000-0000-0000CF4C0000}"/>
    <cellStyle name="Normal 2 11 10 4" xfId="19661" xr:uid="{00000000-0005-0000-0000-0000D04C0000}"/>
    <cellStyle name="Normal 2 11 10 4 2" xfId="19662" xr:uid="{00000000-0005-0000-0000-0000D14C0000}"/>
    <cellStyle name="Normal 2 11 10 4 2 2" xfId="19663" xr:uid="{00000000-0005-0000-0000-0000D24C0000}"/>
    <cellStyle name="Normal 2 11 10 4 3" xfId="19664" xr:uid="{00000000-0005-0000-0000-0000D34C0000}"/>
    <cellStyle name="Normal 2 11 10 4 4" xfId="19665" xr:uid="{00000000-0005-0000-0000-0000D44C0000}"/>
    <cellStyle name="Normal 2 11 10 4 5" xfId="19666" xr:uid="{00000000-0005-0000-0000-0000D54C0000}"/>
    <cellStyle name="Normal 2 11 10 5" xfId="19667" xr:uid="{00000000-0005-0000-0000-0000D64C0000}"/>
    <cellStyle name="Normal 2 11 10 5 2" xfId="19668" xr:uid="{00000000-0005-0000-0000-0000D74C0000}"/>
    <cellStyle name="Normal 2 11 10 5 3" xfId="19669" xr:uid="{00000000-0005-0000-0000-0000D84C0000}"/>
    <cellStyle name="Normal 2 11 10 5 4" xfId="19670" xr:uid="{00000000-0005-0000-0000-0000D94C0000}"/>
    <cellStyle name="Normal 2 11 10 6" xfId="19671" xr:uid="{00000000-0005-0000-0000-0000DA4C0000}"/>
    <cellStyle name="Normal 2 11 10 6 2" xfId="19672" xr:uid="{00000000-0005-0000-0000-0000DB4C0000}"/>
    <cellStyle name="Normal 2 11 10 7" xfId="19673" xr:uid="{00000000-0005-0000-0000-0000DC4C0000}"/>
    <cellStyle name="Normal 2 11 10 8" xfId="19674" xr:uid="{00000000-0005-0000-0000-0000DD4C0000}"/>
    <cellStyle name="Normal 2 11 10 9" xfId="19675" xr:uid="{00000000-0005-0000-0000-0000DE4C0000}"/>
    <cellStyle name="Normal 2 11 11" xfId="19676" xr:uid="{00000000-0005-0000-0000-0000DF4C0000}"/>
    <cellStyle name="Normal 2 11 11 10" xfId="19677" xr:uid="{00000000-0005-0000-0000-0000E04C0000}"/>
    <cellStyle name="Normal 2 11 11 2" xfId="19678" xr:uid="{00000000-0005-0000-0000-0000E14C0000}"/>
    <cellStyle name="Normal 2 11 11 2 2" xfId="19679" xr:uid="{00000000-0005-0000-0000-0000E24C0000}"/>
    <cellStyle name="Normal 2 11 11 2 2 2" xfId="19680" xr:uid="{00000000-0005-0000-0000-0000E34C0000}"/>
    <cellStyle name="Normal 2 11 11 2 2 3" xfId="19681" xr:uid="{00000000-0005-0000-0000-0000E44C0000}"/>
    <cellStyle name="Normal 2 11 11 2 3" xfId="19682" xr:uid="{00000000-0005-0000-0000-0000E54C0000}"/>
    <cellStyle name="Normal 2 11 11 2 4" xfId="19683" xr:uid="{00000000-0005-0000-0000-0000E64C0000}"/>
    <cellStyle name="Normal 2 11 11 2 5" xfId="19684" xr:uid="{00000000-0005-0000-0000-0000E74C0000}"/>
    <cellStyle name="Normal 2 11 11 2 6" xfId="19685" xr:uid="{00000000-0005-0000-0000-0000E84C0000}"/>
    <cellStyle name="Normal 2 11 11 3" xfId="19686" xr:uid="{00000000-0005-0000-0000-0000E94C0000}"/>
    <cellStyle name="Normal 2 11 11 3 2" xfId="19687" xr:uid="{00000000-0005-0000-0000-0000EA4C0000}"/>
    <cellStyle name="Normal 2 11 11 3 2 2" xfId="19688" xr:uid="{00000000-0005-0000-0000-0000EB4C0000}"/>
    <cellStyle name="Normal 2 11 11 3 2 3" xfId="19689" xr:uid="{00000000-0005-0000-0000-0000EC4C0000}"/>
    <cellStyle name="Normal 2 11 11 3 3" xfId="19690" xr:uid="{00000000-0005-0000-0000-0000ED4C0000}"/>
    <cellStyle name="Normal 2 11 11 3 4" xfId="19691" xr:uid="{00000000-0005-0000-0000-0000EE4C0000}"/>
    <cellStyle name="Normal 2 11 11 3 5" xfId="19692" xr:uid="{00000000-0005-0000-0000-0000EF4C0000}"/>
    <cellStyle name="Normal 2 11 11 3 6" xfId="19693" xr:uid="{00000000-0005-0000-0000-0000F04C0000}"/>
    <cellStyle name="Normal 2 11 11 4" xfId="19694" xr:uid="{00000000-0005-0000-0000-0000F14C0000}"/>
    <cellStyle name="Normal 2 11 11 4 2" xfId="19695" xr:uid="{00000000-0005-0000-0000-0000F24C0000}"/>
    <cellStyle name="Normal 2 11 11 4 2 2" xfId="19696" xr:uid="{00000000-0005-0000-0000-0000F34C0000}"/>
    <cellStyle name="Normal 2 11 11 4 3" xfId="19697" xr:uid="{00000000-0005-0000-0000-0000F44C0000}"/>
    <cellStyle name="Normal 2 11 11 4 4" xfId="19698" xr:uid="{00000000-0005-0000-0000-0000F54C0000}"/>
    <cellStyle name="Normal 2 11 11 4 5" xfId="19699" xr:uid="{00000000-0005-0000-0000-0000F64C0000}"/>
    <cellStyle name="Normal 2 11 11 5" xfId="19700" xr:uid="{00000000-0005-0000-0000-0000F74C0000}"/>
    <cellStyle name="Normal 2 11 11 5 2" xfId="19701" xr:uid="{00000000-0005-0000-0000-0000F84C0000}"/>
    <cellStyle name="Normal 2 11 11 5 3" xfId="19702" xr:uid="{00000000-0005-0000-0000-0000F94C0000}"/>
    <cellStyle name="Normal 2 11 11 5 4" xfId="19703" xr:uid="{00000000-0005-0000-0000-0000FA4C0000}"/>
    <cellStyle name="Normal 2 11 11 6" xfId="19704" xr:uid="{00000000-0005-0000-0000-0000FB4C0000}"/>
    <cellStyle name="Normal 2 11 11 6 2" xfId="19705" xr:uid="{00000000-0005-0000-0000-0000FC4C0000}"/>
    <cellStyle name="Normal 2 11 11 7" xfId="19706" xr:uid="{00000000-0005-0000-0000-0000FD4C0000}"/>
    <cellStyle name="Normal 2 11 11 8" xfId="19707" xr:uid="{00000000-0005-0000-0000-0000FE4C0000}"/>
    <cellStyle name="Normal 2 11 11 9" xfId="19708" xr:uid="{00000000-0005-0000-0000-0000FF4C0000}"/>
    <cellStyle name="Normal 2 11 12" xfId="19709" xr:uid="{00000000-0005-0000-0000-0000004D0000}"/>
    <cellStyle name="Normal 2 11 12 10" xfId="19710" xr:uid="{00000000-0005-0000-0000-0000014D0000}"/>
    <cellStyle name="Normal 2 11 12 2" xfId="19711" xr:uid="{00000000-0005-0000-0000-0000024D0000}"/>
    <cellStyle name="Normal 2 11 12 2 2" xfId="19712" xr:uid="{00000000-0005-0000-0000-0000034D0000}"/>
    <cellStyle name="Normal 2 11 12 2 2 2" xfId="19713" xr:uid="{00000000-0005-0000-0000-0000044D0000}"/>
    <cellStyle name="Normal 2 11 12 2 2 3" xfId="19714" xr:uid="{00000000-0005-0000-0000-0000054D0000}"/>
    <cellStyle name="Normal 2 11 12 2 3" xfId="19715" xr:uid="{00000000-0005-0000-0000-0000064D0000}"/>
    <cellStyle name="Normal 2 11 12 2 4" xfId="19716" xr:uid="{00000000-0005-0000-0000-0000074D0000}"/>
    <cellStyle name="Normal 2 11 12 2 5" xfId="19717" xr:uid="{00000000-0005-0000-0000-0000084D0000}"/>
    <cellStyle name="Normal 2 11 12 2 6" xfId="19718" xr:uid="{00000000-0005-0000-0000-0000094D0000}"/>
    <cellStyle name="Normal 2 11 12 3" xfId="19719" xr:uid="{00000000-0005-0000-0000-00000A4D0000}"/>
    <cellStyle name="Normal 2 11 12 3 2" xfId="19720" xr:uid="{00000000-0005-0000-0000-00000B4D0000}"/>
    <cellStyle name="Normal 2 11 12 3 2 2" xfId="19721" xr:uid="{00000000-0005-0000-0000-00000C4D0000}"/>
    <cellStyle name="Normal 2 11 12 3 2 3" xfId="19722" xr:uid="{00000000-0005-0000-0000-00000D4D0000}"/>
    <cellStyle name="Normal 2 11 12 3 3" xfId="19723" xr:uid="{00000000-0005-0000-0000-00000E4D0000}"/>
    <cellStyle name="Normal 2 11 12 3 4" xfId="19724" xr:uid="{00000000-0005-0000-0000-00000F4D0000}"/>
    <cellStyle name="Normal 2 11 12 3 5" xfId="19725" xr:uid="{00000000-0005-0000-0000-0000104D0000}"/>
    <cellStyle name="Normal 2 11 12 3 6" xfId="19726" xr:uid="{00000000-0005-0000-0000-0000114D0000}"/>
    <cellStyle name="Normal 2 11 12 4" xfId="19727" xr:uid="{00000000-0005-0000-0000-0000124D0000}"/>
    <cellStyle name="Normal 2 11 12 4 2" xfId="19728" xr:uid="{00000000-0005-0000-0000-0000134D0000}"/>
    <cellStyle name="Normal 2 11 12 4 2 2" xfId="19729" xr:uid="{00000000-0005-0000-0000-0000144D0000}"/>
    <cellStyle name="Normal 2 11 12 4 3" xfId="19730" xr:uid="{00000000-0005-0000-0000-0000154D0000}"/>
    <cellStyle name="Normal 2 11 12 4 4" xfId="19731" xr:uid="{00000000-0005-0000-0000-0000164D0000}"/>
    <cellStyle name="Normal 2 11 12 4 5" xfId="19732" xr:uid="{00000000-0005-0000-0000-0000174D0000}"/>
    <cellStyle name="Normal 2 11 12 5" xfId="19733" xr:uid="{00000000-0005-0000-0000-0000184D0000}"/>
    <cellStyle name="Normal 2 11 12 5 2" xfId="19734" xr:uid="{00000000-0005-0000-0000-0000194D0000}"/>
    <cellStyle name="Normal 2 11 12 5 3" xfId="19735" xr:uid="{00000000-0005-0000-0000-00001A4D0000}"/>
    <cellStyle name="Normal 2 11 12 5 4" xfId="19736" xr:uid="{00000000-0005-0000-0000-00001B4D0000}"/>
    <cellStyle name="Normal 2 11 12 6" xfId="19737" xr:uid="{00000000-0005-0000-0000-00001C4D0000}"/>
    <cellStyle name="Normal 2 11 12 6 2" xfId="19738" xr:uid="{00000000-0005-0000-0000-00001D4D0000}"/>
    <cellStyle name="Normal 2 11 12 7" xfId="19739" xr:uid="{00000000-0005-0000-0000-00001E4D0000}"/>
    <cellStyle name="Normal 2 11 12 8" xfId="19740" xr:uid="{00000000-0005-0000-0000-00001F4D0000}"/>
    <cellStyle name="Normal 2 11 12 9" xfId="19741" xr:uid="{00000000-0005-0000-0000-0000204D0000}"/>
    <cellStyle name="Normal 2 11 13" xfId="19742" xr:uid="{00000000-0005-0000-0000-0000214D0000}"/>
    <cellStyle name="Normal 2 11 13 2" xfId="19743" xr:uid="{00000000-0005-0000-0000-0000224D0000}"/>
    <cellStyle name="Normal 2 11 13 2 2" xfId="19744" xr:uid="{00000000-0005-0000-0000-0000234D0000}"/>
    <cellStyle name="Normal 2 11 13 2 2 2" xfId="19745" xr:uid="{00000000-0005-0000-0000-0000244D0000}"/>
    <cellStyle name="Normal 2 11 13 2 2 3" xfId="19746" xr:uid="{00000000-0005-0000-0000-0000254D0000}"/>
    <cellStyle name="Normal 2 11 13 2 3" xfId="19747" xr:uid="{00000000-0005-0000-0000-0000264D0000}"/>
    <cellStyle name="Normal 2 11 13 2 4" xfId="19748" xr:uid="{00000000-0005-0000-0000-0000274D0000}"/>
    <cellStyle name="Normal 2 11 13 2 5" xfId="19749" xr:uid="{00000000-0005-0000-0000-0000284D0000}"/>
    <cellStyle name="Normal 2 11 13 2 6" xfId="19750" xr:uid="{00000000-0005-0000-0000-0000294D0000}"/>
    <cellStyle name="Normal 2 11 13 3" xfId="19751" xr:uid="{00000000-0005-0000-0000-00002A4D0000}"/>
    <cellStyle name="Normal 2 11 13 3 2" xfId="19752" xr:uid="{00000000-0005-0000-0000-00002B4D0000}"/>
    <cellStyle name="Normal 2 11 13 3 2 2" xfId="19753" xr:uid="{00000000-0005-0000-0000-00002C4D0000}"/>
    <cellStyle name="Normal 2 11 13 3 3" xfId="19754" xr:uid="{00000000-0005-0000-0000-00002D4D0000}"/>
    <cellStyle name="Normal 2 11 13 3 4" xfId="19755" xr:uid="{00000000-0005-0000-0000-00002E4D0000}"/>
    <cellStyle name="Normal 2 11 13 3 5" xfId="19756" xr:uid="{00000000-0005-0000-0000-00002F4D0000}"/>
    <cellStyle name="Normal 2 11 13 4" xfId="19757" xr:uid="{00000000-0005-0000-0000-0000304D0000}"/>
    <cellStyle name="Normal 2 11 13 4 2" xfId="19758" xr:uid="{00000000-0005-0000-0000-0000314D0000}"/>
    <cellStyle name="Normal 2 11 13 4 3" xfId="19759" xr:uid="{00000000-0005-0000-0000-0000324D0000}"/>
    <cellStyle name="Normal 2 11 13 4 4" xfId="19760" xr:uid="{00000000-0005-0000-0000-0000334D0000}"/>
    <cellStyle name="Normal 2 11 13 5" xfId="19761" xr:uid="{00000000-0005-0000-0000-0000344D0000}"/>
    <cellStyle name="Normal 2 11 13 5 2" xfId="19762" xr:uid="{00000000-0005-0000-0000-0000354D0000}"/>
    <cellStyle name="Normal 2 11 13 6" xfId="19763" xr:uid="{00000000-0005-0000-0000-0000364D0000}"/>
    <cellStyle name="Normal 2 11 13 7" xfId="19764" xr:uid="{00000000-0005-0000-0000-0000374D0000}"/>
    <cellStyle name="Normal 2 11 13 8" xfId="19765" xr:uid="{00000000-0005-0000-0000-0000384D0000}"/>
    <cellStyle name="Normal 2 11 13 9" xfId="19766" xr:uid="{00000000-0005-0000-0000-0000394D0000}"/>
    <cellStyle name="Normal 2 11 14" xfId="19767" xr:uid="{00000000-0005-0000-0000-00003A4D0000}"/>
    <cellStyle name="Normal 2 11 14 2" xfId="19768" xr:uid="{00000000-0005-0000-0000-00003B4D0000}"/>
    <cellStyle name="Normal 2 11 14 2 2" xfId="19769" xr:uid="{00000000-0005-0000-0000-00003C4D0000}"/>
    <cellStyle name="Normal 2 11 14 2 2 2" xfId="19770" xr:uid="{00000000-0005-0000-0000-00003D4D0000}"/>
    <cellStyle name="Normal 2 11 14 2 2 3" xfId="19771" xr:uid="{00000000-0005-0000-0000-00003E4D0000}"/>
    <cellStyle name="Normal 2 11 14 2 3" xfId="19772" xr:uid="{00000000-0005-0000-0000-00003F4D0000}"/>
    <cellStyle name="Normal 2 11 14 2 4" xfId="19773" xr:uid="{00000000-0005-0000-0000-0000404D0000}"/>
    <cellStyle name="Normal 2 11 14 2 5" xfId="19774" xr:uid="{00000000-0005-0000-0000-0000414D0000}"/>
    <cellStyle name="Normal 2 11 14 2 6" xfId="19775" xr:uid="{00000000-0005-0000-0000-0000424D0000}"/>
    <cellStyle name="Normal 2 11 14 3" xfId="19776" xr:uid="{00000000-0005-0000-0000-0000434D0000}"/>
    <cellStyle name="Normal 2 11 14 3 2" xfId="19777" xr:uid="{00000000-0005-0000-0000-0000444D0000}"/>
    <cellStyle name="Normal 2 11 14 3 2 2" xfId="19778" xr:uid="{00000000-0005-0000-0000-0000454D0000}"/>
    <cellStyle name="Normal 2 11 14 3 3" xfId="19779" xr:uid="{00000000-0005-0000-0000-0000464D0000}"/>
    <cellStyle name="Normal 2 11 14 3 4" xfId="19780" xr:uid="{00000000-0005-0000-0000-0000474D0000}"/>
    <cellStyle name="Normal 2 11 14 3 5" xfId="19781" xr:uid="{00000000-0005-0000-0000-0000484D0000}"/>
    <cellStyle name="Normal 2 11 14 4" xfId="19782" xr:uid="{00000000-0005-0000-0000-0000494D0000}"/>
    <cellStyle name="Normal 2 11 14 4 2" xfId="19783" xr:uid="{00000000-0005-0000-0000-00004A4D0000}"/>
    <cellStyle name="Normal 2 11 14 4 3" xfId="19784" xr:uid="{00000000-0005-0000-0000-00004B4D0000}"/>
    <cellStyle name="Normal 2 11 14 4 4" xfId="19785" xr:uid="{00000000-0005-0000-0000-00004C4D0000}"/>
    <cellStyle name="Normal 2 11 14 5" xfId="19786" xr:uid="{00000000-0005-0000-0000-00004D4D0000}"/>
    <cellStyle name="Normal 2 11 14 5 2" xfId="19787" xr:uid="{00000000-0005-0000-0000-00004E4D0000}"/>
    <cellStyle name="Normal 2 11 14 6" xfId="19788" xr:uid="{00000000-0005-0000-0000-00004F4D0000}"/>
    <cellStyle name="Normal 2 11 14 7" xfId="19789" xr:uid="{00000000-0005-0000-0000-0000504D0000}"/>
    <cellStyle name="Normal 2 11 14 8" xfId="19790" xr:uid="{00000000-0005-0000-0000-0000514D0000}"/>
    <cellStyle name="Normal 2 11 14 9" xfId="19791" xr:uid="{00000000-0005-0000-0000-0000524D0000}"/>
    <cellStyle name="Normal 2 11 15" xfId="19792" xr:uid="{00000000-0005-0000-0000-0000534D0000}"/>
    <cellStyle name="Normal 2 11 15 2" xfId="19793" xr:uid="{00000000-0005-0000-0000-0000544D0000}"/>
    <cellStyle name="Normal 2 11 15 2 2" xfId="19794" xr:uid="{00000000-0005-0000-0000-0000554D0000}"/>
    <cellStyle name="Normal 2 11 15 2 3" xfId="19795" xr:uid="{00000000-0005-0000-0000-0000564D0000}"/>
    <cellStyle name="Normal 2 11 15 3" xfId="19796" xr:uid="{00000000-0005-0000-0000-0000574D0000}"/>
    <cellStyle name="Normal 2 11 15 4" xfId="19797" xr:uid="{00000000-0005-0000-0000-0000584D0000}"/>
    <cellStyle name="Normal 2 11 15 5" xfId="19798" xr:uid="{00000000-0005-0000-0000-0000594D0000}"/>
    <cellStyle name="Normal 2 11 15 6" xfId="19799" xr:uid="{00000000-0005-0000-0000-00005A4D0000}"/>
    <cellStyle name="Normal 2 11 16" xfId="19800" xr:uid="{00000000-0005-0000-0000-00005B4D0000}"/>
    <cellStyle name="Normal 2 11 16 2" xfId="19801" xr:uid="{00000000-0005-0000-0000-00005C4D0000}"/>
    <cellStyle name="Normal 2 11 16 2 2" xfId="19802" xr:uid="{00000000-0005-0000-0000-00005D4D0000}"/>
    <cellStyle name="Normal 2 11 16 3" xfId="19803" xr:uid="{00000000-0005-0000-0000-00005E4D0000}"/>
    <cellStyle name="Normal 2 11 16 4" xfId="19804" xr:uid="{00000000-0005-0000-0000-00005F4D0000}"/>
    <cellStyle name="Normal 2 11 16 5" xfId="19805" xr:uid="{00000000-0005-0000-0000-0000604D0000}"/>
    <cellStyle name="Normal 2 11 17" xfId="19806" xr:uid="{00000000-0005-0000-0000-0000614D0000}"/>
    <cellStyle name="Normal 2 11 17 2" xfId="19807" xr:uid="{00000000-0005-0000-0000-0000624D0000}"/>
    <cellStyle name="Normal 2 11 17 2 2" xfId="19808" xr:uid="{00000000-0005-0000-0000-0000634D0000}"/>
    <cellStyle name="Normal 2 11 17 3" xfId="19809" xr:uid="{00000000-0005-0000-0000-0000644D0000}"/>
    <cellStyle name="Normal 2 11 17 4" xfId="19810" xr:uid="{00000000-0005-0000-0000-0000654D0000}"/>
    <cellStyle name="Normal 2 11 17 5" xfId="19811" xr:uid="{00000000-0005-0000-0000-0000664D0000}"/>
    <cellStyle name="Normal 2 11 18" xfId="19812" xr:uid="{00000000-0005-0000-0000-0000674D0000}"/>
    <cellStyle name="Normal 2 11 18 2" xfId="19813" xr:uid="{00000000-0005-0000-0000-0000684D0000}"/>
    <cellStyle name="Normal 2 11 19" xfId="19814" xr:uid="{00000000-0005-0000-0000-0000694D0000}"/>
    <cellStyle name="Normal 2 11 2" xfId="19815" xr:uid="{00000000-0005-0000-0000-00006A4D0000}"/>
    <cellStyle name="Normal 2 11 2 10" xfId="19816" xr:uid="{00000000-0005-0000-0000-00006B4D0000}"/>
    <cellStyle name="Normal 2 11 2 11" xfId="19817" xr:uid="{00000000-0005-0000-0000-00006C4D0000}"/>
    <cellStyle name="Normal 2 11 2 2" xfId="19818" xr:uid="{00000000-0005-0000-0000-00006D4D0000}"/>
    <cellStyle name="Normal 2 11 2 2 2" xfId="19819" xr:uid="{00000000-0005-0000-0000-00006E4D0000}"/>
    <cellStyle name="Normal 2 11 2 2 2 2" xfId="19820" xr:uid="{00000000-0005-0000-0000-00006F4D0000}"/>
    <cellStyle name="Normal 2 11 2 2 2 2 2" xfId="19821" xr:uid="{00000000-0005-0000-0000-0000704D0000}"/>
    <cellStyle name="Normal 2 11 2 2 2 2 3" xfId="19822" xr:uid="{00000000-0005-0000-0000-0000714D0000}"/>
    <cellStyle name="Normal 2 11 2 2 2 3" xfId="19823" xr:uid="{00000000-0005-0000-0000-0000724D0000}"/>
    <cellStyle name="Normal 2 11 2 2 2 4" xfId="19824" xr:uid="{00000000-0005-0000-0000-0000734D0000}"/>
    <cellStyle name="Normal 2 11 2 2 2 5" xfId="19825" xr:uid="{00000000-0005-0000-0000-0000744D0000}"/>
    <cellStyle name="Normal 2 11 2 2 2 6" xfId="19826" xr:uid="{00000000-0005-0000-0000-0000754D0000}"/>
    <cellStyle name="Normal 2 11 2 2 3" xfId="19827" xr:uid="{00000000-0005-0000-0000-0000764D0000}"/>
    <cellStyle name="Normal 2 11 2 2 3 2" xfId="19828" xr:uid="{00000000-0005-0000-0000-0000774D0000}"/>
    <cellStyle name="Normal 2 11 2 2 3 2 2" xfId="19829" xr:uid="{00000000-0005-0000-0000-0000784D0000}"/>
    <cellStyle name="Normal 2 11 2 2 3 3" xfId="19830" xr:uid="{00000000-0005-0000-0000-0000794D0000}"/>
    <cellStyle name="Normal 2 11 2 2 3 4" xfId="19831" xr:uid="{00000000-0005-0000-0000-00007A4D0000}"/>
    <cellStyle name="Normal 2 11 2 2 3 5" xfId="19832" xr:uid="{00000000-0005-0000-0000-00007B4D0000}"/>
    <cellStyle name="Normal 2 11 2 2 4" xfId="19833" xr:uid="{00000000-0005-0000-0000-00007C4D0000}"/>
    <cellStyle name="Normal 2 11 2 2 4 2" xfId="19834" xr:uid="{00000000-0005-0000-0000-00007D4D0000}"/>
    <cellStyle name="Normal 2 11 2 2 4 3" xfId="19835" xr:uid="{00000000-0005-0000-0000-00007E4D0000}"/>
    <cellStyle name="Normal 2 11 2 2 4 4" xfId="19836" xr:uid="{00000000-0005-0000-0000-00007F4D0000}"/>
    <cellStyle name="Normal 2 11 2 2 5" xfId="19837" xr:uid="{00000000-0005-0000-0000-0000804D0000}"/>
    <cellStyle name="Normal 2 11 2 2 5 2" xfId="19838" xr:uid="{00000000-0005-0000-0000-0000814D0000}"/>
    <cellStyle name="Normal 2 11 2 2 6" xfId="19839" xr:uid="{00000000-0005-0000-0000-0000824D0000}"/>
    <cellStyle name="Normal 2 11 2 2 7" xfId="19840" xr:uid="{00000000-0005-0000-0000-0000834D0000}"/>
    <cellStyle name="Normal 2 11 2 2 8" xfId="19841" xr:uid="{00000000-0005-0000-0000-0000844D0000}"/>
    <cellStyle name="Normal 2 11 2 2 9" xfId="19842" xr:uid="{00000000-0005-0000-0000-0000854D0000}"/>
    <cellStyle name="Normal 2 11 2 3" xfId="19843" xr:uid="{00000000-0005-0000-0000-0000864D0000}"/>
    <cellStyle name="Normal 2 11 2 3 2" xfId="19844" xr:uid="{00000000-0005-0000-0000-0000874D0000}"/>
    <cellStyle name="Normal 2 11 2 3 2 2" xfId="19845" xr:uid="{00000000-0005-0000-0000-0000884D0000}"/>
    <cellStyle name="Normal 2 11 2 3 2 2 2" xfId="19846" xr:uid="{00000000-0005-0000-0000-0000894D0000}"/>
    <cellStyle name="Normal 2 11 2 3 2 2 3" xfId="19847" xr:uid="{00000000-0005-0000-0000-00008A4D0000}"/>
    <cellStyle name="Normal 2 11 2 3 2 3" xfId="19848" xr:uid="{00000000-0005-0000-0000-00008B4D0000}"/>
    <cellStyle name="Normal 2 11 2 3 2 4" xfId="19849" xr:uid="{00000000-0005-0000-0000-00008C4D0000}"/>
    <cellStyle name="Normal 2 11 2 3 2 5" xfId="19850" xr:uid="{00000000-0005-0000-0000-00008D4D0000}"/>
    <cellStyle name="Normal 2 11 2 3 2 6" xfId="19851" xr:uid="{00000000-0005-0000-0000-00008E4D0000}"/>
    <cellStyle name="Normal 2 11 2 3 3" xfId="19852" xr:uid="{00000000-0005-0000-0000-00008F4D0000}"/>
    <cellStyle name="Normal 2 11 2 3 3 2" xfId="19853" xr:uid="{00000000-0005-0000-0000-0000904D0000}"/>
    <cellStyle name="Normal 2 11 2 3 3 2 2" xfId="19854" xr:uid="{00000000-0005-0000-0000-0000914D0000}"/>
    <cellStyle name="Normal 2 11 2 3 3 3" xfId="19855" xr:uid="{00000000-0005-0000-0000-0000924D0000}"/>
    <cellStyle name="Normal 2 11 2 3 3 4" xfId="19856" xr:uid="{00000000-0005-0000-0000-0000934D0000}"/>
    <cellStyle name="Normal 2 11 2 3 3 5" xfId="19857" xr:uid="{00000000-0005-0000-0000-0000944D0000}"/>
    <cellStyle name="Normal 2 11 2 3 4" xfId="19858" xr:uid="{00000000-0005-0000-0000-0000954D0000}"/>
    <cellStyle name="Normal 2 11 2 3 4 2" xfId="19859" xr:uid="{00000000-0005-0000-0000-0000964D0000}"/>
    <cellStyle name="Normal 2 11 2 3 4 3" xfId="19860" xr:uid="{00000000-0005-0000-0000-0000974D0000}"/>
    <cellStyle name="Normal 2 11 2 3 4 4" xfId="19861" xr:uid="{00000000-0005-0000-0000-0000984D0000}"/>
    <cellStyle name="Normal 2 11 2 3 5" xfId="19862" xr:uid="{00000000-0005-0000-0000-0000994D0000}"/>
    <cellStyle name="Normal 2 11 2 3 5 2" xfId="19863" xr:uid="{00000000-0005-0000-0000-00009A4D0000}"/>
    <cellStyle name="Normal 2 11 2 3 6" xfId="19864" xr:uid="{00000000-0005-0000-0000-00009B4D0000}"/>
    <cellStyle name="Normal 2 11 2 3 7" xfId="19865" xr:uid="{00000000-0005-0000-0000-00009C4D0000}"/>
    <cellStyle name="Normal 2 11 2 3 8" xfId="19866" xr:uid="{00000000-0005-0000-0000-00009D4D0000}"/>
    <cellStyle name="Normal 2 11 2 3 9" xfId="19867" xr:uid="{00000000-0005-0000-0000-00009E4D0000}"/>
    <cellStyle name="Normal 2 11 2 4" xfId="19868" xr:uid="{00000000-0005-0000-0000-00009F4D0000}"/>
    <cellStyle name="Normal 2 11 2 4 2" xfId="19869" xr:uid="{00000000-0005-0000-0000-0000A04D0000}"/>
    <cellStyle name="Normal 2 11 2 4 2 2" xfId="19870" xr:uid="{00000000-0005-0000-0000-0000A14D0000}"/>
    <cellStyle name="Normal 2 11 2 4 2 3" xfId="19871" xr:uid="{00000000-0005-0000-0000-0000A24D0000}"/>
    <cellStyle name="Normal 2 11 2 4 3" xfId="19872" xr:uid="{00000000-0005-0000-0000-0000A34D0000}"/>
    <cellStyle name="Normal 2 11 2 4 4" xfId="19873" xr:uid="{00000000-0005-0000-0000-0000A44D0000}"/>
    <cellStyle name="Normal 2 11 2 4 5" xfId="19874" xr:uid="{00000000-0005-0000-0000-0000A54D0000}"/>
    <cellStyle name="Normal 2 11 2 4 6" xfId="19875" xr:uid="{00000000-0005-0000-0000-0000A64D0000}"/>
    <cellStyle name="Normal 2 11 2 5" xfId="19876" xr:uid="{00000000-0005-0000-0000-0000A74D0000}"/>
    <cellStyle name="Normal 2 11 2 5 2" xfId="19877" xr:uid="{00000000-0005-0000-0000-0000A84D0000}"/>
    <cellStyle name="Normal 2 11 2 5 2 2" xfId="19878" xr:uid="{00000000-0005-0000-0000-0000A94D0000}"/>
    <cellStyle name="Normal 2 11 2 5 3" xfId="19879" xr:uid="{00000000-0005-0000-0000-0000AA4D0000}"/>
    <cellStyle name="Normal 2 11 2 5 4" xfId="19880" xr:uid="{00000000-0005-0000-0000-0000AB4D0000}"/>
    <cellStyle name="Normal 2 11 2 5 5" xfId="19881" xr:uid="{00000000-0005-0000-0000-0000AC4D0000}"/>
    <cellStyle name="Normal 2 11 2 6" xfId="19882" xr:uid="{00000000-0005-0000-0000-0000AD4D0000}"/>
    <cellStyle name="Normal 2 11 2 6 2" xfId="19883" xr:uid="{00000000-0005-0000-0000-0000AE4D0000}"/>
    <cellStyle name="Normal 2 11 2 6 3" xfId="19884" xr:uid="{00000000-0005-0000-0000-0000AF4D0000}"/>
    <cellStyle name="Normal 2 11 2 6 4" xfId="19885" xr:uid="{00000000-0005-0000-0000-0000B04D0000}"/>
    <cellStyle name="Normal 2 11 2 7" xfId="19886" xr:uid="{00000000-0005-0000-0000-0000B14D0000}"/>
    <cellStyle name="Normal 2 11 2 7 2" xfId="19887" xr:uid="{00000000-0005-0000-0000-0000B24D0000}"/>
    <cellStyle name="Normal 2 11 2 8" xfId="19888" xr:uid="{00000000-0005-0000-0000-0000B34D0000}"/>
    <cellStyle name="Normal 2 11 2 9" xfId="19889" xr:uid="{00000000-0005-0000-0000-0000B44D0000}"/>
    <cellStyle name="Normal 2 11 20" xfId="19890" xr:uid="{00000000-0005-0000-0000-0000B54D0000}"/>
    <cellStyle name="Normal 2 11 21" xfId="19891" xr:uid="{00000000-0005-0000-0000-0000B64D0000}"/>
    <cellStyle name="Normal 2 11 22" xfId="19892" xr:uid="{00000000-0005-0000-0000-0000B74D0000}"/>
    <cellStyle name="Normal 2 11 3" xfId="19893" xr:uid="{00000000-0005-0000-0000-0000B84D0000}"/>
    <cellStyle name="Normal 2 11 3 10" xfId="19894" xr:uid="{00000000-0005-0000-0000-0000B94D0000}"/>
    <cellStyle name="Normal 2 11 3 11" xfId="19895" xr:uid="{00000000-0005-0000-0000-0000BA4D0000}"/>
    <cellStyle name="Normal 2 11 3 2" xfId="19896" xr:uid="{00000000-0005-0000-0000-0000BB4D0000}"/>
    <cellStyle name="Normal 2 11 3 2 2" xfId="19897" xr:uid="{00000000-0005-0000-0000-0000BC4D0000}"/>
    <cellStyle name="Normal 2 11 3 2 2 2" xfId="19898" xr:uid="{00000000-0005-0000-0000-0000BD4D0000}"/>
    <cellStyle name="Normal 2 11 3 2 2 2 2" xfId="19899" xr:uid="{00000000-0005-0000-0000-0000BE4D0000}"/>
    <cellStyle name="Normal 2 11 3 2 2 2 3" xfId="19900" xr:uid="{00000000-0005-0000-0000-0000BF4D0000}"/>
    <cellStyle name="Normal 2 11 3 2 2 3" xfId="19901" xr:uid="{00000000-0005-0000-0000-0000C04D0000}"/>
    <cellStyle name="Normal 2 11 3 2 2 4" xfId="19902" xr:uid="{00000000-0005-0000-0000-0000C14D0000}"/>
    <cellStyle name="Normal 2 11 3 2 2 5" xfId="19903" xr:uid="{00000000-0005-0000-0000-0000C24D0000}"/>
    <cellStyle name="Normal 2 11 3 2 2 6" xfId="19904" xr:uid="{00000000-0005-0000-0000-0000C34D0000}"/>
    <cellStyle name="Normal 2 11 3 2 3" xfId="19905" xr:uid="{00000000-0005-0000-0000-0000C44D0000}"/>
    <cellStyle name="Normal 2 11 3 2 3 2" xfId="19906" xr:uid="{00000000-0005-0000-0000-0000C54D0000}"/>
    <cellStyle name="Normal 2 11 3 2 3 2 2" xfId="19907" xr:uid="{00000000-0005-0000-0000-0000C64D0000}"/>
    <cellStyle name="Normal 2 11 3 2 3 3" xfId="19908" xr:uid="{00000000-0005-0000-0000-0000C74D0000}"/>
    <cellStyle name="Normal 2 11 3 2 3 4" xfId="19909" xr:uid="{00000000-0005-0000-0000-0000C84D0000}"/>
    <cellStyle name="Normal 2 11 3 2 3 5" xfId="19910" xr:uid="{00000000-0005-0000-0000-0000C94D0000}"/>
    <cellStyle name="Normal 2 11 3 2 4" xfId="19911" xr:uid="{00000000-0005-0000-0000-0000CA4D0000}"/>
    <cellStyle name="Normal 2 11 3 2 4 2" xfId="19912" xr:uid="{00000000-0005-0000-0000-0000CB4D0000}"/>
    <cellStyle name="Normal 2 11 3 2 4 3" xfId="19913" xr:uid="{00000000-0005-0000-0000-0000CC4D0000}"/>
    <cellStyle name="Normal 2 11 3 2 4 4" xfId="19914" xr:uid="{00000000-0005-0000-0000-0000CD4D0000}"/>
    <cellStyle name="Normal 2 11 3 2 5" xfId="19915" xr:uid="{00000000-0005-0000-0000-0000CE4D0000}"/>
    <cellStyle name="Normal 2 11 3 2 5 2" xfId="19916" xr:uid="{00000000-0005-0000-0000-0000CF4D0000}"/>
    <cellStyle name="Normal 2 11 3 2 6" xfId="19917" xr:uid="{00000000-0005-0000-0000-0000D04D0000}"/>
    <cellStyle name="Normal 2 11 3 2 7" xfId="19918" xr:uid="{00000000-0005-0000-0000-0000D14D0000}"/>
    <cellStyle name="Normal 2 11 3 2 8" xfId="19919" xr:uid="{00000000-0005-0000-0000-0000D24D0000}"/>
    <cellStyle name="Normal 2 11 3 2 9" xfId="19920" xr:uid="{00000000-0005-0000-0000-0000D34D0000}"/>
    <cellStyle name="Normal 2 11 3 3" xfId="19921" xr:uid="{00000000-0005-0000-0000-0000D44D0000}"/>
    <cellStyle name="Normal 2 11 3 3 2" xfId="19922" xr:uid="{00000000-0005-0000-0000-0000D54D0000}"/>
    <cellStyle name="Normal 2 11 3 3 2 2" xfId="19923" xr:uid="{00000000-0005-0000-0000-0000D64D0000}"/>
    <cellStyle name="Normal 2 11 3 3 2 2 2" xfId="19924" xr:uid="{00000000-0005-0000-0000-0000D74D0000}"/>
    <cellStyle name="Normal 2 11 3 3 2 2 3" xfId="19925" xr:uid="{00000000-0005-0000-0000-0000D84D0000}"/>
    <cellStyle name="Normal 2 11 3 3 2 3" xfId="19926" xr:uid="{00000000-0005-0000-0000-0000D94D0000}"/>
    <cellStyle name="Normal 2 11 3 3 2 4" xfId="19927" xr:uid="{00000000-0005-0000-0000-0000DA4D0000}"/>
    <cellStyle name="Normal 2 11 3 3 2 5" xfId="19928" xr:uid="{00000000-0005-0000-0000-0000DB4D0000}"/>
    <cellStyle name="Normal 2 11 3 3 2 6" xfId="19929" xr:uid="{00000000-0005-0000-0000-0000DC4D0000}"/>
    <cellStyle name="Normal 2 11 3 3 3" xfId="19930" xr:uid="{00000000-0005-0000-0000-0000DD4D0000}"/>
    <cellStyle name="Normal 2 11 3 3 3 2" xfId="19931" xr:uid="{00000000-0005-0000-0000-0000DE4D0000}"/>
    <cellStyle name="Normal 2 11 3 3 3 2 2" xfId="19932" xr:uid="{00000000-0005-0000-0000-0000DF4D0000}"/>
    <cellStyle name="Normal 2 11 3 3 3 3" xfId="19933" xr:uid="{00000000-0005-0000-0000-0000E04D0000}"/>
    <cellStyle name="Normal 2 11 3 3 3 4" xfId="19934" xr:uid="{00000000-0005-0000-0000-0000E14D0000}"/>
    <cellStyle name="Normal 2 11 3 3 3 5" xfId="19935" xr:uid="{00000000-0005-0000-0000-0000E24D0000}"/>
    <cellStyle name="Normal 2 11 3 3 4" xfId="19936" xr:uid="{00000000-0005-0000-0000-0000E34D0000}"/>
    <cellStyle name="Normal 2 11 3 3 4 2" xfId="19937" xr:uid="{00000000-0005-0000-0000-0000E44D0000}"/>
    <cellStyle name="Normal 2 11 3 3 4 3" xfId="19938" xr:uid="{00000000-0005-0000-0000-0000E54D0000}"/>
    <cellStyle name="Normal 2 11 3 3 4 4" xfId="19939" xr:uid="{00000000-0005-0000-0000-0000E64D0000}"/>
    <cellStyle name="Normal 2 11 3 3 5" xfId="19940" xr:uid="{00000000-0005-0000-0000-0000E74D0000}"/>
    <cellStyle name="Normal 2 11 3 3 5 2" xfId="19941" xr:uid="{00000000-0005-0000-0000-0000E84D0000}"/>
    <cellStyle name="Normal 2 11 3 3 6" xfId="19942" xr:uid="{00000000-0005-0000-0000-0000E94D0000}"/>
    <cellStyle name="Normal 2 11 3 3 7" xfId="19943" xr:uid="{00000000-0005-0000-0000-0000EA4D0000}"/>
    <cellStyle name="Normal 2 11 3 3 8" xfId="19944" xr:uid="{00000000-0005-0000-0000-0000EB4D0000}"/>
    <cellStyle name="Normal 2 11 3 3 9" xfId="19945" xr:uid="{00000000-0005-0000-0000-0000EC4D0000}"/>
    <cellStyle name="Normal 2 11 3 4" xfId="19946" xr:uid="{00000000-0005-0000-0000-0000ED4D0000}"/>
    <cellStyle name="Normal 2 11 3 4 2" xfId="19947" xr:uid="{00000000-0005-0000-0000-0000EE4D0000}"/>
    <cellStyle name="Normal 2 11 3 4 2 2" xfId="19948" xr:uid="{00000000-0005-0000-0000-0000EF4D0000}"/>
    <cellStyle name="Normal 2 11 3 4 2 3" xfId="19949" xr:uid="{00000000-0005-0000-0000-0000F04D0000}"/>
    <cellStyle name="Normal 2 11 3 4 3" xfId="19950" xr:uid="{00000000-0005-0000-0000-0000F14D0000}"/>
    <cellStyle name="Normal 2 11 3 4 4" xfId="19951" xr:uid="{00000000-0005-0000-0000-0000F24D0000}"/>
    <cellStyle name="Normal 2 11 3 4 5" xfId="19952" xr:uid="{00000000-0005-0000-0000-0000F34D0000}"/>
    <cellStyle name="Normal 2 11 3 4 6" xfId="19953" xr:uid="{00000000-0005-0000-0000-0000F44D0000}"/>
    <cellStyle name="Normal 2 11 3 5" xfId="19954" xr:uid="{00000000-0005-0000-0000-0000F54D0000}"/>
    <cellStyle name="Normal 2 11 3 5 2" xfId="19955" xr:uid="{00000000-0005-0000-0000-0000F64D0000}"/>
    <cellStyle name="Normal 2 11 3 5 2 2" xfId="19956" xr:uid="{00000000-0005-0000-0000-0000F74D0000}"/>
    <cellStyle name="Normal 2 11 3 5 3" xfId="19957" xr:uid="{00000000-0005-0000-0000-0000F84D0000}"/>
    <cellStyle name="Normal 2 11 3 5 4" xfId="19958" xr:uid="{00000000-0005-0000-0000-0000F94D0000}"/>
    <cellStyle name="Normal 2 11 3 5 5" xfId="19959" xr:uid="{00000000-0005-0000-0000-0000FA4D0000}"/>
    <cellStyle name="Normal 2 11 3 6" xfId="19960" xr:uid="{00000000-0005-0000-0000-0000FB4D0000}"/>
    <cellStyle name="Normal 2 11 3 6 2" xfId="19961" xr:uid="{00000000-0005-0000-0000-0000FC4D0000}"/>
    <cellStyle name="Normal 2 11 3 6 3" xfId="19962" xr:uid="{00000000-0005-0000-0000-0000FD4D0000}"/>
    <cellStyle name="Normal 2 11 3 6 4" xfId="19963" xr:uid="{00000000-0005-0000-0000-0000FE4D0000}"/>
    <cellStyle name="Normal 2 11 3 7" xfId="19964" xr:uid="{00000000-0005-0000-0000-0000FF4D0000}"/>
    <cellStyle name="Normal 2 11 3 7 2" xfId="19965" xr:uid="{00000000-0005-0000-0000-0000004E0000}"/>
    <cellStyle name="Normal 2 11 3 8" xfId="19966" xr:uid="{00000000-0005-0000-0000-0000014E0000}"/>
    <cellStyle name="Normal 2 11 3 9" xfId="19967" xr:uid="{00000000-0005-0000-0000-0000024E0000}"/>
    <cellStyle name="Normal 2 11 4" xfId="19968" xr:uid="{00000000-0005-0000-0000-0000034E0000}"/>
    <cellStyle name="Normal 2 11 4 10" xfId="19969" xr:uid="{00000000-0005-0000-0000-0000044E0000}"/>
    <cellStyle name="Normal 2 11 4 11" xfId="19970" xr:uid="{00000000-0005-0000-0000-0000054E0000}"/>
    <cellStyle name="Normal 2 11 4 2" xfId="19971" xr:uid="{00000000-0005-0000-0000-0000064E0000}"/>
    <cellStyle name="Normal 2 11 4 2 2" xfId="19972" xr:uid="{00000000-0005-0000-0000-0000074E0000}"/>
    <cellStyle name="Normal 2 11 4 2 2 2" xfId="19973" xr:uid="{00000000-0005-0000-0000-0000084E0000}"/>
    <cellStyle name="Normal 2 11 4 2 2 2 2" xfId="19974" xr:uid="{00000000-0005-0000-0000-0000094E0000}"/>
    <cellStyle name="Normal 2 11 4 2 2 2 3" xfId="19975" xr:uid="{00000000-0005-0000-0000-00000A4E0000}"/>
    <cellStyle name="Normal 2 11 4 2 2 3" xfId="19976" xr:uid="{00000000-0005-0000-0000-00000B4E0000}"/>
    <cellStyle name="Normal 2 11 4 2 2 4" xfId="19977" xr:uid="{00000000-0005-0000-0000-00000C4E0000}"/>
    <cellStyle name="Normal 2 11 4 2 2 5" xfId="19978" xr:uid="{00000000-0005-0000-0000-00000D4E0000}"/>
    <cellStyle name="Normal 2 11 4 2 2 6" xfId="19979" xr:uid="{00000000-0005-0000-0000-00000E4E0000}"/>
    <cellStyle name="Normal 2 11 4 2 3" xfId="19980" xr:uid="{00000000-0005-0000-0000-00000F4E0000}"/>
    <cellStyle name="Normal 2 11 4 2 3 2" xfId="19981" xr:uid="{00000000-0005-0000-0000-0000104E0000}"/>
    <cellStyle name="Normal 2 11 4 2 3 2 2" xfId="19982" xr:uid="{00000000-0005-0000-0000-0000114E0000}"/>
    <cellStyle name="Normal 2 11 4 2 3 3" xfId="19983" xr:uid="{00000000-0005-0000-0000-0000124E0000}"/>
    <cellStyle name="Normal 2 11 4 2 3 4" xfId="19984" xr:uid="{00000000-0005-0000-0000-0000134E0000}"/>
    <cellStyle name="Normal 2 11 4 2 3 5" xfId="19985" xr:uid="{00000000-0005-0000-0000-0000144E0000}"/>
    <cellStyle name="Normal 2 11 4 2 4" xfId="19986" xr:uid="{00000000-0005-0000-0000-0000154E0000}"/>
    <cellStyle name="Normal 2 11 4 2 4 2" xfId="19987" xr:uid="{00000000-0005-0000-0000-0000164E0000}"/>
    <cellStyle name="Normal 2 11 4 2 4 3" xfId="19988" xr:uid="{00000000-0005-0000-0000-0000174E0000}"/>
    <cellStyle name="Normal 2 11 4 2 4 4" xfId="19989" xr:uid="{00000000-0005-0000-0000-0000184E0000}"/>
    <cellStyle name="Normal 2 11 4 2 5" xfId="19990" xr:uid="{00000000-0005-0000-0000-0000194E0000}"/>
    <cellStyle name="Normal 2 11 4 2 5 2" xfId="19991" xr:uid="{00000000-0005-0000-0000-00001A4E0000}"/>
    <cellStyle name="Normal 2 11 4 2 6" xfId="19992" xr:uid="{00000000-0005-0000-0000-00001B4E0000}"/>
    <cellStyle name="Normal 2 11 4 2 7" xfId="19993" xr:uid="{00000000-0005-0000-0000-00001C4E0000}"/>
    <cellStyle name="Normal 2 11 4 2 8" xfId="19994" xr:uid="{00000000-0005-0000-0000-00001D4E0000}"/>
    <cellStyle name="Normal 2 11 4 2 9" xfId="19995" xr:uid="{00000000-0005-0000-0000-00001E4E0000}"/>
    <cellStyle name="Normal 2 11 4 3" xfId="19996" xr:uid="{00000000-0005-0000-0000-00001F4E0000}"/>
    <cellStyle name="Normal 2 11 4 3 2" xfId="19997" xr:uid="{00000000-0005-0000-0000-0000204E0000}"/>
    <cellStyle name="Normal 2 11 4 3 2 2" xfId="19998" xr:uid="{00000000-0005-0000-0000-0000214E0000}"/>
    <cellStyle name="Normal 2 11 4 3 2 2 2" xfId="19999" xr:uid="{00000000-0005-0000-0000-0000224E0000}"/>
    <cellStyle name="Normal 2 11 4 3 2 2 3" xfId="20000" xr:uid="{00000000-0005-0000-0000-0000234E0000}"/>
    <cellStyle name="Normal 2 11 4 3 2 3" xfId="20001" xr:uid="{00000000-0005-0000-0000-0000244E0000}"/>
    <cellStyle name="Normal 2 11 4 3 2 4" xfId="20002" xr:uid="{00000000-0005-0000-0000-0000254E0000}"/>
    <cellStyle name="Normal 2 11 4 3 2 5" xfId="20003" xr:uid="{00000000-0005-0000-0000-0000264E0000}"/>
    <cellStyle name="Normal 2 11 4 3 2 6" xfId="20004" xr:uid="{00000000-0005-0000-0000-0000274E0000}"/>
    <cellStyle name="Normal 2 11 4 3 3" xfId="20005" xr:uid="{00000000-0005-0000-0000-0000284E0000}"/>
    <cellStyle name="Normal 2 11 4 3 3 2" xfId="20006" xr:uid="{00000000-0005-0000-0000-0000294E0000}"/>
    <cellStyle name="Normal 2 11 4 3 3 2 2" xfId="20007" xr:uid="{00000000-0005-0000-0000-00002A4E0000}"/>
    <cellStyle name="Normal 2 11 4 3 3 3" xfId="20008" xr:uid="{00000000-0005-0000-0000-00002B4E0000}"/>
    <cellStyle name="Normal 2 11 4 3 3 4" xfId="20009" xr:uid="{00000000-0005-0000-0000-00002C4E0000}"/>
    <cellStyle name="Normal 2 11 4 3 3 5" xfId="20010" xr:uid="{00000000-0005-0000-0000-00002D4E0000}"/>
    <cellStyle name="Normal 2 11 4 3 4" xfId="20011" xr:uid="{00000000-0005-0000-0000-00002E4E0000}"/>
    <cellStyle name="Normal 2 11 4 3 4 2" xfId="20012" xr:uid="{00000000-0005-0000-0000-00002F4E0000}"/>
    <cellStyle name="Normal 2 11 4 3 4 3" xfId="20013" xr:uid="{00000000-0005-0000-0000-0000304E0000}"/>
    <cellStyle name="Normal 2 11 4 3 4 4" xfId="20014" xr:uid="{00000000-0005-0000-0000-0000314E0000}"/>
    <cellStyle name="Normal 2 11 4 3 5" xfId="20015" xr:uid="{00000000-0005-0000-0000-0000324E0000}"/>
    <cellStyle name="Normal 2 11 4 3 5 2" xfId="20016" xr:uid="{00000000-0005-0000-0000-0000334E0000}"/>
    <cellStyle name="Normal 2 11 4 3 6" xfId="20017" xr:uid="{00000000-0005-0000-0000-0000344E0000}"/>
    <cellStyle name="Normal 2 11 4 3 7" xfId="20018" xr:uid="{00000000-0005-0000-0000-0000354E0000}"/>
    <cellStyle name="Normal 2 11 4 3 8" xfId="20019" xr:uid="{00000000-0005-0000-0000-0000364E0000}"/>
    <cellStyle name="Normal 2 11 4 3 9" xfId="20020" xr:uid="{00000000-0005-0000-0000-0000374E0000}"/>
    <cellStyle name="Normal 2 11 4 4" xfId="20021" xr:uid="{00000000-0005-0000-0000-0000384E0000}"/>
    <cellStyle name="Normal 2 11 4 4 2" xfId="20022" xr:uid="{00000000-0005-0000-0000-0000394E0000}"/>
    <cellStyle name="Normal 2 11 4 4 2 2" xfId="20023" xr:uid="{00000000-0005-0000-0000-00003A4E0000}"/>
    <cellStyle name="Normal 2 11 4 4 2 3" xfId="20024" xr:uid="{00000000-0005-0000-0000-00003B4E0000}"/>
    <cellStyle name="Normal 2 11 4 4 3" xfId="20025" xr:uid="{00000000-0005-0000-0000-00003C4E0000}"/>
    <cellStyle name="Normal 2 11 4 4 4" xfId="20026" xr:uid="{00000000-0005-0000-0000-00003D4E0000}"/>
    <cellStyle name="Normal 2 11 4 4 5" xfId="20027" xr:uid="{00000000-0005-0000-0000-00003E4E0000}"/>
    <cellStyle name="Normal 2 11 4 4 6" xfId="20028" xr:uid="{00000000-0005-0000-0000-00003F4E0000}"/>
    <cellStyle name="Normal 2 11 4 5" xfId="20029" xr:uid="{00000000-0005-0000-0000-0000404E0000}"/>
    <cellStyle name="Normal 2 11 4 5 2" xfId="20030" xr:uid="{00000000-0005-0000-0000-0000414E0000}"/>
    <cellStyle name="Normal 2 11 4 5 2 2" xfId="20031" xr:uid="{00000000-0005-0000-0000-0000424E0000}"/>
    <cellStyle name="Normal 2 11 4 5 3" xfId="20032" xr:uid="{00000000-0005-0000-0000-0000434E0000}"/>
    <cellStyle name="Normal 2 11 4 5 4" xfId="20033" xr:uid="{00000000-0005-0000-0000-0000444E0000}"/>
    <cellStyle name="Normal 2 11 4 5 5" xfId="20034" xr:uid="{00000000-0005-0000-0000-0000454E0000}"/>
    <cellStyle name="Normal 2 11 4 6" xfId="20035" xr:uid="{00000000-0005-0000-0000-0000464E0000}"/>
    <cellStyle name="Normal 2 11 4 6 2" xfId="20036" xr:uid="{00000000-0005-0000-0000-0000474E0000}"/>
    <cellStyle name="Normal 2 11 4 6 3" xfId="20037" xr:uid="{00000000-0005-0000-0000-0000484E0000}"/>
    <cellStyle name="Normal 2 11 4 6 4" xfId="20038" xr:uid="{00000000-0005-0000-0000-0000494E0000}"/>
    <cellStyle name="Normal 2 11 4 7" xfId="20039" xr:uid="{00000000-0005-0000-0000-00004A4E0000}"/>
    <cellStyle name="Normal 2 11 4 7 2" xfId="20040" xr:uid="{00000000-0005-0000-0000-00004B4E0000}"/>
    <cellStyle name="Normal 2 11 4 8" xfId="20041" xr:uid="{00000000-0005-0000-0000-00004C4E0000}"/>
    <cellStyle name="Normal 2 11 4 9" xfId="20042" xr:uid="{00000000-0005-0000-0000-00004D4E0000}"/>
    <cellStyle name="Normal 2 11 5" xfId="20043" xr:uid="{00000000-0005-0000-0000-00004E4E0000}"/>
    <cellStyle name="Normal 2 11 5 10" xfId="20044" xr:uid="{00000000-0005-0000-0000-00004F4E0000}"/>
    <cellStyle name="Normal 2 11 5 11" xfId="20045" xr:uid="{00000000-0005-0000-0000-0000504E0000}"/>
    <cellStyle name="Normal 2 11 5 2" xfId="20046" xr:uid="{00000000-0005-0000-0000-0000514E0000}"/>
    <cellStyle name="Normal 2 11 5 2 2" xfId="20047" xr:uid="{00000000-0005-0000-0000-0000524E0000}"/>
    <cellStyle name="Normal 2 11 5 2 2 2" xfId="20048" xr:uid="{00000000-0005-0000-0000-0000534E0000}"/>
    <cellStyle name="Normal 2 11 5 2 2 2 2" xfId="20049" xr:uid="{00000000-0005-0000-0000-0000544E0000}"/>
    <cellStyle name="Normal 2 11 5 2 2 2 3" xfId="20050" xr:uid="{00000000-0005-0000-0000-0000554E0000}"/>
    <cellStyle name="Normal 2 11 5 2 2 3" xfId="20051" xr:uid="{00000000-0005-0000-0000-0000564E0000}"/>
    <cellStyle name="Normal 2 11 5 2 2 4" xfId="20052" xr:uid="{00000000-0005-0000-0000-0000574E0000}"/>
    <cellStyle name="Normal 2 11 5 2 2 5" xfId="20053" xr:uid="{00000000-0005-0000-0000-0000584E0000}"/>
    <cellStyle name="Normal 2 11 5 2 2 6" xfId="20054" xr:uid="{00000000-0005-0000-0000-0000594E0000}"/>
    <cellStyle name="Normal 2 11 5 2 3" xfId="20055" xr:uid="{00000000-0005-0000-0000-00005A4E0000}"/>
    <cellStyle name="Normal 2 11 5 2 3 2" xfId="20056" xr:uid="{00000000-0005-0000-0000-00005B4E0000}"/>
    <cellStyle name="Normal 2 11 5 2 3 2 2" xfId="20057" xr:uid="{00000000-0005-0000-0000-00005C4E0000}"/>
    <cellStyle name="Normal 2 11 5 2 3 3" xfId="20058" xr:uid="{00000000-0005-0000-0000-00005D4E0000}"/>
    <cellStyle name="Normal 2 11 5 2 3 4" xfId="20059" xr:uid="{00000000-0005-0000-0000-00005E4E0000}"/>
    <cellStyle name="Normal 2 11 5 2 3 5" xfId="20060" xr:uid="{00000000-0005-0000-0000-00005F4E0000}"/>
    <cellStyle name="Normal 2 11 5 2 4" xfId="20061" xr:uid="{00000000-0005-0000-0000-0000604E0000}"/>
    <cellStyle name="Normal 2 11 5 2 4 2" xfId="20062" xr:uid="{00000000-0005-0000-0000-0000614E0000}"/>
    <cellStyle name="Normal 2 11 5 2 4 3" xfId="20063" xr:uid="{00000000-0005-0000-0000-0000624E0000}"/>
    <cellStyle name="Normal 2 11 5 2 4 4" xfId="20064" xr:uid="{00000000-0005-0000-0000-0000634E0000}"/>
    <cellStyle name="Normal 2 11 5 2 5" xfId="20065" xr:uid="{00000000-0005-0000-0000-0000644E0000}"/>
    <cellStyle name="Normal 2 11 5 2 5 2" xfId="20066" xr:uid="{00000000-0005-0000-0000-0000654E0000}"/>
    <cellStyle name="Normal 2 11 5 2 6" xfId="20067" xr:uid="{00000000-0005-0000-0000-0000664E0000}"/>
    <cellStyle name="Normal 2 11 5 2 7" xfId="20068" xr:uid="{00000000-0005-0000-0000-0000674E0000}"/>
    <cellStyle name="Normal 2 11 5 2 8" xfId="20069" xr:uid="{00000000-0005-0000-0000-0000684E0000}"/>
    <cellStyle name="Normal 2 11 5 2 9" xfId="20070" xr:uid="{00000000-0005-0000-0000-0000694E0000}"/>
    <cellStyle name="Normal 2 11 5 3" xfId="20071" xr:uid="{00000000-0005-0000-0000-00006A4E0000}"/>
    <cellStyle name="Normal 2 11 5 3 2" xfId="20072" xr:uid="{00000000-0005-0000-0000-00006B4E0000}"/>
    <cellStyle name="Normal 2 11 5 3 2 2" xfId="20073" xr:uid="{00000000-0005-0000-0000-00006C4E0000}"/>
    <cellStyle name="Normal 2 11 5 3 2 2 2" xfId="20074" xr:uid="{00000000-0005-0000-0000-00006D4E0000}"/>
    <cellStyle name="Normal 2 11 5 3 2 2 3" xfId="20075" xr:uid="{00000000-0005-0000-0000-00006E4E0000}"/>
    <cellStyle name="Normal 2 11 5 3 2 3" xfId="20076" xr:uid="{00000000-0005-0000-0000-00006F4E0000}"/>
    <cellStyle name="Normal 2 11 5 3 2 4" xfId="20077" xr:uid="{00000000-0005-0000-0000-0000704E0000}"/>
    <cellStyle name="Normal 2 11 5 3 2 5" xfId="20078" xr:uid="{00000000-0005-0000-0000-0000714E0000}"/>
    <cellStyle name="Normal 2 11 5 3 2 6" xfId="20079" xr:uid="{00000000-0005-0000-0000-0000724E0000}"/>
    <cellStyle name="Normal 2 11 5 3 3" xfId="20080" xr:uid="{00000000-0005-0000-0000-0000734E0000}"/>
    <cellStyle name="Normal 2 11 5 3 3 2" xfId="20081" xr:uid="{00000000-0005-0000-0000-0000744E0000}"/>
    <cellStyle name="Normal 2 11 5 3 3 2 2" xfId="20082" xr:uid="{00000000-0005-0000-0000-0000754E0000}"/>
    <cellStyle name="Normal 2 11 5 3 3 3" xfId="20083" xr:uid="{00000000-0005-0000-0000-0000764E0000}"/>
    <cellStyle name="Normal 2 11 5 3 3 4" xfId="20084" xr:uid="{00000000-0005-0000-0000-0000774E0000}"/>
    <cellStyle name="Normal 2 11 5 3 3 5" xfId="20085" xr:uid="{00000000-0005-0000-0000-0000784E0000}"/>
    <cellStyle name="Normal 2 11 5 3 4" xfId="20086" xr:uid="{00000000-0005-0000-0000-0000794E0000}"/>
    <cellStyle name="Normal 2 11 5 3 4 2" xfId="20087" xr:uid="{00000000-0005-0000-0000-00007A4E0000}"/>
    <cellStyle name="Normal 2 11 5 3 4 3" xfId="20088" xr:uid="{00000000-0005-0000-0000-00007B4E0000}"/>
    <cellStyle name="Normal 2 11 5 3 4 4" xfId="20089" xr:uid="{00000000-0005-0000-0000-00007C4E0000}"/>
    <cellStyle name="Normal 2 11 5 3 5" xfId="20090" xr:uid="{00000000-0005-0000-0000-00007D4E0000}"/>
    <cellStyle name="Normal 2 11 5 3 5 2" xfId="20091" xr:uid="{00000000-0005-0000-0000-00007E4E0000}"/>
    <cellStyle name="Normal 2 11 5 3 6" xfId="20092" xr:uid="{00000000-0005-0000-0000-00007F4E0000}"/>
    <cellStyle name="Normal 2 11 5 3 7" xfId="20093" xr:uid="{00000000-0005-0000-0000-0000804E0000}"/>
    <cellStyle name="Normal 2 11 5 3 8" xfId="20094" xr:uid="{00000000-0005-0000-0000-0000814E0000}"/>
    <cellStyle name="Normal 2 11 5 3 9" xfId="20095" xr:uid="{00000000-0005-0000-0000-0000824E0000}"/>
    <cellStyle name="Normal 2 11 5 4" xfId="20096" xr:uid="{00000000-0005-0000-0000-0000834E0000}"/>
    <cellStyle name="Normal 2 11 5 4 2" xfId="20097" xr:uid="{00000000-0005-0000-0000-0000844E0000}"/>
    <cellStyle name="Normal 2 11 5 4 2 2" xfId="20098" xr:uid="{00000000-0005-0000-0000-0000854E0000}"/>
    <cellStyle name="Normal 2 11 5 4 2 3" xfId="20099" xr:uid="{00000000-0005-0000-0000-0000864E0000}"/>
    <cellStyle name="Normal 2 11 5 4 3" xfId="20100" xr:uid="{00000000-0005-0000-0000-0000874E0000}"/>
    <cellStyle name="Normal 2 11 5 4 4" xfId="20101" xr:uid="{00000000-0005-0000-0000-0000884E0000}"/>
    <cellStyle name="Normal 2 11 5 4 5" xfId="20102" xr:uid="{00000000-0005-0000-0000-0000894E0000}"/>
    <cellStyle name="Normal 2 11 5 4 6" xfId="20103" xr:uid="{00000000-0005-0000-0000-00008A4E0000}"/>
    <cellStyle name="Normal 2 11 5 5" xfId="20104" xr:uid="{00000000-0005-0000-0000-00008B4E0000}"/>
    <cellStyle name="Normal 2 11 5 5 2" xfId="20105" xr:uid="{00000000-0005-0000-0000-00008C4E0000}"/>
    <cellStyle name="Normal 2 11 5 5 2 2" xfId="20106" xr:uid="{00000000-0005-0000-0000-00008D4E0000}"/>
    <cellStyle name="Normal 2 11 5 5 3" xfId="20107" xr:uid="{00000000-0005-0000-0000-00008E4E0000}"/>
    <cellStyle name="Normal 2 11 5 5 4" xfId="20108" xr:uid="{00000000-0005-0000-0000-00008F4E0000}"/>
    <cellStyle name="Normal 2 11 5 5 5" xfId="20109" xr:uid="{00000000-0005-0000-0000-0000904E0000}"/>
    <cellStyle name="Normal 2 11 5 6" xfId="20110" xr:uid="{00000000-0005-0000-0000-0000914E0000}"/>
    <cellStyle name="Normal 2 11 5 6 2" xfId="20111" xr:uid="{00000000-0005-0000-0000-0000924E0000}"/>
    <cellStyle name="Normal 2 11 5 6 3" xfId="20112" xr:uid="{00000000-0005-0000-0000-0000934E0000}"/>
    <cellStyle name="Normal 2 11 5 6 4" xfId="20113" xr:uid="{00000000-0005-0000-0000-0000944E0000}"/>
    <cellStyle name="Normal 2 11 5 7" xfId="20114" xr:uid="{00000000-0005-0000-0000-0000954E0000}"/>
    <cellStyle name="Normal 2 11 5 7 2" xfId="20115" xr:uid="{00000000-0005-0000-0000-0000964E0000}"/>
    <cellStyle name="Normal 2 11 5 8" xfId="20116" xr:uid="{00000000-0005-0000-0000-0000974E0000}"/>
    <cellStyle name="Normal 2 11 5 9" xfId="20117" xr:uid="{00000000-0005-0000-0000-0000984E0000}"/>
    <cellStyle name="Normal 2 11 6" xfId="20118" xr:uid="{00000000-0005-0000-0000-0000994E0000}"/>
    <cellStyle name="Normal 2 11 6 10" xfId="20119" xr:uid="{00000000-0005-0000-0000-00009A4E0000}"/>
    <cellStyle name="Normal 2 11 6 11" xfId="20120" xr:uid="{00000000-0005-0000-0000-00009B4E0000}"/>
    <cellStyle name="Normal 2 11 6 2" xfId="20121" xr:uid="{00000000-0005-0000-0000-00009C4E0000}"/>
    <cellStyle name="Normal 2 11 6 2 2" xfId="20122" xr:uid="{00000000-0005-0000-0000-00009D4E0000}"/>
    <cellStyle name="Normal 2 11 6 2 2 2" xfId="20123" xr:uid="{00000000-0005-0000-0000-00009E4E0000}"/>
    <cellStyle name="Normal 2 11 6 2 2 2 2" xfId="20124" xr:uid="{00000000-0005-0000-0000-00009F4E0000}"/>
    <cellStyle name="Normal 2 11 6 2 2 2 3" xfId="20125" xr:uid="{00000000-0005-0000-0000-0000A04E0000}"/>
    <cellStyle name="Normal 2 11 6 2 2 3" xfId="20126" xr:uid="{00000000-0005-0000-0000-0000A14E0000}"/>
    <cellStyle name="Normal 2 11 6 2 2 4" xfId="20127" xr:uid="{00000000-0005-0000-0000-0000A24E0000}"/>
    <cellStyle name="Normal 2 11 6 2 2 5" xfId="20128" xr:uid="{00000000-0005-0000-0000-0000A34E0000}"/>
    <cellStyle name="Normal 2 11 6 2 2 6" xfId="20129" xr:uid="{00000000-0005-0000-0000-0000A44E0000}"/>
    <cellStyle name="Normal 2 11 6 2 3" xfId="20130" xr:uid="{00000000-0005-0000-0000-0000A54E0000}"/>
    <cellStyle name="Normal 2 11 6 2 3 2" xfId="20131" xr:uid="{00000000-0005-0000-0000-0000A64E0000}"/>
    <cellStyle name="Normal 2 11 6 2 3 2 2" xfId="20132" xr:uid="{00000000-0005-0000-0000-0000A74E0000}"/>
    <cellStyle name="Normal 2 11 6 2 3 3" xfId="20133" xr:uid="{00000000-0005-0000-0000-0000A84E0000}"/>
    <cellStyle name="Normal 2 11 6 2 3 4" xfId="20134" xr:uid="{00000000-0005-0000-0000-0000A94E0000}"/>
    <cellStyle name="Normal 2 11 6 2 3 5" xfId="20135" xr:uid="{00000000-0005-0000-0000-0000AA4E0000}"/>
    <cellStyle name="Normal 2 11 6 2 4" xfId="20136" xr:uid="{00000000-0005-0000-0000-0000AB4E0000}"/>
    <cellStyle name="Normal 2 11 6 2 4 2" xfId="20137" xr:uid="{00000000-0005-0000-0000-0000AC4E0000}"/>
    <cellStyle name="Normal 2 11 6 2 4 3" xfId="20138" xr:uid="{00000000-0005-0000-0000-0000AD4E0000}"/>
    <cellStyle name="Normal 2 11 6 2 4 4" xfId="20139" xr:uid="{00000000-0005-0000-0000-0000AE4E0000}"/>
    <cellStyle name="Normal 2 11 6 2 5" xfId="20140" xr:uid="{00000000-0005-0000-0000-0000AF4E0000}"/>
    <cellStyle name="Normal 2 11 6 2 5 2" xfId="20141" xr:uid="{00000000-0005-0000-0000-0000B04E0000}"/>
    <cellStyle name="Normal 2 11 6 2 6" xfId="20142" xr:uid="{00000000-0005-0000-0000-0000B14E0000}"/>
    <cellStyle name="Normal 2 11 6 2 7" xfId="20143" xr:uid="{00000000-0005-0000-0000-0000B24E0000}"/>
    <cellStyle name="Normal 2 11 6 2 8" xfId="20144" xr:uid="{00000000-0005-0000-0000-0000B34E0000}"/>
    <cellStyle name="Normal 2 11 6 2 9" xfId="20145" xr:uid="{00000000-0005-0000-0000-0000B44E0000}"/>
    <cellStyle name="Normal 2 11 6 3" xfId="20146" xr:uid="{00000000-0005-0000-0000-0000B54E0000}"/>
    <cellStyle name="Normal 2 11 6 3 2" xfId="20147" xr:uid="{00000000-0005-0000-0000-0000B64E0000}"/>
    <cellStyle name="Normal 2 11 6 3 2 2" xfId="20148" xr:uid="{00000000-0005-0000-0000-0000B74E0000}"/>
    <cellStyle name="Normal 2 11 6 3 2 2 2" xfId="20149" xr:uid="{00000000-0005-0000-0000-0000B84E0000}"/>
    <cellStyle name="Normal 2 11 6 3 2 2 3" xfId="20150" xr:uid="{00000000-0005-0000-0000-0000B94E0000}"/>
    <cellStyle name="Normal 2 11 6 3 2 3" xfId="20151" xr:uid="{00000000-0005-0000-0000-0000BA4E0000}"/>
    <cellStyle name="Normal 2 11 6 3 2 4" xfId="20152" xr:uid="{00000000-0005-0000-0000-0000BB4E0000}"/>
    <cellStyle name="Normal 2 11 6 3 2 5" xfId="20153" xr:uid="{00000000-0005-0000-0000-0000BC4E0000}"/>
    <cellStyle name="Normal 2 11 6 3 2 6" xfId="20154" xr:uid="{00000000-0005-0000-0000-0000BD4E0000}"/>
    <cellStyle name="Normal 2 11 6 3 3" xfId="20155" xr:uid="{00000000-0005-0000-0000-0000BE4E0000}"/>
    <cellStyle name="Normal 2 11 6 3 3 2" xfId="20156" xr:uid="{00000000-0005-0000-0000-0000BF4E0000}"/>
    <cellStyle name="Normal 2 11 6 3 3 2 2" xfId="20157" xr:uid="{00000000-0005-0000-0000-0000C04E0000}"/>
    <cellStyle name="Normal 2 11 6 3 3 3" xfId="20158" xr:uid="{00000000-0005-0000-0000-0000C14E0000}"/>
    <cellStyle name="Normal 2 11 6 3 3 4" xfId="20159" xr:uid="{00000000-0005-0000-0000-0000C24E0000}"/>
    <cellStyle name="Normal 2 11 6 3 3 5" xfId="20160" xr:uid="{00000000-0005-0000-0000-0000C34E0000}"/>
    <cellStyle name="Normal 2 11 6 3 4" xfId="20161" xr:uid="{00000000-0005-0000-0000-0000C44E0000}"/>
    <cellStyle name="Normal 2 11 6 3 4 2" xfId="20162" xr:uid="{00000000-0005-0000-0000-0000C54E0000}"/>
    <cellStyle name="Normal 2 11 6 3 4 3" xfId="20163" xr:uid="{00000000-0005-0000-0000-0000C64E0000}"/>
    <cellStyle name="Normal 2 11 6 3 4 4" xfId="20164" xr:uid="{00000000-0005-0000-0000-0000C74E0000}"/>
    <cellStyle name="Normal 2 11 6 3 5" xfId="20165" xr:uid="{00000000-0005-0000-0000-0000C84E0000}"/>
    <cellStyle name="Normal 2 11 6 3 5 2" xfId="20166" xr:uid="{00000000-0005-0000-0000-0000C94E0000}"/>
    <cellStyle name="Normal 2 11 6 3 6" xfId="20167" xr:uid="{00000000-0005-0000-0000-0000CA4E0000}"/>
    <cellStyle name="Normal 2 11 6 3 7" xfId="20168" xr:uid="{00000000-0005-0000-0000-0000CB4E0000}"/>
    <cellStyle name="Normal 2 11 6 3 8" xfId="20169" xr:uid="{00000000-0005-0000-0000-0000CC4E0000}"/>
    <cellStyle name="Normal 2 11 6 3 9" xfId="20170" xr:uid="{00000000-0005-0000-0000-0000CD4E0000}"/>
    <cellStyle name="Normal 2 11 6 4" xfId="20171" xr:uid="{00000000-0005-0000-0000-0000CE4E0000}"/>
    <cellStyle name="Normal 2 11 6 4 2" xfId="20172" xr:uid="{00000000-0005-0000-0000-0000CF4E0000}"/>
    <cellStyle name="Normal 2 11 6 4 2 2" xfId="20173" xr:uid="{00000000-0005-0000-0000-0000D04E0000}"/>
    <cellStyle name="Normal 2 11 6 4 2 3" xfId="20174" xr:uid="{00000000-0005-0000-0000-0000D14E0000}"/>
    <cellStyle name="Normal 2 11 6 4 3" xfId="20175" xr:uid="{00000000-0005-0000-0000-0000D24E0000}"/>
    <cellStyle name="Normal 2 11 6 4 4" xfId="20176" xr:uid="{00000000-0005-0000-0000-0000D34E0000}"/>
    <cellStyle name="Normal 2 11 6 4 5" xfId="20177" xr:uid="{00000000-0005-0000-0000-0000D44E0000}"/>
    <cellStyle name="Normal 2 11 6 4 6" xfId="20178" xr:uid="{00000000-0005-0000-0000-0000D54E0000}"/>
    <cellStyle name="Normal 2 11 6 5" xfId="20179" xr:uid="{00000000-0005-0000-0000-0000D64E0000}"/>
    <cellStyle name="Normal 2 11 6 5 2" xfId="20180" xr:uid="{00000000-0005-0000-0000-0000D74E0000}"/>
    <cellStyle name="Normal 2 11 6 5 2 2" xfId="20181" xr:uid="{00000000-0005-0000-0000-0000D84E0000}"/>
    <cellStyle name="Normal 2 11 6 5 3" xfId="20182" xr:uid="{00000000-0005-0000-0000-0000D94E0000}"/>
    <cellStyle name="Normal 2 11 6 5 4" xfId="20183" xr:uid="{00000000-0005-0000-0000-0000DA4E0000}"/>
    <cellStyle name="Normal 2 11 6 5 5" xfId="20184" xr:uid="{00000000-0005-0000-0000-0000DB4E0000}"/>
    <cellStyle name="Normal 2 11 6 6" xfId="20185" xr:uid="{00000000-0005-0000-0000-0000DC4E0000}"/>
    <cellStyle name="Normal 2 11 6 6 2" xfId="20186" xr:uid="{00000000-0005-0000-0000-0000DD4E0000}"/>
    <cellStyle name="Normal 2 11 6 6 3" xfId="20187" xr:uid="{00000000-0005-0000-0000-0000DE4E0000}"/>
    <cellStyle name="Normal 2 11 6 6 4" xfId="20188" xr:uid="{00000000-0005-0000-0000-0000DF4E0000}"/>
    <cellStyle name="Normal 2 11 6 7" xfId="20189" xr:uid="{00000000-0005-0000-0000-0000E04E0000}"/>
    <cellStyle name="Normal 2 11 6 7 2" xfId="20190" xr:uid="{00000000-0005-0000-0000-0000E14E0000}"/>
    <cellStyle name="Normal 2 11 6 8" xfId="20191" xr:uid="{00000000-0005-0000-0000-0000E24E0000}"/>
    <cellStyle name="Normal 2 11 6 9" xfId="20192" xr:uid="{00000000-0005-0000-0000-0000E34E0000}"/>
    <cellStyle name="Normal 2 11 7" xfId="20193" xr:uid="{00000000-0005-0000-0000-0000E44E0000}"/>
    <cellStyle name="Normal 2 11 7 10" xfId="20194" xr:uid="{00000000-0005-0000-0000-0000E54E0000}"/>
    <cellStyle name="Normal 2 11 7 11" xfId="20195" xr:uid="{00000000-0005-0000-0000-0000E64E0000}"/>
    <cellStyle name="Normal 2 11 7 2" xfId="20196" xr:uid="{00000000-0005-0000-0000-0000E74E0000}"/>
    <cellStyle name="Normal 2 11 7 2 2" xfId="20197" xr:uid="{00000000-0005-0000-0000-0000E84E0000}"/>
    <cellStyle name="Normal 2 11 7 2 2 2" xfId="20198" xr:uid="{00000000-0005-0000-0000-0000E94E0000}"/>
    <cellStyle name="Normal 2 11 7 2 2 2 2" xfId="20199" xr:uid="{00000000-0005-0000-0000-0000EA4E0000}"/>
    <cellStyle name="Normal 2 11 7 2 2 2 3" xfId="20200" xr:uid="{00000000-0005-0000-0000-0000EB4E0000}"/>
    <cellStyle name="Normal 2 11 7 2 2 3" xfId="20201" xr:uid="{00000000-0005-0000-0000-0000EC4E0000}"/>
    <cellStyle name="Normal 2 11 7 2 2 4" xfId="20202" xr:uid="{00000000-0005-0000-0000-0000ED4E0000}"/>
    <cellStyle name="Normal 2 11 7 2 2 5" xfId="20203" xr:uid="{00000000-0005-0000-0000-0000EE4E0000}"/>
    <cellStyle name="Normal 2 11 7 2 2 6" xfId="20204" xr:uid="{00000000-0005-0000-0000-0000EF4E0000}"/>
    <cellStyle name="Normal 2 11 7 2 3" xfId="20205" xr:uid="{00000000-0005-0000-0000-0000F04E0000}"/>
    <cellStyle name="Normal 2 11 7 2 3 2" xfId="20206" xr:uid="{00000000-0005-0000-0000-0000F14E0000}"/>
    <cellStyle name="Normal 2 11 7 2 3 2 2" xfId="20207" xr:uid="{00000000-0005-0000-0000-0000F24E0000}"/>
    <cellStyle name="Normal 2 11 7 2 3 3" xfId="20208" xr:uid="{00000000-0005-0000-0000-0000F34E0000}"/>
    <cellStyle name="Normal 2 11 7 2 3 4" xfId="20209" xr:uid="{00000000-0005-0000-0000-0000F44E0000}"/>
    <cellStyle name="Normal 2 11 7 2 3 5" xfId="20210" xr:uid="{00000000-0005-0000-0000-0000F54E0000}"/>
    <cellStyle name="Normal 2 11 7 2 4" xfId="20211" xr:uid="{00000000-0005-0000-0000-0000F64E0000}"/>
    <cellStyle name="Normal 2 11 7 2 4 2" xfId="20212" xr:uid="{00000000-0005-0000-0000-0000F74E0000}"/>
    <cellStyle name="Normal 2 11 7 2 4 3" xfId="20213" xr:uid="{00000000-0005-0000-0000-0000F84E0000}"/>
    <cellStyle name="Normal 2 11 7 2 4 4" xfId="20214" xr:uid="{00000000-0005-0000-0000-0000F94E0000}"/>
    <cellStyle name="Normal 2 11 7 2 5" xfId="20215" xr:uid="{00000000-0005-0000-0000-0000FA4E0000}"/>
    <cellStyle name="Normal 2 11 7 2 5 2" xfId="20216" xr:uid="{00000000-0005-0000-0000-0000FB4E0000}"/>
    <cellStyle name="Normal 2 11 7 2 6" xfId="20217" xr:uid="{00000000-0005-0000-0000-0000FC4E0000}"/>
    <cellStyle name="Normal 2 11 7 2 7" xfId="20218" xr:uid="{00000000-0005-0000-0000-0000FD4E0000}"/>
    <cellStyle name="Normal 2 11 7 2 8" xfId="20219" xr:uid="{00000000-0005-0000-0000-0000FE4E0000}"/>
    <cellStyle name="Normal 2 11 7 2 9" xfId="20220" xr:uid="{00000000-0005-0000-0000-0000FF4E0000}"/>
    <cellStyle name="Normal 2 11 7 3" xfId="20221" xr:uid="{00000000-0005-0000-0000-0000004F0000}"/>
    <cellStyle name="Normal 2 11 7 3 2" xfId="20222" xr:uid="{00000000-0005-0000-0000-0000014F0000}"/>
    <cellStyle name="Normal 2 11 7 3 2 2" xfId="20223" xr:uid="{00000000-0005-0000-0000-0000024F0000}"/>
    <cellStyle name="Normal 2 11 7 3 2 2 2" xfId="20224" xr:uid="{00000000-0005-0000-0000-0000034F0000}"/>
    <cellStyle name="Normal 2 11 7 3 2 2 3" xfId="20225" xr:uid="{00000000-0005-0000-0000-0000044F0000}"/>
    <cellStyle name="Normal 2 11 7 3 2 3" xfId="20226" xr:uid="{00000000-0005-0000-0000-0000054F0000}"/>
    <cellStyle name="Normal 2 11 7 3 2 4" xfId="20227" xr:uid="{00000000-0005-0000-0000-0000064F0000}"/>
    <cellStyle name="Normal 2 11 7 3 2 5" xfId="20228" xr:uid="{00000000-0005-0000-0000-0000074F0000}"/>
    <cellStyle name="Normal 2 11 7 3 2 6" xfId="20229" xr:uid="{00000000-0005-0000-0000-0000084F0000}"/>
    <cellStyle name="Normal 2 11 7 3 3" xfId="20230" xr:uid="{00000000-0005-0000-0000-0000094F0000}"/>
    <cellStyle name="Normal 2 11 7 3 3 2" xfId="20231" xr:uid="{00000000-0005-0000-0000-00000A4F0000}"/>
    <cellStyle name="Normal 2 11 7 3 3 2 2" xfId="20232" xr:uid="{00000000-0005-0000-0000-00000B4F0000}"/>
    <cellStyle name="Normal 2 11 7 3 3 3" xfId="20233" xr:uid="{00000000-0005-0000-0000-00000C4F0000}"/>
    <cellStyle name="Normal 2 11 7 3 3 4" xfId="20234" xr:uid="{00000000-0005-0000-0000-00000D4F0000}"/>
    <cellStyle name="Normal 2 11 7 3 3 5" xfId="20235" xr:uid="{00000000-0005-0000-0000-00000E4F0000}"/>
    <cellStyle name="Normal 2 11 7 3 4" xfId="20236" xr:uid="{00000000-0005-0000-0000-00000F4F0000}"/>
    <cellStyle name="Normal 2 11 7 3 4 2" xfId="20237" xr:uid="{00000000-0005-0000-0000-0000104F0000}"/>
    <cellStyle name="Normal 2 11 7 3 4 3" xfId="20238" xr:uid="{00000000-0005-0000-0000-0000114F0000}"/>
    <cellStyle name="Normal 2 11 7 3 4 4" xfId="20239" xr:uid="{00000000-0005-0000-0000-0000124F0000}"/>
    <cellStyle name="Normal 2 11 7 3 5" xfId="20240" xr:uid="{00000000-0005-0000-0000-0000134F0000}"/>
    <cellStyle name="Normal 2 11 7 3 5 2" xfId="20241" xr:uid="{00000000-0005-0000-0000-0000144F0000}"/>
    <cellStyle name="Normal 2 11 7 3 6" xfId="20242" xr:uid="{00000000-0005-0000-0000-0000154F0000}"/>
    <cellStyle name="Normal 2 11 7 3 7" xfId="20243" xr:uid="{00000000-0005-0000-0000-0000164F0000}"/>
    <cellStyle name="Normal 2 11 7 3 8" xfId="20244" xr:uid="{00000000-0005-0000-0000-0000174F0000}"/>
    <cellStyle name="Normal 2 11 7 3 9" xfId="20245" xr:uid="{00000000-0005-0000-0000-0000184F0000}"/>
    <cellStyle name="Normal 2 11 7 4" xfId="20246" xr:uid="{00000000-0005-0000-0000-0000194F0000}"/>
    <cellStyle name="Normal 2 11 7 4 2" xfId="20247" xr:uid="{00000000-0005-0000-0000-00001A4F0000}"/>
    <cellStyle name="Normal 2 11 7 4 2 2" xfId="20248" xr:uid="{00000000-0005-0000-0000-00001B4F0000}"/>
    <cellStyle name="Normal 2 11 7 4 2 3" xfId="20249" xr:uid="{00000000-0005-0000-0000-00001C4F0000}"/>
    <cellStyle name="Normal 2 11 7 4 3" xfId="20250" xr:uid="{00000000-0005-0000-0000-00001D4F0000}"/>
    <cellStyle name="Normal 2 11 7 4 4" xfId="20251" xr:uid="{00000000-0005-0000-0000-00001E4F0000}"/>
    <cellStyle name="Normal 2 11 7 4 5" xfId="20252" xr:uid="{00000000-0005-0000-0000-00001F4F0000}"/>
    <cellStyle name="Normal 2 11 7 4 6" xfId="20253" xr:uid="{00000000-0005-0000-0000-0000204F0000}"/>
    <cellStyle name="Normal 2 11 7 5" xfId="20254" xr:uid="{00000000-0005-0000-0000-0000214F0000}"/>
    <cellStyle name="Normal 2 11 7 5 2" xfId="20255" xr:uid="{00000000-0005-0000-0000-0000224F0000}"/>
    <cellStyle name="Normal 2 11 7 5 2 2" xfId="20256" xr:uid="{00000000-0005-0000-0000-0000234F0000}"/>
    <cellStyle name="Normal 2 11 7 5 3" xfId="20257" xr:uid="{00000000-0005-0000-0000-0000244F0000}"/>
    <cellStyle name="Normal 2 11 7 5 4" xfId="20258" xr:uid="{00000000-0005-0000-0000-0000254F0000}"/>
    <cellStyle name="Normal 2 11 7 5 5" xfId="20259" xr:uid="{00000000-0005-0000-0000-0000264F0000}"/>
    <cellStyle name="Normal 2 11 7 6" xfId="20260" xr:uid="{00000000-0005-0000-0000-0000274F0000}"/>
    <cellStyle name="Normal 2 11 7 6 2" xfId="20261" xr:uid="{00000000-0005-0000-0000-0000284F0000}"/>
    <cellStyle name="Normal 2 11 7 6 3" xfId="20262" xr:uid="{00000000-0005-0000-0000-0000294F0000}"/>
    <cellStyle name="Normal 2 11 7 6 4" xfId="20263" xr:uid="{00000000-0005-0000-0000-00002A4F0000}"/>
    <cellStyle name="Normal 2 11 7 7" xfId="20264" xr:uid="{00000000-0005-0000-0000-00002B4F0000}"/>
    <cellStyle name="Normal 2 11 7 7 2" xfId="20265" xr:uid="{00000000-0005-0000-0000-00002C4F0000}"/>
    <cellStyle name="Normal 2 11 7 8" xfId="20266" xr:uid="{00000000-0005-0000-0000-00002D4F0000}"/>
    <cellStyle name="Normal 2 11 7 9" xfId="20267" xr:uid="{00000000-0005-0000-0000-00002E4F0000}"/>
    <cellStyle name="Normal 2 11 8" xfId="20268" xr:uid="{00000000-0005-0000-0000-00002F4F0000}"/>
    <cellStyle name="Normal 2 11 8 10" xfId="20269" xr:uid="{00000000-0005-0000-0000-0000304F0000}"/>
    <cellStyle name="Normal 2 11 8 2" xfId="20270" xr:uid="{00000000-0005-0000-0000-0000314F0000}"/>
    <cellStyle name="Normal 2 11 8 2 2" xfId="20271" xr:uid="{00000000-0005-0000-0000-0000324F0000}"/>
    <cellStyle name="Normal 2 11 8 2 2 2" xfId="20272" xr:uid="{00000000-0005-0000-0000-0000334F0000}"/>
    <cellStyle name="Normal 2 11 8 2 2 3" xfId="20273" xr:uid="{00000000-0005-0000-0000-0000344F0000}"/>
    <cellStyle name="Normal 2 11 8 2 3" xfId="20274" xr:uid="{00000000-0005-0000-0000-0000354F0000}"/>
    <cellStyle name="Normal 2 11 8 2 4" xfId="20275" xr:uid="{00000000-0005-0000-0000-0000364F0000}"/>
    <cellStyle name="Normal 2 11 8 2 5" xfId="20276" xr:uid="{00000000-0005-0000-0000-0000374F0000}"/>
    <cellStyle name="Normal 2 11 8 2 6" xfId="20277" xr:uid="{00000000-0005-0000-0000-0000384F0000}"/>
    <cellStyle name="Normal 2 11 8 3" xfId="20278" xr:uid="{00000000-0005-0000-0000-0000394F0000}"/>
    <cellStyle name="Normal 2 11 8 3 2" xfId="20279" xr:uid="{00000000-0005-0000-0000-00003A4F0000}"/>
    <cellStyle name="Normal 2 11 8 3 2 2" xfId="20280" xr:uid="{00000000-0005-0000-0000-00003B4F0000}"/>
    <cellStyle name="Normal 2 11 8 3 2 3" xfId="20281" xr:uid="{00000000-0005-0000-0000-00003C4F0000}"/>
    <cellStyle name="Normal 2 11 8 3 3" xfId="20282" xr:uid="{00000000-0005-0000-0000-00003D4F0000}"/>
    <cellStyle name="Normal 2 11 8 3 4" xfId="20283" xr:uid="{00000000-0005-0000-0000-00003E4F0000}"/>
    <cellStyle name="Normal 2 11 8 3 5" xfId="20284" xr:uid="{00000000-0005-0000-0000-00003F4F0000}"/>
    <cellStyle name="Normal 2 11 8 3 6" xfId="20285" xr:uid="{00000000-0005-0000-0000-0000404F0000}"/>
    <cellStyle name="Normal 2 11 8 4" xfId="20286" xr:uid="{00000000-0005-0000-0000-0000414F0000}"/>
    <cellStyle name="Normal 2 11 8 4 2" xfId="20287" xr:uid="{00000000-0005-0000-0000-0000424F0000}"/>
    <cellStyle name="Normal 2 11 8 4 2 2" xfId="20288" xr:uid="{00000000-0005-0000-0000-0000434F0000}"/>
    <cellStyle name="Normal 2 11 8 4 3" xfId="20289" xr:uid="{00000000-0005-0000-0000-0000444F0000}"/>
    <cellStyle name="Normal 2 11 8 4 4" xfId="20290" xr:uid="{00000000-0005-0000-0000-0000454F0000}"/>
    <cellStyle name="Normal 2 11 8 4 5" xfId="20291" xr:uid="{00000000-0005-0000-0000-0000464F0000}"/>
    <cellStyle name="Normal 2 11 8 5" xfId="20292" xr:uid="{00000000-0005-0000-0000-0000474F0000}"/>
    <cellStyle name="Normal 2 11 8 5 2" xfId="20293" xr:uid="{00000000-0005-0000-0000-0000484F0000}"/>
    <cellStyle name="Normal 2 11 8 5 3" xfId="20294" xr:uid="{00000000-0005-0000-0000-0000494F0000}"/>
    <cellStyle name="Normal 2 11 8 5 4" xfId="20295" xr:uid="{00000000-0005-0000-0000-00004A4F0000}"/>
    <cellStyle name="Normal 2 11 8 6" xfId="20296" xr:uid="{00000000-0005-0000-0000-00004B4F0000}"/>
    <cellStyle name="Normal 2 11 8 6 2" xfId="20297" xr:uid="{00000000-0005-0000-0000-00004C4F0000}"/>
    <cellStyle name="Normal 2 11 8 7" xfId="20298" xr:uid="{00000000-0005-0000-0000-00004D4F0000}"/>
    <cellStyle name="Normal 2 11 8 8" xfId="20299" xr:uid="{00000000-0005-0000-0000-00004E4F0000}"/>
    <cellStyle name="Normal 2 11 8 9" xfId="20300" xr:uid="{00000000-0005-0000-0000-00004F4F0000}"/>
    <cellStyle name="Normal 2 11 9" xfId="20301" xr:uid="{00000000-0005-0000-0000-0000504F0000}"/>
    <cellStyle name="Normal 2 11 9 10" xfId="20302" xr:uid="{00000000-0005-0000-0000-0000514F0000}"/>
    <cellStyle name="Normal 2 11 9 2" xfId="20303" xr:uid="{00000000-0005-0000-0000-0000524F0000}"/>
    <cellStyle name="Normal 2 11 9 2 2" xfId="20304" xr:uid="{00000000-0005-0000-0000-0000534F0000}"/>
    <cellStyle name="Normal 2 11 9 2 2 2" xfId="20305" xr:uid="{00000000-0005-0000-0000-0000544F0000}"/>
    <cellStyle name="Normal 2 11 9 2 2 3" xfId="20306" xr:uid="{00000000-0005-0000-0000-0000554F0000}"/>
    <cellStyle name="Normal 2 11 9 2 3" xfId="20307" xr:uid="{00000000-0005-0000-0000-0000564F0000}"/>
    <cellStyle name="Normal 2 11 9 2 4" xfId="20308" xr:uid="{00000000-0005-0000-0000-0000574F0000}"/>
    <cellStyle name="Normal 2 11 9 2 5" xfId="20309" xr:uid="{00000000-0005-0000-0000-0000584F0000}"/>
    <cellStyle name="Normal 2 11 9 2 6" xfId="20310" xr:uid="{00000000-0005-0000-0000-0000594F0000}"/>
    <cellStyle name="Normal 2 11 9 3" xfId="20311" xr:uid="{00000000-0005-0000-0000-00005A4F0000}"/>
    <cellStyle name="Normal 2 11 9 3 2" xfId="20312" xr:uid="{00000000-0005-0000-0000-00005B4F0000}"/>
    <cellStyle name="Normal 2 11 9 3 2 2" xfId="20313" xr:uid="{00000000-0005-0000-0000-00005C4F0000}"/>
    <cellStyle name="Normal 2 11 9 3 2 3" xfId="20314" xr:uid="{00000000-0005-0000-0000-00005D4F0000}"/>
    <cellStyle name="Normal 2 11 9 3 3" xfId="20315" xr:uid="{00000000-0005-0000-0000-00005E4F0000}"/>
    <cellStyle name="Normal 2 11 9 3 4" xfId="20316" xr:uid="{00000000-0005-0000-0000-00005F4F0000}"/>
    <cellStyle name="Normal 2 11 9 3 5" xfId="20317" xr:uid="{00000000-0005-0000-0000-0000604F0000}"/>
    <cellStyle name="Normal 2 11 9 3 6" xfId="20318" xr:uid="{00000000-0005-0000-0000-0000614F0000}"/>
    <cellStyle name="Normal 2 11 9 4" xfId="20319" xr:uid="{00000000-0005-0000-0000-0000624F0000}"/>
    <cellStyle name="Normal 2 11 9 4 2" xfId="20320" xr:uid="{00000000-0005-0000-0000-0000634F0000}"/>
    <cellStyle name="Normal 2 11 9 4 2 2" xfId="20321" xr:uid="{00000000-0005-0000-0000-0000644F0000}"/>
    <cellStyle name="Normal 2 11 9 4 3" xfId="20322" xr:uid="{00000000-0005-0000-0000-0000654F0000}"/>
    <cellStyle name="Normal 2 11 9 4 4" xfId="20323" xr:uid="{00000000-0005-0000-0000-0000664F0000}"/>
    <cellStyle name="Normal 2 11 9 4 5" xfId="20324" xr:uid="{00000000-0005-0000-0000-0000674F0000}"/>
    <cellStyle name="Normal 2 11 9 5" xfId="20325" xr:uid="{00000000-0005-0000-0000-0000684F0000}"/>
    <cellStyle name="Normal 2 11 9 5 2" xfId="20326" xr:uid="{00000000-0005-0000-0000-0000694F0000}"/>
    <cellStyle name="Normal 2 11 9 5 3" xfId="20327" xr:uid="{00000000-0005-0000-0000-00006A4F0000}"/>
    <cellStyle name="Normal 2 11 9 5 4" xfId="20328" xr:uid="{00000000-0005-0000-0000-00006B4F0000}"/>
    <cellStyle name="Normal 2 11 9 6" xfId="20329" xr:uid="{00000000-0005-0000-0000-00006C4F0000}"/>
    <cellStyle name="Normal 2 11 9 6 2" xfId="20330" xr:uid="{00000000-0005-0000-0000-00006D4F0000}"/>
    <cellStyle name="Normal 2 11 9 7" xfId="20331" xr:uid="{00000000-0005-0000-0000-00006E4F0000}"/>
    <cellStyle name="Normal 2 11 9 8" xfId="20332" xr:uid="{00000000-0005-0000-0000-00006F4F0000}"/>
    <cellStyle name="Normal 2 11 9 9" xfId="20333" xr:uid="{00000000-0005-0000-0000-0000704F0000}"/>
    <cellStyle name="Normal 2 12" xfId="20334" xr:uid="{00000000-0005-0000-0000-0000714F0000}"/>
    <cellStyle name="Normal 2 12 10" xfId="20335" xr:uid="{00000000-0005-0000-0000-0000724F0000}"/>
    <cellStyle name="Normal 2 12 10 10" xfId="20336" xr:uid="{00000000-0005-0000-0000-0000734F0000}"/>
    <cellStyle name="Normal 2 12 10 2" xfId="20337" xr:uid="{00000000-0005-0000-0000-0000744F0000}"/>
    <cellStyle name="Normal 2 12 10 2 2" xfId="20338" xr:uid="{00000000-0005-0000-0000-0000754F0000}"/>
    <cellStyle name="Normal 2 12 10 2 2 2" xfId="20339" xr:uid="{00000000-0005-0000-0000-0000764F0000}"/>
    <cellStyle name="Normal 2 12 10 2 2 3" xfId="20340" xr:uid="{00000000-0005-0000-0000-0000774F0000}"/>
    <cellStyle name="Normal 2 12 10 2 3" xfId="20341" xr:uid="{00000000-0005-0000-0000-0000784F0000}"/>
    <cellStyle name="Normal 2 12 10 2 4" xfId="20342" xr:uid="{00000000-0005-0000-0000-0000794F0000}"/>
    <cellStyle name="Normal 2 12 10 2 5" xfId="20343" xr:uid="{00000000-0005-0000-0000-00007A4F0000}"/>
    <cellStyle name="Normal 2 12 10 2 6" xfId="20344" xr:uid="{00000000-0005-0000-0000-00007B4F0000}"/>
    <cellStyle name="Normal 2 12 10 3" xfId="20345" xr:uid="{00000000-0005-0000-0000-00007C4F0000}"/>
    <cellStyle name="Normal 2 12 10 3 2" xfId="20346" xr:uid="{00000000-0005-0000-0000-00007D4F0000}"/>
    <cellStyle name="Normal 2 12 10 3 2 2" xfId="20347" xr:uid="{00000000-0005-0000-0000-00007E4F0000}"/>
    <cellStyle name="Normal 2 12 10 3 2 3" xfId="20348" xr:uid="{00000000-0005-0000-0000-00007F4F0000}"/>
    <cellStyle name="Normal 2 12 10 3 3" xfId="20349" xr:uid="{00000000-0005-0000-0000-0000804F0000}"/>
    <cellStyle name="Normal 2 12 10 3 4" xfId="20350" xr:uid="{00000000-0005-0000-0000-0000814F0000}"/>
    <cellStyle name="Normal 2 12 10 3 5" xfId="20351" xr:uid="{00000000-0005-0000-0000-0000824F0000}"/>
    <cellStyle name="Normal 2 12 10 3 6" xfId="20352" xr:uid="{00000000-0005-0000-0000-0000834F0000}"/>
    <cellStyle name="Normal 2 12 10 4" xfId="20353" xr:uid="{00000000-0005-0000-0000-0000844F0000}"/>
    <cellStyle name="Normal 2 12 10 4 2" xfId="20354" xr:uid="{00000000-0005-0000-0000-0000854F0000}"/>
    <cellStyle name="Normal 2 12 10 4 2 2" xfId="20355" xr:uid="{00000000-0005-0000-0000-0000864F0000}"/>
    <cellStyle name="Normal 2 12 10 4 3" xfId="20356" xr:uid="{00000000-0005-0000-0000-0000874F0000}"/>
    <cellStyle name="Normal 2 12 10 4 4" xfId="20357" xr:uid="{00000000-0005-0000-0000-0000884F0000}"/>
    <cellStyle name="Normal 2 12 10 4 5" xfId="20358" xr:uid="{00000000-0005-0000-0000-0000894F0000}"/>
    <cellStyle name="Normal 2 12 10 5" xfId="20359" xr:uid="{00000000-0005-0000-0000-00008A4F0000}"/>
    <cellStyle name="Normal 2 12 10 5 2" xfId="20360" xr:uid="{00000000-0005-0000-0000-00008B4F0000}"/>
    <cellStyle name="Normal 2 12 10 5 3" xfId="20361" xr:uid="{00000000-0005-0000-0000-00008C4F0000}"/>
    <cellStyle name="Normal 2 12 10 5 4" xfId="20362" xr:uid="{00000000-0005-0000-0000-00008D4F0000}"/>
    <cellStyle name="Normal 2 12 10 6" xfId="20363" xr:uid="{00000000-0005-0000-0000-00008E4F0000}"/>
    <cellStyle name="Normal 2 12 10 6 2" xfId="20364" xr:uid="{00000000-0005-0000-0000-00008F4F0000}"/>
    <cellStyle name="Normal 2 12 10 7" xfId="20365" xr:uid="{00000000-0005-0000-0000-0000904F0000}"/>
    <cellStyle name="Normal 2 12 10 8" xfId="20366" xr:uid="{00000000-0005-0000-0000-0000914F0000}"/>
    <cellStyle name="Normal 2 12 10 9" xfId="20367" xr:uid="{00000000-0005-0000-0000-0000924F0000}"/>
    <cellStyle name="Normal 2 12 11" xfId="20368" xr:uid="{00000000-0005-0000-0000-0000934F0000}"/>
    <cellStyle name="Normal 2 12 11 10" xfId="20369" xr:uid="{00000000-0005-0000-0000-0000944F0000}"/>
    <cellStyle name="Normal 2 12 11 2" xfId="20370" xr:uid="{00000000-0005-0000-0000-0000954F0000}"/>
    <cellStyle name="Normal 2 12 11 2 2" xfId="20371" xr:uid="{00000000-0005-0000-0000-0000964F0000}"/>
    <cellStyle name="Normal 2 12 11 2 2 2" xfId="20372" xr:uid="{00000000-0005-0000-0000-0000974F0000}"/>
    <cellStyle name="Normal 2 12 11 2 2 3" xfId="20373" xr:uid="{00000000-0005-0000-0000-0000984F0000}"/>
    <cellStyle name="Normal 2 12 11 2 3" xfId="20374" xr:uid="{00000000-0005-0000-0000-0000994F0000}"/>
    <cellStyle name="Normal 2 12 11 2 4" xfId="20375" xr:uid="{00000000-0005-0000-0000-00009A4F0000}"/>
    <cellStyle name="Normal 2 12 11 2 5" xfId="20376" xr:uid="{00000000-0005-0000-0000-00009B4F0000}"/>
    <cellStyle name="Normal 2 12 11 2 6" xfId="20377" xr:uid="{00000000-0005-0000-0000-00009C4F0000}"/>
    <cellStyle name="Normal 2 12 11 3" xfId="20378" xr:uid="{00000000-0005-0000-0000-00009D4F0000}"/>
    <cellStyle name="Normal 2 12 11 3 2" xfId="20379" xr:uid="{00000000-0005-0000-0000-00009E4F0000}"/>
    <cellStyle name="Normal 2 12 11 3 2 2" xfId="20380" xr:uid="{00000000-0005-0000-0000-00009F4F0000}"/>
    <cellStyle name="Normal 2 12 11 3 2 3" xfId="20381" xr:uid="{00000000-0005-0000-0000-0000A04F0000}"/>
    <cellStyle name="Normal 2 12 11 3 3" xfId="20382" xr:uid="{00000000-0005-0000-0000-0000A14F0000}"/>
    <cellStyle name="Normal 2 12 11 3 4" xfId="20383" xr:uid="{00000000-0005-0000-0000-0000A24F0000}"/>
    <cellStyle name="Normal 2 12 11 3 5" xfId="20384" xr:uid="{00000000-0005-0000-0000-0000A34F0000}"/>
    <cellStyle name="Normal 2 12 11 3 6" xfId="20385" xr:uid="{00000000-0005-0000-0000-0000A44F0000}"/>
    <cellStyle name="Normal 2 12 11 4" xfId="20386" xr:uid="{00000000-0005-0000-0000-0000A54F0000}"/>
    <cellStyle name="Normal 2 12 11 4 2" xfId="20387" xr:uid="{00000000-0005-0000-0000-0000A64F0000}"/>
    <cellStyle name="Normal 2 12 11 4 2 2" xfId="20388" xr:uid="{00000000-0005-0000-0000-0000A74F0000}"/>
    <cellStyle name="Normal 2 12 11 4 3" xfId="20389" xr:uid="{00000000-0005-0000-0000-0000A84F0000}"/>
    <cellStyle name="Normal 2 12 11 4 4" xfId="20390" xr:uid="{00000000-0005-0000-0000-0000A94F0000}"/>
    <cellStyle name="Normal 2 12 11 4 5" xfId="20391" xr:uid="{00000000-0005-0000-0000-0000AA4F0000}"/>
    <cellStyle name="Normal 2 12 11 5" xfId="20392" xr:uid="{00000000-0005-0000-0000-0000AB4F0000}"/>
    <cellStyle name="Normal 2 12 11 5 2" xfId="20393" xr:uid="{00000000-0005-0000-0000-0000AC4F0000}"/>
    <cellStyle name="Normal 2 12 11 5 3" xfId="20394" xr:uid="{00000000-0005-0000-0000-0000AD4F0000}"/>
    <cellStyle name="Normal 2 12 11 5 4" xfId="20395" xr:uid="{00000000-0005-0000-0000-0000AE4F0000}"/>
    <cellStyle name="Normal 2 12 11 6" xfId="20396" xr:uid="{00000000-0005-0000-0000-0000AF4F0000}"/>
    <cellStyle name="Normal 2 12 11 6 2" xfId="20397" xr:uid="{00000000-0005-0000-0000-0000B04F0000}"/>
    <cellStyle name="Normal 2 12 11 7" xfId="20398" xr:uid="{00000000-0005-0000-0000-0000B14F0000}"/>
    <cellStyle name="Normal 2 12 11 8" xfId="20399" xr:uid="{00000000-0005-0000-0000-0000B24F0000}"/>
    <cellStyle name="Normal 2 12 11 9" xfId="20400" xr:uid="{00000000-0005-0000-0000-0000B34F0000}"/>
    <cellStyle name="Normal 2 12 12" xfId="20401" xr:uid="{00000000-0005-0000-0000-0000B44F0000}"/>
    <cellStyle name="Normal 2 12 12 10" xfId="20402" xr:uid="{00000000-0005-0000-0000-0000B54F0000}"/>
    <cellStyle name="Normal 2 12 12 2" xfId="20403" xr:uid="{00000000-0005-0000-0000-0000B64F0000}"/>
    <cellStyle name="Normal 2 12 12 2 2" xfId="20404" xr:uid="{00000000-0005-0000-0000-0000B74F0000}"/>
    <cellStyle name="Normal 2 12 12 2 2 2" xfId="20405" xr:uid="{00000000-0005-0000-0000-0000B84F0000}"/>
    <cellStyle name="Normal 2 12 12 2 2 3" xfId="20406" xr:uid="{00000000-0005-0000-0000-0000B94F0000}"/>
    <cellStyle name="Normal 2 12 12 2 3" xfId="20407" xr:uid="{00000000-0005-0000-0000-0000BA4F0000}"/>
    <cellStyle name="Normal 2 12 12 2 4" xfId="20408" xr:uid="{00000000-0005-0000-0000-0000BB4F0000}"/>
    <cellStyle name="Normal 2 12 12 2 5" xfId="20409" xr:uid="{00000000-0005-0000-0000-0000BC4F0000}"/>
    <cellStyle name="Normal 2 12 12 2 6" xfId="20410" xr:uid="{00000000-0005-0000-0000-0000BD4F0000}"/>
    <cellStyle name="Normal 2 12 12 3" xfId="20411" xr:uid="{00000000-0005-0000-0000-0000BE4F0000}"/>
    <cellStyle name="Normal 2 12 12 3 2" xfId="20412" xr:uid="{00000000-0005-0000-0000-0000BF4F0000}"/>
    <cellStyle name="Normal 2 12 12 3 2 2" xfId="20413" xr:uid="{00000000-0005-0000-0000-0000C04F0000}"/>
    <cellStyle name="Normal 2 12 12 3 2 3" xfId="20414" xr:uid="{00000000-0005-0000-0000-0000C14F0000}"/>
    <cellStyle name="Normal 2 12 12 3 3" xfId="20415" xr:uid="{00000000-0005-0000-0000-0000C24F0000}"/>
    <cellStyle name="Normal 2 12 12 3 4" xfId="20416" xr:uid="{00000000-0005-0000-0000-0000C34F0000}"/>
    <cellStyle name="Normal 2 12 12 3 5" xfId="20417" xr:uid="{00000000-0005-0000-0000-0000C44F0000}"/>
    <cellStyle name="Normal 2 12 12 3 6" xfId="20418" xr:uid="{00000000-0005-0000-0000-0000C54F0000}"/>
    <cellStyle name="Normal 2 12 12 4" xfId="20419" xr:uid="{00000000-0005-0000-0000-0000C64F0000}"/>
    <cellStyle name="Normal 2 12 12 4 2" xfId="20420" xr:uid="{00000000-0005-0000-0000-0000C74F0000}"/>
    <cellStyle name="Normal 2 12 12 4 2 2" xfId="20421" xr:uid="{00000000-0005-0000-0000-0000C84F0000}"/>
    <cellStyle name="Normal 2 12 12 4 3" xfId="20422" xr:uid="{00000000-0005-0000-0000-0000C94F0000}"/>
    <cellStyle name="Normal 2 12 12 4 4" xfId="20423" xr:uid="{00000000-0005-0000-0000-0000CA4F0000}"/>
    <cellStyle name="Normal 2 12 12 4 5" xfId="20424" xr:uid="{00000000-0005-0000-0000-0000CB4F0000}"/>
    <cellStyle name="Normal 2 12 12 5" xfId="20425" xr:uid="{00000000-0005-0000-0000-0000CC4F0000}"/>
    <cellStyle name="Normal 2 12 12 5 2" xfId="20426" xr:uid="{00000000-0005-0000-0000-0000CD4F0000}"/>
    <cellStyle name="Normal 2 12 12 5 3" xfId="20427" xr:uid="{00000000-0005-0000-0000-0000CE4F0000}"/>
    <cellStyle name="Normal 2 12 12 5 4" xfId="20428" xr:uid="{00000000-0005-0000-0000-0000CF4F0000}"/>
    <cellStyle name="Normal 2 12 12 6" xfId="20429" xr:uid="{00000000-0005-0000-0000-0000D04F0000}"/>
    <cellStyle name="Normal 2 12 12 6 2" xfId="20430" xr:uid="{00000000-0005-0000-0000-0000D14F0000}"/>
    <cellStyle name="Normal 2 12 12 7" xfId="20431" xr:uid="{00000000-0005-0000-0000-0000D24F0000}"/>
    <cellStyle name="Normal 2 12 12 8" xfId="20432" xr:uid="{00000000-0005-0000-0000-0000D34F0000}"/>
    <cellStyle name="Normal 2 12 12 9" xfId="20433" xr:uid="{00000000-0005-0000-0000-0000D44F0000}"/>
    <cellStyle name="Normal 2 12 13" xfId="20434" xr:uid="{00000000-0005-0000-0000-0000D54F0000}"/>
    <cellStyle name="Normal 2 12 13 2" xfId="20435" xr:uid="{00000000-0005-0000-0000-0000D64F0000}"/>
    <cellStyle name="Normal 2 12 13 2 2" xfId="20436" xr:uid="{00000000-0005-0000-0000-0000D74F0000}"/>
    <cellStyle name="Normal 2 12 13 2 2 2" xfId="20437" xr:uid="{00000000-0005-0000-0000-0000D84F0000}"/>
    <cellStyle name="Normal 2 12 13 2 2 3" xfId="20438" xr:uid="{00000000-0005-0000-0000-0000D94F0000}"/>
    <cellStyle name="Normal 2 12 13 2 3" xfId="20439" xr:uid="{00000000-0005-0000-0000-0000DA4F0000}"/>
    <cellStyle name="Normal 2 12 13 2 4" xfId="20440" xr:uid="{00000000-0005-0000-0000-0000DB4F0000}"/>
    <cellStyle name="Normal 2 12 13 2 5" xfId="20441" xr:uid="{00000000-0005-0000-0000-0000DC4F0000}"/>
    <cellStyle name="Normal 2 12 13 2 6" xfId="20442" xr:uid="{00000000-0005-0000-0000-0000DD4F0000}"/>
    <cellStyle name="Normal 2 12 13 3" xfId="20443" xr:uid="{00000000-0005-0000-0000-0000DE4F0000}"/>
    <cellStyle name="Normal 2 12 13 3 2" xfId="20444" xr:uid="{00000000-0005-0000-0000-0000DF4F0000}"/>
    <cellStyle name="Normal 2 12 13 3 2 2" xfId="20445" xr:uid="{00000000-0005-0000-0000-0000E04F0000}"/>
    <cellStyle name="Normal 2 12 13 3 3" xfId="20446" xr:uid="{00000000-0005-0000-0000-0000E14F0000}"/>
    <cellStyle name="Normal 2 12 13 3 4" xfId="20447" xr:uid="{00000000-0005-0000-0000-0000E24F0000}"/>
    <cellStyle name="Normal 2 12 13 3 5" xfId="20448" xr:uid="{00000000-0005-0000-0000-0000E34F0000}"/>
    <cellStyle name="Normal 2 12 13 4" xfId="20449" xr:uid="{00000000-0005-0000-0000-0000E44F0000}"/>
    <cellStyle name="Normal 2 12 13 4 2" xfId="20450" xr:uid="{00000000-0005-0000-0000-0000E54F0000}"/>
    <cellStyle name="Normal 2 12 13 4 3" xfId="20451" xr:uid="{00000000-0005-0000-0000-0000E64F0000}"/>
    <cellStyle name="Normal 2 12 13 4 4" xfId="20452" xr:uid="{00000000-0005-0000-0000-0000E74F0000}"/>
    <cellStyle name="Normal 2 12 13 5" xfId="20453" xr:uid="{00000000-0005-0000-0000-0000E84F0000}"/>
    <cellStyle name="Normal 2 12 13 5 2" xfId="20454" xr:uid="{00000000-0005-0000-0000-0000E94F0000}"/>
    <cellStyle name="Normal 2 12 13 6" xfId="20455" xr:uid="{00000000-0005-0000-0000-0000EA4F0000}"/>
    <cellStyle name="Normal 2 12 13 7" xfId="20456" xr:uid="{00000000-0005-0000-0000-0000EB4F0000}"/>
    <cellStyle name="Normal 2 12 13 8" xfId="20457" xr:uid="{00000000-0005-0000-0000-0000EC4F0000}"/>
    <cellStyle name="Normal 2 12 13 9" xfId="20458" xr:uid="{00000000-0005-0000-0000-0000ED4F0000}"/>
    <cellStyle name="Normal 2 12 14" xfId="20459" xr:uid="{00000000-0005-0000-0000-0000EE4F0000}"/>
    <cellStyle name="Normal 2 12 14 2" xfId="20460" xr:uid="{00000000-0005-0000-0000-0000EF4F0000}"/>
    <cellStyle name="Normal 2 12 14 2 2" xfId="20461" xr:uid="{00000000-0005-0000-0000-0000F04F0000}"/>
    <cellStyle name="Normal 2 12 14 2 2 2" xfId="20462" xr:uid="{00000000-0005-0000-0000-0000F14F0000}"/>
    <cellStyle name="Normal 2 12 14 2 2 3" xfId="20463" xr:uid="{00000000-0005-0000-0000-0000F24F0000}"/>
    <cellStyle name="Normal 2 12 14 2 3" xfId="20464" xr:uid="{00000000-0005-0000-0000-0000F34F0000}"/>
    <cellStyle name="Normal 2 12 14 2 4" xfId="20465" xr:uid="{00000000-0005-0000-0000-0000F44F0000}"/>
    <cellStyle name="Normal 2 12 14 2 5" xfId="20466" xr:uid="{00000000-0005-0000-0000-0000F54F0000}"/>
    <cellStyle name="Normal 2 12 14 2 6" xfId="20467" xr:uid="{00000000-0005-0000-0000-0000F64F0000}"/>
    <cellStyle name="Normal 2 12 14 3" xfId="20468" xr:uid="{00000000-0005-0000-0000-0000F74F0000}"/>
    <cellStyle name="Normal 2 12 14 3 2" xfId="20469" xr:uid="{00000000-0005-0000-0000-0000F84F0000}"/>
    <cellStyle name="Normal 2 12 14 3 2 2" xfId="20470" xr:uid="{00000000-0005-0000-0000-0000F94F0000}"/>
    <cellStyle name="Normal 2 12 14 3 3" xfId="20471" xr:uid="{00000000-0005-0000-0000-0000FA4F0000}"/>
    <cellStyle name="Normal 2 12 14 3 4" xfId="20472" xr:uid="{00000000-0005-0000-0000-0000FB4F0000}"/>
    <cellStyle name="Normal 2 12 14 3 5" xfId="20473" xr:uid="{00000000-0005-0000-0000-0000FC4F0000}"/>
    <cellStyle name="Normal 2 12 14 4" xfId="20474" xr:uid="{00000000-0005-0000-0000-0000FD4F0000}"/>
    <cellStyle name="Normal 2 12 14 4 2" xfId="20475" xr:uid="{00000000-0005-0000-0000-0000FE4F0000}"/>
    <cellStyle name="Normal 2 12 14 4 3" xfId="20476" xr:uid="{00000000-0005-0000-0000-0000FF4F0000}"/>
    <cellStyle name="Normal 2 12 14 4 4" xfId="20477" xr:uid="{00000000-0005-0000-0000-000000500000}"/>
    <cellStyle name="Normal 2 12 14 5" xfId="20478" xr:uid="{00000000-0005-0000-0000-000001500000}"/>
    <cellStyle name="Normal 2 12 14 5 2" xfId="20479" xr:uid="{00000000-0005-0000-0000-000002500000}"/>
    <cellStyle name="Normal 2 12 14 6" xfId="20480" xr:uid="{00000000-0005-0000-0000-000003500000}"/>
    <cellStyle name="Normal 2 12 14 7" xfId="20481" xr:uid="{00000000-0005-0000-0000-000004500000}"/>
    <cellStyle name="Normal 2 12 14 8" xfId="20482" xr:uid="{00000000-0005-0000-0000-000005500000}"/>
    <cellStyle name="Normal 2 12 14 9" xfId="20483" xr:uid="{00000000-0005-0000-0000-000006500000}"/>
    <cellStyle name="Normal 2 12 15" xfId="20484" xr:uid="{00000000-0005-0000-0000-000007500000}"/>
    <cellStyle name="Normal 2 12 15 2" xfId="20485" xr:uid="{00000000-0005-0000-0000-000008500000}"/>
    <cellStyle name="Normal 2 12 15 2 2" xfId="20486" xr:uid="{00000000-0005-0000-0000-000009500000}"/>
    <cellStyle name="Normal 2 12 15 2 3" xfId="20487" xr:uid="{00000000-0005-0000-0000-00000A500000}"/>
    <cellStyle name="Normal 2 12 15 3" xfId="20488" xr:uid="{00000000-0005-0000-0000-00000B500000}"/>
    <cellStyle name="Normal 2 12 15 4" xfId="20489" xr:uid="{00000000-0005-0000-0000-00000C500000}"/>
    <cellStyle name="Normal 2 12 15 5" xfId="20490" xr:uid="{00000000-0005-0000-0000-00000D500000}"/>
    <cellStyle name="Normal 2 12 15 6" xfId="20491" xr:uid="{00000000-0005-0000-0000-00000E500000}"/>
    <cellStyle name="Normal 2 12 16" xfId="20492" xr:uid="{00000000-0005-0000-0000-00000F500000}"/>
    <cellStyle name="Normal 2 12 16 2" xfId="20493" xr:uid="{00000000-0005-0000-0000-000010500000}"/>
    <cellStyle name="Normal 2 12 16 2 2" xfId="20494" xr:uid="{00000000-0005-0000-0000-000011500000}"/>
    <cellStyle name="Normal 2 12 16 3" xfId="20495" xr:uid="{00000000-0005-0000-0000-000012500000}"/>
    <cellStyle name="Normal 2 12 16 4" xfId="20496" xr:uid="{00000000-0005-0000-0000-000013500000}"/>
    <cellStyle name="Normal 2 12 16 5" xfId="20497" xr:uid="{00000000-0005-0000-0000-000014500000}"/>
    <cellStyle name="Normal 2 12 17" xfId="20498" xr:uid="{00000000-0005-0000-0000-000015500000}"/>
    <cellStyle name="Normal 2 12 17 2" xfId="20499" xr:uid="{00000000-0005-0000-0000-000016500000}"/>
    <cellStyle name="Normal 2 12 17 2 2" xfId="20500" xr:uid="{00000000-0005-0000-0000-000017500000}"/>
    <cellStyle name="Normal 2 12 17 3" xfId="20501" xr:uid="{00000000-0005-0000-0000-000018500000}"/>
    <cellStyle name="Normal 2 12 17 4" xfId="20502" xr:uid="{00000000-0005-0000-0000-000019500000}"/>
    <cellStyle name="Normal 2 12 17 5" xfId="20503" xr:uid="{00000000-0005-0000-0000-00001A500000}"/>
    <cellStyle name="Normal 2 12 18" xfId="20504" xr:uid="{00000000-0005-0000-0000-00001B500000}"/>
    <cellStyle name="Normal 2 12 18 2" xfId="20505" xr:uid="{00000000-0005-0000-0000-00001C500000}"/>
    <cellStyle name="Normal 2 12 19" xfId="20506" xr:uid="{00000000-0005-0000-0000-00001D500000}"/>
    <cellStyle name="Normal 2 12 2" xfId="20507" xr:uid="{00000000-0005-0000-0000-00001E500000}"/>
    <cellStyle name="Normal 2 12 2 10" xfId="20508" xr:uid="{00000000-0005-0000-0000-00001F500000}"/>
    <cellStyle name="Normal 2 12 2 11" xfId="20509" xr:uid="{00000000-0005-0000-0000-000020500000}"/>
    <cellStyle name="Normal 2 12 2 2" xfId="20510" xr:uid="{00000000-0005-0000-0000-000021500000}"/>
    <cellStyle name="Normal 2 12 2 2 2" xfId="20511" xr:uid="{00000000-0005-0000-0000-000022500000}"/>
    <cellStyle name="Normal 2 12 2 2 2 2" xfId="20512" xr:uid="{00000000-0005-0000-0000-000023500000}"/>
    <cellStyle name="Normal 2 12 2 2 2 2 2" xfId="20513" xr:uid="{00000000-0005-0000-0000-000024500000}"/>
    <cellStyle name="Normal 2 12 2 2 2 2 3" xfId="20514" xr:uid="{00000000-0005-0000-0000-000025500000}"/>
    <cellStyle name="Normal 2 12 2 2 2 3" xfId="20515" xr:uid="{00000000-0005-0000-0000-000026500000}"/>
    <cellStyle name="Normal 2 12 2 2 2 4" xfId="20516" xr:uid="{00000000-0005-0000-0000-000027500000}"/>
    <cellStyle name="Normal 2 12 2 2 2 5" xfId="20517" xr:uid="{00000000-0005-0000-0000-000028500000}"/>
    <cellStyle name="Normal 2 12 2 2 2 6" xfId="20518" xr:uid="{00000000-0005-0000-0000-000029500000}"/>
    <cellStyle name="Normal 2 12 2 2 3" xfId="20519" xr:uid="{00000000-0005-0000-0000-00002A500000}"/>
    <cellStyle name="Normal 2 12 2 2 3 2" xfId="20520" xr:uid="{00000000-0005-0000-0000-00002B500000}"/>
    <cellStyle name="Normal 2 12 2 2 3 2 2" xfId="20521" xr:uid="{00000000-0005-0000-0000-00002C500000}"/>
    <cellStyle name="Normal 2 12 2 2 3 3" xfId="20522" xr:uid="{00000000-0005-0000-0000-00002D500000}"/>
    <cellStyle name="Normal 2 12 2 2 3 4" xfId="20523" xr:uid="{00000000-0005-0000-0000-00002E500000}"/>
    <cellStyle name="Normal 2 12 2 2 3 5" xfId="20524" xr:uid="{00000000-0005-0000-0000-00002F500000}"/>
    <cellStyle name="Normal 2 12 2 2 4" xfId="20525" xr:uid="{00000000-0005-0000-0000-000030500000}"/>
    <cellStyle name="Normal 2 12 2 2 4 2" xfId="20526" xr:uid="{00000000-0005-0000-0000-000031500000}"/>
    <cellStyle name="Normal 2 12 2 2 4 3" xfId="20527" xr:uid="{00000000-0005-0000-0000-000032500000}"/>
    <cellStyle name="Normal 2 12 2 2 4 4" xfId="20528" xr:uid="{00000000-0005-0000-0000-000033500000}"/>
    <cellStyle name="Normal 2 12 2 2 5" xfId="20529" xr:uid="{00000000-0005-0000-0000-000034500000}"/>
    <cellStyle name="Normal 2 12 2 2 5 2" xfId="20530" xr:uid="{00000000-0005-0000-0000-000035500000}"/>
    <cellStyle name="Normal 2 12 2 2 6" xfId="20531" xr:uid="{00000000-0005-0000-0000-000036500000}"/>
    <cellStyle name="Normal 2 12 2 2 7" xfId="20532" xr:uid="{00000000-0005-0000-0000-000037500000}"/>
    <cellStyle name="Normal 2 12 2 2 8" xfId="20533" xr:uid="{00000000-0005-0000-0000-000038500000}"/>
    <cellStyle name="Normal 2 12 2 2 9" xfId="20534" xr:uid="{00000000-0005-0000-0000-000039500000}"/>
    <cellStyle name="Normal 2 12 2 3" xfId="20535" xr:uid="{00000000-0005-0000-0000-00003A500000}"/>
    <cellStyle name="Normal 2 12 2 3 2" xfId="20536" xr:uid="{00000000-0005-0000-0000-00003B500000}"/>
    <cellStyle name="Normal 2 12 2 3 2 2" xfId="20537" xr:uid="{00000000-0005-0000-0000-00003C500000}"/>
    <cellStyle name="Normal 2 12 2 3 2 2 2" xfId="20538" xr:uid="{00000000-0005-0000-0000-00003D500000}"/>
    <cellStyle name="Normal 2 12 2 3 2 2 3" xfId="20539" xr:uid="{00000000-0005-0000-0000-00003E500000}"/>
    <cellStyle name="Normal 2 12 2 3 2 3" xfId="20540" xr:uid="{00000000-0005-0000-0000-00003F500000}"/>
    <cellStyle name="Normal 2 12 2 3 2 4" xfId="20541" xr:uid="{00000000-0005-0000-0000-000040500000}"/>
    <cellStyle name="Normal 2 12 2 3 2 5" xfId="20542" xr:uid="{00000000-0005-0000-0000-000041500000}"/>
    <cellStyle name="Normal 2 12 2 3 2 6" xfId="20543" xr:uid="{00000000-0005-0000-0000-000042500000}"/>
    <cellStyle name="Normal 2 12 2 3 3" xfId="20544" xr:uid="{00000000-0005-0000-0000-000043500000}"/>
    <cellStyle name="Normal 2 12 2 3 3 2" xfId="20545" xr:uid="{00000000-0005-0000-0000-000044500000}"/>
    <cellStyle name="Normal 2 12 2 3 3 2 2" xfId="20546" xr:uid="{00000000-0005-0000-0000-000045500000}"/>
    <cellStyle name="Normal 2 12 2 3 3 3" xfId="20547" xr:uid="{00000000-0005-0000-0000-000046500000}"/>
    <cellStyle name="Normal 2 12 2 3 3 4" xfId="20548" xr:uid="{00000000-0005-0000-0000-000047500000}"/>
    <cellStyle name="Normal 2 12 2 3 3 5" xfId="20549" xr:uid="{00000000-0005-0000-0000-000048500000}"/>
    <cellStyle name="Normal 2 12 2 3 4" xfId="20550" xr:uid="{00000000-0005-0000-0000-000049500000}"/>
    <cellStyle name="Normal 2 12 2 3 4 2" xfId="20551" xr:uid="{00000000-0005-0000-0000-00004A500000}"/>
    <cellStyle name="Normal 2 12 2 3 4 3" xfId="20552" xr:uid="{00000000-0005-0000-0000-00004B500000}"/>
    <cellStyle name="Normal 2 12 2 3 4 4" xfId="20553" xr:uid="{00000000-0005-0000-0000-00004C500000}"/>
    <cellStyle name="Normal 2 12 2 3 5" xfId="20554" xr:uid="{00000000-0005-0000-0000-00004D500000}"/>
    <cellStyle name="Normal 2 12 2 3 5 2" xfId="20555" xr:uid="{00000000-0005-0000-0000-00004E500000}"/>
    <cellStyle name="Normal 2 12 2 3 6" xfId="20556" xr:uid="{00000000-0005-0000-0000-00004F500000}"/>
    <cellStyle name="Normal 2 12 2 3 7" xfId="20557" xr:uid="{00000000-0005-0000-0000-000050500000}"/>
    <cellStyle name="Normal 2 12 2 3 8" xfId="20558" xr:uid="{00000000-0005-0000-0000-000051500000}"/>
    <cellStyle name="Normal 2 12 2 3 9" xfId="20559" xr:uid="{00000000-0005-0000-0000-000052500000}"/>
    <cellStyle name="Normal 2 12 2 4" xfId="20560" xr:uid="{00000000-0005-0000-0000-000053500000}"/>
    <cellStyle name="Normal 2 12 2 4 2" xfId="20561" xr:uid="{00000000-0005-0000-0000-000054500000}"/>
    <cellStyle name="Normal 2 12 2 4 2 2" xfId="20562" xr:uid="{00000000-0005-0000-0000-000055500000}"/>
    <cellStyle name="Normal 2 12 2 4 2 3" xfId="20563" xr:uid="{00000000-0005-0000-0000-000056500000}"/>
    <cellStyle name="Normal 2 12 2 4 3" xfId="20564" xr:uid="{00000000-0005-0000-0000-000057500000}"/>
    <cellStyle name="Normal 2 12 2 4 4" xfId="20565" xr:uid="{00000000-0005-0000-0000-000058500000}"/>
    <cellStyle name="Normal 2 12 2 4 5" xfId="20566" xr:uid="{00000000-0005-0000-0000-000059500000}"/>
    <cellStyle name="Normal 2 12 2 4 6" xfId="20567" xr:uid="{00000000-0005-0000-0000-00005A500000}"/>
    <cellStyle name="Normal 2 12 2 5" xfId="20568" xr:uid="{00000000-0005-0000-0000-00005B500000}"/>
    <cellStyle name="Normal 2 12 2 5 2" xfId="20569" xr:uid="{00000000-0005-0000-0000-00005C500000}"/>
    <cellStyle name="Normal 2 12 2 5 2 2" xfId="20570" xr:uid="{00000000-0005-0000-0000-00005D500000}"/>
    <cellStyle name="Normal 2 12 2 5 3" xfId="20571" xr:uid="{00000000-0005-0000-0000-00005E500000}"/>
    <cellStyle name="Normal 2 12 2 5 4" xfId="20572" xr:uid="{00000000-0005-0000-0000-00005F500000}"/>
    <cellStyle name="Normal 2 12 2 5 5" xfId="20573" xr:uid="{00000000-0005-0000-0000-000060500000}"/>
    <cellStyle name="Normal 2 12 2 6" xfId="20574" xr:uid="{00000000-0005-0000-0000-000061500000}"/>
    <cellStyle name="Normal 2 12 2 6 2" xfId="20575" xr:uid="{00000000-0005-0000-0000-000062500000}"/>
    <cellStyle name="Normal 2 12 2 6 3" xfId="20576" xr:uid="{00000000-0005-0000-0000-000063500000}"/>
    <cellStyle name="Normal 2 12 2 6 4" xfId="20577" xr:uid="{00000000-0005-0000-0000-000064500000}"/>
    <cellStyle name="Normal 2 12 2 7" xfId="20578" xr:uid="{00000000-0005-0000-0000-000065500000}"/>
    <cellStyle name="Normal 2 12 2 7 2" xfId="20579" xr:uid="{00000000-0005-0000-0000-000066500000}"/>
    <cellStyle name="Normal 2 12 2 8" xfId="20580" xr:uid="{00000000-0005-0000-0000-000067500000}"/>
    <cellStyle name="Normal 2 12 2 9" xfId="20581" xr:uid="{00000000-0005-0000-0000-000068500000}"/>
    <cellStyle name="Normal 2 12 20" xfId="20582" xr:uid="{00000000-0005-0000-0000-000069500000}"/>
    <cellStyle name="Normal 2 12 21" xfId="20583" xr:uid="{00000000-0005-0000-0000-00006A500000}"/>
    <cellStyle name="Normal 2 12 22" xfId="20584" xr:uid="{00000000-0005-0000-0000-00006B500000}"/>
    <cellStyle name="Normal 2 12 3" xfId="20585" xr:uid="{00000000-0005-0000-0000-00006C500000}"/>
    <cellStyle name="Normal 2 12 3 10" xfId="20586" xr:uid="{00000000-0005-0000-0000-00006D500000}"/>
    <cellStyle name="Normal 2 12 3 11" xfId="20587" xr:uid="{00000000-0005-0000-0000-00006E500000}"/>
    <cellStyle name="Normal 2 12 3 2" xfId="20588" xr:uid="{00000000-0005-0000-0000-00006F500000}"/>
    <cellStyle name="Normal 2 12 3 2 2" xfId="20589" xr:uid="{00000000-0005-0000-0000-000070500000}"/>
    <cellStyle name="Normal 2 12 3 2 2 2" xfId="20590" xr:uid="{00000000-0005-0000-0000-000071500000}"/>
    <cellStyle name="Normal 2 12 3 2 2 2 2" xfId="20591" xr:uid="{00000000-0005-0000-0000-000072500000}"/>
    <cellStyle name="Normal 2 12 3 2 2 2 3" xfId="20592" xr:uid="{00000000-0005-0000-0000-000073500000}"/>
    <cellStyle name="Normal 2 12 3 2 2 3" xfId="20593" xr:uid="{00000000-0005-0000-0000-000074500000}"/>
    <cellStyle name="Normal 2 12 3 2 2 4" xfId="20594" xr:uid="{00000000-0005-0000-0000-000075500000}"/>
    <cellStyle name="Normal 2 12 3 2 2 5" xfId="20595" xr:uid="{00000000-0005-0000-0000-000076500000}"/>
    <cellStyle name="Normal 2 12 3 2 2 6" xfId="20596" xr:uid="{00000000-0005-0000-0000-000077500000}"/>
    <cellStyle name="Normal 2 12 3 2 3" xfId="20597" xr:uid="{00000000-0005-0000-0000-000078500000}"/>
    <cellStyle name="Normal 2 12 3 2 3 2" xfId="20598" xr:uid="{00000000-0005-0000-0000-000079500000}"/>
    <cellStyle name="Normal 2 12 3 2 3 2 2" xfId="20599" xr:uid="{00000000-0005-0000-0000-00007A500000}"/>
    <cellStyle name="Normal 2 12 3 2 3 3" xfId="20600" xr:uid="{00000000-0005-0000-0000-00007B500000}"/>
    <cellStyle name="Normal 2 12 3 2 3 4" xfId="20601" xr:uid="{00000000-0005-0000-0000-00007C500000}"/>
    <cellStyle name="Normal 2 12 3 2 3 5" xfId="20602" xr:uid="{00000000-0005-0000-0000-00007D500000}"/>
    <cellStyle name="Normal 2 12 3 2 4" xfId="20603" xr:uid="{00000000-0005-0000-0000-00007E500000}"/>
    <cellStyle name="Normal 2 12 3 2 4 2" xfId="20604" xr:uid="{00000000-0005-0000-0000-00007F500000}"/>
    <cellStyle name="Normal 2 12 3 2 4 3" xfId="20605" xr:uid="{00000000-0005-0000-0000-000080500000}"/>
    <cellStyle name="Normal 2 12 3 2 4 4" xfId="20606" xr:uid="{00000000-0005-0000-0000-000081500000}"/>
    <cellStyle name="Normal 2 12 3 2 5" xfId="20607" xr:uid="{00000000-0005-0000-0000-000082500000}"/>
    <cellStyle name="Normal 2 12 3 2 5 2" xfId="20608" xr:uid="{00000000-0005-0000-0000-000083500000}"/>
    <cellStyle name="Normal 2 12 3 2 6" xfId="20609" xr:uid="{00000000-0005-0000-0000-000084500000}"/>
    <cellStyle name="Normal 2 12 3 2 7" xfId="20610" xr:uid="{00000000-0005-0000-0000-000085500000}"/>
    <cellStyle name="Normal 2 12 3 2 8" xfId="20611" xr:uid="{00000000-0005-0000-0000-000086500000}"/>
    <cellStyle name="Normal 2 12 3 2 9" xfId="20612" xr:uid="{00000000-0005-0000-0000-000087500000}"/>
    <cellStyle name="Normal 2 12 3 3" xfId="20613" xr:uid="{00000000-0005-0000-0000-000088500000}"/>
    <cellStyle name="Normal 2 12 3 3 2" xfId="20614" xr:uid="{00000000-0005-0000-0000-000089500000}"/>
    <cellStyle name="Normal 2 12 3 3 2 2" xfId="20615" xr:uid="{00000000-0005-0000-0000-00008A500000}"/>
    <cellStyle name="Normal 2 12 3 3 2 2 2" xfId="20616" xr:uid="{00000000-0005-0000-0000-00008B500000}"/>
    <cellStyle name="Normal 2 12 3 3 2 2 3" xfId="20617" xr:uid="{00000000-0005-0000-0000-00008C500000}"/>
    <cellStyle name="Normal 2 12 3 3 2 3" xfId="20618" xr:uid="{00000000-0005-0000-0000-00008D500000}"/>
    <cellStyle name="Normal 2 12 3 3 2 4" xfId="20619" xr:uid="{00000000-0005-0000-0000-00008E500000}"/>
    <cellStyle name="Normal 2 12 3 3 2 5" xfId="20620" xr:uid="{00000000-0005-0000-0000-00008F500000}"/>
    <cellStyle name="Normal 2 12 3 3 2 6" xfId="20621" xr:uid="{00000000-0005-0000-0000-000090500000}"/>
    <cellStyle name="Normal 2 12 3 3 3" xfId="20622" xr:uid="{00000000-0005-0000-0000-000091500000}"/>
    <cellStyle name="Normal 2 12 3 3 3 2" xfId="20623" xr:uid="{00000000-0005-0000-0000-000092500000}"/>
    <cellStyle name="Normal 2 12 3 3 3 2 2" xfId="20624" xr:uid="{00000000-0005-0000-0000-000093500000}"/>
    <cellStyle name="Normal 2 12 3 3 3 3" xfId="20625" xr:uid="{00000000-0005-0000-0000-000094500000}"/>
    <cellStyle name="Normal 2 12 3 3 3 4" xfId="20626" xr:uid="{00000000-0005-0000-0000-000095500000}"/>
    <cellStyle name="Normal 2 12 3 3 3 5" xfId="20627" xr:uid="{00000000-0005-0000-0000-000096500000}"/>
    <cellStyle name="Normal 2 12 3 3 4" xfId="20628" xr:uid="{00000000-0005-0000-0000-000097500000}"/>
    <cellStyle name="Normal 2 12 3 3 4 2" xfId="20629" xr:uid="{00000000-0005-0000-0000-000098500000}"/>
    <cellStyle name="Normal 2 12 3 3 4 3" xfId="20630" xr:uid="{00000000-0005-0000-0000-000099500000}"/>
    <cellStyle name="Normal 2 12 3 3 4 4" xfId="20631" xr:uid="{00000000-0005-0000-0000-00009A500000}"/>
    <cellStyle name="Normal 2 12 3 3 5" xfId="20632" xr:uid="{00000000-0005-0000-0000-00009B500000}"/>
    <cellStyle name="Normal 2 12 3 3 5 2" xfId="20633" xr:uid="{00000000-0005-0000-0000-00009C500000}"/>
    <cellStyle name="Normal 2 12 3 3 6" xfId="20634" xr:uid="{00000000-0005-0000-0000-00009D500000}"/>
    <cellStyle name="Normal 2 12 3 3 7" xfId="20635" xr:uid="{00000000-0005-0000-0000-00009E500000}"/>
    <cellStyle name="Normal 2 12 3 3 8" xfId="20636" xr:uid="{00000000-0005-0000-0000-00009F500000}"/>
    <cellStyle name="Normal 2 12 3 3 9" xfId="20637" xr:uid="{00000000-0005-0000-0000-0000A0500000}"/>
    <cellStyle name="Normal 2 12 3 4" xfId="20638" xr:uid="{00000000-0005-0000-0000-0000A1500000}"/>
    <cellStyle name="Normal 2 12 3 4 2" xfId="20639" xr:uid="{00000000-0005-0000-0000-0000A2500000}"/>
    <cellStyle name="Normal 2 12 3 4 2 2" xfId="20640" xr:uid="{00000000-0005-0000-0000-0000A3500000}"/>
    <cellStyle name="Normal 2 12 3 4 2 3" xfId="20641" xr:uid="{00000000-0005-0000-0000-0000A4500000}"/>
    <cellStyle name="Normal 2 12 3 4 3" xfId="20642" xr:uid="{00000000-0005-0000-0000-0000A5500000}"/>
    <cellStyle name="Normal 2 12 3 4 4" xfId="20643" xr:uid="{00000000-0005-0000-0000-0000A6500000}"/>
    <cellStyle name="Normal 2 12 3 4 5" xfId="20644" xr:uid="{00000000-0005-0000-0000-0000A7500000}"/>
    <cellStyle name="Normal 2 12 3 4 6" xfId="20645" xr:uid="{00000000-0005-0000-0000-0000A8500000}"/>
    <cellStyle name="Normal 2 12 3 5" xfId="20646" xr:uid="{00000000-0005-0000-0000-0000A9500000}"/>
    <cellStyle name="Normal 2 12 3 5 2" xfId="20647" xr:uid="{00000000-0005-0000-0000-0000AA500000}"/>
    <cellStyle name="Normal 2 12 3 5 2 2" xfId="20648" xr:uid="{00000000-0005-0000-0000-0000AB500000}"/>
    <cellStyle name="Normal 2 12 3 5 3" xfId="20649" xr:uid="{00000000-0005-0000-0000-0000AC500000}"/>
    <cellStyle name="Normal 2 12 3 5 4" xfId="20650" xr:uid="{00000000-0005-0000-0000-0000AD500000}"/>
    <cellStyle name="Normal 2 12 3 5 5" xfId="20651" xr:uid="{00000000-0005-0000-0000-0000AE500000}"/>
    <cellStyle name="Normal 2 12 3 6" xfId="20652" xr:uid="{00000000-0005-0000-0000-0000AF500000}"/>
    <cellStyle name="Normal 2 12 3 6 2" xfId="20653" xr:uid="{00000000-0005-0000-0000-0000B0500000}"/>
    <cellStyle name="Normal 2 12 3 6 3" xfId="20654" xr:uid="{00000000-0005-0000-0000-0000B1500000}"/>
    <cellStyle name="Normal 2 12 3 6 4" xfId="20655" xr:uid="{00000000-0005-0000-0000-0000B2500000}"/>
    <cellStyle name="Normal 2 12 3 7" xfId="20656" xr:uid="{00000000-0005-0000-0000-0000B3500000}"/>
    <cellStyle name="Normal 2 12 3 7 2" xfId="20657" xr:uid="{00000000-0005-0000-0000-0000B4500000}"/>
    <cellStyle name="Normal 2 12 3 8" xfId="20658" xr:uid="{00000000-0005-0000-0000-0000B5500000}"/>
    <cellStyle name="Normal 2 12 3 9" xfId="20659" xr:uid="{00000000-0005-0000-0000-0000B6500000}"/>
    <cellStyle name="Normal 2 12 4" xfId="20660" xr:uid="{00000000-0005-0000-0000-0000B7500000}"/>
    <cellStyle name="Normal 2 12 4 10" xfId="20661" xr:uid="{00000000-0005-0000-0000-0000B8500000}"/>
    <cellStyle name="Normal 2 12 4 11" xfId="20662" xr:uid="{00000000-0005-0000-0000-0000B9500000}"/>
    <cellStyle name="Normal 2 12 4 2" xfId="20663" xr:uid="{00000000-0005-0000-0000-0000BA500000}"/>
    <cellStyle name="Normal 2 12 4 2 2" xfId="20664" xr:uid="{00000000-0005-0000-0000-0000BB500000}"/>
    <cellStyle name="Normal 2 12 4 2 2 2" xfId="20665" xr:uid="{00000000-0005-0000-0000-0000BC500000}"/>
    <cellStyle name="Normal 2 12 4 2 2 2 2" xfId="20666" xr:uid="{00000000-0005-0000-0000-0000BD500000}"/>
    <cellStyle name="Normal 2 12 4 2 2 2 3" xfId="20667" xr:uid="{00000000-0005-0000-0000-0000BE500000}"/>
    <cellStyle name="Normal 2 12 4 2 2 3" xfId="20668" xr:uid="{00000000-0005-0000-0000-0000BF500000}"/>
    <cellStyle name="Normal 2 12 4 2 2 4" xfId="20669" xr:uid="{00000000-0005-0000-0000-0000C0500000}"/>
    <cellStyle name="Normal 2 12 4 2 2 5" xfId="20670" xr:uid="{00000000-0005-0000-0000-0000C1500000}"/>
    <cellStyle name="Normal 2 12 4 2 2 6" xfId="20671" xr:uid="{00000000-0005-0000-0000-0000C2500000}"/>
    <cellStyle name="Normal 2 12 4 2 3" xfId="20672" xr:uid="{00000000-0005-0000-0000-0000C3500000}"/>
    <cellStyle name="Normal 2 12 4 2 3 2" xfId="20673" xr:uid="{00000000-0005-0000-0000-0000C4500000}"/>
    <cellStyle name="Normal 2 12 4 2 3 2 2" xfId="20674" xr:uid="{00000000-0005-0000-0000-0000C5500000}"/>
    <cellStyle name="Normal 2 12 4 2 3 3" xfId="20675" xr:uid="{00000000-0005-0000-0000-0000C6500000}"/>
    <cellStyle name="Normal 2 12 4 2 3 4" xfId="20676" xr:uid="{00000000-0005-0000-0000-0000C7500000}"/>
    <cellStyle name="Normal 2 12 4 2 3 5" xfId="20677" xr:uid="{00000000-0005-0000-0000-0000C8500000}"/>
    <cellStyle name="Normal 2 12 4 2 4" xfId="20678" xr:uid="{00000000-0005-0000-0000-0000C9500000}"/>
    <cellStyle name="Normal 2 12 4 2 4 2" xfId="20679" xr:uid="{00000000-0005-0000-0000-0000CA500000}"/>
    <cellStyle name="Normal 2 12 4 2 4 3" xfId="20680" xr:uid="{00000000-0005-0000-0000-0000CB500000}"/>
    <cellStyle name="Normal 2 12 4 2 4 4" xfId="20681" xr:uid="{00000000-0005-0000-0000-0000CC500000}"/>
    <cellStyle name="Normal 2 12 4 2 5" xfId="20682" xr:uid="{00000000-0005-0000-0000-0000CD500000}"/>
    <cellStyle name="Normal 2 12 4 2 5 2" xfId="20683" xr:uid="{00000000-0005-0000-0000-0000CE500000}"/>
    <cellStyle name="Normal 2 12 4 2 6" xfId="20684" xr:uid="{00000000-0005-0000-0000-0000CF500000}"/>
    <cellStyle name="Normal 2 12 4 2 7" xfId="20685" xr:uid="{00000000-0005-0000-0000-0000D0500000}"/>
    <cellStyle name="Normal 2 12 4 2 8" xfId="20686" xr:uid="{00000000-0005-0000-0000-0000D1500000}"/>
    <cellStyle name="Normal 2 12 4 2 9" xfId="20687" xr:uid="{00000000-0005-0000-0000-0000D2500000}"/>
    <cellStyle name="Normal 2 12 4 3" xfId="20688" xr:uid="{00000000-0005-0000-0000-0000D3500000}"/>
    <cellStyle name="Normal 2 12 4 3 2" xfId="20689" xr:uid="{00000000-0005-0000-0000-0000D4500000}"/>
    <cellStyle name="Normal 2 12 4 3 2 2" xfId="20690" xr:uid="{00000000-0005-0000-0000-0000D5500000}"/>
    <cellStyle name="Normal 2 12 4 3 2 2 2" xfId="20691" xr:uid="{00000000-0005-0000-0000-0000D6500000}"/>
    <cellStyle name="Normal 2 12 4 3 2 2 3" xfId="20692" xr:uid="{00000000-0005-0000-0000-0000D7500000}"/>
    <cellStyle name="Normal 2 12 4 3 2 3" xfId="20693" xr:uid="{00000000-0005-0000-0000-0000D8500000}"/>
    <cellStyle name="Normal 2 12 4 3 2 4" xfId="20694" xr:uid="{00000000-0005-0000-0000-0000D9500000}"/>
    <cellStyle name="Normal 2 12 4 3 2 5" xfId="20695" xr:uid="{00000000-0005-0000-0000-0000DA500000}"/>
    <cellStyle name="Normal 2 12 4 3 2 6" xfId="20696" xr:uid="{00000000-0005-0000-0000-0000DB500000}"/>
    <cellStyle name="Normal 2 12 4 3 3" xfId="20697" xr:uid="{00000000-0005-0000-0000-0000DC500000}"/>
    <cellStyle name="Normal 2 12 4 3 3 2" xfId="20698" xr:uid="{00000000-0005-0000-0000-0000DD500000}"/>
    <cellStyle name="Normal 2 12 4 3 3 2 2" xfId="20699" xr:uid="{00000000-0005-0000-0000-0000DE500000}"/>
    <cellStyle name="Normal 2 12 4 3 3 3" xfId="20700" xr:uid="{00000000-0005-0000-0000-0000DF500000}"/>
    <cellStyle name="Normal 2 12 4 3 3 4" xfId="20701" xr:uid="{00000000-0005-0000-0000-0000E0500000}"/>
    <cellStyle name="Normal 2 12 4 3 3 5" xfId="20702" xr:uid="{00000000-0005-0000-0000-0000E1500000}"/>
    <cellStyle name="Normal 2 12 4 3 4" xfId="20703" xr:uid="{00000000-0005-0000-0000-0000E2500000}"/>
    <cellStyle name="Normal 2 12 4 3 4 2" xfId="20704" xr:uid="{00000000-0005-0000-0000-0000E3500000}"/>
    <cellStyle name="Normal 2 12 4 3 4 3" xfId="20705" xr:uid="{00000000-0005-0000-0000-0000E4500000}"/>
    <cellStyle name="Normal 2 12 4 3 4 4" xfId="20706" xr:uid="{00000000-0005-0000-0000-0000E5500000}"/>
    <cellStyle name="Normal 2 12 4 3 5" xfId="20707" xr:uid="{00000000-0005-0000-0000-0000E6500000}"/>
    <cellStyle name="Normal 2 12 4 3 5 2" xfId="20708" xr:uid="{00000000-0005-0000-0000-0000E7500000}"/>
    <cellStyle name="Normal 2 12 4 3 6" xfId="20709" xr:uid="{00000000-0005-0000-0000-0000E8500000}"/>
    <cellStyle name="Normal 2 12 4 3 7" xfId="20710" xr:uid="{00000000-0005-0000-0000-0000E9500000}"/>
    <cellStyle name="Normal 2 12 4 3 8" xfId="20711" xr:uid="{00000000-0005-0000-0000-0000EA500000}"/>
    <cellStyle name="Normal 2 12 4 3 9" xfId="20712" xr:uid="{00000000-0005-0000-0000-0000EB500000}"/>
    <cellStyle name="Normal 2 12 4 4" xfId="20713" xr:uid="{00000000-0005-0000-0000-0000EC500000}"/>
    <cellStyle name="Normal 2 12 4 4 2" xfId="20714" xr:uid="{00000000-0005-0000-0000-0000ED500000}"/>
    <cellStyle name="Normal 2 12 4 4 2 2" xfId="20715" xr:uid="{00000000-0005-0000-0000-0000EE500000}"/>
    <cellStyle name="Normal 2 12 4 4 2 3" xfId="20716" xr:uid="{00000000-0005-0000-0000-0000EF500000}"/>
    <cellStyle name="Normal 2 12 4 4 3" xfId="20717" xr:uid="{00000000-0005-0000-0000-0000F0500000}"/>
    <cellStyle name="Normal 2 12 4 4 4" xfId="20718" xr:uid="{00000000-0005-0000-0000-0000F1500000}"/>
    <cellStyle name="Normal 2 12 4 4 5" xfId="20719" xr:uid="{00000000-0005-0000-0000-0000F2500000}"/>
    <cellStyle name="Normal 2 12 4 4 6" xfId="20720" xr:uid="{00000000-0005-0000-0000-0000F3500000}"/>
    <cellStyle name="Normal 2 12 4 5" xfId="20721" xr:uid="{00000000-0005-0000-0000-0000F4500000}"/>
    <cellStyle name="Normal 2 12 4 5 2" xfId="20722" xr:uid="{00000000-0005-0000-0000-0000F5500000}"/>
    <cellStyle name="Normal 2 12 4 5 2 2" xfId="20723" xr:uid="{00000000-0005-0000-0000-0000F6500000}"/>
    <cellStyle name="Normal 2 12 4 5 3" xfId="20724" xr:uid="{00000000-0005-0000-0000-0000F7500000}"/>
    <cellStyle name="Normal 2 12 4 5 4" xfId="20725" xr:uid="{00000000-0005-0000-0000-0000F8500000}"/>
    <cellStyle name="Normal 2 12 4 5 5" xfId="20726" xr:uid="{00000000-0005-0000-0000-0000F9500000}"/>
    <cellStyle name="Normal 2 12 4 6" xfId="20727" xr:uid="{00000000-0005-0000-0000-0000FA500000}"/>
    <cellStyle name="Normal 2 12 4 6 2" xfId="20728" xr:uid="{00000000-0005-0000-0000-0000FB500000}"/>
    <cellStyle name="Normal 2 12 4 6 3" xfId="20729" xr:uid="{00000000-0005-0000-0000-0000FC500000}"/>
    <cellStyle name="Normal 2 12 4 6 4" xfId="20730" xr:uid="{00000000-0005-0000-0000-0000FD500000}"/>
    <cellStyle name="Normal 2 12 4 7" xfId="20731" xr:uid="{00000000-0005-0000-0000-0000FE500000}"/>
    <cellStyle name="Normal 2 12 4 7 2" xfId="20732" xr:uid="{00000000-0005-0000-0000-0000FF500000}"/>
    <cellStyle name="Normal 2 12 4 8" xfId="20733" xr:uid="{00000000-0005-0000-0000-000000510000}"/>
    <cellStyle name="Normal 2 12 4 9" xfId="20734" xr:uid="{00000000-0005-0000-0000-000001510000}"/>
    <cellStyle name="Normal 2 12 5" xfId="20735" xr:uid="{00000000-0005-0000-0000-000002510000}"/>
    <cellStyle name="Normal 2 12 5 10" xfId="20736" xr:uid="{00000000-0005-0000-0000-000003510000}"/>
    <cellStyle name="Normal 2 12 5 11" xfId="20737" xr:uid="{00000000-0005-0000-0000-000004510000}"/>
    <cellStyle name="Normal 2 12 5 2" xfId="20738" xr:uid="{00000000-0005-0000-0000-000005510000}"/>
    <cellStyle name="Normal 2 12 5 2 2" xfId="20739" xr:uid="{00000000-0005-0000-0000-000006510000}"/>
    <cellStyle name="Normal 2 12 5 2 2 2" xfId="20740" xr:uid="{00000000-0005-0000-0000-000007510000}"/>
    <cellStyle name="Normal 2 12 5 2 2 2 2" xfId="20741" xr:uid="{00000000-0005-0000-0000-000008510000}"/>
    <cellStyle name="Normal 2 12 5 2 2 2 3" xfId="20742" xr:uid="{00000000-0005-0000-0000-000009510000}"/>
    <cellStyle name="Normal 2 12 5 2 2 3" xfId="20743" xr:uid="{00000000-0005-0000-0000-00000A510000}"/>
    <cellStyle name="Normal 2 12 5 2 2 4" xfId="20744" xr:uid="{00000000-0005-0000-0000-00000B510000}"/>
    <cellStyle name="Normal 2 12 5 2 2 5" xfId="20745" xr:uid="{00000000-0005-0000-0000-00000C510000}"/>
    <cellStyle name="Normal 2 12 5 2 2 6" xfId="20746" xr:uid="{00000000-0005-0000-0000-00000D510000}"/>
    <cellStyle name="Normal 2 12 5 2 3" xfId="20747" xr:uid="{00000000-0005-0000-0000-00000E510000}"/>
    <cellStyle name="Normal 2 12 5 2 3 2" xfId="20748" xr:uid="{00000000-0005-0000-0000-00000F510000}"/>
    <cellStyle name="Normal 2 12 5 2 3 2 2" xfId="20749" xr:uid="{00000000-0005-0000-0000-000010510000}"/>
    <cellStyle name="Normal 2 12 5 2 3 3" xfId="20750" xr:uid="{00000000-0005-0000-0000-000011510000}"/>
    <cellStyle name="Normal 2 12 5 2 3 4" xfId="20751" xr:uid="{00000000-0005-0000-0000-000012510000}"/>
    <cellStyle name="Normal 2 12 5 2 3 5" xfId="20752" xr:uid="{00000000-0005-0000-0000-000013510000}"/>
    <cellStyle name="Normal 2 12 5 2 4" xfId="20753" xr:uid="{00000000-0005-0000-0000-000014510000}"/>
    <cellStyle name="Normal 2 12 5 2 4 2" xfId="20754" xr:uid="{00000000-0005-0000-0000-000015510000}"/>
    <cellStyle name="Normal 2 12 5 2 4 3" xfId="20755" xr:uid="{00000000-0005-0000-0000-000016510000}"/>
    <cellStyle name="Normal 2 12 5 2 4 4" xfId="20756" xr:uid="{00000000-0005-0000-0000-000017510000}"/>
    <cellStyle name="Normal 2 12 5 2 5" xfId="20757" xr:uid="{00000000-0005-0000-0000-000018510000}"/>
    <cellStyle name="Normal 2 12 5 2 5 2" xfId="20758" xr:uid="{00000000-0005-0000-0000-000019510000}"/>
    <cellStyle name="Normal 2 12 5 2 6" xfId="20759" xr:uid="{00000000-0005-0000-0000-00001A510000}"/>
    <cellStyle name="Normal 2 12 5 2 7" xfId="20760" xr:uid="{00000000-0005-0000-0000-00001B510000}"/>
    <cellStyle name="Normal 2 12 5 2 8" xfId="20761" xr:uid="{00000000-0005-0000-0000-00001C510000}"/>
    <cellStyle name="Normal 2 12 5 2 9" xfId="20762" xr:uid="{00000000-0005-0000-0000-00001D510000}"/>
    <cellStyle name="Normal 2 12 5 3" xfId="20763" xr:uid="{00000000-0005-0000-0000-00001E510000}"/>
    <cellStyle name="Normal 2 12 5 3 2" xfId="20764" xr:uid="{00000000-0005-0000-0000-00001F510000}"/>
    <cellStyle name="Normal 2 12 5 3 2 2" xfId="20765" xr:uid="{00000000-0005-0000-0000-000020510000}"/>
    <cellStyle name="Normal 2 12 5 3 2 2 2" xfId="20766" xr:uid="{00000000-0005-0000-0000-000021510000}"/>
    <cellStyle name="Normal 2 12 5 3 2 2 3" xfId="20767" xr:uid="{00000000-0005-0000-0000-000022510000}"/>
    <cellStyle name="Normal 2 12 5 3 2 3" xfId="20768" xr:uid="{00000000-0005-0000-0000-000023510000}"/>
    <cellStyle name="Normal 2 12 5 3 2 4" xfId="20769" xr:uid="{00000000-0005-0000-0000-000024510000}"/>
    <cellStyle name="Normal 2 12 5 3 2 5" xfId="20770" xr:uid="{00000000-0005-0000-0000-000025510000}"/>
    <cellStyle name="Normal 2 12 5 3 2 6" xfId="20771" xr:uid="{00000000-0005-0000-0000-000026510000}"/>
    <cellStyle name="Normal 2 12 5 3 3" xfId="20772" xr:uid="{00000000-0005-0000-0000-000027510000}"/>
    <cellStyle name="Normal 2 12 5 3 3 2" xfId="20773" xr:uid="{00000000-0005-0000-0000-000028510000}"/>
    <cellStyle name="Normal 2 12 5 3 3 2 2" xfId="20774" xr:uid="{00000000-0005-0000-0000-000029510000}"/>
    <cellStyle name="Normal 2 12 5 3 3 3" xfId="20775" xr:uid="{00000000-0005-0000-0000-00002A510000}"/>
    <cellStyle name="Normal 2 12 5 3 3 4" xfId="20776" xr:uid="{00000000-0005-0000-0000-00002B510000}"/>
    <cellStyle name="Normal 2 12 5 3 3 5" xfId="20777" xr:uid="{00000000-0005-0000-0000-00002C510000}"/>
    <cellStyle name="Normal 2 12 5 3 4" xfId="20778" xr:uid="{00000000-0005-0000-0000-00002D510000}"/>
    <cellStyle name="Normal 2 12 5 3 4 2" xfId="20779" xr:uid="{00000000-0005-0000-0000-00002E510000}"/>
    <cellStyle name="Normal 2 12 5 3 4 3" xfId="20780" xr:uid="{00000000-0005-0000-0000-00002F510000}"/>
    <cellStyle name="Normal 2 12 5 3 4 4" xfId="20781" xr:uid="{00000000-0005-0000-0000-000030510000}"/>
    <cellStyle name="Normal 2 12 5 3 5" xfId="20782" xr:uid="{00000000-0005-0000-0000-000031510000}"/>
    <cellStyle name="Normal 2 12 5 3 5 2" xfId="20783" xr:uid="{00000000-0005-0000-0000-000032510000}"/>
    <cellStyle name="Normal 2 12 5 3 6" xfId="20784" xr:uid="{00000000-0005-0000-0000-000033510000}"/>
    <cellStyle name="Normal 2 12 5 3 7" xfId="20785" xr:uid="{00000000-0005-0000-0000-000034510000}"/>
    <cellStyle name="Normal 2 12 5 3 8" xfId="20786" xr:uid="{00000000-0005-0000-0000-000035510000}"/>
    <cellStyle name="Normal 2 12 5 3 9" xfId="20787" xr:uid="{00000000-0005-0000-0000-000036510000}"/>
    <cellStyle name="Normal 2 12 5 4" xfId="20788" xr:uid="{00000000-0005-0000-0000-000037510000}"/>
    <cellStyle name="Normal 2 12 5 4 2" xfId="20789" xr:uid="{00000000-0005-0000-0000-000038510000}"/>
    <cellStyle name="Normal 2 12 5 4 2 2" xfId="20790" xr:uid="{00000000-0005-0000-0000-000039510000}"/>
    <cellStyle name="Normal 2 12 5 4 2 3" xfId="20791" xr:uid="{00000000-0005-0000-0000-00003A510000}"/>
    <cellStyle name="Normal 2 12 5 4 3" xfId="20792" xr:uid="{00000000-0005-0000-0000-00003B510000}"/>
    <cellStyle name="Normal 2 12 5 4 4" xfId="20793" xr:uid="{00000000-0005-0000-0000-00003C510000}"/>
    <cellStyle name="Normal 2 12 5 4 5" xfId="20794" xr:uid="{00000000-0005-0000-0000-00003D510000}"/>
    <cellStyle name="Normal 2 12 5 4 6" xfId="20795" xr:uid="{00000000-0005-0000-0000-00003E510000}"/>
    <cellStyle name="Normal 2 12 5 5" xfId="20796" xr:uid="{00000000-0005-0000-0000-00003F510000}"/>
    <cellStyle name="Normal 2 12 5 5 2" xfId="20797" xr:uid="{00000000-0005-0000-0000-000040510000}"/>
    <cellStyle name="Normal 2 12 5 5 2 2" xfId="20798" xr:uid="{00000000-0005-0000-0000-000041510000}"/>
    <cellStyle name="Normal 2 12 5 5 3" xfId="20799" xr:uid="{00000000-0005-0000-0000-000042510000}"/>
    <cellStyle name="Normal 2 12 5 5 4" xfId="20800" xr:uid="{00000000-0005-0000-0000-000043510000}"/>
    <cellStyle name="Normal 2 12 5 5 5" xfId="20801" xr:uid="{00000000-0005-0000-0000-000044510000}"/>
    <cellStyle name="Normal 2 12 5 6" xfId="20802" xr:uid="{00000000-0005-0000-0000-000045510000}"/>
    <cellStyle name="Normal 2 12 5 6 2" xfId="20803" xr:uid="{00000000-0005-0000-0000-000046510000}"/>
    <cellStyle name="Normal 2 12 5 6 3" xfId="20804" xr:uid="{00000000-0005-0000-0000-000047510000}"/>
    <cellStyle name="Normal 2 12 5 6 4" xfId="20805" xr:uid="{00000000-0005-0000-0000-000048510000}"/>
    <cellStyle name="Normal 2 12 5 7" xfId="20806" xr:uid="{00000000-0005-0000-0000-000049510000}"/>
    <cellStyle name="Normal 2 12 5 7 2" xfId="20807" xr:uid="{00000000-0005-0000-0000-00004A510000}"/>
    <cellStyle name="Normal 2 12 5 8" xfId="20808" xr:uid="{00000000-0005-0000-0000-00004B510000}"/>
    <cellStyle name="Normal 2 12 5 9" xfId="20809" xr:uid="{00000000-0005-0000-0000-00004C510000}"/>
    <cellStyle name="Normal 2 12 6" xfId="20810" xr:uid="{00000000-0005-0000-0000-00004D510000}"/>
    <cellStyle name="Normal 2 12 6 10" xfId="20811" xr:uid="{00000000-0005-0000-0000-00004E510000}"/>
    <cellStyle name="Normal 2 12 6 11" xfId="20812" xr:uid="{00000000-0005-0000-0000-00004F510000}"/>
    <cellStyle name="Normal 2 12 6 2" xfId="20813" xr:uid="{00000000-0005-0000-0000-000050510000}"/>
    <cellStyle name="Normal 2 12 6 2 2" xfId="20814" xr:uid="{00000000-0005-0000-0000-000051510000}"/>
    <cellStyle name="Normal 2 12 6 2 2 2" xfId="20815" xr:uid="{00000000-0005-0000-0000-000052510000}"/>
    <cellStyle name="Normal 2 12 6 2 2 2 2" xfId="20816" xr:uid="{00000000-0005-0000-0000-000053510000}"/>
    <cellStyle name="Normal 2 12 6 2 2 2 3" xfId="20817" xr:uid="{00000000-0005-0000-0000-000054510000}"/>
    <cellStyle name="Normal 2 12 6 2 2 3" xfId="20818" xr:uid="{00000000-0005-0000-0000-000055510000}"/>
    <cellStyle name="Normal 2 12 6 2 2 4" xfId="20819" xr:uid="{00000000-0005-0000-0000-000056510000}"/>
    <cellStyle name="Normal 2 12 6 2 2 5" xfId="20820" xr:uid="{00000000-0005-0000-0000-000057510000}"/>
    <cellStyle name="Normal 2 12 6 2 2 6" xfId="20821" xr:uid="{00000000-0005-0000-0000-000058510000}"/>
    <cellStyle name="Normal 2 12 6 2 3" xfId="20822" xr:uid="{00000000-0005-0000-0000-000059510000}"/>
    <cellStyle name="Normal 2 12 6 2 3 2" xfId="20823" xr:uid="{00000000-0005-0000-0000-00005A510000}"/>
    <cellStyle name="Normal 2 12 6 2 3 2 2" xfId="20824" xr:uid="{00000000-0005-0000-0000-00005B510000}"/>
    <cellStyle name="Normal 2 12 6 2 3 3" xfId="20825" xr:uid="{00000000-0005-0000-0000-00005C510000}"/>
    <cellStyle name="Normal 2 12 6 2 3 4" xfId="20826" xr:uid="{00000000-0005-0000-0000-00005D510000}"/>
    <cellStyle name="Normal 2 12 6 2 3 5" xfId="20827" xr:uid="{00000000-0005-0000-0000-00005E510000}"/>
    <cellStyle name="Normal 2 12 6 2 4" xfId="20828" xr:uid="{00000000-0005-0000-0000-00005F510000}"/>
    <cellStyle name="Normal 2 12 6 2 4 2" xfId="20829" xr:uid="{00000000-0005-0000-0000-000060510000}"/>
    <cellStyle name="Normal 2 12 6 2 4 3" xfId="20830" xr:uid="{00000000-0005-0000-0000-000061510000}"/>
    <cellStyle name="Normal 2 12 6 2 4 4" xfId="20831" xr:uid="{00000000-0005-0000-0000-000062510000}"/>
    <cellStyle name="Normal 2 12 6 2 5" xfId="20832" xr:uid="{00000000-0005-0000-0000-000063510000}"/>
    <cellStyle name="Normal 2 12 6 2 5 2" xfId="20833" xr:uid="{00000000-0005-0000-0000-000064510000}"/>
    <cellStyle name="Normal 2 12 6 2 6" xfId="20834" xr:uid="{00000000-0005-0000-0000-000065510000}"/>
    <cellStyle name="Normal 2 12 6 2 7" xfId="20835" xr:uid="{00000000-0005-0000-0000-000066510000}"/>
    <cellStyle name="Normal 2 12 6 2 8" xfId="20836" xr:uid="{00000000-0005-0000-0000-000067510000}"/>
    <cellStyle name="Normal 2 12 6 2 9" xfId="20837" xr:uid="{00000000-0005-0000-0000-000068510000}"/>
    <cellStyle name="Normal 2 12 6 3" xfId="20838" xr:uid="{00000000-0005-0000-0000-000069510000}"/>
    <cellStyle name="Normal 2 12 6 3 2" xfId="20839" xr:uid="{00000000-0005-0000-0000-00006A510000}"/>
    <cellStyle name="Normal 2 12 6 3 2 2" xfId="20840" xr:uid="{00000000-0005-0000-0000-00006B510000}"/>
    <cellStyle name="Normal 2 12 6 3 2 2 2" xfId="20841" xr:uid="{00000000-0005-0000-0000-00006C510000}"/>
    <cellStyle name="Normal 2 12 6 3 2 2 3" xfId="20842" xr:uid="{00000000-0005-0000-0000-00006D510000}"/>
    <cellStyle name="Normal 2 12 6 3 2 3" xfId="20843" xr:uid="{00000000-0005-0000-0000-00006E510000}"/>
    <cellStyle name="Normal 2 12 6 3 2 4" xfId="20844" xr:uid="{00000000-0005-0000-0000-00006F510000}"/>
    <cellStyle name="Normal 2 12 6 3 2 5" xfId="20845" xr:uid="{00000000-0005-0000-0000-000070510000}"/>
    <cellStyle name="Normal 2 12 6 3 2 6" xfId="20846" xr:uid="{00000000-0005-0000-0000-000071510000}"/>
    <cellStyle name="Normal 2 12 6 3 3" xfId="20847" xr:uid="{00000000-0005-0000-0000-000072510000}"/>
    <cellStyle name="Normal 2 12 6 3 3 2" xfId="20848" xr:uid="{00000000-0005-0000-0000-000073510000}"/>
    <cellStyle name="Normal 2 12 6 3 3 2 2" xfId="20849" xr:uid="{00000000-0005-0000-0000-000074510000}"/>
    <cellStyle name="Normal 2 12 6 3 3 3" xfId="20850" xr:uid="{00000000-0005-0000-0000-000075510000}"/>
    <cellStyle name="Normal 2 12 6 3 3 4" xfId="20851" xr:uid="{00000000-0005-0000-0000-000076510000}"/>
    <cellStyle name="Normal 2 12 6 3 3 5" xfId="20852" xr:uid="{00000000-0005-0000-0000-000077510000}"/>
    <cellStyle name="Normal 2 12 6 3 4" xfId="20853" xr:uid="{00000000-0005-0000-0000-000078510000}"/>
    <cellStyle name="Normal 2 12 6 3 4 2" xfId="20854" xr:uid="{00000000-0005-0000-0000-000079510000}"/>
    <cellStyle name="Normal 2 12 6 3 4 3" xfId="20855" xr:uid="{00000000-0005-0000-0000-00007A510000}"/>
    <cellStyle name="Normal 2 12 6 3 4 4" xfId="20856" xr:uid="{00000000-0005-0000-0000-00007B510000}"/>
    <cellStyle name="Normal 2 12 6 3 5" xfId="20857" xr:uid="{00000000-0005-0000-0000-00007C510000}"/>
    <cellStyle name="Normal 2 12 6 3 5 2" xfId="20858" xr:uid="{00000000-0005-0000-0000-00007D510000}"/>
    <cellStyle name="Normal 2 12 6 3 6" xfId="20859" xr:uid="{00000000-0005-0000-0000-00007E510000}"/>
    <cellStyle name="Normal 2 12 6 3 7" xfId="20860" xr:uid="{00000000-0005-0000-0000-00007F510000}"/>
    <cellStyle name="Normal 2 12 6 3 8" xfId="20861" xr:uid="{00000000-0005-0000-0000-000080510000}"/>
    <cellStyle name="Normal 2 12 6 3 9" xfId="20862" xr:uid="{00000000-0005-0000-0000-000081510000}"/>
    <cellStyle name="Normal 2 12 6 4" xfId="20863" xr:uid="{00000000-0005-0000-0000-000082510000}"/>
    <cellStyle name="Normal 2 12 6 4 2" xfId="20864" xr:uid="{00000000-0005-0000-0000-000083510000}"/>
    <cellStyle name="Normal 2 12 6 4 2 2" xfId="20865" xr:uid="{00000000-0005-0000-0000-000084510000}"/>
    <cellStyle name="Normal 2 12 6 4 2 3" xfId="20866" xr:uid="{00000000-0005-0000-0000-000085510000}"/>
    <cellStyle name="Normal 2 12 6 4 3" xfId="20867" xr:uid="{00000000-0005-0000-0000-000086510000}"/>
    <cellStyle name="Normal 2 12 6 4 4" xfId="20868" xr:uid="{00000000-0005-0000-0000-000087510000}"/>
    <cellStyle name="Normal 2 12 6 4 5" xfId="20869" xr:uid="{00000000-0005-0000-0000-000088510000}"/>
    <cellStyle name="Normal 2 12 6 4 6" xfId="20870" xr:uid="{00000000-0005-0000-0000-000089510000}"/>
    <cellStyle name="Normal 2 12 6 5" xfId="20871" xr:uid="{00000000-0005-0000-0000-00008A510000}"/>
    <cellStyle name="Normal 2 12 6 5 2" xfId="20872" xr:uid="{00000000-0005-0000-0000-00008B510000}"/>
    <cellStyle name="Normal 2 12 6 5 2 2" xfId="20873" xr:uid="{00000000-0005-0000-0000-00008C510000}"/>
    <cellStyle name="Normal 2 12 6 5 3" xfId="20874" xr:uid="{00000000-0005-0000-0000-00008D510000}"/>
    <cellStyle name="Normal 2 12 6 5 4" xfId="20875" xr:uid="{00000000-0005-0000-0000-00008E510000}"/>
    <cellStyle name="Normal 2 12 6 5 5" xfId="20876" xr:uid="{00000000-0005-0000-0000-00008F510000}"/>
    <cellStyle name="Normal 2 12 6 6" xfId="20877" xr:uid="{00000000-0005-0000-0000-000090510000}"/>
    <cellStyle name="Normal 2 12 6 6 2" xfId="20878" xr:uid="{00000000-0005-0000-0000-000091510000}"/>
    <cellStyle name="Normal 2 12 6 6 3" xfId="20879" xr:uid="{00000000-0005-0000-0000-000092510000}"/>
    <cellStyle name="Normal 2 12 6 6 4" xfId="20880" xr:uid="{00000000-0005-0000-0000-000093510000}"/>
    <cellStyle name="Normal 2 12 6 7" xfId="20881" xr:uid="{00000000-0005-0000-0000-000094510000}"/>
    <cellStyle name="Normal 2 12 6 7 2" xfId="20882" xr:uid="{00000000-0005-0000-0000-000095510000}"/>
    <cellStyle name="Normal 2 12 6 8" xfId="20883" xr:uid="{00000000-0005-0000-0000-000096510000}"/>
    <cellStyle name="Normal 2 12 6 9" xfId="20884" xr:uid="{00000000-0005-0000-0000-000097510000}"/>
    <cellStyle name="Normal 2 12 7" xfId="20885" xr:uid="{00000000-0005-0000-0000-000098510000}"/>
    <cellStyle name="Normal 2 12 7 10" xfId="20886" xr:uid="{00000000-0005-0000-0000-000099510000}"/>
    <cellStyle name="Normal 2 12 7 11" xfId="20887" xr:uid="{00000000-0005-0000-0000-00009A510000}"/>
    <cellStyle name="Normal 2 12 7 2" xfId="20888" xr:uid="{00000000-0005-0000-0000-00009B510000}"/>
    <cellStyle name="Normal 2 12 7 2 2" xfId="20889" xr:uid="{00000000-0005-0000-0000-00009C510000}"/>
    <cellStyle name="Normal 2 12 7 2 2 2" xfId="20890" xr:uid="{00000000-0005-0000-0000-00009D510000}"/>
    <cellStyle name="Normal 2 12 7 2 2 2 2" xfId="20891" xr:uid="{00000000-0005-0000-0000-00009E510000}"/>
    <cellStyle name="Normal 2 12 7 2 2 2 3" xfId="20892" xr:uid="{00000000-0005-0000-0000-00009F510000}"/>
    <cellStyle name="Normal 2 12 7 2 2 3" xfId="20893" xr:uid="{00000000-0005-0000-0000-0000A0510000}"/>
    <cellStyle name="Normal 2 12 7 2 2 4" xfId="20894" xr:uid="{00000000-0005-0000-0000-0000A1510000}"/>
    <cellStyle name="Normal 2 12 7 2 2 5" xfId="20895" xr:uid="{00000000-0005-0000-0000-0000A2510000}"/>
    <cellStyle name="Normal 2 12 7 2 2 6" xfId="20896" xr:uid="{00000000-0005-0000-0000-0000A3510000}"/>
    <cellStyle name="Normal 2 12 7 2 3" xfId="20897" xr:uid="{00000000-0005-0000-0000-0000A4510000}"/>
    <cellStyle name="Normal 2 12 7 2 3 2" xfId="20898" xr:uid="{00000000-0005-0000-0000-0000A5510000}"/>
    <cellStyle name="Normal 2 12 7 2 3 2 2" xfId="20899" xr:uid="{00000000-0005-0000-0000-0000A6510000}"/>
    <cellStyle name="Normal 2 12 7 2 3 3" xfId="20900" xr:uid="{00000000-0005-0000-0000-0000A7510000}"/>
    <cellStyle name="Normal 2 12 7 2 3 4" xfId="20901" xr:uid="{00000000-0005-0000-0000-0000A8510000}"/>
    <cellStyle name="Normal 2 12 7 2 3 5" xfId="20902" xr:uid="{00000000-0005-0000-0000-0000A9510000}"/>
    <cellStyle name="Normal 2 12 7 2 4" xfId="20903" xr:uid="{00000000-0005-0000-0000-0000AA510000}"/>
    <cellStyle name="Normal 2 12 7 2 4 2" xfId="20904" xr:uid="{00000000-0005-0000-0000-0000AB510000}"/>
    <cellStyle name="Normal 2 12 7 2 4 3" xfId="20905" xr:uid="{00000000-0005-0000-0000-0000AC510000}"/>
    <cellStyle name="Normal 2 12 7 2 4 4" xfId="20906" xr:uid="{00000000-0005-0000-0000-0000AD510000}"/>
    <cellStyle name="Normal 2 12 7 2 5" xfId="20907" xr:uid="{00000000-0005-0000-0000-0000AE510000}"/>
    <cellStyle name="Normal 2 12 7 2 5 2" xfId="20908" xr:uid="{00000000-0005-0000-0000-0000AF510000}"/>
    <cellStyle name="Normal 2 12 7 2 6" xfId="20909" xr:uid="{00000000-0005-0000-0000-0000B0510000}"/>
    <cellStyle name="Normal 2 12 7 2 7" xfId="20910" xr:uid="{00000000-0005-0000-0000-0000B1510000}"/>
    <cellStyle name="Normal 2 12 7 2 8" xfId="20911" xr:uid="{00000000-0005-0000-0000-0000B2510000}"/>
    <cellStyle name="Normal 2 12 7 2 9" xfId="20912" xr:uid="{00000000-0005-0000-0000-0000B3510000}"/>
    <cellStyle name="Normal 2 12 7 3" xfId="20913" xr:uid="{00000000-0005-0000-0000-0000B4510000}"/>
    <cellStyle name="Normal 2 12 7 3 2" xfId="20914" xr:uid="{00000000-0005-0000-0000-0000B5510000}"/>
    <cellStyle name="Normal 2 12 7 3 2 2" xfId="20915" xr:uid="{00000000-0005-0000-0000-0000B6510000}"/>
    <cellStyle name="Normal 2 12 7 3 2 2 2" xfId="20916" xr:uid="{00000000-0005-0000-0000-0000B7510000}"/>
    <cellStyle name="Normal 2 12 7 3 2 2 3" xfId="20917" xr:uid="{00000000-0005-0000-0000-0000B8510000}"/>
    <cellStyle name="Normal 2 12 7 3 2 3" xfId="20918" xr:uid="{00000000-0005-0000-0000-0000B9510000}"/>
    <cellStyle name="Normal 2 12 7 3 2 4" xfId="20919" xr:uid="{00000000-0005-0000-0000-0000BA510000}"/>
    <cellStyle name="Normal 2 12 7 3 2 5" xfId="20920" xr:uid="{00000000-0005-0000-0000-0000BB510000}"/>
    <cellStyle name="Normal 2 12 7 3 2 6" xfId="20921" xr:uid="{00000000-0005-0000-0000-0000BC510000}"/>
    <cellStyle name="Normal 2 12 7 3 3" xfId="20922" xr:uid="{00000000-0005-0000-0000-0000BD510000}"/>
    <cellStyle name="Normal 2 12 7 3 3 2" xfId="20923" xr:uid="{00000000-0005-0000-0000-0000BE510000}"/>
    <cellStyle name="Normal 2 12 7 3 3 2 2" xfId="20924" xr:uid="{00000000-0005-0000-0000-0000BF510000}"/>
    <cellStyle name="Normal 2 12 7 3 3 3" xfId="20925" xr:uid="{00000000-0005-0000-0000-0000C0510000}"/>
    <cellStyle name="Normal 2 12 7 3 3 4" xfId="20926" xr:uid="{00000000-0005-0000-0000-0000C1510000}"/>
    <cellStyle name="Normal 2 12 7 3 3 5" xfId="20927" xr:uid="{00000000-0005-0000-0000-0000C2510000}"/>
    <cellStyle name="Normal 2 12 7 3 4" xfId="20928" xr:uid="{00000000-0005-0000-0000-0000C3510000}"/>
    <cellStyle name="Normal 2 12 7 3 4 2" xfId="20929" xr:uid="{00000000-0005-0000-0000-0000C4510000}"/>
    <cellStyle name="Normal 2 12 7 3 4 3" xfId="20930" xr:uid="{00000000-0005-0000-0000-0000C5510000}"/>
    <cellStyle name="Normal 2 12 7 3 4 4" xfId="20931" xr:uid="{00000000-0005-0000-0000-0000C6510000}"/>
    <cellStyle name="Normal 2 12 7 3 5" xfId="20932" xr:uid="{00000000-0005-0000-0000-0000C7510000}"/>
    <cellStyle name="Normal 2 12 7 3 5 2" xfId="20933" xr:uid="{00000000-0005-0000-0000-0000C8510000}"/>
    <cellStyle name="Normal 2 12 7 3 6" xfId="20934" xr:uid="{00000000-0005-0000-0000-0000C9510000}"/>
    <cellStyle name="Normal 2 12 7 3 7" xfId="20935" xr:uid="{00000000-0005-0000-0000-0000CA510000}"/>
    <cellStyle name="Normal 2 12 7 3 8" xfId="20936" xr:uid="{00000000-0005-0000-0000-0000CB510000}"/>
    <cellStyle name="Normal 2 12 7 3 9" xfId="20937" xr:uid="{00000000-0005-0000-0000-0000CC510000}"/>
    <cellStyle name="Normal 2 12 7 4" xfId="20938" xr:uid="{00000000-0005-0000-0000-0000CD510000}"/>
    <cellStyle name="Normal 2 12 7 4 2" xfId="20939" xr:uid="{00000000-0005-0000-0000-0000CE510000}"/>
    <cellStyle name="Normal 2 12 7 4 2 2" xfId="20940" xr:uid="{00000000-0005-0000-0000-0000CF510000}"/>
    <cellStyle name="Normal 2 12 7 4 2 3" xfId="20941" xr:uid="{00000000-0005-0000-0000-0000D0510000}"/>
    <cellStyle name="Normal 2 12 7 4 3" xfId="20942" xr:uid="{00000000-0005-0000-0000-0000D1510000}"/>
    <cellStyle name="Normal 2 12 7 4 4" xfId="20943" xr:uid="{00000000-0005-0000-0000-0000D2510000}"/>
    <cellStyle name="Normal 2 12 7 4 5" xfId="20944" xr:uid="{00000000-0005-0000-0000-0000D3510000}"/>
    <cellStyle name="Normal 2 12 7 4 6" xfId="20945" xr:uid="{00000000-0005-0000-0000-0000D4510000}"/>
    <cellStyle name="Normal 2 12 7 5" xfId="20946" xr:uid="{00000000-0005-0000-0000-0000D5510000}"/>
    <cellStyle name="Normal 2 12 7 5 2" xfId="20947" xr:uid="{00000000-0005-0000-0000-0000D6510000}"/>
    <cellStyle name="Normal 2 12 7 5 2 2" xfId="20948" xr:uid="{00000000-0005-0000-0000-0000D7510000}"/>
    <cellStyle name="Normal 2 12 7 5 3" xfId="20949" xr:uid="{00000000-0005-0000-0000-0000D8510000}"/>
    <cellStyle name="Normal 2 12 7 5 4" xfId="20950" xr:uid="{00000000-0005-0000-0000-0000D9510000}"/>
    <cellStyle name="Normal 2 12 7 5 5" xfId="20951" xr:uid="{00000000-0005-0000-0000-0000DA510000}"/>
    <cellStyle name="Normal 2 12 7 6" xfId="20952" xr:uid="{00000000-0005-0000-0000-0000DB510000}"/>
    <cellStyle name="Normal 2 12 7 6 2" xfId="20953" xr:uid="{00000000-0005-0000-0000-0000DC510000}"/>
    <cellStyle name="Normal 2 12 7 6 3" xfId="20954" xr:uid="{00000000-0005-0000-0000-0000DD510000}"/>
    <cellStyle name="Normal 2 12 7 6 4" xfId="20955" xr:uid="{00000000-0005-0000-0000-0000DE510000}"/>
    <cellStyle name="Normal 2 12 7 7" xfId="20956" xr:uid="{00000000-0005-0000-0000-0000DF510000}"/>
    <cellStyle name="Normal 2 12 7 7 2" xfId="20957" xr:uid="{00000000-0005-0000-0000-0000E0510000}"/>
    <cellStyle name="Normal 2 12 7 8" xfId="20958" xr:uid="{00000000-0005-0000-0000-0000E1510000}"/>
    <cellStyle name="Normal 2 12 7 9" xfId="20959" xr:uid="{00000000-0005-0000-0000-0000E2510000}"/>
    <cellStyle name="Normal 2 12 8" xfId="20960" xr:uid="{00000000-0005-0000-0000-0000E3510000}"/>
    <cellStyle name="Normal 2 12 8 10" xfId="20961" xr:uid="{00000000-0005-0000-0000-0000E4510000}"/>
    <cellStyle name="Normal 2 12 8 2" xfId="20962" xr:uid="{00000000-0005-0000-0000-0000E5510000}"/>
    <cellStyle name="Normal 2 12 8 2 2" xfId="20963" xr:uid="{00000000-0005-0000-0000-0000E6510000}"/>
    <cellStyle name="Normal 2 12 8 2 2 2" xfId="20964" xr:uid="{00000000-0005-0000-0000-0000E7510000}"/>
    <cellStyle name="Normal 2 12 8 2 2 3" xfId="20965" xr:uid="{00000000-0005-0000-0000-0000E8510000}"/>
    <cellStyle name="Normal 2 12 8 2 3" xfId="20966" xr:uid="{00000000-0005-0000-0000-0000E9510000}"/>
    <cellStyle name="Normal 2 12 8 2 4" xfId="20967" xr:uid="{00000000-0005-0000-0000-0000EA510000}"/>
    <cellStyle name="Normal 2 12 8 2 5" xfId="20968" xr:uid="{00000000-0005-0000-0000-0000EB510000}"/>
    <cellStyle name="Normal 2 12 8 2 6" xfId="20969" xr:uid="{00000000-0005-0000-0000-0000EC510000}"/>
    <cellStyle name="Normal 2 12 8 3" xfId="20970" xr:uid="{00000000-0005-0000-0000-0000ED510000}"/>
    <cellStyle name="Normal 2 12 8 3 2" xfId="20971" xr:uid="{00000000-0005-0000-0000-0000EE510000}"/>
    <cellStyle name="Normal 2 12 8 3 2 2" xfId="20972" xr:uid="{00000000-0005-0000-0000-0000EF510000}"/>
    <cellStyle name="Normal 2 12 8 3 2 3" xfId="20973" xr:uid="{00000000-0005-0000-0000-0000F0510000}"/>
    <cellStyle name="Normal 2 12 8 3 3" xfId="20974" xr:uid="{00000000-0005-0000-0000-0000F1510000}"/>
    <cellStyle name="Normal 2 12 8 3 4" xfId="20975" xr:uid="{00000000-0005-0000-0000-0000F2510000}"/>
    <cellStyle name="Normal 2 12 8 3 5" xfId="20976" xr:uid="{00000000-0005-0000-0000-0000F3510000}"/>
    <cellStyle name="Normal 2 12 8 3 6" xfId="20977" xr:uid="{00000000-0005-0000-0000-0000F4510000}"/>
    <cellStyle name="Normal 2 12 8 4" xfId="20978" xr:uid="{00000000-0005-0000-0000-0000F5510000}"/>
    <cellStyle name="Normal 2 12 8 4 2" xfId="20979" xr:uid="{00000000-0005-0000-0000-0000F6510000}"/>
    <cellStyle name="Normal 2 12 8 4 2 2" xfId="20980" xr:uid="{00000000-0005-0000-0000-0000F7510000}"/>
    <cellStyle name="Normal 2 12 8 4 3" xfId="20981" xr:uid="{00000000-0005-0000-0000-0000F8510000}"/>
    <cellStyle name="Normal 2 12 8 4 4" xfId="20982" xr:uid="{00000000-0005-0000-0000-0000F9510000}"/>
    <cellStyle name="Normal 2 12 8 4 5" xfId="20983" xr:uid="{00000000-0005-0000-0000-0000FA510000}"/>
    <cellStyle name="Normal 2 12 8 5" xfId="20984" xr:uid="{00000000-0005-0000-0000-0000FB510000}"/>
    <cellStyle name="Normal 2 12 8 5 2" xfId="20985" xr:uid="{00000000-0005-0000-0000-0000FC510000}"/>
    <cellStyle name="Normal 2 12 8 5 3" xfId="20986" xr:uid="{00000000-0005-0000-0000-0000FD510000}"/>
    <cellStyle name="Normal 2 12 8 5 4" xfId="20987" xr:uid="{00000000-0005-0000-0000-0000FE510000}"/>
    <cellStyle name="Normal 2 12 8 6" xfId="20988" xr:uid="{00000000-0005-0000-0000-0000FF510000}"/>
    <cellStyle name="Normal 2 12 8 6 2" xfId="20989" xr:uid="{00000000-0005-0000-0000-000000520000}"/>
    <cellStyle name="Normal 2 12 8 7" xfId="20990" xr:uid="{00000000-0005-0000-0000-000001520000}"/>
    <cellStyle name="Normal 2 12 8 8" xfId="20991" xr:uid="{00000000-0005-0000-0000-000002520000}"/>
    <cellStyle name="Normal 2 12 8 9" xfId="20992" xr:uid="{00000000-0005-0000-0000-000003520000}"/>
    <cellStyle name="Normal 2 12 9" xfId="20993" xr:uid="{00000000-0005-0000-0000-000004520000}"/>
    <cellStyle name="Normal 2 12 9 10" xfId="20994" xr:uid="{00000000-0005-0000-0000-000005520000}"/>
    <cellStyle name="Normal 2 12 9 2" xfId="20995" xr:uid="{00000000-0005-0000-0000-000006520000}"/>
    <cellStyle name="Normal 2 12 9 2 2" xfId="20996" xr:uid="{00000000-0005-0000-0000-000007520000}"/>
    <cellStyle name="Normal 2 12 9 2 2 2" xfId="20997" xr:uid="{00000000-0005-0000-0000-000008520000}"/>
    <cellStyle name="Normal 2 12 9 2 2 3" xfId="20998" xr:uid="{00000000-0005-0000-0000-000009520000}"/>
    <cellStyle name="Normal 2 12 9 2 3" xfId="20999" xr:uid="{00000000-0005-0000-0000-00000A520000}"/>
    <cellStyle name="Normal 2 12 9 2 4" xfId="21000" xr:uid="{00000000-0005-0000-0000-00000B520000}"/>
    <cellStyle name="Normal 2 12 9 2 5" xfId="21001" xr:uid="{00000000-0005-0000-0000-00000C520000}"/>
    <cellStyle name="Normal 2 12 9 2 6" xfId="21002" xr:uid="{00000000-0005-0000-0000-00000D520000}"/>
    <cellStyle name="Normal 2 12 9 3" xfId="21003" xr:uid="{00000000-0005-0000-0000-00000E520000}"/>
    <cellStyle name="Normal 2 12 9 3 2" xfId="21004" xr:uid="{00000000-0005-0000-0000-00000F520000}"/>
    <cellStyle name="Normal 2 12 9 3 2 2" xfId="21005" xr:uid="{00000000-0005-0000-0000-000010520000}"/>
    <cellStyle name="Normal 2 12 9 3 2 3" xfId="21006" xr:uid="{00000000-0005-0000-0000-000011520000}"/>
    <cellStyle name="Normal 2 12 9 3 3" xfId="21007" xr:uid="{00000000-0005-0000-0000-000012520000}"/>
    <cellStyle name="Normal 2 12 9 3 4" xfId="21008" xr:uid="{00000000-0005-0000-0000-000013520000}"/>
    <cellStyle name="Normal 2 12 9 3 5" xfId="21009" xr:uid="{00000000-0005-0000-0000-000014520000}"/>
    <cellStyle name="Normal 2 12 9 3 6" xfId="21010" xr:uid="{00000000-0005-0000-0000-000015520000}"/>
    <cellStyle name="Normal 2 12 9 4" xfId="21011" xr:uid="{00000000-0005-0000-0000-000016520000}"/>
    <cellStyle name="Normal 2 12 9 4 2" xfId="21012" xr:uid="{00000000-0005-0000-0000-000017520000}"/>
    <cellStyle name="Normal 2 12 9 4 2 2" xfId="21013" xr:uid="{00000000-0005-0000-0000-000018520000}"/>
    <cellStyle name="Normal 2 12 9 4 3" xfId="21014" xr:uid="{00000000-0005-0000-0000-000019520000}"/>
    <cellStyle name="Normal 2 12 9 4 4" xfId="21015" xr:uid="{00000000-0005-0000-0000-00001A520000}"/>
    <cellStyle name="Normal 2 12 9 4 5" xfId="21016" xr:uid="{00000000-0005-0000-0000-00001B520000}"/>
    <cellStyle name="Normal 2 12 9 5" xfId="21017" xr:uid="{00000000-0005-0000-0000-00001C520000}"/>
    <cellStyle name="Normal 2 12 9 5 2" xfId="21018" xr:uid="{00000000-0005-0000-0000-00001D520000}"/>
    <cellStyle name="Normal 2 12 9 5 3" xfId="21019" xr:uid="{00000000-0005-0000-0000-00001E520000}"/>
    <cellStyle name="Normal 2 12 9 5 4" xfId="21020" xr:uid="{00000000-0005-0000-0000-00001F520000}"/>
    <cellStyle name="Normal 2 12 9 6" xfId="21021" xr:uid="{00000000-0005-0000-0000-000020520000}"/>
    <cellStyle name="Normal 2 12 9 6 2" xfId="21022" xr:uid="{00000000-0005-0000-0000-000021520000}"/>
    <cellStyle name="Normal 2 12 9 7" xfId="21023" xr:uid="{00000000-0005-0000-0000-000022520000}"/>
    <cellStyle name="Normal 2 12 9 8" xfId="21024" xr:uid="{00000000-0005-0000-0000-000023520000}"/>
    <cellStyle name="Normal 2 12 9 9" xfId="21025" xr:uid="{00000000-0005-0000-0000-000024520000}"/>
    <cellStyle name="Normal 2 13" xfId="21026" xr:uid="{00000000-0005-0000-0000-000025520000}"/>
    <cellStyle name="Normal 2 13 2" xfId="21027" xr:uid="{00000000-0005-0000-0000-000026520000}"/>
    <cellStyle name="Normal 2 13 2 2" xfId="21028" xr:uid="{00000000-0005-0000-0000-000027520000}"/>
    <cellStyle name="Normal 2 13 3" xfId="21029" xr:uid="{00000000-0005-0000-0000-000028520000}"/>
    <cellStyle name="Normal 2 13 3 2" xfId="21030" xr:uid="{00000000-0005-0000-0000-000029520000}"/>
    <cellStyle name="Normal 2 13 4" xfId="21031" xr:uid="{00000000-0005-0000-0000-00002A520000}"/>
    <cellStyle name="Normal 2 13 5" xfId="21032" xr:uid="{00000000-0005-0000-0000-00002B520000}"/>
    <cellStyle name="Normal 2 13 6" xfId="21033" xr:uid="{00000000-0005-0000-0000-00002C520000}"/>
    <cellStyle name="Normal 2 13 7" xfId="21034" xr:uid="{00000000-0005-0000-0000-00002D520000}"/>
    <cellStyle name="Normal 2 13 8" xfId="21035" xr:uid="{00000000-0005-0000-0000-00002E520000}"/>
    <cellStyle name="Normal 2 14" xfId="21036" xr:uid="{00000000-0005-0000-0000-00002F520000}"/>
    <cellStyle name="Normal 2 14 10" xfId="21037" xr:uid="{00000000-0005-0000-0000-000030520000}"/>
    <cellStyle name="Normal 2 14 10 10" xfId="21038" xr:uid="{00000000-0005-0000-0000-000031520000}"/>
    <cellStyle name="Normal 2 14 10 2" xfId="21039" xr:uid="{00000000-0005-0000-0000-000032520000}"/>
    <cellStyle name="Normal 2 14 10 2 2" xfId="21040" xr:uid="{00000000-0005-0000-0000-000033520000}"/>
    <cellStyle name="Normal 2 14 10 2 2 2" xfId="21041" xr:uid="{00000000-0005-0000-0000-000034520000}"/>
    <cellStyle name="Normal 2 14 10 2 2 3" xfId="21042" xr:uid="{00000000-0005-0000-0000-000035520000}"/>
    <cellStyle name="Normal 2 14 10 2 3" xfId="21043" xr:uid="{00000000-0005-0000-0000-000036520000}"/>
    <cellStyle name="Normal 2 14 10 2 4" xfId="21044" xr:uid="{00000000-0005-0000-0000-000037520000}"/>
    <cellStyle name="Normal 2 14 10 2 5" xfId="21045" xr:uid="{00000000-0005-0000-0000-000038520000}"/>
    <cellStyle name="Normal 2 14 10 2 6" xfId="21046" xr:uid="{00000000-0005-0000-0000-000039520000}"/>
    <cellStyle name="Normal 2 14 10 3" xfId="21047" xr:uid="{00000000-0005-0000-0000-00003A520000}"/>
    <cellStyle name="Normal 2 14 10 3 2" xfId="21048" xr:uid="{00000000-0005-0000-0000-00003B520000}"/>
    <cellStyle name="Normal 2 14 10 3 2 2" xfId="21049" xr:uid="{00000000-0005-0000-0000-00003C520000}"/>
    <cellStyle name="Normal 2 14 10 3 2 3" xfId="21050" xr:uid="{00000000-0005-0000-0000-00003D520000}"/>
    <cellStyle name="Normal 2 14 10 3 3" xfId="21051" xr:uid="{00000000-0005-0000-0000-00003E520000}"/>
    <cellStyle name="Normal 2 14 10 3 4" xfId="21052" xr:uid="{00000000-0005-0000-0000-00003F520000}"/>
    <cellStyle name="Normal 2 14 10 3 5" xfId="21053" xr:uid="{00000000-0005-0000-0000-000040520000}"/>
    <cellStyle name="Normal 2 14 10 3 6" xfId="21054" xr:uid="{00000000-0005-0000-0000-000041520000}"/>
    <cellStyle name="Normal 2 14 10 4" xfId="21055" xr:uid="{00000000-0005-0000-0000-000042520000}"/>
    <cellStyle name="Normal 2 14 10 4 2" xfId="21056" xr:uid="{00000000-0005-0000-0000-000043520000}"/>
    <cellStyle name="Normal 2 14 10 4 2 2" xfId="21057" xr:uid="{00000000-0005-0000-0000-000044520000}"/>
    <cellStyle name="Normal 2 14 10 4 3" xfId="21058" xr:uid="{00000000-0005-0000-0000-000045520000}"/>
    <cellStyle name="Normal 2 14 10 4 4" xfId="21059" xr:uid="{00000000-0005-0000-0000-000046520000}"/>
    <cellStyle name="Normal 2 14 10 4 5" xfId="21060" xr:uid="{00000000-0005-0000-0000-000047520000}"/>
    <cellStyle name="Normal 2 14 10 5" xfId="21061" xr:uid="{00000000-0005-0000-0000-000048520000}"/>
    <cellStyle name="Normal 2 14 10 5 2" xfId="21062" xr:uid="{00000000-0005-0000-0000-000049520000}"/>
    <cellStyle name="Normal 2 14 10 5 3" xfId="21063" xr:uid="{00000000-0005-0000-0000-00004A520000}"/>
    <cellStyle name="Normal 2 14 10 5 4" xfId="21064" xr:uid="{00000000-0005-0000-0000-00004B520000}"/>
    <cellStyle name="Normal 2 14 10 6" xfId="21065" xr:uid="{00000000-0005-0000-0000-00004C520000}"/>
    <cellStyle name="Normal 2 14 10 6 2" xfId="21066" xr:uid="{00000000-0005-0000-0000-00004D520000}"/>
    <cellStyle name="Normal 2 14 10 7" xfId="21067" xr:uid="{00000000-0005-0000-0000-00004E520000}"/>
    <cellStyle name="Normal 2 14 10 8" xfId="21068" xr:uid="{00000000-0005-0000-0000-00004F520000}"/>
    <cellStyle name="Normal 2 14 10 9" xfId="21069" xr:uid="{00000000-0005-0000-0000-000050520000}"/>
    <cellStyle name="Normal 2 14 11" xfId="21070" xr:uid="{00000000-0005-0000-0000-000051520000}"/>
    <cellStyle name="Normal 2 14 11 10" xfId="21071" xr:uid="{00000000-0005-0000-0000-000052520000}"/>
    <cellStyle name="Normal 2 14 11 2" xfId="21072" xr:uid="{00000000-0005-0000-0000-000053520000}"/>
    <cellStyle name="Normal 2 14 11 2 2" xfId="21073" xr:uid="{00000000-0005-0000-0000-000054520000}"/>
    <cellStyle name="Normal 2 14 11 2 2 2" xfId="21074" xr:uid="{00000000-0005-0000-0000-000055520000}"/>
    <cellStyle name="Normal 2 14 11 2 2 3" xfId="21075" xr:uid="{00000000-0005-0000-0000-000056520000}"/>
    <cellStyle name="Normal 2 14 11 2 3" xfId="21076" xr:uid="{00000000-0005-0000-0000-000057520000}"/>
    <cellStyle name="Normal 2 14 11 2 4" xfId="21077" xr:uid="{00000000-0005-0000-0000-000058520000}"/>
    <cellStyle name="Normal 2 14 11 2 5" xfId="21078" xr:uid="{00000000-0005-0000-0000-000059520000}"/>
    <cellStyle name="Normal 2 14 11 2 6" xfId="21079" xr:uid="{00000000-0005-0000-0000-00005A520000}"/>
    <cellStyle name="Normal 2 14 11 3" xfId="21080" xr:uid="{00000000-0005-0000-0000-00005B520000}"/>
    <cellStyle name="Normal 2 14 11 3 2" xfId="21081" xr:uid="{00000000-0005-0000-0000-00005C520000}"/>
    <cellStyle name="Normal 2 14 11 3 2 2" xfId="21082" xr:uid="{00000000-0005-0000-0000-00005D520000}"/>
    <cellStyle name="Normal 2 14 11 3 2 3" xfId="21083" xr:uid="{00000000-0005-0000-0000-00005E520000}"/>
    <cellStyle name="Normal 2 14 11 3 3" xfId="21084" xr:uid="{00000000-0005-0000-0000-00005F520000}"/>
    <cellStyle name="Normal 2 14 11 3 4" xfId="21085" xr:uid="{00000000-0005-0000-0000-000060520000}"/>
    <cellStyle name="Normal 2 14 11 3 5" xfId="21086" xr:uid="{00000000-0005-0000-0000-000061520000}"/>
    <cellStyle name="Normal 2 14 11 3 6" xfId="21087" xr:uid="{00000000-0005-0000-0000-000062520000}"/>
    <cellStyle name="Normal 2 14 11 4" xfId="21088" xr:uid="{00000000-0005-0000-0000-000063520000}"/>
    <cellStyle name="Normal 2 14 11 4 2" xfId="21089" xr:uid="{00000000-0005-0000-0000-000064520000}"/>
    <cellStyle name="Normal 2 14 11 4 2 2" xfId="21090" xr:uid="{00000000-0005-0000-0000-000065520000}"/>
    <cellStyle name="Normal 2 14 11 4 3" xfId="21091" xr:uid="{00000000-0005-0000-0000-000066520000}"/>
    <cellStyle name="Normal 2 14 11 4 4" xfId="21092" xr:uid="{00000000-0005-0000-0000-000067520000}"/>
    <cellStyle name="Normal 2 14 11 4 5" xfId="21093" xr:uid="{00000000-0005-0000-0000-000068520000}"/>
    <cellStyle name="Normal 2 14 11 5" xfId="21094" xr:uid="{00000000-0005-0000-0000-000069520000}"/>
    <cellStyle name="Normal 2 14 11 5 2" xfId="21095" xr:uid="{00000000-0005-0000-0000-00006A520000}"/>
    <cellStyle name="Normal 2 14 11 5 3" xfId="21096" xr:uid="{00000000-0005-0000-0000-00006B520000}"/>
    <cellStyle name="Normal 2 14 11 5 4" xfId="21097" xr:uid="{00000000-0005-0000-0000-00006C520000}"/>
    <cellStyle name="Normal 2 14 11 6" xfId="21098" xr:uid="{00000000-0005-0000-0000-00006D520000}"/>
    <cellStyle name="Normal 2 14 11 6 2" xfId="21099" xr:uid="{00000000-0005-0000-0000-00006E520000}"/>
    <cellStyle name="Normal 2 14 11 7" xfId="21100" xr:uid="{00000000-0005-0000-0000-00006F520000}"/>
    <cellStyle name="Normal 2 14 11 8" xfId="21101" xr:uid="{00000000-0005-0000-0000-000070520000}"/>
    <cellStyle name="Normal 2 14 11 9" xfId="21102" xr:uid="{00000000-0005-0000-0000-000071520000}"/>
    <cellStyle name="Normal 2 14 12" xfId="21103" xr:uid="{00000000-0005-0000-0000-000072520000}"/>
    <cellStyle name="Normal 2 14 12 10" xfId="21104" xr:uid="{00000000-0005-0000-0000-000073520000}"/>
    <cellStyle name="Normal 2 14 12 2" xfId="21105" xr:uid="{00000000-0005-0000-0000-000074520000}"/>
    <cellStyle name="Normal 2 14 12 2 2" xfId="21106" xr:uid="{00000000-0005-0000-0000-000075520000}"/>
    <cellStyle name="Normal 2 14 12 2 2 2" xfId="21107" xr:uid="{00000000-0005-0000-0000-000076520000}"/>
    <cellStyle name="Normal 2 14 12 2 2 3" xfId="21108" xr:uid="{00000000-0005-0000-0000-000077520000}"/>
    <cellStyle name="Normal 2 14 12 2 3" xfId="21109" xr:uid="{00000000-0005-0000-0000-000078520000}"/>
    <cellStyle name="Normal 2 14 12 2 4" xfId="21110" xr:uid="{00000000-0005-0000-0000-000079520000}"/>
    <cellStyle name="Normal 2 14 12 2 5" xfId="21111" xr:uid="{00000000-0005-0000-0000-00007A520000}"/>
    <cellStyle name="Normal 2 14 12 2 6" xfId="21112" xr:uid="{00000000-0005-0000-0000-00007B520000}"/>
    <cellStyle name="Normal 2 14 12 3" xfId="21113" xr:uid="{00000000-0005-0000-0000-00007C520000}"/>
    <cellStyle name="Normal 2 14 12 3 2" xfId="21114" xr:uid="{00000000-0005-0000-0000-00007D520000}"/>
    <cellStyle name="Normal 2 14 12 3 2 2" xfId="21115" xr:uid="{00000000-0005-0000-0000-00007E520000}"/>
    <cellStyle name="Normal 2 14 12 3 2 3" xfId="21116" xr:uid="{00000000-0005-0000-0000-00007F520000}"/>
    <cellStyle name="Normal 2 14 12 3 3" xfId="21117" xr:uid="{00000000-0005-0000-0000-000080520000}"/>
    <cellStyle name="Normal 2 14 12 3 4" xfId="21118" xr:uid="{00000000-0005-0000-0000-000081520000}"/>
    <cellStyle name="Normal 2 14 12 3 5" xfId="21119" xr:uid="{00000000-0005-0000-0000-000082520000}"/>
    <cellStyle name="Normal 2 14 12 3 6" xfId="21120" xr:uid="{00000000-0005-0000-0000-000083520000}"/>
    <cellStyle name="Normal 2 14 12 4" xfId="21121" xr:uid="{00000000-0005-0000-0000-000084520000}"/>
    <cellStyle name="Normal 2 14 12 4 2" xfId="21122" xr:uid="{00000000-0005-0000-0000-000085520000}"/>
    <cellStyle name="Normal 2 14 12 4 2 2" xfId="21123" xr:uid="{00000000-0005-0000-0000-000086520000}"/>
    <cellStyle name="Normal 2 14 12 4 3" xfId="21124" xr:uid="{00000000-0005-0000-0000-000087520000}"/>
    <cellStyle name="Normal 2 14 12 4 4" xfId="21125" xr:uid="{00000000-0005-0000-0000-000088520000}"/>
    <cellStyle name="Normal 2 14 12 4 5" xfId="21126" xr:uid="{00000000-0005-0000-0000-000089520000}"/>
    <cellStyle name="Normal 2 14 12 5" xfId="21127" xr:uid="{00000000-0005-0000-0000-00008A520000}"/>
    <cellStyle name="Normal 2 14 12 5 2" xfId="21128" xr:uid="{00000000-0005-0000-0000-00008B520000}"/>
    <cellStyle name="Normal 2 14 12 5 3" xfId="21129" xr:uid="{00000000-0005-0000-0000-00008C520000}"/>
    <cellStyle name="Normal 2 14 12 5 4" xfId="21130" xr:uid="{00000000-0005-0000-0000-00008D520000}"/>
    <cellStyle name="Normal 2 14 12 6" xfId="21131" xr:uid="{00000000-0005-0000-0000-00008E520000}"/>
    <cellStyle name="Normal 2 14 12 6 2" xfId="21132" xr:uid="{00000000-0005-0000-0000-00008F520000}"/>
    <cellStyle name="Normal 2 14 12 7" xfId="21133" xr:uid="{00000000-0005-0000-0000-000090520000}"/>
    <cellStyle name="Normal 2 14 12 8" xfId="21134" xr:uid="{00000000-0005-0000-0000-000091520000}"/>
    <cellStyle name="Normal 2 14 12 9" xfId="21135" xr:uid="{00000000-0005-0000-0000-000092520000}"/>
    <cellStyle name="Normal 2 14 13" xfId="21136" xr:uid="{00000000-0005-0000-0000-000093520000}"/>
    <cellStyle name="Normal 2 14 13 2" xfId="21137" xr:uid="{00000000-0005-0000-0000-000094520000}"/>
    <cellStyle name="Normal 2 14 13 2 2" xfId="21138" xr:uid="{00000000-0005-0000-0000-000095520000}"/>
    <cellStyle name="Normal 2 14 13 2 2 2" xfId="21139" xr:uid="{00000000-0005-0000-0000-000096520000}"/>
    <cellStyle name="Normal 2 14 13 2 2 3" xfId="21140" xr:uid="{00000000-0005-0000-0000-000097520000}"/>
    <cellStyle name="Normal 2 14 13 2 3" xfId="21141" xr:uid="{00000000-0005-0000-0000-000098520000}"/>
    <cellStyle name="Normal 2 14 13 2 4" xfId="21142" xr:uid="{00000000-0005-0000-0000-000099520000}"/>
    <cellStyle name="Normal 2 14 13 2 5" xfId="21143" xr:uid="{00000000-0005-0000-0000-00009A520000}"/>
    <cellStyle name="Normal 2 14 13 2 6" xfId="21144" xr:uid="{00000000-0005-0000-0000-00009B520000}"/>
    <cellStyle name="Normal 2 14 13 3" xfId="21145" xr:uid="{00000000-0005-0000-0000-00009C520000}"/>
    <cellStyle name="Normal 2 14 13 3 2" xfId="21146" xr:uid="{00000000-0005-0000-0000-00009D520000}"/>
    <cellStyle name="Normal 2 14 13 3 2 2" xfId="21147" xr:uid="{00000000-0005-0000-0000-00009E520000}"/>
    <cellStyle name="Normal 2 14 13 3 3" xfId="21148" xr:uid="{00000000-0005-0000-0000-00009F520000}"/>
    <cellStyle name="Normal 2 14 13 3 4" xfId="21149" xr:uid="{00000000-0005-0000-0000-0000A0520000}"/>
    <cellStyle name="Normal 2 14 13 3 5" xfId="21150" xr:uid="{00000000-0005-0000-0000-0000A1520000}"/>
    <cellStyle name="Normal 2 14 13 4" xfId="21151" xr:uid="{00000000-0005-0000-0000-0000A2520000}"/>
    <cellStyle name="Normal 2 14 13 4 2" xfId="21152" xr:uid="{00000000-0005-0000-0000-0000A3520000}"/>
    <cellStyle name="Normal 2 14 13 4 3" xfId="21153" xr:uid="{00000000-0005-0000-0000-0000A4520000}"/>
    <cellStyle name="Normal 2 14 13 4 4" xfId="21154" xr:uid="{00000000-0005-0000-0000-0000A5520000}"/>
    <cellStyle name="Normal 2 14 13 5" xfId="21155" xr:uid="{00000000-0005-0000-0000-0000A6520000}"/>
    <cellStyle name="Normal 2 14 13 5 2" xfId="21156" xr:uid="{00000000-0005-0000-0000-0000A7520000}"/>
    <cellStyle name="Normal 2 14 13 6" xfId="21157" xr:uid="{00000000-0005-0000-0000-0000A8520000}"/>
    <cellStyle name="Normal 2 14 13 7" xfId="21158" xr:uid="{00000000-0005-0000-0000-0000A9520000}"/>
    <cellStyle name="Normal 2 14 13 8" xfId="21159" xr:uid="{00000000-0005-0000-0000-0000AA520000}"/>
    <cellStyle name="Normal 2 14 13 9" xfId="21160" xr:uid="{00000000-0005-0000-0000-0000AB520000}"/>
    <cellStyle name="Normal 2 14 14" xfId="21161" xr:uid="{00000000-0005-0000-0000-0000AC520000}"/>
    <cellStyle name="Normal 2 14 14 2" xfId="21162" xr:uid="{00000000-0005-0000-0000-0000AD520000}"/>
    <cellStyle name="Normal 2 14 14 2 2" xfId="21163" xr:uid="{00000000-0005-0000-0000-0000AE520000}"/>
    <cellStyle name="Normal 2 14 14 2 2 2" xfId="21164" xr:uid="{00000000-0005-0000-0000-0000AF520000}"/>
    <cellStyle name="Normal 2 14 14 2 2 3" xfId="21165" xr:uid="{00000000-0005-0000-0000-0000B0520000}"/>
    <cellStyle name="Normal 2 14 14 2 3" xfId="21166" xr:uid="{00000000-0005-0000-0000-0000B1520000}"/>
    <cellStyle name="Normal 2 14 14 2 4" xfId="21167" xr:uid="{00000000-0005-0000-0000-0000B2520000}"/>
    <cellStyle name="Normal 2 14 14 2 5" xfId="21168" xr:uid="{00000000-0005-0000-0000-0000B3520000}"/>
    <cellStyle name="Normal 2 14 14 2 6" xfId="21169" xr:uid="{00000000-0005-0000-0000-0000B4520000}"/>
    <cellStyle name="Normal 2 14 14 3" xfId="21170" xr:uid="{00000000-0005-0000-0000-0000B5520000}"/>
    <cellStyle name="Normal 2 14 14 3 2" xfId="21171" xr:uid="{00000000-0005-0000-0000-0000B6520000}"/>
    <cellStyle name="Normal 2 14 14 3 2 2" xfId="21172" xr:uid="{00000000-0005-0000-0000-0000B7520000}"/>
    <cellStyle name="Normal 2 14 14 3 3" xfId="21173" xr:uid="{00000000-0005-0000-0000-0000B8520000}"/>
    <cellStyle name="Normal 2 14 14 3 4" xfId="21174" xr:uid="{00000000-0005-0000-0000-0000B9520000}"/>
    <cellStyle name="Normal 2 14 14 3 5" xfId="21175" xr:uid="{00000000-0005-0000-0000-0000BA520000}"/>
    <cellStyle name="Normal 2 14 14 4" xfId="21176" xr:uid="{00000000-0005-0000-0000-0000BB520000}"/>
    <cellStyle name="Normal 2 14 14 4 2" xfId="21177" xr:uid="{00000000-0005-0000-0000-0000BC520000}"/>
    <cellStyle name="Normal 2 14 14 4 3" xfId="21178" xr:uid="{00000000-0005-0000-0000-0000BD520000}"/>
    <cellStyle name="Normal 2 14 14 4 4" xfId="21179" xr:uid="{00000000-0005-0000-0000-0000BE520000}"/>
    <cellStyle name="Normal 2 14 14 5" xfId="21180" xr:uid="{00000000-0005-0000-0000-0000BF520000}"/>
    <cellStyle name="Normal 2 14 14 5 2" xfId="21181" xr:uid="{00000000-0005-0000-0000-0000C0520000}"/>
    <cellStyle name="Normal 2 14 14 6" xfId="21182" xr:uid="{00000000-0005-0000-0000-0000C1520000}"/>
    <cellStyle name="Normal 2 14 14 7" xfId="21183" xr:uid="{00000000-0005-0000-0000-0000C2520000}"/>
    <cellStyle name="Normal 2 14 14 8" xfId="21184" xr:uid="{00000000-0005-0000-0000-0000C3520000}"/>
    <cellStyle name="Normal 2 14 14 9" xfId="21185" xr:uid="{00000000-0005-0000-0000-0000C4520000}"/>
    <cellStyle name="Normal 2 14 15" xfId="21186" xr:uid="{00000000-0005-0000-0000-0000C5520000}"/>
    <cellStyle name="Normal 2 14 15 2" xfId="21187" xr:uid="{00000000-0005-0000-0000-0000C6520000}"/>
    <cellStyle name="Normal 2 14 15 2 2" xfId="21188" xr:uid="{00000000-0005-0000-0000-0000C7520000}"/>
    <cellStyle name="Normal 2 14 15 2 3" xfId="21189" xr:uid="{00000000-0005-0000-0000-0000C8520000}"/>
    <cellStyle name="Normal 2 14 15 3" xfId="21190" xr:uid="{00000000-0005-0000-0000-0000C9520000}"/>
    <cellStyle name="Normal 2 14 15 4" xfId="21191" xr:uid="{00000000-0005-0000-0000-0000CA520000}"/>
    <cellStyle name="Normal 2 14 15 5" xfId="21192" xr:uid="{00000000-0005-0000-0000-0000CB520000}"/>
    <cellStyle name="Normal 2 14 15 6" xfId="21193" xr:uid="{00000000-0005-0000-0000-0000CC520000}"/>
    <cellStyle name="Normal 2 14 16" xfId="21194" xr:uid="{00000000-0005-0000-0000-0000CD520000}"/>
    <cellStyle name="Normal 2 14 16 2" xfId="21195" xr:uid="{00000000-0005-0000-0000-0000CE520000}"/>
    <cellStyle name="Normal 2 14 16 2 2" xfId="21196" xr:uid="{00000000-0005-0000-0000-0000CF520000}"/>
    <cellStyle name="Normal 2 14 16 3" xfId="21197" xr:uid="{00000000-0005-0000-0000-0000D0520000}"/>
    <cellStyle name="Normal 2 14 16 4" xfId="21198" xr:uid="{00000000-0005-0000-0000-0000D1520000}"/>
    <cellStyle name="Normal 2 14 16 5" xfId="21199" xr:uid="{00000000-0005-0000-0000-0000D2520000}"/>
    <cellStyle name="Normal 2 14 16 6" xfId="21200" xr:uid="{00000000-0005-0000-0000-0000D3520000}"/>
    <cellStyle name="Normal 2 14 17" xfId="21201" xr:uid="{00000000-0005-0000-0000-0000D4520000}"/>
    <cellStyle name="Normal 2 14 17 2" xfId="21202" xr:uid="{00000000-0005-0000-0000-0000D5520000}"/>
    <cellStyle name="Normal 2 14 17 2 2" xfId="21203" xr:uid="{00000000-0005-0000-0000-0000D6520000}"/>
    <cellStyle name="Normal 2 14 17 3" xfId="21204" xr:uid="{00000000-0005-0000-0000-0000D7520000}"/>
    <cellStyle name="Normal 2 14 17 4" xfId="21205" xr:uid="{00000000-0005-0000-0000-0000D8520000}"/>
    <cellStyle name="Normal 2 14 17 5" xfId="21206" xr:uid="{00000000-0005-0000-0000-0000D9520000}"/>
    <cellStyle name="Normal 2 14 17 6" xfId="21207" xr:uid="{00000000-0005-0000-0000-0000DA520000}"/>
    <cellStyle name="Normal 2 14 18" xfId="21208" xr:uid="{00000000-0005-0000-0000-0000DB520000}"/>
    <cellStyle name="Normal 2 14 18 2" xfId="21209" xr:uid="{00000000-0005-0000-0000-0000DC520000}"/>
    <cellStyle name="Normal 2 14 18 3" xfId="21210" xr:uid="{00000000-0005-0000-0000-0000DD520000}"/>
    <cellStyle name="Normal 2 14 19" xfId="21211" xr:uid="{00000000-0005-0000-0000-0000DE520000}"/>
    <cellStyle name="Normal 2 14 19 2" xfId="21212" xr:uid="{00000000-0005-0000-0000-0000DF520000}"/>
    <cellStyle name="Normal 2 14 19 3" xfId="21213" xr:uid="{00000000-0005-0000-0000-0000E0520000}"/>
    <cellStyle name="Normal 2 14 2" xfId="21214" xr:uid="{00000000-0005-0000-0000-0000E1520000}"/>
    <cellStyle name="Normal 2 14 2 10" xfId="21215" xr:uid="{00000000-0005-0000-0000-0000E2520000}"/>
    <cellStyle name="Normal 2 14 2 11" xfId="21216" xr:uid="{00000000-0005-0000-0000-0000E3520000}"/>
    <cellStyle name="Normal 2 14 2 2" xfId="21217" xr:uid="{00000000-0005-0000-0000-0000E4520000}"/>
    <cellStyle name="Normal 2 14 2 2 2" xfId="21218" xr:uid="{00000000-0005-0000-0000-0000E5520000}"/>
    <cellStyle name="Normal 2 14 2 2 2 2" xfId="21219" xr:uid="{00000000-0005-0000-0000-0000E6520000}"/>
    <cellStyle name="Normal 2 14 2 2 2 2 2" xfId="21220" xr:uid="{00000000-0005-0000-0000-0000E7520000}"/>
    <cellStyle name="Normal 2 14 2 2 2 2 3" xfId="21221" xr:uid="{00000000-0005-0000-0000-0000E8520000}"/>
    <cellStyle name="Normal 2 14 2 2 2 3" xfId="21222" xr:uid="{00000000-0005-0000-0000-0000E9520000}"/>
    <cellStyle name="Normal 2 14 2 2 2 4" xfId="21223" xr:uid="{00000000-0005-0000-0000-0000EA520000}"/>
    <cellStyle name="Normal 2 14 2 2 2 5" xfId="21224" xr:uid="{00000000-0005-0000-0000-0000EB520000}"/>
    <cellStyle name="Normal 2 14 2 2 2 6" xfId="21225" xr:uid="{00000000-0005-0000-0000-0000EC520000}"/>
    <cellStyle name="Normal 2 14 2 2 3" xfId="21226" xr:uid="{00000000-0005-0000-0000-0000ED520000}"/>
    <cellStyle name="Normal 2 14 2 2 3 2" xfId="21227" xr:uid="{00000000-0005-0000-0000-0000EE520000}"/>
    <cellStyle name="Normal 2 14 2 2 3 2 2" xfId="21228" xr:uid="{00000000-0005-0000-0000-0000EF520000}"/>
    <cellStyle name="Normal 2 14 2 2 3 3" xfId="21229" xr:uid="{00000000-0005-0000-0000-0000F0520000}"/>
    <cellStyle name="Normal 2 14 2 2 3 4" xfId="21230" xr:uid="{00000000-0005-0000-0000-0000F1520000}"/>
    <cellStyle name="Normal 2 14 2 2 3 5" xfId="21231" xr:uid="{00000000-0005-0000-0000-0000F2520000}"/>
    <cellStyle name="Normal 2 14 2 2 4" xfId="21232" xr:uid="{00000000-0005-0000-0000-0000F3520000}"/>
    <cellStyle name="Normal 2 14 2 2 4 2" xfId="21233" xr:uid="{00000000-0005-0000-0000-0000F4520000}"/>
    <cellStyle name="Normal 2 14 2 2 4 3" xfId="21234" xr:uid="{00000000-0005-0000-0000-0000F5520000}"/>
    <cellStyle name="Normal 2 14 2 2 4 4" xfId="21235" xr:uid="{00000000-0005-0000-0000-0000F6520000}"/>
    <cellStyle name="Normal 2 14 2 2 5" xfId="21236" xr:uid="{00000000-0005-0000-0000-0000F7520000}"/>
    <cellStyle name="Normal 2 14 2 2 5 2" xfId="21237" xr:uid="{00000000-0005-0000-0000-0000F8520000}"/>
    <cellStyle name="Normal 2 14 2 2 6" xfId="21238" xr:uid="{00000000-0005-0000-0000-0000F9520000}"/>
    <cellStyle name="Normal 2 14 2 2 7" xfId="21239" xr:uid="{00000000-0005-0000-0000-0000FA520000}"/>
    <cellStyle name="Normal 2 14 2 2 8" xfId="21240" xr:uid="{00000000-0005-0000-0000-0000FB520000}"/>
    <cellStyle name="Normal 2 14 2 2 9" xfId="21241" xr:uid="{00000000-0005-0000-0000-0000FC520000}"/>
    <cellStyle name="Normal 2 14 2 3" xfId="21242" xr:uid="{00000000-0005-0000-0000-0000FD520000}"/>
    <cellStyle name="Normal 2 14 2 3 2" xfId="21243" xr:uid="{00000000-0005-0000-0000-0000FE520000}"/>
    <cellStyle name="Normal 2 14 2 3 2 2" xfId="21244" xr:uid="{00000000-0005-0000-0000-0000FF520000}"/>
    <cellStyle name="Normal 2 14 2 3 2 2 2" xfId="21245" xr:uid="{00000000-0005-0000-0000-000000530000}"/>
    <cellStyle name="Normal 2 14 2 3 2 2 3" xfId="21246" xr:uid="{00000000-0005-0000-0000-000001530000}"/>
    <cellStyle name="Normal 2 14 2 3 2 3" xfId="21247" xr:uid="{00000000-0005-0000-0000-000002530000}"/>
    <cellStyle name="Normal 2 14 2 3 2 4" xfId="21248" xr:uid="{00000000-0005-0000-0000-000003530000}"/>
    <cellStyle name="Normal 2 14 2 3 2 5" xfId="21249" xr:uid="{00000000-0005-0000-0000-000004530000}"/>
    <cellStyle name="Normal 2 14 2 3 2 6" xfId="21250" xr:uid="{00000000-0005-0000-0000-000005530000}"/>
    <cellStyle name="Normal 2 14 2 3 3" xfId="21251" xr:uid="{00000000-0005-0000-0000-000006530000}"/>
    <cellStyle name="Normal 2 14 2 3 3 2" xfId="21252" xr:uid="{00000000-0005-0000-0000-000007530000}"/>
    <cellStyle name="Normal 2 14 2 3 3 2 2" xfId="21253" xr:uid="{00000000-0005-0000-0000-000008530000}"/>
    <cellStyle name="Normal 2 14 2 3 3 3" xfId="21254" xr:uid="{00000000-0005-0000-0000-000009530000}"/>
    <cellStyle name="Normal 2 14 2 3 3 4" xfId="21255" xr:uid="{00000000-0005-0000-0000-00000A530000}"/>
    <cellStyle name="Normal 2 14 2 3 3 5" xfId="21256" xr:uid="{00000000-0005-0000-0000-00000B530000}"/>
    <cellStyle name="Normal 2 14 2 3 4" xfId="21257" xr:uid="{00000000-0005-0000-0000-00000C530000}"/>
    <cellStyle name="Normal 2 14 2 3 4 2" xfId="21258" xr:uid="{00000000-0005-0000-0000-00000D530000}"/>
    <cellStyle name="Normal 2 14 2 3 4 3" xfId="21259" xr:uid="{00000000-0005-0000-0000-00000E530000}"/>
    <cellStyle name="Normal 2 14 2 3 4 4" xfId="21260" xr:uid="{00000000-0005-0000-0000-00000F530000}"/>
    <cellStyle name="Normal 2 14 2 3 5" xfId="21261" xr:uid="{00000000-0005-0000-0000-000010530000}"/>
    <cellStyle name="Normal 2 14 2 3 5 2" xfId="21262" xr:uid="{00000000-0005-0000-0000-000011530000}"/>
    <cellStyle name="Normal 2 14 2 3 6" xfId="21263" xr:uid="{00000000-0005-0000-0000-000012530000}"/>
    <cellStyle name="Normal 2 14 2 3 7" xfId="21264" xr:uid="{00000000-0005-0000-0000-000013530000}"/>
    <cellStyle name="Normal 2 14 2 3 8" xfId="21265" xr:uid="{00000000-0005-0000-0000-000014530000}"/>
    <cellStyle name="Normal 2 14 2 3 9" xfId="21266" xr:uid="{00000000-0005-0000-0000-000015530000}"/>
    <cellStyle name="Normal 2 14 2 4" xfId="21267" xr:uid="{00000000-0005-0000-0000-000016530000}"/>
    <cellStyle name="Normal 2 14 2 4 2" xfId="21268" xr:uid="{00000000-0005-0000-0000-000017530000}"/>
    <cellStyle name="Normal 2 14 2 4 2 2" xfId="21269" xr:uid="{00000000-0005-0000-0000-000018530000}"/>
    <cellStyle name="Normal 2 14 2 4 2 3" xfId="21270" xr:uid="{00000000-0005-0000-0000-000019530000}"/>
    <cellStyle name="Normal 2 14 2 4 3" xfId="21271" xr:uid="{00000000-0005-0000-0000-00001A530000}"/>
    <cellStyle name="Normal 2 14 2 4 4" xfId="21272" xr:uid="{00000000-0005-0000-0000-00001B530000}"/>
    <cellStyle name="Normal 2 14 2 4 5" xfId="21273" xr:uid="{00000000-0005-0000-0000-00001C530000}"/>
    <cellStyle name="Normal 2 14 2 4 6" xfId="21274" xr:uid="{00000000-0005-0000-0000-00001D530000}"/>
    <cellStyle name="Normal 2 14 2 5" xfId="21275" xr:uid="{00000000-0005-0000-0000-00001E530000}"/>
    <cellStyle name="Normal 2 14 2 5 2" xfId="21276" xr:uid="{00000000-0005-0000-0000-00001F530000}"/>
    <cellStyle name="Normal 2 14 2 5 2 2" xfId="21277" xr:uid="{00000000-0005-0000-0000-000020530000}"/>
    <cellStyle name="Normal 2 14 2 5 3" xfId="21278" xr:uid="{00000000-0005-0000-0000-000021530000}"/>
    <cellStyle name="Normal 2 14 2 5 4" xfId="21279" xr:uid="{00000000-0005-0000-0000-000022530000}"/>
    <cellStyle name="Normal 2 14 2 5 5" xfId="21280" xr:uid="{00000000-0005-0000-0000-000023530000}"/>
    <cellStyle name="Normal 2 14 2 6" xfId="21281" xr:uid="{00000000-0005-0000-0000-000024530000}"/>
    <cellStyle name="Normal 2 14 2 6 2" xfId="21282" xr:uid="{00000000-0005-0000-0000-000025530000}"/>
    <cellStyle name="Normal 2 14 2 6 3" xfId="21283" xr:uid="{00000000-0005-0000-0000-000026530000}"/>
    <cellStyle name="Normal 2 14 2 6 4" xfId="21284" xr:uid="{00000000-0005-0000-0000-000027530000}"/>
    <cellStyle name="Normal 2 14 2 7" xfId="21285" xr:uid="{00000000-0005-0000-0000-000028530000}"/>
    <cellStyle name="Normal 2 14 2 7 2" xfId="21286" xr:uid="{00000000-0005-0000-0000-000029530000}"/>
    <cellStyle name="Normal 2 14 2 8" xfId="21287" xr:uid="{00000000-0005-0000-0000-00002A530000}"/>
    <cellStyle name="Normal 2 14 2 9" xfId="21288" xr:uid="{00000000-0005-0000-0000-00002B530000}"/>
    <cellStyle name="Normal 2 14 20" xfId="21289" xr:uid="{00000000-0005-0000-0000-00002C530000}"/>
    <cellStyle name="Normal 2 14 21" xfId="21290" xr:uid="{00000000-0005-0000-0000-00002D530000}"/>
    <cellStyle name="Normal 2 14 22" xfId="21291" xr:uid="{00000000-0005-0000-0000-00002E530000}"/>
    <cellStyle name="Normal 2 14 23" xfId="21292" xr:uid="{00000000-0005-0000-0000-00002F530000}"/>
    <cellStyle name="Normal 2 14 24" xfId="21293" xr:uid="{00000000-0005-0000-0000-000030530000}"/>
    <cellStyle name="Normal 2 14 25" xfId="21294" xr:uid="{00000000-0005-0000-0000-000031530000}"/>
    <cellStyle name="Normal 2 14 26" xfId="21295" xr:uid="{00000000-0005-0000-0000-000032530000}"/>
    <cellStyle name="Normal 2 14 27" xfId="21296" xr:uid="{00000000-0005-0000-0000-000033530000}"/>
    <cellStyle name="Normal 2 14 28" xfId="21297" xr:uid="{00000000-0005-0000-0000-000034530000}"/>
    <cellStyle name="Normal 2 14 29" xfId="21298" xr:uid="{00000000-0005-0000-0000-000035530000}"/>
    <cellStyle name="Normal 2 14 3" xfId="21299" xr:uid="{00000000-0005-0000-0000-000036530000}"/>
    <cellStyle name="Normal 2 14 3 10" xfId="21300" xr:uid="{00000000-0005-0000-0000-000037530000}"/>
    <cellStyle name="Normal 2 14 3 11" xfId="21301" xr:uid="{00000000-0005-0000-0000-000038530000}"/>
    <cellStyle name="Normal 2 14 3 2" xfId="21302" xr:uid="{00000000-0005-0000-0000-000039530000}"/>
    <cellStyle name="Normal 2 14 3 2 2" xfId="21303" xr:uid="{00000000-0005-0000-0000-00003A530000}"/>
    <cellStyle name="Normal 2 14 3 2 2 2" xfId="21304" xr:uid="{00000000-0005-0000-0000-00003B530000}"/>
    <cellStyle name="Normal 2 14 3 2 2 2 2" xfId="21305" xr:uid="{00000000-0005-0000-0000-00003C530000}"/>
    <cellStyle name="Normal 2 14 3 2 2 2 3" xfId="21306" xr:uid="{00000000-0005-0000-0000-00003D530000}"/>
    <cellStyle name="Normal 2 14 3 2 2 3" xfId="21307" xr:uid="{00000000-0005-0000-0000-00003E530000}"/>
    <cellStyle name="Normal 2 14 3 2 2 4" xfId="21308" xr:uid="{00000000-0005-0000-0000-00003F530000}"/>
    <cellStyle name="Normal 2 14 3 2 2 5" xfId="21309" xr:uid="{00000000-0005-0000-0000-000040530000}"/>
    <cellStyle name="Normal 2 14 3 2 2 6" xfId="21310" xr:uid="{00000000-0005-0000-0000-000041530000}"/>
    <cellStyle name="Normal 2 14 3 2 3" xfId="21311" xr:uid="{00000000-0005-0000-0000-000042530000}"/>
    <cellStyle name="Normal 2 14 3 2 3 2" xfId="21312" xr:uid="{00000000-0005-0000-0000-000043530000}"/>
    <cellStyle name="Normal 2 14 3 2 3 2 2" xfId="21313" xr:uid="{00000000-0005-0000-0000-000044530000}"/>
    <cellStyle name="Normal 2 14 3 2 3 3" xfId="21314" xr:uid="{00000000-0005-0000-0000-000045530000}"/>
    <cellStyle name="Normal 2 14 3 2 3 4" xfId="21315" xr:uid="{00000000-0005-0000-0000-000046530000}"/>
    <cellStyle name="Normal 2 14 3 2 3 5" xfId="21316" xr:uid="{00000000-0005-0000-0000-000047530000}"/>
    <cellStyle name="Normal 2 14 3 2 4" xfId="21317" xr:uid="{00000000-0005-0000-0000-000048530000}"/>
    <cellStyle name="Normal 2 14 3 2 4 2" xfId="21318" xr:uid="{00000000-0005-0000-0000-000049530000}"/>
    <cellStyle name="Normal 2 14 3 2 4 3" xfId="21319" xr:uid="{00000000-0005-0000-0000-00004A530000}"/>
    <cellStyle name="Normal 2 14 3 2 4 4" xfId="21320" xr:uid="{00000000-0005-0000-0000-00004B530000}"/>
    <cellStyle name="Normal 2 14 3 2 5" xfId="21321" xr:uid="{00000000-0005-0000-0000-00004C530000}"/>
    <cellStyle name="Normal 2 14 3 2 5 2" xfId="21322" xr:uid="{00000000-0005-0000-0000-00004D530000}"/>
    <cellStyle name="Normal 2 14 3 2 6" xfId="21323" xr:uid="{00000000-0005-0000-0000-00004E530000}"/>
    <cellStyle name="Normal 2 14 3 2 7" xfId="21324" xr:uid="{00000000-0005-0000-0000-00004F530000}"/>
    <cellStyle name="Normal 2 14 3 2 8" xfId="21325" xr:uid="{00000000-0005-0000-0000-000050530000}"/>
    <cellStyle name="Normal 2 14 3 2 9" xfId="21326" xr:uid="{00000000-0005-0000-0000-000051530000}"/>
    <cellStyle name="Normal 2 14 3 3" xfId="21327" xr:uid="{00000000-0005-0000-0000-000052530000}"/>
    <cellStyle name="Normal 2 14 3 3 2" xfId="21328" xr:uid="{00000000-0005-0000-0000-000053530000}"/>
    <cellStyle name="Normal 2 14 3 3 2 2" xfId="21329" xr:uid="{00000000-0005-0000-0000-000054530000}"/>
    <cellStyle name="Normal 2 14 3 3 2 2 2" xfId="21330" xr:uid="{00000000-0005-0000-0000-000055530000}"/>
    <cellStyle name="Normal 2 14 3 3 2 2 3" xfId="21331" xr:uid="{00000000-0005-0000-0000-000056530000}"/>
    <cellStyle name="Normal 2 14 3 3 2 3" xfId="21332" xr:uid="{00000000-0005-0000-0000-000057530000}"/>
    <cellStyle name="Normal 2 14 3 3 2 4" xfId="21333" xr:uid="{00000000-0005-0000-0000-000058530000}"/>
    <cellStyle name="Normal 2 14 3 3 2 5" xfId="21334" xr:uid="{00000000-0005-0000-0000-000059530000}"/>
    <cellStyle name="Normal 2 14 3 3 2 6" xfId="21335" xr:uid="{00000000-0005-0000-0000-00005A530000}"/>
    <cellStyle name="Normal 2 14 3 3 3" xfId="21336" xr:uid="{00000000-0005-0000-0000-00005B530000}"/>
    <cellStyle name="Normal 2 14 3 3 3 2" xfId="21337" xr:uid="{00000000-0005-0000-0000-00005C530000}"/>
    <cellStyle name="Normal 2 14 3 3 3 2 2" xfId="21338" xr:uid="{00000000-0005-0000-0000-00005D530000}"/>
    <cellStyle name="Normal 2 14 3 3 3 3" xfId="21339" xr:uid="{00000000-0005-0000-0000-00005E530000}"/>
    <cellStyle name="Normal 2 14 3 3 3 4" xfId="21340" xr:uid="{00000000-0005-0000-0000-00005F530000}"/>
    <cellStyle name="Normal 2 14 3 3 3 5" xfId="21341" xr:uid="{00000000-0005-0000-0000-000060530000}"/>
    <cellStyle name="Normal 2 14 3 3 4" xfId="21342" xr:uid="{00000000-0005-0000-0000-000061530000}"/>
    <cellStyle name="Normal 2 14 3 3 4 2" xfId="21343" xr:uid="{00000000-0005-0000-0000-000062530000}"/>
    <cellStyle name="Normal 2 14 3 3 4 3" xfId="21344" xr:uid="{00000000-0005-0000-0000-000063530000}"/>
    <cellStyle name="Normal 2 14 3 3 4 4" xfId="21345" xr:uid="{00000000-0005-0000-0000-000064530000}"/>
    <cellStyle name="Normal 2 14 3 3 5" xfId="21346" xr:uid="{00000000-0005-0000-0000-000065530000}"/>
    <cellStyle name="Normal 2 14 3 3 5 2" xfId="21347" xr:uid="{00000000-0005-0000-0000-000066530000}"/>
    <cellStyle name="Normal 2 14 3 3 6" xfId="21348" xr:uid="{00000000-0005-0000-0000-000067530000}"/>
    <cellStyle name="Normal 2 14 3 3 7" xfId="21349" xr:uid="{00000000-0005-0000-0000-000068530000}"/>
    <cellStyle name="Normal 2 14 3 3 8" xfId="21350" xr:uid="{00000000-0005-0000-0000-000069530000}"/>
    <cellStyle name="Normal 2 14 3 3 9" xfId="21351" xr:uid="{00000000-0005-0000-0000-00006A530000}"/>
    <cellStyle name="Normal 2 14 3 4" xfId="21352" xr:uid="{00000000-0005-0000-0000-00006B530000}"/>
    <cellStyle name="Normal 2 14 3 4 2" xfId="21353" xr:uid="{00000000-0005-0000-0000-00006C530000}"/>
    <cellStyle name="Normal 2 14 3 4 2 2" xfId="21354" xr:uid="{00000000-0005-0000-0000-00006D530000}"/>
    <cellStyle name="Normal 2 14 3 4 2 3" xfId="21355" xr:uid="{00000000-0005-0000-0000-00006E530000}"/>
    <cellStyle name="Normal 2 14 3 4 3" xfId="21356" xr:uid="{00000000-0005-0000-0000-00006F530000}"/>
    <cellStyle name="Normal 2 14 3 4 4" xfId="21357" xr:uid="{00000000-0005-0000-0000-000070530000}"/>
    <cellStyle name="Normal 2 14 3 4 5" xfId="21358" xr:uid="{00000000-0005-0000-0000-000071530000}"/>
    <cellStyle name="Normal 2 14 3 4 6" xfId="21359" xr:uid="{00000000-0005-0000-0000-000072530000}"/>
    <cellStyle name="Normal 2 14 3 5" xfId="21360" xr:uid="{00000000-0005-0000-0000-000073530000}"/>
    <cellStyle name="Normal 2 14 3 5 2" xfId="21361" xr:uid="{00000000-0005-0000-0000-000074530000}"/>
    <cellStyle name="Normal 2 14 3 5 2 2" xfId="21362" xr:uid="{00000000-0005-0000-0000-000075530000}"/>
    <cellStyle name="Normal 2 14 3 5 3" xfId="21363" xr:uid="{00000000-0005-0000-0000-000076530000}"/>
    <cellStyle name="Normal 2 14 3 5 4" xfId="21364" xr:uid="{00000000-0005-0000-0000-000077530000}"/>
    <cellStyle name="Normal 2 14 3 5 5" xfId="21365" xr:uid="{00000000-0005-0000-0000-000078530000}"/>
    <cellStyle name="Normal 2 14 3 6" xfId="21366" xr:uid="{00000000-0005-0000-0000-000079530000}"/>
    <cellStyle name="Normal 2 14 3 6 2" xfId="21367" xr:uid="{00000000-0005-0000-0000-00007A530000}"/>
    <cellStyle name="Normal 2 14 3 6 3" xfId="21368" xr:uid="{00000000-0005-0000-0000-00007B530000}"/>
    <cellStyle name="Normal 2 14 3 6 4" xfId="21369" xr:uid="{00000000-0005-0000-0000-00007C530000}"/>
    <cellStyle name="Normal 2 14 3 7" xfId="21370" xr:uid="{00000000-0005-0000-0000-00007D530000}"/>
    <cellStyle name="Normal 2 14 3 7 2" xfId="21371" xr:uid="{00000000-0005-0000-0000-00007E530000}"/>
    <cellStyle name="Normal 2 14 3 8" xfId="21372" xr:uid="{00000000-0005-0000-0000-00007F530000}"/>
    <cellStyle name="Normal 2 14 3 9" xfId="21373" xr:uid="{00000000-0005-0000-0000-000080530000}"/>
    <cellStyle name="Normal 2 14 30" xfId="21374" xr:uid="{00000000-0005-0000-0000-000081530000}"/>
    <cellStyle name="Normal 2 14 31" xfId="21375" xr:uid="{00000000-0005-0000-0000-000082530000}"/>
    <cellStyle name="Normal 2 14 32" xfId="21376" xr:uid="{00000000-0005-0000-0000-000083530000}"/>
    <cellStyle name="Normal 2 14 33" xfId="21377" xr:uid="{00000000-0005-0000-0000-000084530000}"/>
    <cellStyle name="Normal 2 14 34" xfId="21378" xr:uid="{00000000-0005-0000-0000-000085530000}"/>
    <cellStyle name="Normal 2 14 35" xfId="21379" xr:uid="{00000000-0005-0000-0000-000086530000}"/>
    <cellStyle name="Normal 2 14 36" xfId="21380" xr:uid="{00000000-0005-0000-0000-000087530000}"/>
    <cellStyle name="Normal 2 14 37" xfId="21381" xr:uid="{00000000-0005-0000-0000-000088530000}"/>
    <cellStyle name="Normal 2 14 37 2" xfId="21382" xr:uid="{00000000-0005-0000-0000-000089530000}"/>
    <cellStyle name="Normal 2 14 38" xfId="21383" xr:uid="{00000000-0005-0000-0000-00008A530000}"/>
    <cellStyle name="Normal 2 14 39" xfId="21384" xr:uid="{00000000-0005-0000-0000-00008B530000}"/>
    <cellStyle name="Normal 2 14 4" xfId="21385" xr:uid="{00000000-0005-0000-0000-00008C530000}"/>
    <cellStyle name="Normal 2 14 4 10" xfId="21386" xr:uid="{00000000-0005-0000-0000-00008D530000}"/>
    <cellStyle name="Normal 2 14 4 11" xfId="21387" xr:uid="{00000000-0005-0000-0000-00008E530000}"/>
    <cellStyle name="Normal 2 14 4 2" xfId="21388" xr:uid="{00000000-0005-0000-0000-00008F530000}"/>
    <cellStyle name="Normal 2 14 4 2 2" xfId="21389" xr:uid="{00000000-0005-0000-0000-000090530000}"/>
    <cellStyle name="Normal 2 14 4 2 2 2" xfId="21390" xr:uid="{00000000-0005-0000-0000-000091530000}"/>
    <cellStyle name="Normal 2 14 4 2 2 2 2" xfId="21391" xr:uid="{00000000-0005-0000-0000-000092530000}"/>
    <cellStyle name="Normal 2 14 4 2 2 2 3" xfId="21392" xr:uid="{00000000-0005-0000-0000-000093530000}"/>
    <cellStyle name="Normal 2 14 4 2 2 3" xfId="21393" xr:uid="{00000000-0005-0000-0000-000094530000}"/>
    <cellStyle name="Normal 2 14 4 2 2 4" xfId="21394" xr:uid="{00000000-0005-0000-0000-000095530000}"/>
    <cellStyle name="Normal 2 14 4 2 2 5" xfId="21395" xr:uid="{00000000-0005-0000-0000-000096530000}"/>
    <cellStyle name="Normal 2 14 4 2 2 6" xfId="21396" xr:uid="{00000000-0005-0000-0000-000097530000}"/>
    <cellStyle name="Normal 2 14 4 2 3" xfId="21397" xr:uid="{00000000-0005-0000-0000-000098530000}"/>
    <cellStyle name="Normal 2 14 4 2 3 2" xfId="21398" xr:uid="{00000000-0005-0000-0000-000099530000}"/>
    <cellStyle name="Normal 2 14 4 2 3 2 2" xfId="21399" xr:uid="{00000000-0005-0000-0000-00009A530000}"/>
    <cellStyle name="Normal 2 14 4 2 3 3" xfId="21400" xr:uid="{00000000-0005-0000-0000-00009B530000}"/>
    <cellStyle name="Normal 2 14 4 2 3 4" xfId="21401" xr:uid="{00000000-0005-0000-0000-00009C530000}"/>
    <cellStyle name="Normal 2 14 4 2 3 5" xfId="21402" xr:uid="{00000000-0005-0000-0000-00009D530000}"/>
    <cellStyle name="Normal 2 14 4 2 4" xfId="21403" xr:uid="{00000000-0005-0000-0000-00009E530000}"/>
    <cellStyle name="Normal 2 14 4 2 4 2" xfId="21404" xr:uid="{00000000-0005-0000-0000-00009F530000}"/>
    <cellStyle name="Normal 2 14 4 2 4 3" xfId="21405" xr:uid="{00000000-0005-0000-0000-0000A0530000}"/>
    <cellStyle name="Normal 2 14 4 2 4 4" xfId="21406" xr:uid="{00000000-0005-0000-0000-0000A1530000}"/>
    <cellStyle name="Normal 2 14 4 2 5" xfId="21407" xr:uid="{00000000-0005-0000-0000-0000A2530000}"/>
    <cellStyle name="Normal 2 14 4 2 5 2" xfId="21408" xr:uid="{00000000-0005-0000-0000-0000A3530000}"/>
    <cellStyle name="Normal 2 14 4 2 6" xfId="21409" xr:uid="{00000000-0005-0000-0000-0000A4530000}"/>
    <cellStyle name="Normal 2 14 4 2 7" xfId="21410" xr:uid="{00000000-0005-0000-0000-0000A5530000}"/>
    <cellStyle name="Normal 2 14 4 2 8" xfId="21411" xr:uid="{00000000-0005-0000-0000-0000A6530000}"/>
    <cellStyle name="Normal 2 14 4 2 9" xfId="21412" xr:uid="{00000000-0005-0000-0000-0000A7530000}"/>
    <cellStyle name="Normal 2 14 4 3" xfId="21413" xr:uid="{00000000-0005-0000-0000-0000A8530000}"/>
    <cellStyle name="Normal 2 14 4 3 2" xfId="21414" xr:uid="{00000000-0005-0000-0000-0000A9530000}"/>
    <cellStyle name="Normal 2 14 4 3 2 2" xfId="21415" xr:uid="{00000000-0005-0000-0000-0000AA530000}"/>
    <cellStyle name="Normal 2 14 4 3 2 2 2" xfId="21416" xr:uid="{00000000-0005-0000-0000-0000AB530000}"/>
    <cellStyle name="Normal 2 14 4 3 2 2 3" xfId="21417" xr:uid="{00000000-0005-0000-0000-0000AC530000}"/>
    <cellStyle name="Normal 2 14 4 3 2 3" xfId="21418" xr:uid="{00000000-0005-0000-0000-0000AD530000}"/>
    <cellStyle name="Normal 2 14 4 3 2 4" xfId="21419" xr:uid="{00000000-0005-0000-0000-0000AE530000}"/>
    <cellStyle name="Normal 2 14 4 3 2 5" xfId="21420" xr:uid="{00000000-0005-0000-0000-0000AF530000}"/>
    <cellStyle name="Normal 2 14 4 3 2 6" xfId="21421" xr:uid="{00000000-0005-0000-0000-0000B0530000}"/>
    <cellStyle name="Normal 2 14 4 3 3" xfId="21422" xr:uid="{00000000-0005-0000-0000-0000B1530000}"/>
    <cellStyle name="Normal 2 14 4 3 3 2" xfId="21423" xr:uid="{00000000-0005-0000-0000-0000B2530000}"/>
    <cellStyle name="Normal 2 14 4 3 3 2 2" xfId="21424" xr:uid="{00000000-0005-0000-0000-0000B3530000}"/>
    <cellStyle name="Normal 2 14 4 3 3 3" xfId="21425" xr:uid="{00000000-0005-0000-0000-0000B4530000}"/>
    <cellStyle name="Normal 2 14 4 3 3 4" xfId="21426" xr:uid="{00000000-0005-0000-0000-0000B5530000}"/>
    <cellStyle name="Normal 2 14 4 3 3 5" xfId="21427" xr:uid="{00000000-0005-0000-0000-0000B6530000}"/>
    <cellStyle name="Normal 2 14 4 3 4" xfId="21428" xr:uid="{00000000-0005-0000-0000-0000B7530000}"/>
    <cellStyle name="Normal 2 14 4 3 4 2" xfId="21429" xr:uid="{00000000-0005-0000-0000-0000B8530000}"/>
    <cellStyle name="Normal 2 14 4 3 4 3" xfId="21430" xr:uid="{00000000-0005-0000-0000-0000B9530000}"/>
    <cellStyle name="Normal 2 14 4 3 4 4" xfId="21431" xr:uid="{00000000-0005-0000-0000-0000BA530000}"/>
    <cellStyle name="Normal 2 14 4 3 5" xfId="21432" xr:uid="{00000000-0005-0000-0000-0000BB530000}"/>
    <cellStyle name="Normal 2 14 4 3 5 2" xfId="21433" xr:uid="{00000000-0005-0000-0000-0000BC530000}"/>
    <cellStyle name="Normal 2 14 4 3 6" xfId="21434" xr:uid="{00000000-0005-0000-0000-0000BD530000}"/>
    <cellStyle name="Normal 2 14 4 3 7" xfId="21435" xr:uid="{00000000-0005-0000-0000-0000BE530000}"/>
    <cellStyle name="Normal 2 14 4 3 8" xfId="21436" xr:uid="{00000000-0005-0000-0000-0000BF530000}"/>
    <cellStyle name="Normal 2 14 4 3 9" xfId="21437" xr:uid="{00000000-0005-0000-0000-0000C0530000}"/>
    <cellStyle name="Normal 2 14 4 4" xfId="21438" xr:uid="{00000000-0005-0000-0000-0000C1530000}"/>
    <cellStyle name="Normal 2 14 4 4 2" xfId="21439" xr:uid="{00000000-0005-0000-0000-0000C2530000}"/>
    <cellStyle name="Normal 2 14 4 4 2 2" xfId="21440" xr:uid="{00000000-0005-0000-0000-0000C3530000}"/>
    <cellStyle name="Normal 2 14 4 4 2 3" xfId="21441" xr:uid="{00000000-0005-0000-0000-0000C4530000}"/>
    <cellStyle name="Normal 2 14 4 4 3" xfId="21442" xr:uid="{00000000-0005-0000-0000-0000C5530000}"/>
    <cellStyle name="Normal 2 14 4 4 4" xfId="21443" xr:uid="{00000000-0005-0000-0000-0000C6530000}"/>
    <cellStyle name="Normal 2 14 4 4 5" xfId="21444" xr:uid="{00000000-0005-0000-0000-0000C7530000}"/>
    <cellStyle name="Normal 2 14 4 4 6" xfId="21445" xr:uid="{00000000-0005-0000-0000-0000C8530000}"/>
    <cellStyle name="Normal 2 14 4 5" xfId="21446" xr:uid="{00000000-0005-0000-0000-0000C9530000}"/>
    <cellStyle name="Normal 2 14 4 5 2" xfId="21447" xr:uid="{00000000-0005-0000-0000-0000CA530000}"/>
    <cellStyle name="Normal 2 14 4 5 2 2" xfId="21448" xr:uid="{00000000-0005-0000-0000-0000CB530000}"/>
    <cellStyle name="Normal 2 14 4 5 3" xfId="21449" xr:uid="{00000000-0005-0000-0000-0000CC530000}"/>
    <cellStyle name="Normal 2 14 4 5 4" xfId="21450" xr:uid="{00000000-0005-0000-0000-0000CD530000}"/>
    <cellStyle name="Normal 2 14 4 5 5" xfId="21451" xr:uid="{00000000-0005-0000-0000-0000CE530000}"/>
    <cellStyle name="Normal 2 14 4 6" xfId="21452" xr:uid="{00000000-0005-0000-0000-0000CF530000}"/>
    <cellStyle name="Normal 2 14 4 6 2" xfId="21453" xr:uid="{00000000-0005-0000-0000-0000D0530000}"/>
    <cellStyle name="Normal 2 14 4 6 3" xfId="21454" xr:uid="{00000000-0005-0000-0000-0000D1530000}"/>
    <cellStyle name="Normal 2 14 4 6 4" xfId="21455" xr:uid="{00000000-0005-0000-0000-0000D2530000}"/>
    <cellStyle name="Normal 2 14 4 7" xfId="21456" xr:uid="{00000000-0005-0000-0000-0000D3530000}"/>
    <cellStyle name="Normal 2 14 4 7 2" xfId="21457" xr:uid="{00000000-0005-0000-0000-0000D4530000}"/>
    <cellStyle name="Normal 2 14 4 8" xfId="21458" xr:uid="{00000000-0005-0000-0000-0000D5530000}"/>
    <cellStyle name="Normal 2 14 4 9" xfId="21459" xr:uid="{00000000-0005-0000-0000-0000D6530000}"/>
    <cellStyle name="Normal 2 14 40" xfId="21460" xr:uid="{00000000-0005-0000-0000-0000D7530000}"/>
    <cellStyle name="Normal 2 14 5" xfId="21461" xr:uid="{00000000-0005-0000-0000-0000D8530000}"/>
    <cellStyle name="Normal 2 14 5 10" xfId="21462" xr:uid="{00000000-0005-0000-0000-0000D9530000}"/>
    <cellStyle name="Normal 2 14 5 11" xfId="21463" xr:uid="{00000000-0005-0000-0000-0000DA530000}"/>
    <cellStyle name="Normal 2 14 5 2" xfId="21464" xr:uid="{00000000-0005-0000-0000-0000DB530000}"/>
    <cellStyle name="Normal 2 14 5 2 2" xfId="21465" xr:uid="{00000000-0005-0000-0000-0000DC530000}"/>
    <cellStyle name="Normal 2 14 5 2 2 2" xfId="21466" xr:uid="{00000000-0005-0000-0000-0000DD530000}"/>
    <cellStyle name="Normal 2 14 5 2 2 2 2" xfId="21467" xr:uid="{00000000-0005-0000-0000-0000DE530000}"/>
    <cellStyle name="Normal 2 14 5 2 2 2 3" xfId="21468" xr:uid="{00000000-0005-0000-0000-0000DF530000}"/>
    <cellStyle name="Normal 2 14 5 2 2 3" xfId="21469" xr:uid="{00000000-0005-0000-0000-0000E0530000}"/>
    <cellStyle name="Normal 2 14 5 2 2 4" xfId="21470" xr:uid="{00000000-0005-0000-0000-0000E1530000}"/>
    <cellStyle name="Normal 2 14 5 2 2 5" xfId="21471" xr:uid="{00000000-0005-0000-0000-0000E2530000}"/>
    <cellStyle name="Normal 2 14 5 2 2 6" xfId="21472" xr:uid="{00000000-0005-0000-0000-0000E3530000}"/>
    <cellStyle name="Normal 2 14 5 2 3" xfId="21473" xr:uid="{00000000-0005-0000-0000-0000E4530000}"/>
    <cellStyle name="Normal 2 14 5 2 3 2" xfId="21474" xr:uid="{00000000-0005-0000-0000-0000E5530000}"/>
    <cellStyle name="Normal 2 14 5 2 3 2 2" xfId="21475" xr:uid="{00000000-0005-0000-0000-0000E6530000}"/>
    <cellStyle name="Normal 2 14 5 2 3 3" xfId="21476" xr:uid="{00000000-0005-0000-0000-0000E7530000}"/>
    <cellStyle name="Normal 2 14 5 2 3 4" xfId="21477" xr:uid="{00000000-0005-0000-0000-0000E8530000}"/>
    <cellStyle name="Normal 2 14 5 2 3 5" xfId="21478" xr:uid="{00000000-0005-0000-0000-0000E9530000}"/>
    <cellStyle name="Normal 2 14 5 2 4" xfId="21479" xr:uid="{00000000-0005-0000-0000-0000EA530000}"/>
    <cellStyle name="Normal 2 14 5 2 4 2" xfId="21480" xr:uid="{00000000-0005-0000-0000-0000EB530000}"/>
    <cellStyle name="Normal 2 14 5 2 4 3" xfId="21481" xr:uid="{00000000-0005-0000-0000-0000EC530000}"/>
    <cellStyle name="Normal 2 14 5 2 4 4" xfId="21482" xr:uid="{00000000-0005-0000-0000-0000ED530000}"/>
    <cellStyle name="Normal 2 14 5 2 5" xfId="21483" xr:uid="{00000000-0005-0000-0000-0000EE530000}"/>
    <cellStyle name="Normal 2 14 5 2 5 2" xfId="21484" xr:uid="{00000000-0005-0000-0000-0000EF530000}"/>
    <cellStyle name="Normal 2 14 5 2 6" xfId="21485" xr:uid="{00000000-0005-0000-0000-0000F0530000}"/>
    <cellStyle name="Normal 2 14 5 2 7" xfId="21486" xr:uid="{00000000-0005-0000-0000-0000F1530000}"/>
    <cellStyle name="Normal 2 14 5 2 8" xfId="21487" xr:uid="{00000000-0005-0000-0000-0000F2530000}"/>
    <cellStyle name="Normal 2 14 5 2 9" xfId="21488" xr:uid="{00000000-0005-0000-0000-0000F3530000}"/>
    <cellStyle name="Normal 2 14 5 3" xfId="21489" xr:uid="{00000000-0005-0000-0000-0000F4530000}"/>
    <cellStyle name="Normal 2 14 5 3 2" xfId="21490" xr:uid="{00000000-0005-0000-0000-0000F5530000}"/>
    <cellStyle name="Normal 2 14 5 3 2 2" xfId="21491" xr:uid="{00000000-0005-0000-0000-0000F6530000}"/>
    <cellStyle name="Normal 2 14 5 3 2 2 2" xfId="21492" xr:uid="{00000000-0005-0000-0000-0000F7530000}"/>
    <cellStyle name="Normal 2 14 5 3 2 2 3" xfId="21493" xr:uid="{00000000-0005-0000-0000-0000F8530000}"/>
    <cellStyle name="Normal 2 14 5 3 2 3" xfId="21494" xr:uid="{00000000-0005-0000-0000-0000F9530000}"/>
    <cellStyle name="Normal 2 14 5 3 2 4" xfId="21495" xr:uid="{00000000-0005-0000-0000-0000FA530000}"/>
    <cellStyle name="Normal 2 14 5 3 2 5" xfId="21496" xr:uid="{00000000-0005-0000-0000-0000FB530000}"/>
    <cellStyle name="Normal 2 14 5 3 2 6" xfId="21497" xr:uid="{00000000-0005-0000-0000-0000FC530000}"/>
    <cellStyle name="Normal 2 14 5 3 3" xfId="21498" xr:uid="{00000000-0005-0000-0000-0000FD530000}"/>
    <cellStyle name="Normal 2 14 5 3 3 2" xfId="21499" xr:uid="{00000000-0005-0000-0000-0000FE530000}"/>
    <cellStyle name="Normal 2 14 5 3 3 2 2" xfId="21500" xr:uid="{00000000-0005-0000-0000-0000FF530000}"/>
    <cellStyle name="Normal 2 14 5 3 3 3" xfId="21501" xr:uid="{00000000-0005-0000-0000-000000540000}"/>
    <cellStyle name="Normal 2 14 5 3 3 4" xfId="21502" xr:uid="{00000000-0005-0000-0000-000001540000}"/>
    <cellStyle name="Normal 2 14 5 3 3 5" xfId="21503" xr:uid="{00000000-0005-0000-0000-000002540000}"/>
    <cellStyle name="Normal 2 14 5 3 4" xfId="21504" xr:uid="{00000000-0005-0000-0000-000003540000}"/>
    <cellStyle name="Normal 2 14 5 3 4 2" xfId="21505" xr:uid="{00000000-0005-0000-0000-000004540000}"/>
    <cellStyle name="Normal 2 14 5 3 4 3" xfId="21506" xr:uid="{00000000-0005-0000-0000-000005540000}"/>
    <cellStyle name="Normal 2 14 5 3 4 4" xfId="21507" xr:uid="{00000000-0005-0000-0000-000006540000}"/>
    <cellStyle name="Normal 2 14 5 3 5" xfId="21508" xr:uid="{00000000-0005-0000-0000-000007540000}"/>
    <cellStyle name="Normal 2 14 5 3 5 2" xfId="21509" xr:uid="{00000000-0005-0000-0000-000008540000}"/>
    <cellStyle name="Normal 2 14 5 3 6" xfId="21510" xr:uid="{00000000-0005-0000-0000-000009540000}"/>
    <cellStyle name="Normal 2 14 5 3 7" xfId="21511" xr:uid="{00000000-0005-0000-0000-00000A540000}"/>
    <cellStyle name="Normal 2 14 5 3 8" xfId="21512" xr:uid="{00000000-0005-0000-0000-00000B540000}"/>
    <cellStyle name="Normal 2 14 5 3 9" xfId="21513" xr:uid="{00000000-0005-0000-0000-00000C540000}"/>
    <cellStyle name="Normal 2 14 5 4" xfId="21514" xr:uid="{00000000-0005-0000-0000-00000D540000}"/>
    <cellStyle name="Normal 2 14 5 4 2" xfId="21515" xr:uid="{00000000-0005-0000-0000-00000E540000}"/>
    <cellStyle name="Normal 2 14 5 4 2 2" xfId="21516" xr:uid="{00000000-0005-0000-0000-00000F540000}"/>
    <cellStyle name="Normal 2 14 5 4 2 3" xfId="21517" xr:uid="{00000000-0005-0000-0000-000010540000}"/>
    <cellStyle name="Normal 2 14 5 4 3" xfId="21518" xr:uid="{00000000-0005-0000-0000-000011540000}"/>
    <cellStyle name="Normal 2 14 5 4 4" xfId="21519" xr:uid="{00000000-0005-0000-0000-000012540000}"/>
    <cellStyle name="Normal 2 14 5 4 5" xfId="21520" xr:uid="{00000000-0005-0000-0000-000013540000}"/>
    <cellStyle name="Normal 2 14 5 4 6" xfId="21521" xr:uid="{00000000-0005-0000-0000-000014540000}"/>
    <cellStyle name="Normal 2 14 5 5" xfId="21522" xr:uid="{00000000-0005-0000-0000-000015540000}"/>
    <cellStyle name="Normal 2 14 5 5 2" xfId="21523" xr:uid="{00000000-0005-0000-0000-000016540000}"/>
    <cellStyle name="Normal 2 14 5 5 2 2" xfId="21524" xr:uid="{00000000-0005-0000-0000-000017540000}"/>
    <cellStyle name="Normal 2 14 5 5 3" xfId="21525" xr:uid="{00000000-0005-0000-0000-000018540000}"/>
    <cellStyle name="Normal 2 14 5 5 4" xfId="21526" xr:uid="{00000000-0005-0000-0000-000019540000}"/>
    <cellStyle name="Normal 2 14 5 5 5" xfId="21527" xr:uid="{00000000-0005-0000-0000-00001A540000}"/>
    <cellStyle name="Normal 2 14 5 6" xfId="21528" xr:uid="{00000000-0005-0000-0000-00001B540000}"/>
    <cellStyle name="Normal 2 14 5 6 2" xfId="21529" xr:uid="{00000000-0005-0000-0000-00001C540000}"/>
    <cellStyle name="Normal 2 14 5 6 3" xfId="21530" xr:uid="{00000000-0005-0000-0000-00001D540000}"/>
    <cellStyle name="Normal 2 14 5 6 4" xfId="21531" xr:uid="{00000000-0005-0000-0000-00001E540000}"/>
    <cellStyle name="Normal 2 14 5 7" xfId="21532" xr:uid="{00000000-0005-0000-0000-00001F540000}"/>
    <cellStyle name="Normal 2 14 5 7 2" xfId="21533" xr:uid="{00000000-0005-0000-0000-000020540000}"/>
    <cellStyle name="Normal 2 14 5 8" xfId="21534" xr:uid="{00000000-0005-0000-0000-000021540000}"/>
    <cellStyle name="Normal 2 14 5 9" xfId="21535" xr:uid="{00000000-0005-0000-0000-000022540000}"/>
    <cellStyle name="Normal 2 14 6" xfId="21536" xr:uid="{00000000-0005-0000-0000-000023540000}"/>
    <cellStyle name="Normal 2 14 6 10" xfId="21537" xr:uid="{00000000-0005-0000-0000-000024540000}"/>
    <cellStyle name="Normal 2 14 6 11" xfId="21538" xr:uid="{00000000-0005-0000-0000-000025540000}"/>
    <cellStyle name="Normal 2 14 6 2" xfId="21539" xr:uid="{00000000-0005-0000-0000-000026540000}"/>
    <cellStyle name="Normal 2 14 6 2 2" xfId="21540" xr:uid="{00000000-0005-0000-0000-000027540000}"/>
    <cellStyle name="Normal 2 14 6 2 2 2" xfId="21541" xr:uid="{00000000-0005-0000-0000-000028540000}"/>
    <cellStyle name="Normal 2 14 6 2 2 2 2" xfId="21542" xr:uid="{00000000-0005-0000-0000-000029540000}"/>
    <cellStyle name="Normal 2 14 6 2 2 2 3" xfId="21543" xr:uid="{00000000-0005-0000-0000-00002A540000}"/>
    <cellStyle name="Normal 2 14 6 2 2 3" xfId="21544" xr:uid="{00000000-0005-0000-0000-00002B540000}"/>
    <cellStyle name="Normal 2 14 6 2 2 4" xfId="21545" xr:uid="{00000000-0005-0000-0000-00002C540000}"/>
    <cellStyle name="Normal 2 14 6 2 2 5" xfId="21546" xr:uid="{00000000-0005-0000-0000-00002D540000}"/>
    <cellStyle name="Normal 2 14 6 2 2 6" xfId="21547" xr:uid="{00000000-0005-0000-0000-00002E540000}"/>
    <cellStyle name="Normal 2 14 6 2 3" xfId="21548" xr:uid="{00000000-0005-0000-0000-00002F540000}"/>
    <cellStyle name="Normal 2 14 6 2 3 2" xfId="21549" xr:uid="{00000000-0005-0000-0000-000030540000}"/>
    <cellStyle name="Normal 2 14 6 2 3 2 2" xfId="21550" xr:uid="{00000000-0005-0000-0000-000031540000}"/>
    <cellStyle name="Normal 2 14 6 2 3 3" xfId="21551" xr:uid="{00000000-0005-0000-0000-000032540000}"/>
    <cellStyle name="Normal 2 14 6 2 3 4" xfId="21552" xr:uid="{00000000-0005-0000-0000-000033540000}"/>
    <cellStyle name="Normal 2 14 6 2 3 5" xfId="21553" xr:uid="{00000000-0005-0000-0000-000034540000}"/>
    <cellStyle name="Normal 2 14 6 2 4" xfId="21554" xr:uid="{00000000-0005-0000-0000-000035540000}"/>
    <cellStyle name="Normal 2 14 6 2 4 2" xfId="21555" xr:uid="{00000000-0005-0000-0000-000036540000}"/>
    <cellStyle name="Normal 2 14 6 2 4 3" xfId="21556" xr:uid="{00000000-0005-0000-0000-000037540000}"/>
    <cellStyle name="Normal 2 14 6 2 4 4" xfId="21557" xr:uid="{00000000-0005-0000-0000-000038540000}"/>
    <cellStyle name="Normal 2 14 6 2 5" xfId="21558" xr:uid="{00000000-0005-0000-0000-000039540000}"/>
    <cellStyle name="Normal 2 14 6 2 5 2" xfId="21559" xr:uid="{00000000-0005-0000-0000-00003A540000}"/>
    <cellStyle name="Normal 2 14 6 2 6" xfId="21560" xr:uid="{00000000-0005-0000-0000-00003B540000}"/>
    <cellStyle name="Normal 2 14 6 2 7" xfId="21561" xr:uid="{00000000-0005-0000-0000-00003C540000}"/>
    <cellStyle name="Normal 2 14 6 2 8" xfId="21562" xr:uid="{00000000-0005-0000-0000-00003D540000}"/>
    <cellStyle name="Normal 2 14 6 2 9" xfId="21563" xr:uid="{00000000-0005-0000-0000-00003E540000}"/>
    <cellStyle name="Normal 2 14 6 3" xfId="21564" xr:uid="{00000000-0005-0000-0000-00003F540000}"/>
    <cellStyle name="Normal 2 14 6 3 2" xfId="21565" xr:uid="{00000000-0005-0000-0000-000040540000}"/>
    <cellStyle name="Normal 2 14 6 3 2 2" xfId="21566" xr:uid="{00000000-0005-0000-0000-000041540000}"/>
    <cellStyle name="Normal 2 14 6 3 2 2 2" xfId="21567" xr:uid="{00000000-0005-0000-0000-000042540000}"/>
    <cellStyle name="Normal 2 14 6 3 2 2 3" xfId="21568" xr:uid="{00000000-0005-0000-0000-000043540000}"/>
    <cellStyle name="Normal 2 14 6 3 2 3" xfId="21569" xr:uid="{00000000-0005-0000-0000-000044540000}"/>
    <cellStyle name="Normal 2 14 6 3 2 4" xfId="21570" xr:uid="{00000000-0005-0000-0000-000045540000}"/>
    <cellStyle name="Normal 2 14 6 3 2 5" xfId="21571" xr:uid="{00000000-0005-0000-0000-000046540000}"/>
    <cellStyle name="Normal 2 14 6 3 2 6" xfId="21572" xr:uid="{00000000-0005-0000-0000-000047540000}"/>
    <cellStyle name="Normal 2 14 6 3 3" xfId="21573" xr:uid="{00000000-0005-0000-0000-000048540000}"/>
    <cellStyle name="Normal 2 14 6 3 3 2" xfId="21574" xr:uid="{00000000-0005-0000-0000-000049540000}"/>
    <cellStyle name="Normal 2 14 6 3 3 2 2" xfId="21575" xr:uid="{00000000-0005-0000-0000-00004A540000}"/>
    <cellStyle name="Normal 2 14 6 3 3 3" xfId="21576" xr:uid="{00000000-0005-0000-0000-00004B540000}"/>
    <cellStyle name="Normal 2 14 6 3 3 4" xfId="21577" xr:uid="{00000000-0005-0000-0000-00004C540000}"/>
    <cellStyle name="Normal 2 14 6 3 3 5" xfId="21578" xr:uid="{00000000-0005-0000-0000-00004D540000}"/>
    <cellStyle name="Normal 2 14 6 3 4" xfId="21579" xr:uid="{00000000-0005-0000-0000-00004E540000}"/>
    <cellStyle name="Normal 2 14 6 3 4 2" xfId="21580" xr:uid="{00000000-0005-0000-0000-00004F540000}"/>
    <cellStyle name="Normal 2 14 6 3 4 3" xfId="21581" xr:uid="{00000000-0005-0000-0000-000050540000}"/>
    <cellStyle name="Normal 2 14 6 3 4 4" xfId="21582" xr:uid="{00000000-0005-0000-0000-000051540000}"/>
    <cellStyle name="Normal 2 14 6 3 5" xfId="21583" xr:uid="{00000000-0005-0000-0000-000052540000}"/>
    <cellStyle name="Normal 2 14 6 3 5 2" xfId="21584" xr:uid="{00000000-0005-0000-0000-000053540000}"/>
    <cellStyle name="Normal 2 14 6 3 6" xfId="21585" xr:uid="{00000000-0005-0000-0000-000054540000}"/>
    <cellStyle name="Normal 2 14 6 3 7" xfId="21586" xr:uid="{00000000-0005-0000-0000-000055540000}"/>
    <cellStyle name="Normal 2 14 6 3 8" xfId="21587" xr:uid="{00000000-0005-0000-0000-000056540000}"/>
    <cellStyle name="Normal 2 14 6 3 9" xfId="21588" xr:uid="{00000000-0005-0000-0000-000057540000}"/>
    <cellStyle name="Normal 2 14 6 4" xfId="21589" xr:uid="{00000000-0005-0000-0000-000058540000}"/>
    <cellStyle name="Normal 2 14 6 4 2" xfId="21590" xr:uid="{00000000-0005-0000-0000-000059540000}"/>
    <cellStyle name="Normal 2 14 6 4 2 2" xfId="21591" xr:uid="{00000000-0005-0000-0000-00005A540000}"/>
    <cellStyle name="Normal 2 14 6 4 2 3" xfId="21592" xr:uid="{00000000-0005-0000-0000-00005B540000}"/>
    <cellStyle name="Normal 2 14 6 4 3" xfId="21593" xr:uid="{00000000-0005-0000-0000-00005C540000}"/>
    <cellStyle name="Normal 2 14 6 4 4" xfId="21594" xr:uid="{00000000-0005-0000-0000-00005D540000}"/>
    <cellStyle name="Normal 2 14 6 4 5" xfId="21595" xr:uid="{00000000-0005-0000-0000-00005E540000}"/>
    <cellStyle name="Normal 2 14 6 4 6" xfId="21596" xr:uid="{00000000-0005-0000-0000-00005F540000}"/>
    <cellStyle name="Normal 2 14 6 5" xfId="21597" xr:uid="{00000000-0005-0000-0000-000060540000}"/>
    <cellStyle name="Normal 2 14 6 5 2" xfId="21598" xr:uid="{00000000-0005-0000-0000-000061540000}"/>
    <cellStyle name="Normal 2 14 6 5 2 2" xfId="21599" xr:uid="{00000000-0005-0000-0000-000062540000}"/>
    <cellStyle name="Normal 2 14 6 5 3" xfId="21600" xr:uid="{00000000-0005-0000-0000-000063540000}"/>
    <cellStyle name="Normal 2 14 6 5 4" xfId="21601" xr:uid="{00000000-0005-0000-0000-000064540000}"/>
    <cellStyle name="Normal 2 14 6 5 5" xfId="21602" xr:uid="{00000000-0005-0000-0000-000065540000}"/>
    <cellStyle name="Normal 2 14 6 6" xfId="21603" xr:uid="{00000000-0005-0000-0000-000066540000}"/>
    <cellStyle name="Normal 2 14 6 6 2" xfId="21604" xr:uid="{00000000-0005-0000-0000-000067540000}"/>
    <cellStyle name="Normal 2 14 6 6 3" xfId="21605" xr:uid="{00000000-0005-0000-0000-000068540000}"/>
    <cellStyle name="Normal 2 14 6 6 4" xfId="21606" xr:uid="{00000000-0005-0000-0000-000069540000}"/>
    <cellStyle name="Normal 2 14 6 7" xfId="21607" xr:uid="{00000000-0005-0000-0000-00006A540000}"/>
    <cellStyle name="Normal 2 14 6 7 2" xfId="21608" xr:uid="{00000000-0005-0000-0000-00006B540000}"/>
    <cellStyle name="Normal 2 14 6 8" xfId="21609" xr:uid="{00000000-0005-0000-0000-00006C540000}"/>
    <cellStyle name="Normal 2 14 6 9" xfId="21610" xr:uid="{00000000-0005-0000-0000-00006D540000}"/>
    <cellStyle name="Normal 2 14 7" xfId="21611" xr:uid="{00000000-0005-0000-0000-00006E540000}"/>
    <cellStyle name="Normal 2 14 7 10" xfId="21612" xr:uid="{00000000-0005-0000-0000-00006F540000}"/>
    <cellStyle name="Normal 2 14 7 11" xfId="21613" xr:uid="{00000000-0005-0000-0000-000070540000}"/>
    <cellStyle name="Normal 2 14 7 2" xfId="21614" xr:uid="{00000000-0005-0000-0000-000071540000}"/>
    <cellStyle name="Normal 2 14 7 2 2" xfId="21615" xr:uid="{00000000-0005-0000-0000-000072540000}"/>
    <cellStyle name="Normal 2 14 7 2 2 2" xfId="21616" xr:uid="{00000000-0005-0000-0000-000073540000}"/>
    <cellStyle name="Normal 2 14 7 2 2 2 2" xfId="21617" xr:uid="{00000000-0005-0000-0000-000074540000}"/>
    <cellStyle name="Normal 2 14 7 2 2 2 3" xfId="21618" xr:uid="{00000000-0005-0000-0000-000075540000}"/>
    <cellStyle name="Normal 2 14 7 2 2 3" xfId="21619" xr:uid="{00000000-0005-0000-0000-000076540000}"/>
    <cellStyle name="Normal 2 14 7 2 2 4" xfId="21620" xr:uid="{00000000-0005-0000-0000-000077540000}"/>
    <cellStyle name="Normal 2 14 7 2 2 5" xfId="21621" xr:uid="{00000000-0005-0000-0000-000078540000}"/>
    <cellStyle name="Normal 2 14 7 2 2 6" xfId="21622" xr:uid="{00000000-0005-0000-0000-000079540000}"/>
    <cellStyle name="Normal 2 14 7 2 3" xfId="21623" xr:uid="{00000000-0005-0000-0000-00007A540000}"/>
    <cellStyle name="Normal 2 14 7 2 3 2" xfId="21624" xr:uid="{00000000-0005-0000-0000-00007B540000}"/>
    <cellStyle name="Normal 2 14 7 2 3 2 2" xfId="21625" xr:uid="{00000000-0005-0000-0000-00007C540000}"/>
    <cellStyle name="Normal 2 14 7 2 3 3" xfId="21626" xr:uid="{00000000-0005-0000-0000-00007D540000}"/>
    <cellStyle name="Normal 2 14 7 2 3 4" xfId="21627" xr:uid="{00000000-0005-0000-0000-00007E540000}"/>
    <cellStyle name="Normal 2 14 7 2 3 5" xfId="21628" xr:uid="{00000000-0005-0000-0000-00007F540000}"/>
    <cellStyle name="Normal 2 14 7 2 4" xfId="21629" xr:uid="{00000000-0005-0000-0000-000080540000}"/>
    <cellStyle name="Normal 2 14 7 2 4 2" xfId="21630" xr:uid="{00000000-0005-0000-0000-000081540000}"/>
    <cellStyle name="Normal 2 14 7 2 4 3" xfId="21631" xr:uid="{00000000-0005-0000-0000-000082540000}"/>
    <cellStyle name="Normal 2 14 7 2 4 4" xfId="21632" xr:uid="{00000000-0005-0000-0000-000083540000}"/>
    <cellStyle name="Normal 2 14 7 2 5" xfId="21633" xr:uid="{00000000-0005-0000-0000-000084540000}"/>
    <cellStyle name="Normal 2 14 7 2 5 2" xfId="21634" xr:uid="{00000000-0005-0000-0000-000085540000}"/>
    <cellStyle name="Normal 2 14 7 2 6" xfId="21635" xr:uid="{00000000-0005-0000-0000-000086540000}"/>
    <cellStyle name="Normal 2 14 7 2 7" xfId="21636" xr:uid="{00000000-0005-0000-0000-000087540000}"/>
    <cellStyle name="Normal 2 14 7 2 8" xfId="21637" xr:uid="{00000000-0005-0000-0000-000088540000}"/>
    <cellStyle name="Normal 2 14 7 2 9" xfId="21638" xr:uid="{00000000-0005-0000-0000-000089540000}"/>
    <cellStyle name="Normal 2 14 7 3" xfId="21639" xr:uid="{00000000-0005-0000-0000-00008A540000}"/>
    <cellStyle name="Normal 2 14 7 3 2" xfId="21640" xr:uid="{00000000-0005-0000-0000-00008B540000}"/>
    <cellStyle name="Normal 2 14 7 3 2 2" xfId="21641" xr:uid="{00000000-0005-0000-0000-00008C540000}"/>
    <cellStyle name="Normal 2 14 7 3 2 2 2" xfId="21642" xr:uid="{00000000-0005-0000-0000-00008D540000}"/>
    <cellStyle name="Normal 2 14 7 3 2 2 3" xfId="21643" xr:uid="{00000000-0005-0000-0000-00008E540000}"/>
    <cellStyle name="Normal 2 14 7 3 2 3" xfId="21644" xr:uid="{00000000-0005-0000-0000-00008F540000}"/>
    <cellStyle name="Normal 2 14 7 3 2 4" xfId="21645" xr:uid="{00000000-0005-0000-0000-000090540000}"/>
    <cellStyle name="Normal 2 14 7 3 2 5" xfId="21646" xr:uid="{00000000-0005-0000-0000-000091540000}"/>
    <cellStyle name="Normal 2 14 7 3 2 6" xfId="21647" xr:uid="{00000000-0005-0000-0000-000092540000}"/>
    <cellStyle name="Normal 2 14 7 3 3" xfId="21648" xr:uid="{00000000-0005-0000-0000-000093540000}"/>
    <cellStyle name="Normal 2 14 7 3 3 2" xfId="21649" xr:uid="{00000000-0005-0000-0000-000094540000}"/>
    <cellStyle name="Normal 2 14 7 3 3 2 2" xfId="21650" xr:uid="{00000000-0005-0000-0000-000095540000}"/>
    <cellStyle name="Normal 2 14 7 3 3 3" xfId="21651" xr:uid="{00000000-0005-0000-0000-000096540000}"/>
    <cellStyle name="Normal 2 14 7 3 3 4" xfId="21652" xr:uid="{00000000-0005-0000-0000-000097540000}"/>
    <cellStyle name="Normal 2 14 7 3 3 5" xfId="21653" xr:uid="{00000000-0005-0000-0000-000098540000}"/>
    <cellStyle name="Normal 2 14 7 3 4" xfId="21654" xr:uid="{00000000-0005-0000-0000-000099540000}"/>
    <cellStyle name="Normal 2 14 7 3 4 2" xfId="21655" xr:uid="{00000000-0005-0000-0000-00009A540000}"/>
    <cellStyle name="Normal 2 14 7 3 4 3" xfId="21656" xr:uid="{00000000-0005-0000-0000-00009B540000}"/>
    <cellStyle name="Normal 2 14 7 3 4 4" xfId="21657" xr:uid="{00000000-0005-0000-0000-00009C540000}"/>
    <cellStyle name="Normal 2 14 7 3 5" xfId="21658" xr:uid="{00000000-0005-0000-0000-00009D540000}"/>
    <cellStyle name="Normal 2 14 7 3 5 2" xfId="21659" xr:uid="{00000000-0005-0000-0000-00009E540000}"/>
    <cellStyle name="Normal 2 14 7 3 6" xfId="21660" xr:uid="{00000000-0005-0000-0000-00009F540000}"/>
    <cellStyle name="Normal 2 14 7 3 7" xfId="21661" xr:uid="{00000000-0005-0000-0000-0000A0540000}"/>
    <cellStyle name="Normal 2 14 7 3 8" xfId="21662" xr:uid="{00000000-0005-0000-0000-0000A1540000}"/>
    <cellStyle name="Normal 2 14 7 3 9" xfId="21663" xr:uid="{00000000-0005-0000-0000-0000A2540000}"/>
    <cellStyle name="Normal 2 14 7 4" xfId="21664" xr:uid="{00000000-0005-0000-0000-0000A3540000}"/>
    <cellStyle name="Normal 2 14 7 4 2" xfId="21665" xr:uid="{00000000-0005-0000-0000-0000A4540000}"/>
    <cellStyle name="Normal 2 14 7 4 2 2" xfId="21666" xr:uid="{00000000-0005-0000-0000-0000A5540000}"/>
    <cellStyle name="Normal 2 14 7 4 2 3" xfId="21667" xr:uid="{00000000-0005-0000-0000-0000A6540000}"/>
    <cellStyle name="Normal 2 14 7 4 3" xfId="21668" xr:uid="{00000000-0005-0000-0000-0000A7540000}"/>
    <cellStyle name="Normal 2 14 7 4 4" xfId="21669" xr:uid="{00000000-0005-0000-0000-0000A8540000}"/>
    <cellStyle name="Normal 2 14 7 4 5" xfId="21670" xr:uid="{00000000-0005-0000-0000-0000A9540000}"/>
    <cellStyle name="Normal 2 14 7 4 6" xfId="21671" xr:uid="{00000000-0005-0000-0000-0000AA540000}"/>
    <cellStyle name="Normal 2 14 7 5" xfId="21672" xr:uid="{00000000-0005-0000-0000-0000AB540000}"/>
    <cellStyle name="Normal 2 14 7 5 2" xfId="21673" xr:uid="{00000000-0005-0000-0000-0000AC540000}"/>
    <cellStyle name="Normal 2 14 7 5 2 2" xfId="21674" xr:uid="{00000000-0005-0000-0000-0000AD540000}"/>
    <cellStyle name="Normal 2 14 7 5 3" xfId="21675" xr:uid="{00000000-0005-0000-0000-0000AE540000}"/>
    <cellStyle name="Normal 2 14 7 5 4" xfId="21676" xr:uid="{00000000-0005-0000-0000-0000AF540000}"/>
    <cellStyle name="Normal 2 14 7 5 5" xfId="21677" xr:uid="{00000000-0005-0000-0000-0000B0540000}"/>
    <cellStyle name="Normal 2 14 7 6" xfId="21678" xr:uid="{00000000-0005-0000-0000-0000B1540000}"/>
    <cellStyle name="Normal 2 14 7 6 2" xfId="21679" xr:uid="{00000000-0005-0000-0000-0000B2540000}"/>
    <cellStyle name="Normal 2 14 7 6 3" xfId="21680" xr:uid="{00000000-0005-0000-0000-0000B3540000}"/>
    <cellStyle name="Normal 2 14 7 6 4" xfId="21681" xr:uid="{00000000-0005-0000-0000-0000B4540000}"/>
    <cellStyle name="Normal 2 14 7 7" xfId="21682" xr:uid="{00000000-0005-0000-0000-0000B5540000}"/>
    <cellStyle name="Normal 2 14 7 7 2" xfId="21683" xr:uid="{00000000-0005-0000-0000-0000B6540000}"/>
    <cellStyle name="Normal 2 14 7 8" xfId="21684" xr:uid="{00000000-0005-0000-0000-0000B7540000}"/>
    <cellStyle name="Normal 2 14 7 9" xfId="21685" xr:uid="{00000000-0005-0000-0000-0000B8540000}"/>
    <cellStyle name="Normal 2 14 8" xfId="21686" xr:uid="{00000000-0005-0000-0000-0000B9540000}"/>
    <cellStyle name="Normal 2 14 8 10" xfId="21687" xr:uid="{00000000-0005-0000-0000-0000BA540000}"/>
    <cellStyle name="Normal 2 14 8 2" xfId="21688" xr:uid="{00000000-0005-0000-0000-0000BB540000}"/>
    <cellStyle name="Normal 2 14 8 2 2" xfId="21689" xr:uid="{00000000-0005-0000-0000-0000BC540000}"/>
    <cellStyle name="Normal 2 14 8 2 2 2" xfId="21690" xr:uid="{00000000-0005-0000-0000-0000BD540000}"/>
    <cellStyle name="Normal 2 14 8 2 2 3" xfId="21691" xr:uid="{00000000-0005-0000-0000-0000BE540000}"/>
    <cellStyle name="Normal 2 14 8 2 3" xfId="21692" xr:uid="{00000000-0005-0000-0000-0000BF540000}"/>
    <cellStyle name="Normal 2 14 8 2 4" xfId="21693" xr:uid="{00000000-0005-0000-0000-0000C0540000}"/>
    <cellStyle name="Normal 2 14 8 2 5" xfId="21694" xr:uid="{00000000-0005-0000-0000-0000C1540000}"/>
    <cellStyle name="Normal 2 14 8 2 6" xfId="21695" xr:uid="{00000000-0005-0000-0000-0000C2540000}"/>
    <cellStyle name="Normal 2 14 8 3" xfId="21696" xr:uid="{00000000-0005-0000-0000-0000C3540000}"/>
    <cellStyle name="Normal 2 14 8 3 2" xfId="21697" xr:uid="{00000000-0005-0000-0000-0000C4540000}"/>
    <cellStyle name="Normal 2 14 8 3 2 2" xfId="21698" xr:uid="{00000000-0005-0000-0000-0000C5540000}"/>
    <cellStyle name="Normal 2 14 8 3 2 3" xfId="21699" xr:uid="{00000000-0005-0000-0000-0000C6540000}"/>
    <cellStyle name="Normal 2 14 8 3 3" xfId="21700" xr:uid="{00000000-0005-0000-0000-0000C7540000}"/>
    <cellStyle name="Normal 2 14 8 3 4" xfId="21701" xr:uid="{00000000-0005-0000-0000-0000C8540000}"/>
    <cellStyle name="Normal 2 14 8 3 5" xfId="21702" xr:uid="{00000000-0005-0000-0000-0000C9540000}"/>
    <cellStyle name="Normal 2 14 8 3 6" xfId="21703" xr:uid="{00000000-0005-0000-0000-0000CA540000}"/>
    <cellStyle name="Normal 2 14 8 4" xfId="21704" xr:uid="{00000000-0005-0000-0000-0000CB540000}"/>
    <cellStyle name="Normal 2 14 8 4 2" xfId="21705" xr:uid="{00000000-0005-0000-0000-0000CC540000}"/>
    <cellStyle name="Normal 2 14 8 4 2 2" xfId="21706" xr:uid="{00000000-0005-0000-0000-0000CD540000}"/>
    <cellStyle name="Normal 2 14 8 4 3" xfId="21707" xr:uid="{00000000-0005-0000-0000-0000CE540000}"/>
    <cellStyle name="Normal 2 14 8 4 4" xfId="21708" xr:uid="{00000000-0005-0000-0000-0000CF540000}"/>
    <cellStyle name="Normal 2 14 8 4 5" xfId="21709" xr:uid="{00000000-0005-0000-0000-0000D0540000}"/>
    <cellStyle name="Normal 2 14 8 5" xfId="21710" xr:uid="{00000000-0005-0000-0000-0000D1540000}"/>
    <cellStyle name="Normal 2 14 8 5 2" xfId="21711" xr:uid="{00000000-0005-0000-0000-0000D2540000}"/>
    <cellStyle name="Normal 2 14 8 5 3" xfId="21712" xr:uid="{00000000-0005-0000-0000-0000D3540000}"/>
    <cellStyle name="Normal 2 14 8 5 4" xfId="21713" xr:uid="{00000000-0005-0000-0000-0000D4540000}"/>
    <cellStyle name="Normal 2 14 8 6" xfId="21714" xr:uid="{00000000-0005-0000-0000-0000D5540000}"/>
    <cellStyle name="Normal 2 14 8 6 2" xfId="21715" xr:uid="{00000000-0005-0000-0000-0000D6540000}"/>
    <cellStyle name="Normal 2 14 8 7" xfId="21716" xr:uid="{00000000-0005-0000-0000-0000D7540000}"/>
    <cellStyle name="Normal 2 14 8 8" xfId="21717" xr:uid="{00000000-0005-0000-0000-0000D8540000}"/>
    <cellStyle name="Normal 2 14 8 9" xfId="21718" xr:uid="{00000000-0005-0000-0000-0000D9540000}"/>
    <cellStyle name="Normal 2 14 9" xfId="21719" xr:uid="{00000000-0005-0000-0000-0000DA540000}"/>
    <cellStyle name="Normal 2 14 9 10" xfId="21720" xr:uid="{00000000-0005-0000-0000-0000DB540000}"/>
    <cellStyle name="Normal 2 14 9 2" xfId="21721" xr:uid="{00000000-0005-0000-0000-0000DC540000}"/>
    <cellStyle name="Normal 2 14 9 2 2" xfId="21722" xr:uid="{00000000-0005-0000-0000-0000DD540000}"/>
    <cellStyle name="Normal 2 14 9 2 2 2" xfId="21723" xr:uid="{00000000-0005-0000-0000-0000DE540000}"/>
    <cellStyle name="Normal 2 14 9 2 2 3" xfId="21724" xr:uid="{00000000-0005-0000-0000-0000DF540000}"/>
    <cellStyle name="Normal 2 14 9 2 3" xfId="21725" xr:uid="{00000000-0005-0000-0000-0000E0540000}"/>
    <cellStyle name="Normal 2 14 9 2 4" xfId="21726" xr:uid="{00000000-0005-0000-0000-0000E1540000}"/>
    <cellStyle name="Normal 2 14 9 2 5" xfId="21727" xr:uid="{00000000-0005-0000-0000-0000E2540000}"/>
    <cellStyle name="Normal 2 14 9 2 6" xfId="21728" xr:uid="{00000000-0005-0000-0000-0000E3540000}"/>
    <cellStyle name="Normal 2 14 9 3" xfId="21729" xr:uid="{00000000-0005-0000-0000-0000E4540000}"/>
    <cellStyle name="Normal 2 14 9 3 2" xfId="21730" xr:uid="{00000000-0005-0000-0000-0000E5540000}"/>
    <cellStyle name="Normal 2 14 9 3 2 2" xfId="21731" xr:uid="{00000000-0005-0000-0000-0000E6540000}"/>
    <cellStyle name="Normal 2 14 9 3 2 3" xfId="21732" xr:uid="{00000000-0005-0000-0000-0000E7540000}"/>
    <cellStyle name="Normal 2 14 9 3 3" xfId="21733" xr:uid="{00000000-0005-0000-0000-0000E8540000}"/>
    <cellStyle name="Normal 2 14 9 3 4" xfId="21734" xr:uid="{00000000-0005-0000-0000-0000E9540000}"/>
    <cellStyle name="Normal 2 14 9 3 5" xfId="21735" xr:uid="{00000000-0005-0000-0000-0000EA540000}"/>
    <cellStyle name="Normal 2 14 9 3 6" xfId="21736" xr:uid="{00000000-0005-0000-0000-0000EB540000}"/>
    <cellStyle name="Normal 2 14 9 4" xfId="21737" xr:uid="{00000000-0005-0000-0000-0000EC540000}"/>
    <cellStyle name="Normal 2 14 9 4 2" xfId="21738" xr:uid="{00000000-0005-0000-0000-0000ED540000}"/>
    <cellStyle name="Normal 2 14 9 4 2 2" xfId="21739" xr:uid="{00000000-0005-0000-0000-0000EE540000}"/>
    <cellStyle name="Normal 2 14 9 4 3" xfId="21740" xr:uid="{00000000-0005-0000-0000-0000EF540000}"/>
    <cellStyle name="Normal 2 14 9 4 4" xfId="21741" xr:uid="{00000000-0005-0000-0000-0000F0540000}"/>
    <cellStyle name="Normal 2 14 9 4 5" xfId="21742" xr:uid="{00000000-0005-0000-0000-0000F1540000}"/>
    <cellStyle name="Normal 2 14 9 5" xfId="21743" xr:uid="{00000000-0005-0000-0000-0000F2540000}"/>
    <cellStyle name="Normal 2 14 9 5 2" xfId="21744" xr:uid="{00000000-0005-0000-0000-0000F3540000}"/>
    <cellStyle name="Normal 2 14 9 5 3" xfId="21745" xr:uid="{00000000-0005-0000-0000-0000F4540000}"/>
    <cellStyle name="Normal 2 14 9 5 4" xfId="21746" xr:uid="{00000000-0005-0000-0000-0000F5540000}"/>
    <cellStyle name="Normal 2 14 9 6" xfId="21747" xr:uid="{00000000-0005-0000-0000-0000F6540000}"/>
    <cellStyle name="Normal 2 14 9 6 2" xfId="21748" xr:uid="{00000000-0005-0000-0000-0000F7540000}"/>
    <cellStyle name="Normal 2 14 9 7" xfId="21749" xr:uid="{00000000-0005-0000-0000-0000F8540000}"/>
    <cellStyle name="Normal 2 14 9 8" xfId="21750" xr:uid="{00000000-0005-0000-0000-0000F9540000}"/>
    <cellStyle name="Normal 2 14 9 9" xfId="21751" xr:uid="{00000000-0005-0000-0000-0000FA540000}"/>
    <cellStyle name="Normal 2 15" xfId="21752" xr:uid="{00000000-0005-0000-0000-0000FB540000}"/>
    <cellStyle name="Normal 2 15 10" xfId="21753" xr:uid="{00000000-0005-0000-0000-0000FC540000}"/>
    <cellStyle name="Normal 2 15 10 10" xfId="21754" xr:uid="{00000000-0005-0000-0000-0000FD540000}"/>
    <cellStyle name="Normal 2 15 10 2" xfId="21755" xr:uid="{00000000-0005-0000-0000-0000FE540000}"/>
    <cellStyle name="Normal 2 15 10 2 2" xfId="21756" xr:uid="{00000000-0005-0000-0000-0000FF540000}"/>
    <cellStyle name="Normal 2 15 10 2 2 2" xfId="21757" xr:uid="{00000000-0005-0000-0000-000000550000}"/>
    <cellStyle name="Normal 2 15 10 2 2 3" xfId="21758" xr:uid="{00000000-0005-0000-0000-000001550000}"/>
    <cellStyle name="Normal 2 15 10 2 3" xfId="21759" xr:uid="{00000000-0005-0000-0000-000002550000}"/>
    <cellStyle name="Normal 2 15 10 2 4" xfId="21760" xr:uid="{00000000-0005-0000-0000-000003550000}"/>
    <cellStyle name="Normal 2 15 10 2 5" xfId="21761" xr:uid="{00000000-0005-0000-0000-000004550000}"/>
    <cellStyle name="Normal 2 15 10 2 6" xfId="21762" xr:uid="{00000000-0005-0000-0000-000005550000}"/>
    <cellStyle name="Normal 2 15 10 3" xfId="21763" xr:uid="{00000000-0005-0000-0000-000006550000}"/>
    <cellStyle name="Normal 2 15 10 3 2" xfId="21764" xr:uid="{00000000-0005-0000-0000-000007550000}"/>
    <cellStyle name="Normal 2 15 10 3 2 2" xfId="21765" xr:uid="{00000000-0005-0000-0000-000008550000}"/>
    <cellStyle name="Normal 2 15 10 3 2 3" xfId="21766" xr:uid="{00000000-0005-0000-0000-000009550000}"/>
    <cellStyle name="Normal 2 15 10 3 3" xfId="21767" xr:uid="{00000000-0005-0000-0000-00000A550000}"/>
    <cellStyle name="Normal 2 15 10 3 4" xfId="21768" xr:uid="{00000000-0005-0000-0000-00000B550000}"/>
    <cellStyle name="Normal 2 15 10 3 5" xfId="21769" xr:uid="{00000000-0005-0000-0000-00000C550000}"/>
    <cellStyle name="Normal 2 15 10 3 6" xfId="21770" xr:uid="{00000000-0005-0000-0000-00000D550000}"/>
    <cellStyle name="Normal 2 15 10 4" xfId="21771" xr:uid="{00000000-0005-0000-0000-00000E550000}"/>
    <cellStyle name="Normal 2 15 10 4 2" xfId="21772" xr:uid="{00000000-0005-0000-0000-00000F550000}"/>
    <cellStyle name="Normal 2 15 10 4 2 2" xfId="21773" xr:uid="{00000000-0005-0000-0000-000010550000}"/>
    <cellStyle name="Normal 2 15 10 4 3" xfId="21774" xr:uid="{00000000-0005-0000-0000-000011550000}"/>
    <cellStyle name="Normal 2 15 10 4 4" xfId="21775" xr:uid="{00000000-0005-0000-0000-000012550000}"/>
    <cellStyle name="Normal 2 15 10 4 5" xfId="21776" xr:uid="{00000000-0005-0000-0000-000013550000}"/>
    <cellStyle name="Normal 2 15 10 5" xfId="21777" xr:uid="{00000000-0005-0000-0000-000014550000}"/>
    <cellStyle name="Normal 2 15 10 5 2" xfId="21778" xr:uid="{00000000-0005-0000-0000-000015550000}"/>
    <cellStyle name="Normal 2 15 10 5 3" xfId="21779" xr:uid="{00000000-0005-0000-0000-000016550000}"/>
    <cellStyle name="Normal 2 15 10 5 4" xfId="21780" xr:uid="{00000000-0005-0000-0000-000017550000}"/>
    <cellStyle name="Normal 2 15 10 6" xfId="21781" xr:uid="{00000000-0005-0000-0000-000018550000}"/>
    <cellStyle name="Normal 2 15 10 6 2" xfId="21782" xr:uid="{00000000-0005-0000-0000-000019550000}"/>
    <cellStyle name="Normal 2 15 10 7" xfId="21783" xr:uid="{00000000-0005-0000-0000-00001A550000}"/>
    <cellStyle name="Normal 2 15 10 8" xfId="21784" xr:uid="{00000000-0005-0000-0000-00001B550000}"/>
    <cellStyle name="Normal 2 15 10 9" xfId="21785" xr:uid="{00000000-0005-0000-0000-00001C550000}"/>
    <cellStyle name="Normal 2 15 11" xfId="21786" xr:uid="{00000000-0005-0000-0000-00001D550000}"/>
    <cellStyle name="Normal 2 15 11 10" xfId="21787" xr:uid="{00000000-0005-0000-0000-00001E550000}"/>
    <cellStyle name="Normal 2 15 11 2" xfId="21788" xr:uid="{00000000-0005-0000-0000-00001F550000}"/>
    <cellStyle name="Normal 2 15 11 2 2" xfId="21789" xr:uid="{00000000-0005-0000-0000-000020550000}"/>
    <cellStyle name="Normal 2 15 11 2 2 2" xfId="21790" xr:uid="{00000000-0005-0000-0000-000021550000}"/>
    <cellStyle name="Normal 2 15 11 2 2 3" xfId="21791" xr:uid="{00000000-0005-0000-0000-000022550000}"/>
    <cellStyle name="Normal 2 15 11 2 3" xfId="21792" xr:uid="{00000000-0005-0000-0000-000023550000}"/>
    <cellStyle name="Normal 2 15 11 2 4" xfId="21793" xr:uid="{00000000-0005-0000-0000-000024550000}"/>
    <cellStyle name="Normal 2 15 11 2 5" xfId="21794" xr:uid="{00000000-0005-0000-0000-000025550000}"/>
    <cellStyle name="Normal 2 15 11 2 6" xfId="21795" xr:uid="{00000000-0005-0000-0000-000026550000}"/>
    <cellStyle name="Normal 2 15 11 3" xfId="21796" xr:uid="{00000000-0005-0000-0000-000027550000}"/>
    <cellStyle name="Normal 2 15 11 3 2" xfId="21797" xr:uid="{00000000-0005-0000-0000-000028550000}"/>
    <cellStyle name="Normal 2 15 11 3 2 2" xfId="21798" xr:uid="{00000000-0005-0000-0000-000029550000}"/>
    <cellStyle name="Normal 2 15 11 3 2 3" xfId="21799" xr:uid="{00000000-0005-0000-0000-00002A550000}"/>
    <cellStyle name="Normal 2 15 11 3 3" xfId="21800" xr:uid="{00000000-0005-0000-0000-00002B550000}"/>
    <cellStyle name="Normal 2 15 11 3 4" xfId="21801" xr:uid="{00000000-0005-0000-0000-00002C550000}"/>
    <cellStyle name="Normal 2 15 11 3 5" xfId="21802" xr:uid="{00000000-0005-0000-0000-00002D550000}"/>
    <cellStyle name="Normal 2 15 11 3 6" xfId="21803" xr:uid="{00000000-0005-0000-0000-00002E550000}"/>
    <cellStyle name="Normal 2 15 11 4" xfId="21804" xr:uid="{00000000-0005-0000-0000-00002F550000}"/>
    <cellStyle name="Normal 2 15 11 4 2" xfId="21805" xr:uid="{00000000-0005-0000-0000-000030550000}"/>
    <cellStyle name="Normal 2 15 11 4 2 2" xfId="21806" xr:uid="{00000000-0005-0000-0000-000031550000}"/>
    <cellStyle name="Normal 2 15 11 4 3" xfId="21807" xr:uid="{00000000-0005-0000-0000-000032550000}"/>
    <cellStyle name="Normal 2 15 11 4 4" xfId="21808" xr:uid="{00000000-0005-0000-0000-000033550000}"/>
    <cellStyle name="Normal 2 15 11 4 5" xfId="21809" xr:uid="{00000000-0005-0000-0000-000034550000}"/>
    <cellStyle name="Normal 2 15 11 5" xfId="21810" xr:uid="{00000000-0005-0000-0000-000035550000}"/>
    <cellStyle name="Normal 2 15 11 5 2" xfId="21811" xr:uid="{00000000-0005-0000-0000-000036550000}"/>
    <cellStyle name="Normal 2 15 11 5 3" xfId="21812" xr:uid="{00000000-0005-0000-0000-000037550000}"/>
    <cellStyle name="Normal 2 15 11 5 4" xfId="21813" xr:uid="{00000000-0005-0000-0000-000038550000}"/>
    <cellStyle name="Normal 2 15 11 6" xfId="21814" xr:uid="{00000000-0005-0000-0000-000039550000}"/>
    <cellStyle name="Normal 2 15 11 6 2" xfId="21815" xr:uid="{00000000-0005-0000-0000-00003A550000}"/>
    <cellStyle name="Normal 2 15 11 7" xfId="21816" xr:uid="{00000000-0005-0000-0000-00003B550000}"/>
    <cellStyle name="Normal 2 15 11 8" xfId="21817" xr:uid="{00000000-0005-0000-0000-00003C550000}"/>
    <cellStyle name="Normal 2 15 11 9" xfId="21818" xr:uid="{00000000-0005-0000-0000-00003D550000}"/>
    <cellStyle name="Normal 2 15 12" xfId="21819" xr:uid="{00000000-0005-0000-0000-00003E550000}"/>
    <cellStyle name="Normal 2 15 12 10" xfId="21820" xr:uid="{00000000-0005-0000-0000-00003F550000}"/>
    <cellStyle name="Normal 2 15 12 2" xfId="21821" xr:uid="{00000000-0005-0000-0000-000040550000}"/>
    <cellStyle name="Normal 2 15 12 2 2" xfId="21822" xr:uid="{00000000-0005-0000-0000-000041550000}"/>
    <cellStyle name="Normal 2 15 12 2 2 2" xfId="21823" xr:uid="{00000000-0005-0000-0000-000042550000}"/>
    <cellStyle name="Normal 2 15 12 2 2 3" xfId="21824" xr:uid="{00000000-0005-0000-0000-000043550000}"/>
    <cellStyle name="Normal 2 15 12 2 3" xfId="21825" xr:uid="{00000000-0005-0000-0000-000044550000}"/>
    <cellStyle name="Normal 2 15 12 2 4" xfId="21826" xr:uid="{00000000-0005-0000-0000-000045550000}"/>
    <cellStyle name="Normal 2 15 12 2 5" xfId="21827" xr:uid="{00000000-0005-0000-0000-000046550000}"/>
    <cellStyle name="Normal 2 15 12 2 6" xfId="21828" xr:uid="{00000000-0005-0000-0000-000047550000}"/>
    <cellStyle name="Normal 2 15 12 3" xfId="21829" xr:uid="{00000000-0005-0000-0000-000048550000}"/>
    <cellStyle name="Normal 2 15 12 3 2" xfId="21830" xr:uid="{00000000-0005-0000-0000-000049550000}"/>
    <cellStyle name="Normal 2 15 12 3 2 2" xfId="21831" xr:uid="{00000000-0005-0000-0000-00004A550000}"/>
    <cellStyle name="Normal 2 15 12 3 2 3" xfId="21832" xr:uid="{00000000-0005-0000-0000-00004B550000}"/>
    <cellStyle name="Normal 2 15 12 3 3" xfId="21833" xr:uid="{00000000-0005-0000-0000-00004C550000}"/>
    <cellStyle name="Normal 2 15 12 3 4" xfId="21834" xr:uid="{00000000-0005-0000-0000-00004D550000}"/>
    <cellStyle name="Normal 2 15 12 3 5" xfId="21835" xr:uid="{00000000-0005-0000-0000-00004E550000}"/>
    <cellStyle name="Normal 2 15 12 3 6" xfId="21836" xr:uid="{00000000-0005-0000-0000-00004F550000}"/>
    <cellStyle name="Normal 2 15 12 4" xfId="21837" xr:uid="{00000000-0005-0000-0000-000050550000}"/>
    <cellStyle name="Normal 2 15 12 4 2" xfId="21838" xr:uid="{00000000-0005-0000-0000-000051550000}"/>
    <cellStyle name="Normal 2 15 12 4 2 2" xfId="21839" xr:uid="{00000000-0005-0000-0000-000052550000}"/>
    <cellStyle name="Normal 2 15 12 4 3" xfId="21840" xr:uid="{00000000-0005-0000-0000-000053550000}"/>
    <cellStyle name="Normal 2 15 12 4 4" xfId="21841" xr:uid="{00000000-0005-0000-0000-000054550000}"/>
    <cellStyle name="Normal 2 15 12 4 5" xfId="21842" xr:uid="{00000000-0005-0000-0000-000055550000}"/>
    <cellStyle name="Normal 2 15 12 5" xfId="21843" xr:uid="{00000000-0005-0000-0000-000056550000}"/>
    <cellStyle name="Normal 2 15 12 5 2" xfId="21844" xr:uid="{00000000-0005-0000-0000-000057550000}"/>
    <cellStyle name="Normal 2 15 12 5 3" xfId="21845" xr:uid="{00000000-0005-0000-0000-000058550000}"/>
    <cellStyle name="Normal 2 15 12 5 4" xfId="21846" xr:uid="{00000000-0005-0000-0000-000059550000}"/>
    <cellStyle name="Normal 2 15 12 6" xfId="21847" xr:uid="{00000000-0005-0000-0000-00005A550000}"/>
    <cellStyle name="Normal 2 15 12 6 2" xfId="21848" xr:uid="{00000000-0005-0000-0000-00005B550000}"/>
    <cellStyle name="Normal 2 15 12 7" xfId="21849" xr:uid="{00000000-0005-0000-0000-00005C550000}"/>
    <cellStyle name="Normal 2 15 12 8" xfId="21850" xr:uid="{00000000-0005-0000-0000-00005D550000}"/>
    <cellStyle name="Normal 2 15 12 9" xfId="21851" xr:uid="{00000000-0005-0000-0000-00005E550000}"/>
    <cellStyle name="Normal 2 15 13" xfId="21852" xr:uid="{00000000-0005-0000-0000-00005F550000}"/>
    <cellStyle name="Normal 2 15 13 2" xfId="21853" xr:uid="{00000000-0005-0000-0000-000060550000}"/>
    <cellStyle name="Normal 2 15 13 2 2" xfId="21854" xr:uid="{00000000-0005-0000-0000-000061550000}"/>
    <cellStyle name="Normal 2 15 13 2 2 2" xfId="21855" xr:uid="{00000000-0005-0000-0000-000062550000}"/>
    <cellStyle name="Normal 2 15 13 2 2 3" xfId="21856" xr:uid="{00000000-0005-0000-0000-000063550000}"/>
    <cellStyle name="Normal 2 15 13 2 3" xfId="21857" xr:uid="{00000000-0005-0000-0000-000064550000}"/>
    <cellStyle name="Normal 2 15 13 2 4" xfId="21858" xr:uid="{00000000-0005-0000-0000-000065550000}"/>
    <cellStyle name="Normal 2 15 13 2 5" xfId="21859" xr:uid="{00000000-0005-0000-0000-000066550000}"/>
    <cellStyle name="Normal 2 15 13 2 6" xfId="21860" xr:uid="{00000000-0005-0000-0000-000067550000}"/>
    <cellStyle name="Normal 2 15 13 3" xfId="21861" xr:uid="{00000000-0005-0000-0000-000068550000}"/>
    <cellStyle name="Normal 2 15 13 3 2" xfId="21862" xr:uid="{00000000-0005-0000-0000-000069550000}"/>
    <cellStyle name="Normal 2 15 13 3 2 2" xfId="21863" xr:uid="{00000000-0005-0000-0000-00006A550000}"/>
    <cellStyle name="Normal 2 15 13 3 3" xfId="21864" xr:uid="{00000000-0005-0000-0000-00006B550000}"/>
    <cellStyle name="Normal 2 15 13 3 4" xfId="21865" xr:uid="{00000000-0005-0000-0000-00006C550000}"/>
    <cellStyle name="Normal 2 15 13 3 5" xfId="21866" xr:uid="{00000000-0005-0000-0000-00006D550000}"/>
    <cellStyle name="Normal 2 15 13 4" xfId="21867" xr:uid="{00000000-0005-0000-0000-00006E550000}"/>
    <cellStyle name="Normal 2 15 13 4 2" xfId="21868" xr:uid="{00000000-0005-0000-0000-00006F550000}"/>
    <cellStyle name="Normal 2 15 13 4 3" xfId="21869" xr:uid="{00000000-0005-0000-0000-000070550000}"/>
    <cellStyle name="Normal 2 15 13 4 4" xfId="21870" xr:uid="{00000000-0005-0000-0000-000071550000}"/>
    <cellStyle name="Normal 2 15 13 5" xfId="21871" xr:uid="{00000000-0005-0000-0000-000072550000}"/>
    <cellStyle name="Normal 2 15 13 5 2" xfId="21872" xr:uid="{00000000-0005-0000-0000-000073550000}"/>
    <cellStyle name="Normal 2 15 13 6" xfId="21873" xr:uid="{00000000-0005-0000-0000-000074550000}"/>
    <cellStyle name="Normal 2 15 13 7" xfId="21874" xr:uid="{00000000-0005-0000-0000-000075550000}"/>
    <cellStyle name="Normal 2 15 13 8" xfId="21875" xr:uid="{00000000-0005-0000-0000-000076550000}"/>
    <cellStyle name="Normal 2 15 13 9" xfId="21876" xr:uid="{00000000-0005-0000-0000-000077550000}"/>
    <cellStyle name="Normal 2 15 14" xfId="21877" xr:uid="{00000000-0005-0000-0000-000078550000}"/>
    <cellStyle name="Normal 2 15 14 2" xfId="21878" xr:uid="{00000000-0005-0000-0000-000079550000}"/>
    <cellStyle name="Normal 2 15 14 2 2" xfId="21879" xr:uid="{00000000-0005-0000-0000-00007A550000}"/>
    <cellStyle name="Normal 2 15 14 2 2 2" xfId="21880" xr:uid="{00000000-0005-0000-0000-00007B550000}"/>
    <cellStyle name="Normal 2 15 14 2 2 3" xfId="21881" xr:uid="{00000000-0005-0000-0000-00007C550000}"/>
    <cellStyle name="Normal 2 15 14 2 3" xfId="21882" xr:uid="{00000000-0005-0000-0000-00007D550000}"/>
    <cellStyle name="Normal 2 15 14 2 4" xfId="21883" xr:uid="{00000000-0005-0000-0000-00007E550000}"/>
    <cellStyle name="Normal 2 15 14 2 5" xfId="21884" xr:uid="{00000000-0005-0000-0000-00007F550000}"/>
    <cellStyle name="Normal 2 15 14 2 6" xfId="21885" xr:uid="{00000000-0005-0000-0000-000080550000}"/>
    <cellStyle name="Normal 2 15 14 3" xfId="21886" xr:uid="{00000000-0005-0000-0000-000081550000}"/>
    <cellStyle name="Normal 2 15 14 3 2" xfId="21887" xr:uid="{00000000-0005-0000-0000-000082550000}"/>
    <cellStyle name="Normal 2 15 14 3 2 2" xfId="21888" xr:uid="{00000000-0005-0000-0000-000083550000}"/>
    <cellStyle name="Normal 2 15 14 3 3" xfId="21889" xr:uid="{00000000-0005-0000-0000-000084550000}"/>
    <cellStyle name="Normal 2 15 14 3 4" xfId="21890" xr:uid="{00000000-0005-0000-0000-000085550000}"/>
    <cellStyle name="Normal 2 15 14 3 5" xfId="21891" xr:uid="{00000000-0005-0000-0000-000086550000}"/>
    <cellStyle name="Normal 2 15 14 4" xfId="21892" xr:uid="{00000000-0005-0000-0000-000087550000}"/>
    <cellStyle name="Normal 2 15 14 4 2" xfId="21893" xr:uid="{00000000-0005-0000-0000-000088550000}"/>
    <cellStyle name="Normal 2 15 14 4 3" xfId="21894" xr:uid="{00000000-0005-0000-0000-000089550000}"/>
    <cellStyle name="Normal 2 15 14 4 4" xfId="21895" xr:uid="{00000000-0005-0000-0000-00008A550000}"/>
    <cellStyle name="Normal 2 15 14 5" xfId="21896" xr:uid="{00000000-0005-0000-0000-00008B550000}"/>
    <cellStyle name="Normal 2 15 14 5 2" xfId="21897" xr:uid="{00000000-0005-0000-0000-00008C550000}"/>
    <cellStyle name="Normal 2 15 14 6" xfId="21898" xr:uid="{00000000-0005-0000-0000-00008D550000}"/>
    <cellStyle name="Normal 2 15 14 7" xfId="21899" xr:uid="{00000000-0005-0000-0000-00008E550000}"/>
    <cellStyle name="Normal 2 15 14 8" xfId="21900" xr:uid="{00000000-0005-0000-0000-00008F550000}"/>
    <cellStyle name="Normal 2 15 14 9" xfId="21901" xr:uid="{00000000-0005-0000-0000-000090550000}"/>
    <cellStyle name="Normal 2 15 15" xfId="21902" xr:uid="{00000000-0005-0000-0000-000091550000}"/>
    <cellStyle name="Normal 2 15 15 2" xfId="21903" xr:uid="{00000000-0005-0000-0000-000092550000}"/>
    <cellStyle name="Normal 2 15 15 2 2" xfId="21904" xr:uid="{00000000-0005-0000-0000-000093550000}"/>
    <cellStyle name="Normal 2 15 15 2 3" xfId="21905" xr:uid="{00000000-0005-0000-0000-000094550000}"/>
    <cellStyle name="Normal 2 15 15 3" xfId="21906" xr:uid="{00000000-0005-0000-0000-000095550000}"/>
    <cellStyle name="Normal 2 15 15 4" xfId="21907" xr:uid="{00000000-0005-0000-0000-000096550000}"/>
    <cellStyle name="Normal 2 15 15 5" xfId="21908" xr:uid="{00000000-0005-0000-0000-000097550000}"/>
    <cellStyle name="Normal 2 15 15 6" xfId="21909" xr:uid="{00000000-0005-0000-0000-000098550000}"/>
    <cellStyle name="Normal 2 15 16" xfId="21910" xr:uid="{00000000-0005-0000-0000-000099550000}"/>
    <cellStyle name="Normal 2 15 16 2" xfId="21911" xr:uid="{00000000-0005-0000-0000-00009A550000}"/>
    <cellStyle name="Normal 2 15 16 2 2" xfId="21912" xr:uid="{00000000-0005-0000-0000-00009B550000}"/>
    <cellStyle name="Normal 2 15 16 3" xfId="21913" xr:uid="{00000000-0005-0000-0000-00009C550000}"/>
    <cellStyle name="Normal 2 15 16 4" xfId="21914" xr:uid="{00000000-0005-0000-0000-00009D550000}"/>
    <cellStyle name="Normal 2 15 16 5" xfId="21915" xr:uid="{00000000-0005-0000-0000-00009E550000}"/>
    <cellStyle name="Normal 2 15 17" xfId="21916" xr:uid="{00000000-0005-0000-0000-00009F550000}"/>
    <cellStyle name="Normal 2 15 17 2" xfId="21917" xr:uid="{00000000-0005-0000-0000-0000A0550000}"/>
    <cellStyle name="Normal 2 15 17 2 2" xfId="21918" xr:uid="{00000000-0005-0000-0000-0000A1550000}"/>
    <cellStyle name="Normal 2 15 17 3" xfId="21919" xr:uid="{00000000-0005-0000-0000-0000A2550000}"/>
    <cellStyle name="Normal 2 15 17 4" xfId="21920" xr:uid="{00000000-0005-0000-0000-0000A3550000}"/>
    <cellStyle name="Normal 2 15 17 5" xfId="21921" xr:uid="{00000000-0005-0000-0000-0000A4550000}"/>
    <cellStyle name="Normal 2 15 18" xfId="21922" xr:uid="{00000000-0005-0000-0000-0000A5550000}"/>
    <cellStyle name="Normal 2 15 18 2" xfId="21923" xr:uid="{00000000-0005-0000-0000-0000A6550000}"/>
    <cellStyle name="Normal 2 15 19" xfId="21924" xr:uid="{00000000-0005-0000-0000-0000A7550000}"/>
    <cellStyle name="Normal 2 15 2" xfId="21925" xr:uid="{00000000-0005-0000-0000-0000A8550000}"/>
    <cellStyle name="Normal 2 15 2 10" xfId="21926" xr:uid="{00000000-0005-0000-0000-0000A9550000}"/>
    <cellStyle name="Normal 2 15 2 11" xfId="21927" xr:uid="{00000000-0005-0000-0000-0000AA550000}"/>
    <cellStyle name="Normal 2 15 2 2" xfId="21928" xr:uid="{00000000-0005-0000-0000-0000AB550000}"/>
    <cellStyle name="Normal 2 15 2 2 2" xfId="21929" xr:uid="{00000000-0005-0000-0000-0000AC550000}"/>
    <cellStyle name="Normal 2 15 2 2 2 2" xfId="21930" xr:uid="{00000000-0005-0000-0000-0000AD550000}"/>
    <cellStyle name="Normal 2 15 2 2 2 2 2" xfId="21931" xr:uid="{00000000-0005-0000-0000-0000AE550000}"/>
    <cellStyle name="Normal 2 15 2 2 2 2 3" xfId="21932" xr:uid="{00000000-0005-0000-0000-0000AF550000}"/>
    <cellStyle name="Normal 2 15 2 2 2 3" xfId="21933" xr:uid="{00000000-0005-0000-0000-0000B0550000}"/>
    <cellStyle name="Normal 2 15 2 2 2 4" xfId="21934" xr:uid="{00000000-0005-0000-0000-0000B1550000}"/>
    <cellStyle name="Normal 2 15 2 2 2 5" xfId="21935" xr:uid="{00000000-0005-0000-0000-0000B2550000}"/>
    <cellStyle name="Normal 2 15 2 2 2 6" xfId="21936" xr:uid="{00000000-0005-0000-0000-0000B3550000}"/>
    <cellStyle name="Normal 2 15 2 2 3" xfId="21937" xr:uid="{00000000-0005-0000-0000-0000B4550000}"/>
    <cellStyle name="Normal 2 15 2 2 3 2" xfId="21938" xr:uid="{00000000-0005-0000-0000-0000B5550000}"/>
    <cellStyle name="Normal 2 15 2 2 3 2 2" xfId="21939" xr:uid="{00000000-0005-0000-0000-0000B6550000}"/>
    <cellStyle name="Normal 2 15 2 2 3 3" xfId="21940" xr:uid="{00000000-0005-0000-0000-0000B7550000}"/>
    <cellStyle name="Normal 2 15 2 2 3 4" xfId="21941" xr:uid="{00000000-0005-0000-0000-0000B8550000}"/>
    <cellStyle name="Normal 2 15 2 2 3 5" xfId="21942" xr:uid="{00000000-0005-0000-0000-0000B9550000}"/>
    <cellStyle name="Normal 2 15 2 2 4" xfId="21943" xr:uid="{00000000-0005-0000-0000-0000BA550000}"/>
    <cellStyle name="Normal 2 15 2 2 4 2" xfId="21944" xr:uid="{00000000-0005-0000-0000-0000BB550000}"/>
    <cellStyle name="Normal 2 15 2 2 4 3" xfId="21945" xr:uid="{00000000-0005-0000-0000-0000BC550000}"/>
    <cellStyle name="Normal 2 15 2 2 4 4" xfId="21946" xr:uid="{00000000-0005-0000-0000-0000BD550000}"/>
    <cellStyle name="Normal 2 15 2 2 5" xfId="21947" xr:uid="{00000000-0005-0000-0000-0000BE550000}"/>
    <cellStyle name="Normal 2 15 2 2 5 2" xfId="21948" xr:uid="{00000000-0005-0000-0000-0000BF550000}"/>
    <cellStyle name="Normal 2 15 2 2 6" xfId="21949" xr:uid="{00000000-0005-0000-0000-0000C0550000}"/>
    <cellStyle name="Normal 2 15 2 2 7" xfId="21950" xr:uid="{00000000-0005-0000-0000-0000C1550000}"/>
    <cellStyle name="Normal 2 15 2 2 8" xfId="21951" xr:uid="{00000000-0005-0000-0000-0000C2550000}"/>
    <cellStyle name="Normal 2 15 2 2 9" xfId="21952" xr:uid="{00000000-0005-0000-0000-0000C3550000}"/>
    <cellStyle name="Normal 2 15 2 3" xfId="21953" xr:uid="{00000000-0005-0000-0000-0000C4550000}"/>
    <cellStyle name="Normal 2 15 2 3 2" xfId="21954" xr:uid="{00000000-0005-0000-0000-0000C5550000}"/>
    <cellStyle name="Normal 2 15 2 3 2 2" xfId="21955" xr:uid="{00000000-0005-0000-0000-0000C6550000}"/>
    <cellStyle name="Normal 2 15 2 3 2 2 2" xfId="21956" xr:uid="{00000000-0005-0000-0000-0000C7550000}"/>
    <cellStyle name="Normal 2 15 2 3 2 2 3" xfId="21957" xr:uid="{00000000-0005-0000-0000-0000C8550000}"/>
    <cellStyle name="Normal 2 15 2 3 2 3" xfId="21958" xr:uid="{00000000-0005-0000-0000-0000C9550000}"/>
    <cellStyle name="Normal 2 15 2 3 2 4" xfId="21959" xr:uid="{00000000-0005-0000-0000-0000CA550000}"/>
    <cellStyle name="Normal 2 15 2 3 2 5" xfId="21960" xr:uid="{00000000-0005-0000-0000-0000CB550000}"/>
    <cellStyle name="Normal 2 15 2 3 2 6" xfId="21961" xr:uid="{00000000-0005-0000-0000-0000CC550000}"/>
    <cellStyle name="Normal 2 15 2 3 3" xfId="21962" xr:uid="{00000000-0005-0000-0000-0000CD550000}"/>
    <cellStyle name="Normal 2 15 2 3 3 2" xfId="21963" xr:uid="{00000000-0005-0000-0000-0000CE550000}"/>
    <cellStyle name="Normal 2 15 2 3 3 2 2" xfId="21964" xr:uid="{00000000-0005-0000-0000-0000CF550000}"/>
    <cellStyle name="Normal 2 15 2 3 3 3" xfId="21965" xr:uid="{00000000-0005-0000-0000-0000D0550000}"/>
    <cellStyle name="Normal 2 15 2 3 3 4" xfId="21966" xr:uid="{00000000-0005-0000-0000-0000D1550000}"/>
    <cellStyle name="Normal 2 15 2 3 3 5" xfId="21967" xr:uid="{00000000-0005-0000-0000-0000D2550000}"/>
    <cellStyle name="Normal 2 15 2 3 4" xfId="21968" xr:uid="{00000000-0005-0000-0000-0000D3550000}"/>
    <cellStyle name="Normal 2 15 2 3 4 2" xfId="21969" xr:uid="{00000000-0005-0000-0000-0000D4550000}"/>
    <cellStyle name="Normal 2 15 2 3 4 3" xfId="21970" xr:uid="{00000000-0005-0000-0000-0000D5550000}"/>
    <cellStyle name="Normal 2 15 2 3 4 4" xfId="21971" xr:uid="{00000000-0005-0000-0000-0000D6550000}"/>
    <cellStyle name="Normal 2 15 2 3 5" xfId="21972" xr:uid="{00000000-0005-0000-0000-0000D7550000}"/>
    <cellStyle name="Normal 2 15 2 3 5 2" xfId="21973" xr:uid="{00000000-0005-0000-0000-0000D8550000}"/>
    <cellStyle name="Normal 2 15 2 3 6" xfId="21974" xr:uid="{00000000-0005-0000-0000-0000D9550000}"/>
    <cellStyle name="Normal 2 15 2 3 7" xfId="21975" xr:uid="{00000000-0005-0000-0000-0000DA550000}"/>
    <cellStyle name="Normal 2 15 2 3 8" xfId="21976" xr:uid="{00000000-0005-0000-0000-0000DB550000}"/>
    <cellStyle name="Normal 2 15 2 3 9" xfId="21977" xr:uid="{00000000-0005-0000-0000-0000DC550000}"/>
    <cellStyle name="Normal 2 15 2 4" xfId="21978" xr:uid="{00000000-0005-0000-0000-0000DD550000}"/>
    <cellStyle name="Normal 2 15 2 4 2" xfId="21979" xr:uid="{00000000-0005-0000-0000-0000DE550000}"/>
    <cellStyle name="Normal 2 15 2 4 2 2" xfId="21980" xr:uid="{00000000-0005-0000-0000-0000DF550000}"/>
    <cellStyle name="Normal 2 15 2 4 2 3" xfId="21981" xr:uid="{00000000-0005-0000-0000-0000E0550000}"/>
    <cellStyle name="Normal 2 15 2 4 3" xfId="21982" xr:uid="{00000000-0005-0000-0000-0000E1550000}"/>
    <cellStyle name="Normal 2 15 2 4 4" xfId="21983" xr:uid="{00000000-0005-0000-0000-0000E2550000}"/>
    <cellStyle name="Normal 2 15 2 4 5" xfId="21984" xr:uid="{00000000-0005-0000-0000-0000E3550000}"/>
    <cellStyle name="Normal 2 15 2 4 6" xfId="21985" xr:uid="{00000000-0005-0000-0000-0000E4550000}"/>
    <cellStyle name="Normal 2 15 2 5" xfId="21986" xr:uid="{00000000-0005-0000-0000-0000E5550000}"/>
    <cellStyle name="Normal 2 15 2 5 2" xfId="21987" xr:uid="{00000000-0005-0000-0000-0000E6550000}"/>
    <cellStyle name="Normal 2 15 2 5 2 2" xfId="21988" xr:uid="{00000000-0005-0000-0000-0000E7550000}"/>
    <cellStyle name="Normal 2 15 2 5 3" xfId="21989" xr:uid="{00000000-0005-0000-0000-0000E8550000}"/>
    <cellStyle name="Normal 2 15 2 5 4" xfId="21990" xr:uid="{00000000-0005-0000-0000-0000E9550000}"/>
    <cellStyle name="Normal 2 15 2 5 5" xfId="21991" xr:uid="{00000000-0005-0000-0000-0000EA550000}"/>
    <cellStyle name="Normal 2 15 2 6" xfId="21992" xr:uid="{00000000-0005-0000-0000-0000EB550000}"/>
    <cellStyle name="Normal 2 15 2 6 2" xfId="21993" xr:uid="{00000000-0005-0000-0000-0000EC550000}"/>
    <cellStyle name="Normal 2 15 2 6 3" xfId="21994" xr:uid="{00000000-0005-0000-0000-0000ED550000}"/>
    <cellStyle name="Normal 2 15 2 6 4" xfId="21995" xr:uid="{00000000-0005-0000-0000-0000EE550000}"/>
    <cellStyle name="Normal 2 15 2 7" xfId="21996" xr:uid="{00000000-0005-0000-0000-0000EF550000}"/>
    <cellStyle name="Normal 2 15 2 7 2" xfId="21997" xr:uid="{00000000-0005-0000-0000-0000F0550000}"/>
    <cellStyle name="Normal 2 15 2 8" xfId="21998" xr:uid="{00000000-0005-0000-0000-0000F1550000}"/>
    <cellStyle name="Normal 2 15 2 9" xfId="21999" xr:uid="{00000000-0005-0000-0000-0000F2550000}"/>
    <cellStyle name="Normal 2 15 20" xfId="22000" xr:uid="{00000000-0005-0000-0000-0000F3550000}"/>
    <cellStyle name="Normal 2 15 21" xfId="22001" xr:uid="{00000000-0005-0000-0000-0000F4550000}"/>
    <cellStyle name="Normal 2 15 22" xfId="22002" xr:uid="{00000000-0005-0000-0000-0000F5550000}"/>
    <cellStyle name="Normal 2 15 3" xfId="22003" xr:uid="{00000000-0005-0000-0000-0000F6550000}"/>
    <cellStyle name="Normal 2 15 3 10" xfId="22004" xr:uid="{00000000-0005-0000-0000-0000F7550000}"/>
    <cellStyle name="Normal 2 15 3 11" xfId="22005" xr:uid="{00000000-0005-0000-0000-0000F8550000}"/>
    <cellStyle name="Normal 2 15 3 2" xfId="22006" xr:uid="{00000000-0005-0000-0000-0000F9550000}"/>
    <cellStyle name="Normal 2 15 3 2 2" xfId="22007" xr:uid="{00000000-0005-0000-0000-0000FA550000}"/>
    <cellStyle name="Normal 2 15 3 2 2 2" xfId="22008" xr:uid="{00000000-0005-0000-0000-0000FB550000}"/>
    <cellStyle name="Normal 2 15 3 2 2 2 2" xfId="22009" xr:uid="{00000000-0005-0000-0000-0000FC550000}"/>
    <cellStyle name="Normal 2 15 3 2 2 2 3" xfId="22010" xr:uid="{00000000-0005-0000-0000-0000FD550000}"/>
    <cellStyle name="Normal 2 15 3 2 2 3" xfId="22011" xr:uid="{00000000-0005-0000-0000-0000FE550000}"/>
    <cellStyle name="Normal 2 15 3 2 2 4" xfId="22012" xr:uid="{00000000-0005-0000-0000-0000FF550000}"/>
    <cellStyle name="Normal 2 15 3 2 2 5" xfId="22013" xr:uid="{00000000-0005-0000-0000-000000560000}"/>
    <cellStyle name="Normal 2 15 3 2 2 6" xfId="22014" xr:uid="{00000000-0005-0000-0000-000001560000}"/>
    <cellStyle name="Normal 2 15 3 2 3" xfId="22015" xr:uid="{00000000-0005-0000-0000-000002560000}"/>
    <cellStyle name="Normal 2 15 3 2 3 2" xfId="22016" xr:uid="{00000000-0005-0000-0000-000003560000}"/>
    <cellStyle name="Normal 2 15 3 2 3 2 2" xfId="22017" xr:uid="{00000000-0005-0000-0000-000004560000}"/>
    <cellStyle name="Normal 2 15 3 2 3 3" xfId="22018" xr:uid="{00000000-0005-0000-0000-000005560000}"/>
    <cellStyle name="Normal 2 15 3 2 3 4" xfId="22019" xr:uid="{00000000-0005-0000-0000-000006560000}"/>
    <cellStyle name="Normal 2 15 3 2 3 5" xfId="22020" xr:uid="{00000000-0005-0000-0000-000007560000}"/>
    <cellStyle name="Normal 2 15 3 2 4" xfId="22021" xr:uid="{00000000-0005-0000-0000-000008560000}"/>
    <cellStyle name="Normal 2 15 3 2 4 2" xfId="22022" xr:uid="{00000000-0005-0000-0000-000009560000}"/>
    <cellStyle name="Normal 2 15 3 2 4 3" xfId="22023" xr:uid="{00000000-0005-0000-0000-00000A560000}"/>
    <cellStyle name="Normal 2 15 3 2 4 4" xfId="22024" xr:uid="{00000000-0005-0000-0000-00000B560000}"/>
    <cellStyle name="Normal 2 15 3 2 5" xfId="22025" xr:uid="{00000000-0005-0000-0000-00000C560000}"/>
    <cellStyle name="Normal 2 15 3 2 5 2" xfId="22026" xr:uid="{00000000-0005-0000-0000-00000D560000}"/>
    <cellStyle name="Normal 2 15 3 2 6" xfId="22027" xr:uid="{00000000-0005-0000-0000-00000E560000}"/>
    <cellStyle name="Normal 2 15 3 2 7" xfId="22028" xr:uid="{00000000-0005-0000-0000-00000F560000}"/>
    <cellStyle name="Normal 2 15 3 2 8" xfId="22029" xr:uid="{00000000-0005-0000-0000-000010560000}"/>
    <cellStyle name="Normal 2 15 3 2 9" xfId="22030" xr:uid="{00000000-0005-0000-0000-000011560000}"/>
    <cellStyle name="Normal 2 15 3 3" xfId="22031" xr:uid="{00000000-0005-0000-0000-000012560000}"/>
    <cellStyle name="Normal 2 15 3 3 2" xfId="22032" xr:uid="{00000000-0005-0000-0000-000013560000}"/>
    <cellStyle name="Normal 2 15 3 3 2 2" xfId="22033" xr:uid="{00000000-0005-0000-0000-000014560000}"/>
    <cellStyle name="Normal 2 15 3 3 2 2 2" xfId="22034" xr:uid="{00000000-0005-0000-0000-000015560000}"/>
    <cellStyle name="Normal 2 15 3 3 2 2 3" xfId="22035" xr:uid="{00000000-0005-0000-0000-000016560000}"/>
    <cellStyle name="Normal 2 15 3 3 2 3" xfId="22036" xr:uid="{00000000-0005-0000-0000-000017560000}"/>
    <cellStyle name="Normal 2 15 3 3 2 4" xfId="22037" xr:uid="{00000000-0005-0000-0000-000018560000}"/>
    <cellStyle name="Normal 2 15 3 3 2 5" xfId="22038" xr:uid="{00000000-0005-0000-0000-000019560000}"/>
    <cellStyle name="Normal 2 15 3 3 2 6" xfId="22039" xr:uid="{00000000-0005-0000-0000-00001A560000}"/>
    <cellStyle name="Normal 2 15 3 3 3" xfId="22040" xr:uid="{00000000-0005-0000-0000-00001B560000}"/>
    <cellStyle name="Normal 2 15 3 3 3 2" xfId="22041" xr:uid="{00000000-0005-0000-0000-00001C560000}"/>
    <cellStyle name="Normal 2 15 3 3 3 2 2" xfId="22042" xr:uid="{00000000-0005-0000-0000-00001D560000}"/>
    <cellStyle name="Normal 2 15 3 3 3 3" xfId="22043" xr:uid="{00000000-0005-0000-0000-00001E560000}"/>
    <cellStyle name="Normal 2 15 3 3 3 4" xfId="22044" xr:uid="{00000000-0005-0000-0000-00001F560000}"/>
    <cellStyle name="Normal 2 15 3 3 3 5" xfId="22045" xr:uid="{00000000-0005-0000-0000-000020560000}"/>
    <cellStyle name="Normal 2 15 3 3 4" xfId="22046" xr:uid="{00000000-0005-0000-0000-000021560000}"/>
    <cellStyle name="Normal 2 15 3 3 4 2" xfId="22047" xr:uid="{00000000-0005-0000-0000-000022560000}"/>
    <cellStyle name="Normal 2 15 3 3 4 3" xfId="22048" xr:uid="{00000000-0005-0000-0000-000023560000}"/>
    <cellStyle name="Normal 2 15 3 3 4 4" xfId="22049" xr:uid="{00000000-0005-0000-0000-000024560000}"/>
    <cellStyle name="Normal 2 15 3 3 5" xfId="22050" xr:uid="{00000000-0005-0000-0000-000025560000}"/>
    <cellStyle name="Normal 2 15 3 3 5 2" xfId="22051" xr:uid="{00000000-0005-0000-0000-000026560000}"/>
    <cellStyle name="Normal 2 15 3 3 6" xfId="22052" xr:uid="{00000000-0005-0000-0000-000027560000}"/>
    <cellStyle name="Normal 2 15 3 3 7" xfId="22053" xr:uid="{00000000-0005-0000-0000-000028560000}"/>
    <cellStyle name="Normal 2 15 3 3 8" xfId="22054" xr:uid="{00000000-0005-0000-0000-000029560000}"/>
    <cellStyle name="Normal 2 15 3 3 9" xfId="22055" xr:uid="{00000000-0005-0000-0000-00002A560000}"/>
    <cellStyle name="Normal 2 15 3 4" xfId="22056" xr:uid="{00000000-0005-0000-0000-00002B560000}"/>
    <cellStyle name="Normal 2 15 3 4 2" xfId="22057" xr:uid="{00000000-0005-0000-0000-00002C560000}"/>
    <cellStyle name="Normal 2 15 3 4 2 2" xfId="22058" xr:uid="{00000000-0005-0000-0000-00002D560000}"/>
    <cellStyle name="Normal 2 15 3 4 2 3" xfId="22059" xr:uid="{00000000-0005-0000-0000-00002E560000}"/>
    <cellStyle name="Normal 2 15 3 4 3" xfId="22060" xr:uid="{00000000-0005-0000-0000-00002F560000}"/>
    <cellStyle name="Normal 2 15 3 4 4" xfId="22061" xr:uid="{00000000-0005-0000-0000-000030560000}"/>
    <cellStyle name="Normal 2 15 3 4 5" xfId="22062" xr:uid="{00000000-0005-0000-0000-000031560000}"/>
    <cellStyle name="Normal 2 15 3 4 6" xfId="22063" xr:uid="{00000000-0005-0000-0000-000032560000}"/>
    <cellStyle name="Normal 2 15 3 5" xfId="22064" xr:uid="{00000000-0005-0000-0000-000033560000}"/>
    <cellStyle name="Normal 2 15 3 5 2" xfId="22065" xr:uid="{00000000-0005-0000-0000-000034560000}"/>
    <cellStyle name="Normal 2 15 3 5 2 2" xfId="22066" xr:uid="{00000000-0005-0000-0000-000035560000}"/>
    <cellStyle name="Normal 2 15 3 5 3" xfId="22067" xr:uid="{00000000-0005-0000-0000-000036560000}"/>
    <cellStyle name="Normal 2 15 3 5 4" xfId="22068" xr:uid="{00000000-0005-0000-0000-000037560000}"/>
    <cellStyle name="Normal 2 15 3 5 5" xfId="22069" xr:uid="{00000000-0005-0000-0000-000038560000}"/>
    <cellStyle name="Normal 2 15 3 6" xfId="22070" xr:uid="{00000000-0005-0000-0000-000039560000}"/>
    <cellStyle name="Normal 2 15 3 6 2" xfId="22071" xr:uid="{00000000-0005-0000-0000-00003A560000}"/>
    <cellStyle name="Normal 2 15 3 6 3" xfId="22072" xr:uid="{00000000-0005-0000-0000-00003B560000}"/>
    <cellStyle name="Normal 2 15 3 6 4" xfId="22073" xr:uid="{00000000-0005-0000-0000-00003C560000}"/>
    <cellStyle name="Normal 2 15 3 7" xfId="22074" xr:uid="{00000000-0005-0000-0000-00003D560000}"/>
    <cellStyle name="Normal 2 15 3 7 2" xfId="22075" xr:uid="{00000000-0005-0000-0000-00003E560000}"/>
    <cellStyle name="Normal 2 15 3 8" xfId="22076" xr:uid="{00000000-0005-0000-0000-00003F560000}"/>
    <cellStyle name="Normal 2 15 3 9" xfId="22077" xr:uid="{00000000-0005-0000-0000-000040560000}"/>
    <cellStyle name="Normal 2 15 4" xfId="22078" xr:uid="{00000000-0005-0000-0000-000041560000}"/>
    <cellStyle name="Normal 2 15 4 10" xfId="22079" xr:uid="{00000000-0005-0000-0000-000042560000}"/>
    <cellStyle name="Normal 2 15 4 11" xfId="22080" xr:uid="{00000000-0005-0000-0000-000043560000}"/>
    <cellStyle name="Normal 2 15 4 2" xfId="22081" xr:uid="{00000000-0005-0000-0000-000044560000}"/>
    <cellStyle name="Normal 2 15 4 2 2" xfId="22082" xr:uid="{00000000-0005-0000-0000-000045560000}"/>
    <cellStyle name="Normal 2 15 4 2 2 2" xfId="22083" xr:uid="{00000000-0005-0000-0000-000046560000}"/>
    <cellStyle name="Normal 2 15 4 2 2 2 2" xfId="22084" xr:uid="{00000000-0005-0000-0000-000047560000}"/>
    <cellStyle name="Normal 2 15 4 2 2 2 3" xfId="22085" xr:uid="{00000000-0005-0000-0000-000048560000}"/>
    <cellStyle name="Normal 2 15 4 2 2 3" xfId="22086" xr:uid="{00000000-0005-0000-0000-000049560000}"/>
    <cellStyle name="Normal 2 15 4 2 2 4" xfId="22087" xr:uid="{00000000-0005-0000-0000-00004A560000}"/>
    <cellStyle name="Normal 2 15 4 2 2 5" xfId="22088" xr:uid="{00000000-0005-0000-0000-00004B560000}"/>
    <cellStyle name="Normal 2 15 4 2 2 6" xfId="22089" xr:uid="{00000000-0005-0000-0000-00004C560000}"/>
    <cellStyle name="Normal 2 15 4 2 3" xfId="22090" xr:uid="{00000000-0005-0000-0000-00004D560000}"/>
    <cellStyle name="Normal 2 15 4 2 3 2" xfId="22091" xr:uid="{00000000-0005-0000-0000-00004E560000}"/>
    <cellStyle name="Normal 2 15 4 2 3 2 2" xfId="22092" xr:uid="{00000000-0005-0000-0000-00004F560000}"/>
    <cellStyle name="Normal 2 15 4 2 3 3" xfId="22093" xr:uid="{00000000-0005-0000-0000-000050560000}"/>
    <cellStyle name="Normal 2 15 4 2 3 4" xfId="22094" xr:uid="{00000000-0005-0000-0000-000051560000}"/>
    <cellStyle name="Normal 2 15 4 2 3 5" xfId="22095" xr:uid="{00000000-0005-0000-0000-000052560000}"/>
    <cellStyle name="Normal 2 15 4 2 4" xfId="22096" xr:uid="{00000000-0005-0000-0000-000053560000}"/>
    <cellStyle name="Normal 2 15 4 2 4 2" xfId="22097" xr:uid="{00000000-0005-0000-0000-000054560000}"/>
    <cellStyle name="Normal 2 15 4 2 4 3" xfId="22098" xr:uid="{00000000-0005-0000-0000-000055560000}"/>
    <cellStyle name="Normal 2 15 4 2 4 4" xfId="22099" xr:uid="{00000000-0005-0000-0000-000056560000}"/>
    <cellStyle name="Normal 2 15 4 2 5" xfId="22100" xr:uid="{00000000-0005-0000-0000-000057560000}"/>
    <cellStyle name="Normal 2 15 4 2 5 2" xfId="22101" xr:uid="{00000000-0005-0000-0000-000058560000}"/>
    <cellStyle name="Normal 2 15 4 2 6" xfId="22102" xr:uid="{00000000-0005-0000-0000-000059560000}"/>
    <cellStyle name="Normal 2 15 4 2 7" xfId="22103" xr:uid="{00000000-0005-0000-0000-00005A560000}"/>
    <cellStyle name="Normal 2 15 4 2 8" xfId="22104" xr:uid="{00000000-0005-0000-0000-00005B560000}"/>
    <cellStyle name="Normal 2 15 4 2 9" xfId="22105" xr:uid="{00000000-0005-0000-0000-00005C560000}"/>
    <cellStyle name="Normal 2 15 4 3" xfId="22106" xr:uid="{00000000-0005-0000-0000-00005D560000}"/>
    <cellStyle name="Normal 2 15 4 3 2" xfId="22107" xr:uid="{00000000-0005-0000-0000-00005E560000}"/>
    <cellStyle name="Normal 2 15 4 3 2 2" xfId="22108" xr:uid="{00000000-0005-0000-0000-00005F560000}"/>
    <cellStyle name="Normal 2 15 4 3 2 2 2" xfId="22109" xr:uid="{00000000-0005-0000-0000-000060560000}"/>
    <cellStyle name="Normal 2 15 4 3 2 2 3" xfId="22110" xr:uid="{00000000-0005-0000-0000-000061560000}"/>
    <cellStyle name="Normal 2 15 4 3 2 3" xfId="22111" xr:uid="{00000000-0005-0000-0000-000062560000}"/>
    <cellStyle name="Normal 2 15 4 3 2 4" xfId="22112" xr:uid="{00000000-0005-0000-0000-000063560000}"/>
    <cellStyle name="Normal 2 15 4 3 2 5" xfId="22113" xr:uid="{00000000-0005-0000-0000-000064560000}"/>
    <cellStyle name="Normal 2 15 4 3 2 6" xfId="22114" xr:uid="{00000000-0005-0000-0000-000065560000}"/>
    <cellStyle name="Normal 2 15 4 3 3" xfId="22115" xr:uid="{00000000-0005-0000-0000-000066560000}"/>
    <cellStyle name="Normal 2 15 4 3 3 2" xfId="22116" xr:uid="{00000000-0005-0000-0000-000067560000}"/>
    <cellStyle name="Normal 2 15 4 3 3 2 2" xfId="22117" xr:uid="{00000000-0005-0000-0000-000068560000}"/>
    <cellStyle name="Normal 2 15 4 3 3 3" xfId="22118" xr:uid="{00000000-0005-0000-0000-000069560000}"/>
    <cellStyle name="Normal 2 15 4 3 3 4" xfId="22119" xr:uid="{00000000-0005-0000-0000-00006A560000}"/>
    <cellStyle name="Normal 2 15 4 3 3 5" xfId="22120" xr:uid="{00000000-0005-0000-0000-00006B560000}"/>
    <cellStyle name="Normal 2 15 4 3 4" xfId="22121" xr:uid="{00000000-0005-0000-0000-00006C560000}"/>
    <cellStyle name="Normal 2 15 4 3 4 2" xfId="22122" xr:uid="{00000000-0005-0000-0000-00006D560000}"/>
    <cellStyle name="Normal 2 15 4 3 4 3" xfId="22123" xr:uid="{00000000-0005-0000-0000-00006E560000}"/>
    <cellStyle name="Normal 2 15 4 3 4 4" xfId="22124" xr:uid="{00000000-0005-0000-0000-00006F560000}"/>
    <cellStyle name="Normal 2 15 4 3 5" xfId="22125" xr:uid="{00000000-0005-0000-0000-000070560000}"/>
    <cellStyle name="Normal 2 15 4 3 5 2" xfId="22126" xr:uid="{00000000-0005-0000-0000-000071560000}"/>
    <cellStyle name="Normal 2 15 4 3 6" xfId="22127" xr:uid="{00000000-0005-0000-0000-000072560000}"/>
    <cellStyle name="Normal 2 15 4 3 7" xfId="22128" xr:uid="{00000000-0005-0000-0000-000073560000}"/>
    <cellStyle name="Normal 2 15 4 3 8" xfId="22129" xr:uid="{00000000-0005-0000-0000-000074560000}"/>
    <cellStyle name="Normal 2 15 4 3 9" xfId="22130" xr:uid="{00000000-0005-0000-0000-000075560000}"/>
    <cellStyle name="Normal 2 15 4 4" xfId="22131" xr:uid="{00000000-0005-0000-0000-000076560000}"/>
    <cellStyle name="Normal 2 15 4 4 2" xfId="22132" xr:uid="{00000000-0005-0000-0000-000077560000}"/>
    <cellStyle name="Normal 2 15 4 4 2 2" xfId="22133" xr:uid="{00000000-0005-0000-0000-000078560000}"/>
    <cellStyle name="Normal 2 15 4 4 2 3" xfId="22134" xr:uid="{00000000-0005-0000-0000-000079560000}"/>
    <cellStyle name="Normal 2 15 4 4 3" xfId="22135" xr:uid="{00000000-0005-0000-0000-00007A560000}"/>
    <cellStyle name="Normal 2 15 4 4 4" xfId="22136" xr:uid="{00000000-0005-0000-0000-00007B560000}"/>
    <cellStyle name="Normal 2 15 4 4 5" xfId="22137" xr:uid="{00000000-0005-0000-0000-00007C560000}"/>
    <cellStyle name="Normal 2 15 4 4 6" xfId="22138" xr:uid="{00000000-0005-0000-0000-00007D560000}"/>
    <cellStyle name="Normal 2 15 4 5" xfId="22139" xr:uid="{00000000-0005-0000-0000-00007E560000}"/>
    <cellStyle name="Normal 2 15 4 5 2" xfId="22140" xr:uid="{00000000-0005-0000-0000-00007F560000}"/>
    <cellStyle name="Normal 2 15 4 5 2 2" xfId="22141" xr:uid="{00000000-0005-0000-0000-000080560000}"/>
    <cellStyle name="Normal 2 15 4 5 3" xfId="22142" xr:uid="{00000000-0005-0000-0000-000081560000}"/>
    <cellStyle name="Normal 2 15 4 5 4" xfId="22143" xr:uid="{00000000-0005-0000-0000-000082560000}"/>
    <cellStyle name="Normal 2 15 4 5 5" xfId="22144" xr:uid="{00000000-0005-0000-0000-000083560000}"/>
    <cellStyle name="Normal 2 15 4 6" xfId="22145" xr:uid="{00000000-0005-0000-0000-000084560000}"/>
    <cellStyle name="Normal 2 15 4 6 2" xfId="22146" xr:uid="{00000000-0005-0000-0000-000085560000}"/>
    <cellStyle name="Normal 2 15 4 6 3" xfId="22147" xr:uid="{00000000-0005-0000-0000-000086560000}"/>
    <cellStyle name="Normal 2 15 4 6 4" xfId="22148" xr:uid="{00000000-0005-0000-0000-000087560000}"/>
    <cellStyle name="Normal 2 15 4 7" xfId="22149" xr:uid="{00000000-0005-0000-0000-000088560000}"/>
    <cellStyle name="Normal 2 15 4 7 2" xfId="22150" xr:uid="{00000000-0005-0000-0000-000089560000}"/>
    <cellStyle name="Normal 2 15 4 8" xfId="22151" xr:uid="{00000000-0005-0000-0000-00008A560000}"/>
    <cellStyle name="Normal 2 15 4 9" xfId="22152" xr:uid="{00000000-0005-0000-0000-00008B560000}"/>
    <cellStyle name="Normal 2 15 5" xfId="22153" xr:uid="{00000000-0005-0000-0000-00008C560000}"/>
    <cellStyle name="Normal 2 15 5 10" xfId="22154" xr:uid="{00000000-0005-0000-0000-00008D560000}"/>
    <cellStyle name="Normal 2 15 5 11" xfId="22155" xr:uid="{00000000-0005-0000-0000-00008E560000}"/>
    <cellStyle name="Normal 2 15 5 2" xfId="22156" xr:uid="{00000000-0005-0000-0000-00008F560000}"/>
    <cellStyle name="Normal 2 15 5 2 2" xfId="22157" xr:uid="{00000000-0005-0000-0000-000090560000}"/>
    <cellStyle name="Normal 2 15 5 2 2 2" xfId="22158" xr:uid="{00000000-0005-0000-0000-000091560000}"/>
    <cellStyle name="Normal 2 15 5 2 2 2 2" xfId="22159" xr:uid="{00000000-0005-0000-0000-000092560000}"/>
    <cellStyle name="Normal 2 15 5 2 2 2 3" xfId="22160" xr:uid="{00000000-0005-0000-0000-000093560000}"/>
    <cellStyle name="Normal 2 15 5 2 2 3" xfId="22161" xr:uid="{00000000-0005-0000-0000-000094560000}"/>
    <cellStyle name="Normal 2 15 5 2 2 4" xfId="22162" xr:uid="{00000000-0005-0000-0000-000095560000}"/>
    <cellStyle name="Normal 2 15 5 2 2 5" xfId="22163" xr:uid="{00000000-0005-0000-0000-000096560000}"/>
    <cellStyle name="Normal 2 15 5 2 2 6" xfId="22164" xr:uid="{00000000-0005-0000-0000-000097560000}"/>
    <cellStyle name="Normal 2 15 5 2 3" xfId="22165" xr:uid="{00000000-0005-0000-0000-000098560000}"/>
    <cellStyle name="Normal 2 15 5 2 3 2" xfId="22166" xr:uid="{00000000-0005-0000-0000-000099560000}"/>
    <cellStyle name="Normal 2 15 5 2 3 2 2" xfId="22167" xr:uid="{00000000-0005-0000-0000-00009A560000}"/>
    <cellStyle name="Normal 2 15 5 2 3 3" xfId="22168" xr:uid="{00000000-0005-0000-0000-00009B560000}"/>
    <cellStyle name="Normal 2 15 5 2 3 4" xfId="22169" xr:uid="{00000000-0005-0000-0000-00009C560000}"/>
    <cellStyle name="Normal 2 15 5 2 3 5" xfId="22170" xr:uid="{00000000-0005-0000-0000-00009D560000}"/>
    <cellStyle name="Normal 2 15 5 2 4" xfId="22171" xr:uid="{00000000-0005-0000-0000-00009E560000}"/>
    <cellStyle name="Normal 2 15 5 2 4 2" xfId="22172" xr:uid="{00000000-0005-0000-0000-00009F560000}"/>
    <cellStyle name="Normal 2 15 5 2 4 3" xfId="22173" xr:uid="{00000000-0005-0000-0000-0000A0560000}"/>
    <cellStyle name="Normal 2 15 5 2 4 4" xfId="22174" xr:uid="{00000000-0005-0000-0000-0000A1560000}"/>
    <cellStyle name="Normal 2 15 5 2 5" xfId="22175" xr:uid="{00000000-0005-0000-0000-0000A2560000}"/>
    <cellStyle name="Normal 2 15 5 2 5 2" xfId="22176" xr:uid="{00000000-0005-0000-0000-0000A3560000}"/>
    <cellStyle name="Normal 2 15 5 2 6" xfId="22177" xr:uid="{00000000-0005-0000-0000-0000A4560000}"/>
    <cellStyle name="Normal 2 15 5 2 7" xfId="22178" xr:uid="{00000000-0005-0000-0000-0000A5560000}"/>
    <cellStyle name="Normal 2 15 5 2 8" xfId="22179" xr:uid="{00000000-0005-0000-0000-0000A6560000}"/>
    <cellStyle name="Normal 2 15 5 2 9" xfId="22180" xr:uid="{00000000-0005-0000-0000-0000A7560000}"/>
    <cellStyle name="Normal 2 15 5 3" xfId="22181" xr:uid="{00000000-0005-0000-0000-0000A8560000}"/>
    <cellStyle name="Normal 2 15 5 3 2" xfId="22182" xr:uid="{00000000-0005-0000-0000-0000A9560000}"/>
    <cellStyle name="Normal 2 15 5 3 2 2" xfId="22183" xr:uid="{00000000-0005-0000-0000-0000AA560000}"/>
    <cellStyle name="Normal 2 15 5 3 2 2 2" xfId="22184" xr:uid="{00000000-0005-0000-0000-0000AB560000}"/>
    <cellStyle name="Normal 2 15 5 3 2 2 3" xfId="22185" xr:uid="{00000000-0005-0000-0000-0000AC560000}"/>
    <cellStyle name="Normal 2 15 5 3 2 3" xfId="22186" xr:uid="{00000000-0005-0000-0000-0000AD560000}"/>
    <cellStyle name="Normal 2 15 5 3 2 4" xfId="22187" xr:uid="{00000000-0005-0000-0000-0000AE560000}"/>
    <cellStyle name="Normal 2 15 5 3 2 5" xfId="22188" xr:uid="{00000000-0005-0000-0000-0000AF560000}"/>
    <cellStyle name="Normal 2 15 5 3 2 6" xfId="22189" xr:uid="{00000000-0005-0000-0000-0000B0560000}"/>
    <cellStyle name="Normal 2 15 5 3 3" xfId="22190" xr:uid="{00000000-0005-0000-0000-0000B1560000}"/>
    <cellStyle name="Normal 2 15 5 3 3 2" xfId="22191" xr:uid="{00000000-0005-0000-0000-0000B2560000}"/>
    <cellStyle name="Normal 2 15 5 3 3 2 2" xfId="22192" xr:uid="{00000000-0005-0000-0000-0000B3560000}"/>
    <cellStyle name="Normal 2 15 5 3 3 3" xfId="22193" xr:uid="{00000000-0005-0000-0000-0000B4560000}"/>
    <cellStyle name="Normal 2 15 5 3 3 4" xfId="22194" xr:uid="{00000000-0005-0000-0000-0000B5560000}"/>
    <cellStyle name="Normal 2 15 5 3 3 5" xfId="22195" xr:uid="{00000000-0005-0000-0000-0000B6560000}"/>
    <cellStyle name="Normal 2 15 5 3 4" xfId="22196" xr:uid="{00000000-0005-0000-0000-0000B7560000}"/>
    <cellStyle name="Normal 2 15 5 3 4 2" xfId="22197" xr:uid="{00000000-0005-0000-0000-0000B8560000}"/>
    <cellStyle name="Normal 2 15 5 3 4 3" xfId="22198" xr:uid="{00000000-0005-0000-0000-0000B9560000}"/>
    <cellStyle name="Normal 2 15 5 3 4 4" xfId="22199" xr:uid="{00000000-0005-0000-0000-0000BA560000}"/>
    <cellStyle name="Normal 2 15 5 3 5" xfId="22200" xr:uid="{00000000-0005-0000-0000-0000BB560000}"/>
    <cellStyle name="Normal 2 15 5 3 5 2" xfId="22201" xr:uid="{00000000-0005-0000-0000-0000BC560000}"/>
    <cellStyle name="Normal 2 15 5 3 6" xfId="22202" xr:uid="{00000000-0005-0000-0000-0000BD560000}"/>
    <cellStyle name="Normal 2 15 5 3 7" xfId="22203" xr:uid="{00000000-0005-0000-0000-0000BE560000}"/>
    <cellStyle name="Normal 2 15 5 3 8" xfId="22204" xr:uid="{00000000-0005-0000-0000-0000BF560000}"/>
    <cellStyle name="Normal 2 15 5 3 9" xfId="22205" xr:uid="{00000000-0005-0000-0000-0000C0560000}"/>
    <cellStyle name="Normal 2 15 5 4" xfId="22206" xr:uid="{00000000-0005-0000-0000-0000C1560000}"/>
    <cellStyle name="Normal 2 15 5 4 2" xfId="22207" xr:uid="{00000000-0005-0000-0000-0000C2560000}"/>
    <cellStyle name="Normal 2 15 5 4 2 2" xfId="22208" xr:uid="{00000000-0005-0000-0000-0000C3560000}"/>
    <cellStyle name="Normal 2 15 5 4 2 3" xfId="22209" xr:uid="{00000000-0005-0000-0000-0000C4560000}"/>
    <cellStyle name="Normal 2 15 5 4 3" xfId="22210" xr:uid="{00000000-0005-0000-0000-0000C5560000}"/>
    <cellStyle name="Normal 2 15 5 4 4" xfId="22211" xr:uid="{00000000-0005-0000-0000-0000C6560000}"/>
    <cellStyle name="Normal 2 15 5 4 5" xfId="22212" xr:uid="{00000000-0005-0000-0000-0000C7560000}"/>
    <cellStyle name="Normal 2 15 5 4 6" xfId="22213" xr:uid="{00000000-0005-0000-0000-0000C8560000}"/>
    <cellStyle name="Normal 2 15 5 5" xfId="22214" xr:uid="{00000000-0005-0000-0000-0000C9560000}"/>
    <cellStyle name="Normal 2 15 5 5 2" xfId="22215" xr:uid="{00000000-0005-0000-0000-0000CA560000}"/>
    <cellStyle name="Normal 2 15 5 5 2 2" xfId="22216" xr:uid="{00000000-0005-0000-0000-0000CB560000}"/>
    <cellStyle name="Normal 2 15 5 5 3" xfId="22217" xr:uid="{00000000-0005-0000-0000-0000CC560000}"/>
    <cellStyle name="Normal 2 15 5 5 4" xfId="22218" xr:uid="{00000000-0005-0000-0000-0000CD560000}"/>
    <cellStyle name="Normal 2 15 5 5 5" xfId="22219" xr:uid="{00000000-0005-0000-0000-0000CE560000}"/>
    <cellStyle name="Normal 2 15 5 6" xfId="22220" xr:uid="{00000000-0005-0000-0000-0000CF560000}"/>
    <cellStyle name="Normal 2 15 5 6 2" xfId="22221" xr:uid="{00000000-0005-0000-0000-0000D0560000}"/>
    <cellStyle name="Normal 2 15 5 6 3" xfId="22222" xr:uid="{00000000-0005-0000-0000-0000D1560000}"/>
    <cellStyle name="Normal 2 15 5 6 4" xfId="22223" xr:uid="{00000000-0005-0000-0000-0000D2560000}"/>
    <cellStyle name="Normal 2 15 5 7" xfId="22224" xr:uid="{00000000-0005-0000-0000-0000D3560000}"/>
    <cellStyle name="Normal 2 15 5 7 2" xfId="22225" xr:uid="{00000000-0005-0000-0000-0000D4560000}"/>
    <cellStyle name="Normal 2 15 5 8" xfId="22226" xr:uid="{00000000-0005-0000-0000-0000D5560000}"/>
    <cellStyle name="Normal 2 15 5 9" xfId="22227" xr:uid="{00000000-0005-0000-0000-0000D6560000}"/>
    <cellStyle name="Normal 2 15 6" xfId="22228" xr:uid="{00000000-0005-0000-0000-0000D7560000}"/>
    <cellStyle name="Normal 2 15 6 10" xfId="22229" xr:uid="{00000000-0005-0000-0000-0000D8560000}"/>
    <cellStyle name="Normal 2 15 6 11" xfId="22230" xr:uid="{00000000-0005-0000-0000-0000D9560000}"/>
    <cellStyle name="Normal 2 15 6 2" xfId="22231" xr:uid="{00000000-0005-0000-0000-0000DA560000}"/>
    <cellStyle name="Normal 2 15 6 2 2" xfId="22232" xr:uid="{00000000-0005-0000-0000-0000DB560000}"/>
    <cellStyle name="Normal 2 15 6 2 2 2" xfId="22233" xr:uid="{00000000-0005-0000-0000-0000DC560000}"/>
    <cellStyle name="Normal 2 15 6 2 2 2 2" xfId="22234" xr:uid="{00000000-0005-0000-0000-0000DD560000}"/>
    <cellStyle name="Normal 2 15 6 2 2 2 3" xfId="22235" xr:uid="{00000000-0005-0000-0000-0000DE560000}"/>
    <cellStyle name="Normal 2 15 6 2 2 3" xfId="22236" xr:uid="{00000000-0005-0000-0000-0000DF560000}"/>
    <cellStyle name="Normal 2 15 6 2 2 4" xfId="22237" xr:uid="{00000000-0005-0000-0000-0000E0560000}"/>
    <cellStyle name="Normal 2 15 6 2 2 5" xfId="22238" xr:uid="{00000000-0005-0000-0000-0000E1560000}"/>
    <cellStyle name="Normal 2 15 6 2 2 6" xfId="22239" xr:uid="{00000000-0005-0000-0000-0000E2560000}"/>
    <cellStyle name="Normal 2 15 6 2 3" xfId="22240" xr:uid="{00000000-0005-0000-0000-0000E3560000}"/>
    <cellStyle name="Normal 2 15 6 2 3 2" xfId="22241" xr:uid="{00000000-0005-0000-0000-0000E4560000}"/>
    <cellStyle name="Normal 2 15 6 2 3 2 2" xfId="22242" xr:uid="{00000000-0005-0000-0000-0000E5560000}"/>
    <cellStyle name="Normal 2 15 6 2 3 3" xfId="22243" xr:uid="{00000000-0005-0000-0000-0000E6560000}"/>
    <cellStyle name="Normal 2 15 6 2 3 4" xfId="22244" xr:uid="{00000000-0005-0000-0000-0000E7560000}"/>
    <cellStyle name="Normal 2 15 6 2 3 5" xfId="22245" xr:uid="{00000000-0005-0000-0000-0000E8560000}"/>
    <cellStyle name="Normal 2 15 6 2 4" xfId="22246" xr:uid="{00000000-0005-0000-0000-0000E9560000}"/>
    <cellStyle name="Normal 2 15 6 2 4 2" xfId="22247" xr:uid="{00000000-0005-0000-0000-0000EA560000}"/>
    <cellStyle name="Normal 2 15 6 2 4 3" xfId="22248" xr:uid="{00000000-0005-0000-0000-0000EB560000}"/>
    <cellStyle name="Normal 2 15 6 2 4 4" xfId="22249" xr:uid="{00000000-0005-0000-0000-0000EC560000}"/>
    <cellStyle name="Normal 2 15 6 2 5" xfId="22250" xr:uid="{00000000-0005-0000-0000-0000ED560000}"/>
    <cellStyle name="Normal 2 15 6 2 5 2" xfId="22251" xr:uid="{00000000-0005-0000-0000-0000EE560000}"/>
    <cellStyle name="Normal 2 15 6 2 6" xfId="22252" xr:uid="{00000000-0005-0000-0000-0000EF560000}"/>
    <cellStyle name="Normal 2 15 6 2 7" xfId="22253" xr:uid="{00000000-0005-0000-0000-0000F0560000}"/>
    <cellStyle name="Normal 2 15 6 2 8" xfId="22254" xr:uid="{00000000-0005-0000-0000-0000F1560000}"/>
    <cellStyle name="Normal 2 15 6 2 9" xfId="22255" xr:uid="{00000000-0005-0000-0000-0000F2560000}"/>
    <cellStyle name="Normal 2 15 6 3" xfId="22256" xr:uid="{00000000-0005-0000-0000-0000F3560000}"/>
    <cellStyle name="Normal 2 15 6 3 2" xfId="22257" xr:uid="{00000000-0005-0000-0000-0000F4560000}"/>
    <cellStyle name="Normal 2 15 6 3 2 2" xfId="22258" xr:uid="{00000000-0005-0000-0000-0000F5560000}"/>
    <cellStyle name="Normal 2 15 6 3 2 2 2" xfId="22259" xr:uid="{00000000-0005-0000-0000-0000F6560000}"/>
    <cellStyle name="Normal 2 15 6 3 2 2 3" xfId="22260" xr:uid="{00000000-0005-0000-0000-0000F7560000}"/>
    <cellStyle name="Normal 2 15 6 3 2 3" xfId="22261" xr:uid="{00000000-0005-0000-0000-0000F8560000}"/>
    <cellStyle name="Normal 2 15 6 3 2 4" xfId="22262" xr:uid="{00000000-0005-0000-0000-0000F9560000}"/>
    <cellStyle name="Normal 2 15 6 3 2 5" xfId="22263" xr:uid="{00000000-0005-0000-0000-0000FA560000}"/>
    <cellStyle name="Normal 2 15 6 3 2 6" xfId="22264" xr:uid="{00000000-0005-0000-0000-0000FB560000}"/>
    <cellStyle name="Normal 2 15 6 3 3" xfId="22265" xr:uid="{00000000-0005-0000-0000-0000FC560000}"/>
    <cellStyle name="Normal 2 15 6 3 3 2" xfId="22266" xr:uid="{00000000-0005-0000-0000-0000FD560000}"/>
    <cellStyle name="Normal 2 15 6 3 3 2 2" xfId="22267" xr:uid="{00000000-0005-0000-0000-0000FE560000}"/>
    <cellStyle name="Normal 2 15 6 3 3 3" xfId="22268" xr:uid="{00000000-0005-0000-0000-0000FF560000}"/>
    <cellStyle name="Normal 2 15 6 3 3 4" xfId="22269" xr:uid="{00000000-0005-0000-0000-000000570000}"/>
    <cellStyle name="Normal 2 15 6 3 3 5" xfId="22270" xr:uid="{00000000-0005-0000-0000-000001570000}"/>
    <cellStyle name="Normal 2 15 6 3 4" xfId="22271" xr:uid="{00000000-0005-0000-0000-000002570000}"/>
    <cellStyle name="Normal 2 15 6 3 4 2" xfId="22272" xr:uid="{00000000-0005-0000-0000-000003570000}"/>
    <cellStyle name="Normal 2 15 6 3 4 3" xfId="22273" xr:uid="{00000000-0005-0000-0000-000004570000}"/>
    <cellStyle name="Normal 2 15 6 3 4 4" xfId="22274" xr:uid="{00000000-0005-0000-0000-000005570000}"/>
    <cellStyle name="Normal 2 15 6 3 5" xfId="22275" xr:uid="{00000000-0005-0000-0000-000006570000}"/>
    <cellStyle name="Normal 2 15 6 3 5 2" xfId="22276" xr:uid="{00000000-0005-0000-0000-000007570000}"/>
    <cellStyle name="Normal 2 15 6 3 6" xfId="22277" xr:uid="{00000000-0005-0000-0000-000008570000}"/>
    <cellStyle name="Normal 2 15 6 3 7" xfId="22278" xr:uid="{00000000-0005-0000-0000-000009570000}"/>
    <cellStyle name="Normal 2 15 6 3 8" xfId="22279" xr:uid="{00000000-0005-0000-0000-00000A570000}"/>
    <cellStyle name="Normal 2 15 6 3 9" xfId="22280" xr:uid="{00000000-0005-0000-0000-00000B570000}"/>
    <cellStyle name="Normal 2 15 6 4" xfId="22281" xr:uid="{00000000-0005-0000-0000-00000C570000}"/>
    <cellStyle name="Normal 2 15 6 4 2" xfId="22282" xr:uid="{00000000-0005-0000-0000-00000D570000}"/>
    <cellStyle name="Normal 2 15 6 4 2 2" xfId="22283" xr:uid="{00000000-0005-0000-0000-00000E570000}"/>
    <cellStyle name="Normal 2 15 6 4 2 3" xfId="22284" xr:uid="{00000000-0005-0000-0000-00000F570000}"/>
    <cellStyle name="Normal 2 15 6 4 3" xfId="22285" xr:uid="{00000000-0005-0000-0000-000010570000}"/>
    <cellStyle name="Normal 2 15 6 4 4" xfId="22286" xr:uid="{00000000-0005-0000-0000-000011570000}"/>
    <cellStyle name="Normal 2 15 6 4 5" xfId="22287" xr:uid="{00000000-0005-0000-0000-000012570000}"/>
    <cellStyle name="Normal 2 15 6 4 6" xfId="22288" xr:uid="{00000000-0005-0000-0000-000013570000}"/>
    <cellStyle name="Normal 2 15 6 5" xfId="22289" xr:uid="{00000000-0005-0000-0000-000014570000}"/>
    <cellStyle name="Normal 2 15 6 5 2" xfId="22290" xr:uid="{00000000-0005-0000-0000-000015570000}"/>
    <cellStyle name="Normal 2 15 6 5 2 2" xfId="22291" xr:uid="{00000000-0005-0000-0000-000016570000}"/>
    <cellStyle name="Normal 2 15 6 5 3" xfId="22292" xr:uid="{00000000-0005-0000-0000-000017570000}"/>
    <cellStyle name="Normal 2 15 6 5 4" xfId="22293" xr:uid="{00000000-0005-0000-0000-000018570000}"/>
    <cellStyle name="Normal 2 15 6 5 5" xfId="22294" xr:uid="{00000000-0005-0000-0000-000019570000}"/>
    <cellStyle name="Normal 2 15 6 6" xfId="22295" xr:uid="{00000000-0005-0000-0000-00001A570000}"/>
    <cellStyle name="Normal 2 15 6 6 2" xfId="22296" xr:uid="{00000000-0005-0000-0000-00001B570000}"/>
    <cellStyle name="Normal 2 15 6 6 3" xfId="22297" xr:uid="{00000000-0005-0000-0000-00001C570000}"/>
    <cellStyle name="Normal 2 15 6 6 4" xfId="22298" xr:uid="{00000000-0005-0000-0000-00001D570000}"/>
    <cellStyle name="Normal 2 15 6 7" xfId="22299" xr:uid="{00000000-0005-0000-0000-00001E570000}"/>
    <cellStyle name="Normal 2 15 6 7 2" xfId="22300" xr:uid="{00000000-0005-0000-0000-00001F570000}"/>
    <cellStyle name="Normal 2 15 6 8" xfId="22301" xr:uid="{00000000-0005-0000-0000-000020570000}"/>
    <cellStyle name="Normal 2 15 6 9" xfId="22302" xr:uid="{00000000-0005-0000-0000-000021570000}"/>
    <cellStyle name="Normal 2 15 7" xfId="22303" xr:uid="{00000000-0005-0000-0000-000022570000}"/>
    <cellStyle name="Normal 2 15 7 10" xfId="22304" xr:uid="{00000000-0005-0000-0000-000023570000}"/>
    <cellStyle name="Normal 2 15 7 11" xfId="22305" xr:uid="{00000000-0005-0000-0000-000024570000}"/>
    <cellStyle name="Normal 2 15 7 2" xfId="22306" xr:uid="{00000000-0005-0000-0000-000025570000}"/>
    <cellStyle name="Normal 2 15 7 2 2" xfId="22307" xr:uid="{00000000-0005-0000-0000-000026570000}"/>
    <cellStyle name="Normal 2 15 7 2 2 2" xfId="22308" xr:uid="{00000000-0005-0000-0000-000027570000}"/>
    <cellStyle name="Normal 2 15 7 2 2 2 2" xfId="22309" xr:uid="{00000000-0005-0000-0000-000028570000}"/>
    <cellStyle name="Normal 2 15 7 2 2 2 3" xfId="22310" xr:uid="{00000000-0005-0000-0000-000029570000}"/>
    <cellStyle name="Normal 2 15 7 2 2 3" xfId="22311" xr:uid="{00000000-0005-0000-0000-00002A570000}"/>
    <cellStyle name="Normal 2 15 7 2 2 4" xfId="22312" xr:uid="{00000000-0005-0000-0000-00002B570000}"/>
    <cellStyle name="Normal 2 15 7 2 2 5" xfId="22313" xr:uid="{00000000-0005-0000-0000-00002C570000}"/>
    <cellStyle name="Normal 2 15 7 2 2 6" xfId="22314" xr:uid="{00000000-0005-0000-0000-00002D570000}"/>
    <cellStyle name="Normal 2 15 7 2 3" xfId="22315" xr:uid="{00000000-0005-0000-0000-00002E570000}"/>
    <cellStyle name="Normal 2 15 7 2 3 2" xfId="22316" xr:uid="{00000000-0005-0000-0000-00002F570000}"/>
    <cellStyle name="Normal 2 15 7 2 3 2 2" xfId="22317" xr:uid="{00000000-0005-0000-0000-000030570000}"/>
    <cellStyle name="Normal 2 15 7 2 3 3" xfId="22318" xr:uid="{00000000-0005-0000-0000-000031570000}"/>
    <cellStyle name="Normal 2 15 7 2 3 4" xfId="22319" xr:uid="{00000000-0005-0000-0000-000032570000}"/>
    <cellStyle name="Normal 2 15 7 2 3 5" xfId="22320" xr:uid="{00000000-0005-0000-0000-000033570000}"/>
    <cellStyle name="Normal 2 15 7 2 4" xfId="22321" xr:uid="{00000000-0005-0000-0000-000034570000}"/>
    <cellStyle name="Normal 2 15 7 2 4 2" xfId="22322" xr:uid="{00000000-0005-0000-0000-000035570000}"/>
    <cellStyle name="Normal 2 15 7 2 4 3" xfId="22323" xr:uid="{00000000-0005-0000-0000-000036570000}"/>
    <cellStyle name="Normal 2 15 7 2 4 4" xfId="22324" xr:uid="{00000000-0005-0000-0000-000037570000}"/>
    <cellStyle name="Normal 2 15 7 2 5" xfId="22325" xr:uid="{00000000-0005-0000-0000-000038570000}"/>
    <cellStyle name="Normal 2 15 7 2 5 2" xfId="22326" xr:uid="{00000000-0005-0000-0000-000039570000}"/>
    <cellStyle name="Normal 2 15 7 2 6" xfId="22327" xr:uid="{00000000-0005-0000-0000-00003A570000}"/>
    <cellStyle name="Normal 2 15 7 2 7" xfId="22328" xr:uid="{00000000-0005-0000-0000-00003B570000}"/>
    <cellStyle name="Normal 2 15 7 2 8" xfId="22329" xr:uid="{00000000-0005-0000-0000-00003C570000}"/>
    <cellStyle name="Normal 2 15 7 2 9" xfId="22330" xr:uid="{00000000-0005-0000-0000-00003D570000}"/>
    <cellStyle name="Normal 2 15 7 3" xfId="22331" xr:uid="{00000000-0005-0000-0000-00003E570000}"/>
    <cellStyle name="Normal 2 15 7 3 2" xfId="22332" xr:uid="{00000000-0005-0000-0000-00003F570000}"/>
    <cellStyle name="Normal 2 15 7 3 2 2" xfId="22333" xr:uid="{00000000-0005-0000-0000-000040570000}"/>
    <cellStyle name="Normal 2 15 7 3 2 2 2" xfId="22334" xr:uid="{00000000-0005-0000-0000-000041570000}"/>
    <cellStyle name="Normal 2 15 7 3 2 2 3" xfId="22335" xr:uid="{00000000-0005-0000-0000-000042570000}"/>
    <cellStyle name="Normal 2 15 7 3 2 3" xfId="22336" xr:uid="{00000000-0005-0000-0000-000043570000}"/>
    <cellStyle name="Normal 2 15 7 3 2 4" xfId="22337" xr:uid="{00000000-0005-0000-0000-000044570000}"/>
    <cellStyle name="Normal 2 15 7 3 2 5" xfId="22338" xr:uid="{00000000-0005-0000-0000-000045570000}"/>
    <cellStyle name="Normal 2 15 7 3 2 6" xfId="22339" xr:uid="{00000000-0005-0000-0000-000046570000}"/>
    <cellStyle name="Normal 2 15 7 3 3" xfId="22340" xr:uid="{00000000-0005-0000-0000-000047570000}"/>
    <cellStyle name="Normal 2 15 7 3 3 2" xfId="22341" xr:uid="{00000000-0005-0000-0000-000048570000}"/>
    <cellStyle name="Normal 2 15 7 3 3 2 2" xfId="22342" xr:uid="{00000000-0005-0000-0000-000049570000}"/>
    <cellStyle name="Normal 2 15 7 3 3 3" xfId="22343" xr:uid="{00000000-0005-0000-0000-00004A570000}"/>
    <cellStyle name="Normal 2 15 7 3 3 4" xfId="22344" xr:uid="{00000000-0005-0000-0000-00004B570000}"/>
    <cellStyle name="Normal 2 15 7 3 3 5" xfId="22345" xr:uid="{00000000-0005-0000-0000-00004C570000}"/>
    <cellStyle name="Normal 2 15 7 3 4" xfId="22346" xr:uid="{00000000-0005-0000-0000-00004D570000}"/>
    <cellStyle name="Normal 2 15 7 3 4 2" xfId="22347" xr:uid="{00000000-0005-0000-0000-00004E570000}"/>
    <cellStyle name="Normal 2 15 7 3 4 3" xfId="22348" xr:uid="{00000000-0005-0000-0000-00004F570000}"/>
    <cellStyle name="Normal 2 15 7 3 4 4" xfId="22349" xr:uid="{00000000-0005-0000-0000-000050570000}"/>
    <cellStyle name="Normal 2 15 7 3 5" xfId="22350" xr:uid="{00000000-0005-0000-0000-000051570000}"/>
    <cellStyle name="Normal 2 15 7 3 5 2" xfId="22351" xr:uid="{00000000-0005-0000-0000-000052570000}"/>
    <cellStyle name="Normal 2 15 7 3 6" xfId="22352" xr:uid="{00000000-0005-0000-0000-000053570000}"/>
    <cellStyle name="Normal 2 15 7 3 7" xfId="22353" xr:uid="{00000000-0005-0000-0000-000054570000}"/>
    <cellStyle name="Normal 2 15 7 3 8" xfId="22354" xr:uid="{00000000-0005-0000-0000-000055570000}"/>
    <cellStyle name="Normal 2 15 7 3 9" xfId="22355" xr:uid="{00000000-0005-0000-0000-000056570000}"/>
    <cellStyle name="Normal 2 15 7 4" xfId="22356" xr:uid="{00000000-0005-0000-0000-000057570000}"/>
    <cellStyle name="Normal 2 15 7 4 2" xfId="22357" xr:uid="{00000000-0005-0000-0000-000058570000}"/>
    <cellStyle name="Normal 2 15 7 4 2 2" xfId="22358" xr:uid="{00000000-0005-0000-0000-000059570000}"/>
    <cellStyle name="Normal 2 15 7 4 2 3" xfId="22359" xr:uid="{00000000-0005-0000-0000-00005A570000}"/>
    <cellStyle name="Normal 2 15 7 4 3" xfId="22360" xr:uid="{00000000-0005-0000-0000-00005B570000}"/>
    <cellStyle name="Normal 2 15 7 4 4" xfId="22361" xr:uid="{00000000-0005-0000-0000-00005C570000}"/>
    <cellStyle name="Normal 2 15 7 4 5" xfId="22362" xr:uid="{00000000-0005-0000-0000-00005D570000}"/>
    <cellStyle name="Normal 2 15 7 4 6" xfId="22363" xr:uid="{00000000-0005-0000-0000-00005E570000}"/>
    <cellStyle name="Normal 2 15 7 5" xfId="22364" xr:uid="{00000000-0005-0000-0000-00005F570000}"/>
    <cellStyle name="Normal 2 15 7 5 2" xfId="22365" xr:uid="{00000000-0005-0000-0000-000060570000}"/>
    <cellStyle name="Normal 2 15 7 5 2 2" xfId="22366" xr:uid="{00000000-0005-0000-0000-000061570000}"/>
    <cellStyle name="Normal 2 15 7 5 3" xfId="22367" xr:uid="{00000000-0005-0000-0000-000062570000}"/>
    <cellStyle name="Normal 2 15 7 5 4" xfId="22368" xr:uid="{00000000-0005-0000-0000-000063570000}"/>
    <cellStyle name="Normal 2 15 7 5 5" xfId="22369" xr:uid="{00000000-0005-0000-0000-000064570000}"/>
    <cellStyle name="Normal 2 15 7 6" xfId="22370" xr:uid="{00000000-0005-0000-0000-000065570000}"/>
    <cellStyle name="Normal 2 15 7 6 2" xfId="22371" xr:uid="{00000000-0005-0000-0000-000066570000}"/>
    <cellStyle name="Normal 2 15 7 6 3" xfId="22372" xr:uid="{00000000-0005-0000-0000-000067570000}"/>
    <cellStyle name="Normal 2 15 7 6 4" xfId="22373" xr:uid="{00000000-0005-0000-0000-000068570000}"/>
    <cellStyle name="Normal 2 15 7 7" xfId="22374" xr:uid="{00000000-0005-0000-0000-000069570000}"/>
    <cellStyle name="Normal 2 15 7 7 2" xfId="22375" xr:uid="{00000000-0005-0000-0000-00006A570000}"/>
    <cellStyle name="Normal 2 15 7 8" xfId="22376" xr:uid="{00000000-0005-0000-0000-00006B570000}"/>
    <cellStyle name="Normal 2 15 7 9" xfId="22377" xr:uid="{00000000-0005-0000-0000-00006C570000}"/>
    <cellStyle name="Normal 2 15 8" xfId="22378" xr:uid="{00000000-0005-0000-0000-00006D570000}"/>
    <cellStyle name="Normal 2 15 8 10" xfId="22379" xr:uid="{00000000-0005-0000-0000-00006E570000}"/>
    <cellStyle name="Normal 2 15 8 2" xfId="22380" xr:uid="{00000000-0005-0000-0000-00006F570000}"/>
    <cellStyle name="Normal 2 15 8 2 2" xfId="22381" xr:uid="{00000000-0005-0000-0000-000070570000}"/>
    <cellStyle name="Normal 2 15 8 2 2 2" xfId="22382" xr:uid="{00000000-0005-0000-0000-000071570000}"/>
    <cellStyle name="Normal 2 15 8 2 2 3" xfId="22383" xr:uid="{00000000-0005-0000-0000-000072570000}"/>
    <cellStyle name="Normal 2 15 8 2 3" xfId="22384" xr:uid="{00000000-0005-0000-0000-000073570000}"/>
    <cellStyle name="Normal 2 15 8 2 4" xfId="22385" xr:uid="{00000000-0005-0000-0000-000074570000}"/>
    <cellStyle name="Normal 2 15 8 2 5" xfId="22386" xr:uid="{00000000-0005-0000-0000-000075570000}"/>
    <cellStyle name="Normal 2 15 8 2 6" xfId="22387" xr:uid="{00000000-0005-0000-0000-000076570000}"/>
    <cellStyle name="Normal 2 15 8 3" xfId="22388" xr:uid="{00000000-0005-0000-0000-000077570000}"/>
    <cellStyle name="Normal 2 15 8 3 2" xfId="22389" xr:uid="{00000000-0005-0000-0000-000078570000}"/>
    <cellStyle name="Normal 2 15 8 3 2 2" xfId="22390" xr:uid="{00000000-0005-0000-0000-000079570000}"/>
    <cellStyle name="Normal 2 15 8 3 2 3" xfId="22391" xr:uid="{00000000-0005-0000-0000-00007A570000}"/>
    <cellStyle name="Normal 2 15 8 3 3" xfId="22392" xr:uid="{00000000-0005-0000-0000-00007B570000}"/>
    <cellStyle name="Normal 2 15 8 3 4" xfId="22393" xr:uid="{00000000-0005-0000-0000-00007C570000}"/>
    <cellStyle name="Normal 2 15 8 3 5" xfId="22394" xr:uid="{00000000-0005-0000-0000-00007D570000}"/>
    <cellStyle name="Normal 2 15 8 3 6" xfId="22395" xr:uid="{00000000-0005-0000-0000-00007E570000}"/>
    <cellStyle name="Normal 2 15 8 4" xfId="22396" xr:uid="{00000000-0005-0000-0000-00007F570000}"/>
    <cellStyle name="Normal 2 15 8 4 2" xfId="22397" xr:uid="{00000000-0005-0000-0000-000080570000}"/>
    <cellStyle name="Normal 2 15 8 4 2 2" xfId="22398" xr:uid="{00000000-0005-0000-0000-000081570000}"/>
    <cellStyle name="Normal 2 15 8 4 3" xfId="22399" xr:uid="{00000000-0005-0000-0000-000082570000}"/>
    <cellStyle name="Normal 2 15 8 4 4" xfId="22400" xr:uid="{00000000-0005-0000-0000-000083570000}"/>
    <cellStyle name="Normal 2 15 8 4 5" xfId="22401" xr:uid="{00000000-0005-0000-0000-000084570000}"/>
    <cellStyle name="Normal 2 15 8 5" xfId="22402" xr:uid="{00000000-0005-0000-0000-000085570000}"/>
    <cellStyle name="Normal 2 15 8 5 2" xfId="22403" xr:uid="{00000000-0005-0000-0000-000086570000}"/>
    <cellStyle name="Normal 2 15 8 5 3" xfId="22404" xr:uid="{00000000-0005-0000-0000-000087570000}"/>
    <cellStyle name="Normal 2 15 8 5 4" xfId="22405" xr:uid="{00000000-0005-0000-0000-000088570000}"/>
    <cellStyle name="Normal 2 15 8 6" xfId="22406" xr:uid="{00000000-0005-0000-0000-000089570000}"/>
    <cellStyle name="Normal 2 15 8 6 2" xfId="22407" xr:uid="{00000000-0005-0000-0000-00008A570000}"/>
    <cellStyle name="Normal 2 15 8 7" xfId="22408" xr:uid="{00000000-0005-0000-0000-00008B570000}"/>
    <cellStyle name="Normal 2 15 8 8" xfId="22409" xr:uid="{00000000-0005-0000-0000-00008C570000}"/>
    <cellStyle name="Normal 2 15 8 9" xfId="22410" xr:uid="{00000000-0005-0000-0000-00008D570000}"/>
    <cellStyle name="Normal 2 15 9" xfId="22411" xr:uid="{00000000-0005-0000-0000-00008E570000}"/>
    <cellStyle name="Normal 2 15 9 10" xfId="22412" xr:uid="{00000000-0005-0000-0000-00008F570000}"/>
    <cellStyle name="Normal 2 15 9 2" xfId="22413" xr:uid="{00000000-0005-0000-0000-000090570000}"/>
    <cellStyle name="Normal 2 15 9 2 2" xfId="22414" xr:uid="{00000000-0005-0000-0000-000091570000}"/>
    <cellStyle name="Normal 2 15 9 2 2 2" xfId="22415" xr:uid="{00000000-0005-0000-0000-000092570000}"/>
    <cellStyle name="Normal 2 15 9 2 2 3" xfId="22416" xr:uid="{00000000-0005-0000-0000-000093570000}"/>
    <cellStyle name="Normal 2 15 9 2 3" xfId="22417" xr:uid="{00000000-0005-0000-0000-000094570000}"/>
    <cellStyle name="Normal 2 15 9 2 4" xfId="22418" xr:uid="{00000000-0005-0000-0000-000095570000}"/>
    <cellStyle name="Normal 2 15 9 2 5" xfId="22419" xr:uid="{00000000-0005-0000-0000-000096570000}"/>
    <cellStyle name="Normal 2 15 9 2 6" xfId="22420" xr:uid="{00000000-0005-0000-0000-000097570000}"/>
    <cellStyle name="Normal 2 15 9 3" xfId="22421" xr:uid="{00000000-0005-0000-0000-000098570000}"/>
    <cellStyle name="Normal 2 15 9 3 2" xfId="22422" xr:uid="{00000000-0005-0000-0000-000099570000}"/>
    <cellStyle name="Normal 2 15 9 3 2 2" xfId="22423" xr:uid="{00000000-0005-0000-0000-00009A570000}"/>
    <cellStyle name="Normal 2 15 9 3 2 3" xfId="22424" xr:uid="{00000000-0005-0000-0000-00009B570000}"/>
    <cellStyle name="Normal 2 15 9 3 3" xfId="22425" xr:uid="{00000000-0005-0000-0000-00009C570000}"/>
    <cellStyle name="Normal 2 15 9 3 4" xfId="22426" xr:uid="{00000000-0005-0000-0000-00009D570000}"/>
    <cellStyle name="Normal 2 15 9 3 5" xfId="22427" xr:uid="{00000000-0005-0000-0000-00009E570000}"/>
    <cellStyle name="Normal 2 15 9 3 6" xfId="22428" xr:uid="{00000000-0005-0000-0000-00009F570000}"/>
    <cellStyle name="Normal 2 15 9 4" xfId="22429" xr:uid="{00000000-0005-0000-0000-0000A0570000}"/>
    <cellStyle name="Normal 2 15 9 4 2" xfId="22430" xr:uid="{00000000-0005-0000-0000-0000A1570000}"/>
    <cellStyle name="Normal 2 15 9 4 2 2" xfId="22431" xr:uid="{00000000-0005-0000-0000-0000A2570000}"/>
    <cellStyle name="Normal 2 15 9 4 3" xfId="22432" xr:uid="{00000000-0005-0000-0000-0000A3570000}"/>
    <cellStyle name="Normal 2 15 9 4 4" xfId="22433" xr:uid="{00000000-0005-0000-0000-0000A4570000}"/>
    <cellStyle name="Normal 2 15 9 4 5" xfId="22434" xr:uid="{00000000-0005-0000-0000-0000A5570000}"/>
    <cellStyle name="Normal 2 15 9 5" xfId="22435" xr:uid="{00000000-0005-0000-0000-0000A6570000}"/>
    <cellStyle name="Normal 2 15 9 5 2" xfId="22436" xr:uid="{00000000-0005-0000-0000-0000A7570000}"/>
    <cellStyle name="Normal 2 15 9 5 3" xfId="22437" xr:uid="{00000000-0005-0000-0000-0000A8570000}"/>
    <cellStyle name="Normal 2 15 9 5 4" xfId="22438" xr:uid="{00000000-0005-0000-0000-0000A9570000}"/>
    <cellStyle name="Normal 2 15 9 6" xfId="22439" xr:uid="{00000000-0005-0000-0000-0000AA570000}"/>
    <cellStyle name="Normal 2 15 9 6 2" xfId="22440" xr:uid="{00000000-0005-0000-0000-0000AB570000}"/>
    <cellStyle name="Normal 2 15 9 7" xfId="22441" xr:uid="{00000000-0005-0000-0000-0000AC570000}"/>
    <cellStyle name="Normal 2 15 9 8" xfId="22442" xr:uid="{00000000-0005-0000-0000-0000AD570000}"/>
    <cellStyle name="Normal 2 15 9 9" xfId="22443" xr:uid="{00000000-0005-0000-0000-0000AE570000}"/>
    <cellStyle name="Normal 2 16" xfId="22444" xr:uid="{00000000-0005-0000-0000-0000AF570000}"/>
    <cellStyle name="Normal 2 16 10" xfId="22445" xr:uid="{00000000-0005-0000-0000-0000B0570000}"/>
    <cellStyle name="Normal 2 16 11" xfId="22446" xr:uid="{00000000-0005-0000-0000-0000B1570000}"/>
    <cellStyle name="Normal 2 16 2" xfId="22447" xr:uid="{00000000-0005-0000-0000-0000B2570000}"/>
    <cellStyle name="Normal 2 16 2 2" xfId="22448" xr:uid="{00000000-0005-0000-0000-0000B3570000}"/>
    <cellStyle name="Normal 2 16 3" xfId="22449" xr:uid="{00000000-0005-0000-0000-0000B4570000}"/>
    <cellStyle name="Normal 2 16 3 2" xfId="22450" xr:uid="{00000000-0005-0000-0000-0000B5570000}"/>
    <cellStyle name="Normal 2 16 3 2 2" xfId="22451" xr:uid="{00000000-0005-0000-0000-0000B6570000}"/>
    <cellStyle name="Normal 2 16 3 2 2 2" xfId="22452" xr:uid="{00000000-0005-0000-0000-0000B7570000}"/>
    <cellStyle name="Normal 2 16 3 2 2 3" xfId="22453" xr:uid="{00000000-0005-0000-0000-0000B8570000}"/>
    <cellStyle name="Normal 2 16 3 2 3" xfId="22454" xr:uid="{00000000-0005-0000-0000-0000B9570000}"/>
    <cellStyle name="Normal 2 16 3 2 4" xfId="22455" xr:uid="{00000000-0005-0000-0000-0000BA570000}"/>
    <cellStyle name="Normal 2 16 3 2 5" xfId="22456" xr:uid="{00000000-0005-0000-0000-0000BB570000}"/>
    <cellStyle name="Normal 2 16 3 2 6" xfId="22457" xr:uid="{00000000-0005-0000-0000-0000BC570000}"/>
    <cellStyle name="Normal 2 16 3 3" xfId="22458" xr:uid="{00000000-0005-0000-0000-0000BD570000}"/>
    <cellStyle name="Normal 2 16 3 3 2" xfId="22459" xr:uid="{00000000-0005-0000-0000-0000BE570000}"/>
    <cellStyle name="Normal 2 16 3 3 2 2" xfId="22460" xr:uid="{00000000-0005-0000-0000-0000BF570000}"/>
    <cellStyle name="Normal 2 16 3 3 3" xfId="22461" xr:uid="{00000000-0005-0000-0000-0000C0570000}"/>
    <cellStyle name="Normal 2 16 3 3 4" xfId="22462" xr:uid="{00000000-0005-0000-0000-0000C1570000}"/>
    <cellStyle name="Normal 2 16 3 3 5" xfId="22463" xr:uid="{00000000-0005-0000-0000-0000C2570000}"/>
    <cellStyle name="Normal 2 16 3 4" xfId="22464" xr:uid="{00000000-0005-0000-0000-0000C3570000}"/>
    <cellStyle name="Normal 2 16 3 4 2" xfId="22465" xr:uid="{00000000-0005-0000-0000-0000C4570000}"/>
    <cellStyle name="Normal 2 16 3 4 3" xfId="22466" xr:uid="{00000000-0005-0000-0000-0000C5570000}"/>
    <cellStyle name="Normal 2 16 3 4 4" xfId="22467" xr:uid="{00000000-0005-0000-0000-0000C6570000}"/>
    <cellStyle name="Normal 2 16 3 5" xfId="22468" xr:uid="{00000000-0005-0000-0000-0000C7570000}"/>
    <cellStyle name="Normal 2 16 3 5 2" xfId="22469" xr:uid="{00000000-0005-0000-0000-0000C8570000}"/>
    <cellStyle name="Normal 2 16 3 6" xfId="22470" xr:uid="{00000000-0005-0000-0000-0000C9570000}"/>
    <cellStyle name="Normal 2 16 3 7" xfId="22471" xr:uid="{00000000-0005-0000-0000-0000CA570000}"/>
    <cellStyle name="Normal 2 16 3 8" xfId="22472" xr:uid="{00000000-0005-0000-0000-0000CB570000}"/>
    <cellStyle name="Normal 2 16 3 9" xfId="22473" xr:uid="{00000000-0005-0000-0000-0000CC570000}"/>
    <cellStyle name="Normal 2 16 4" xfId="22474" xr:uid="{00000000-0005-0000-0000-0000CD570000}"/>
    <cellStyle name="Normal 2 16 4 2" xfId="22475" xr:uid="{00000000-0005-0000-0000-0000CE570000}"/>
    <cellStyle name="Normal 2 16 4 2 2" xfId="22476" xr:uid="{00000000-0005-0000-0000-0000CF570000}"/>
    <cellStyle name="Normal 2 16 4 2 2 2" xfId="22477" xr:uid="{00000000-0005-0000-0000-0000D0570000}"/>
    <cellStyle name="Normal 2 16 4 2 2 3" xfId="22478" xr:uid="{00000000-0005-0000-0000-0000D1570000}"/>
    <cellStyle name="Normal 2 16 4 2 3" xfId="22479" xr:uid="{00000000-0005-0000-0000-0000D2570000}"/>
    <cellStyle name="Normal 2 16 4 2 4" xfId="22480" xr:uid="{00000000-0005-0000-0000-0000D3570000}"/>
    <cellStyle name="Normal 2 16 4 2 5" xfId="22481" xr:uid="{00000000-0005-0000-0000-0000D4570000}"/>
    <cellStyle name="Normal 2 16 4 2 6" xfId="22482" xr:uid="{00000000-0005-0000-0000-0000D5570000}"/>
    <cellStyle name="Normal 2 16 4 3" xfId="22483" xr:uid="{00000000-0005-0000-0000-0000D6570000}"/>
    <cellStyle name="Normal 2 16 4 3 2" xfId="22484" xr:uid="{00000000-0005-0000-0000-0000D7570000}"/>
    <cellStyle name="Normal 2 16 4 3 2 2" xfId="22485" xr:uid="{00000000-0005-0000-0000-0000D8570000}"/>
    <cellStyle name="Normal 2 16 4 3 3" xfId="22486" xr:uid="{00000000-0005-0000-0000-0000D9570000}"/>
    <cellStyle name="Normal 2 16 4 3 4" xfId="22487" xr:uid="{00000000-0005-0000-0000-0000DA570000}"/>
    <cellStyle name="Normal 2 16 4 3 5" xfId="22488" xr:uid="{00000000-0005-0000-0000-0000DB570000}"/>
    <cellStyle name="Normal 2 16 4 4" xfId="22489" xr:uid="{00000000-0005-0000-0000-0000DC570000}"/>
    <cellStyle name="Normal 2 16 4 4 2" xfId="22490" xr:uid="{00000000-0005-0000-0000-0000DD570000}"/>
    <cellStyle name="Normal 2 16 4 4 3" xfId="22491" xr:uid="{00000000-0005-0000-0000-0000DE570000}"/>
    <cellStyle name="Normal 2 16 4 4 4" xfId="22492" xr:uid="{00000000-0005-0000-0000-0000DF570000}"/>
    <cellStyle name="Normal 2 16 4 5" xfId="22493" xr:uid="{00000000-0005-0000-0000-0000E0570000}"/>
    <cellStyle name="Normal 2 16 4 5 2" xfId="22494" xr:uid="{00000000-0005-0000-0000-0000E1570000}"/>
    <cellStyle name="Normal 2 16 4 6" xfId="22495" xr:uid="{00000000-0005-0000-0000-0000E2570000}"/>
    <cellStyle name="Normal 2 16 4 7" xfId="22496" xr:uid="{00000000-0005-0000-0000-0000E3570000}"/>
    <cellStyle name="Normal 2 16 4 8" xfId="22497" xr:uid="{00000000-0005-0000-0000-0000E4570000}"/>
    <cellStyle name="Normal 2 16 4 9" xfId="22498" xr:uid="{00000000-0005-0000-0000-0000E5570000}"/>
    <cellStyle name="Normal 2 16 5" xfId="22499" xr:uid="{00000000-0005-0000-0000-0000E6570000}"/>
    <cellStyle name="Normal 2 16 5 2" xfId="22500" xr:uid="{00000000-0005-0000-0000-0000E7570000}"/>
    <cellStyle name="Normal 2 16 5 2 2" xfId="22501" xr:uid="{00000000-0005-0000-0000-0000E8570000}"/>
    <cellStyle name="Normal 2 16 5 2 3" xfId="22502" xr:uid="{00000000-0005-0000-0000-0000E9570000}"/>
    <cellStyle name="Normal 2 16 5 3" xfId="22503" xr:uid="{00000000-0005-0000-0000-0000EA570000}"/>
    <cellStyle name="Normal 2 16 5 4" xfId="22504" xr:uid="{00000000-0005-0000-0000-0000EB570000}"/>
    <cellStyle name="Normal 2 16 5 5" xfId="22505" xr:uid="{00000000-0005-0000-0000-0000EC570000}"/>
    <cellStyle name="Normal 2 16 5 6" xfId="22506" xr:uid="{00000000-0005-0000-0000-0000ED570000}"/>
    <cellStyle name="Normal 2 16 6" xfId="22507" xr:uid="{00000000-0005-0000-0000-0000EE570000}"/>
    <cellStyle name="Normal 2 16 6 2" xfId="22508" xr:uid="{00000000-0005-0000-0000-0000EF570000}"/>
    <cellStyle name="Normal 2 16 6 2 2" xfId="22509" xr:uid="{00000000-0005-0000-0000-0000F0570000}"/>
    <cellStyle name="Normal 2 16 6 3" xfId="22510" xr:uid="{00000000-0005-0000-0000-0000F1570000}"/>
    <cellStyle name="Normal 2 16 6 4" xfId="22511" xr:uid="{00000000-0005-0000-0000-0000F2570000}"/>
    <cellStyle name="Normal 2 16 6 5" xfId="22512" xr:uid="{00000000-0005-0000-0000-0000F3570000}"/>
    <cellStyle name="Normal 2 16 6 6" xfId="22513" xr:uid="{00000000-0005-0000-0000-0000F4570000}"/>
    <cellStyle name="Normal 2 16 7" xfId="22514" xr:uid="{00000000-0005-0000-0000-0000F5570000}"/>
    <cellStyle name="Normal 2 16 7 2" xfId="22515" xr:uid="{00000000-0005-0000-0000-0000F6570000}"/>
    <cellStyle name="Normal 2 16 7 3" xfId="22516" xr:uid="{00000000-0005-0000-0000-0000F7570000}"/>
    <cellStyle name="Normal 2 16 7 4" xfId="22517" xr:uid="{00000000-0005-0000-0000-0000F8570000}"/>
    <cellStyle name="Normal 2 16 7 5" xfId="22518" xr:uid="{00000000-0005-0000-0000-0000F9570000}"/>
    <cellStyle name="Normal 2 16 8" xfId="22519" xr:uid="{00000000-0005-0000-0000-0000FA570000}"/>
    <cellStyle name="Normal 2 16 8 2" xfId="22520" xr:uid="{00000000-0005-0000-0000-0000FB570000}"/>
    <cellStyle name="Normal 2 16 9" xfId="22521" xr:uid="{00000000-0005-0000-0000-0000FC570000}"/>
    <cellStyle name="Normal 2 17" xfId="22522" xr:uid="{00000000-0005-0000-0000-0000FD570000}"/>
    <cellStyle name="Normal 2 17 10" xfId="22523" xr:uid="{00000000-0005-0000-0000-0000FE570000}"/>
    <cellStyle name="Normal 2 17 11" xfId="22524" xr:uid="{00000000-0005-0000-0000-0000FF570000}"/>
    <cellStyle name="Normal 2 17 2" xfId="22525" xr:uid="{00000000-0005-0000-0000-000000580000}"/>
    <cellStyle name="Normal 2 17 2 2" xfId="22526" xr:uid="{00000000-0005-0000-0000-000001580000}"/>
    <cellStyle name="Normal 2 17 3" xfId="22527" xr:uid="{00000000-0005-0000-0000-000002580000}"/>
    <cellStyle name="Normal 2 17 3 2" xfId="22528" xr:uid="{00000000-0005-0000-0000-000003580000}"/>
    <cellStyle name="Normal 2 17 3 2 2" xfId="22529" xr:uid="{00000000-0005-0000-0000-000004580000}"/>
    <cellStyle name="Normal 2 17 3 2 2 2" xfId="22530" xr:uid="{00000000-0005-0000-0000-000005580000}"/>
    <cellStyle name="Normal 2 17 3 2 2 3" xfId="22531" xr:uid="{00000000-0005-0000-0000-000006580000}"/>
    <cellStyle name="Normal 2 17 3 2 3" xfId="22532" xr:uid="{00000000-0005-0000-0000-000007580000}"/>
    <cellStyle name="Normal 2 17 3 2 4" xfId="22533" xr:uid="{00000000-0005-0000-0000-000008580000}"/>
    <cellStyle name="Normal 2 17 3 2 5" xfId="22534" xr:uid="{00000000-0005-0000-0000-000009580000}"/>
    <cellStyle name="Normal 2 17 3 2 6" xfId="22535" xr:uid="{00000000-0005-0000-0000-00000A580000}"/>
    <cellStyle name="Normal 2 17 3 3" xfId="22536" xr:uid="{00000000-0005-0000-0000-00000B580000}"/>
    <cellStyle name="Normal 2 17 3 3 2" xfId="22537" xr:uid="{00000000-0005-0000-0000-00000C580000}"/>
    <cellStyle name="Normal 2 17 3 3 2 2" xfId="22538" xr:uid="{00000000-0005-0000-0000-00000D580000}"/>
    <cellStyle name="Normal 2 17 3 3 3" xfId="22539" xr:uid="{00000000-0005-0000-0000-00000E580000}"/>
    <cellStyle name="Normal 2 17 3 3 4" xfId="22540" xr:uid="{00000000-0005-0000-0000-00000F580000}"/>
    <cellStyle name="Normal 2 17 3 3 5" xfId="22541" xr:uid="{00000000-0005-0000-0000-000010580000}"/>
    <cellStyle name="Normal 2 17 3 4" xfId="22542" xr:uid="{00000000-0005-0000-0000-000011580000}"/>
    <cellStyle name="Normal 2 17 3 4 2" xfId="22543" xr:uid="{00000000-0005-0000-0000-000012580000}"/>
    <cellStyle name="Normal 2 17 3 4 3" xfId="22544" xr:uid="{00000000-0005-0000-0000-000013580000}"/>
    <cellStyle name="Normal 2 17 3 4 4" xfId="22545" xr:uid="{00000000-0005-0000-0000-000014580000}"/>
    <cellStyle name="Normal 2 17 3 5" xfId="22546" xr:uid="{00000000-0005-0000-0000-000015580000}"/>
    <cellStyle name="Normal 2 17 3 5 2" xfId="22547" xr:uid="{00000000-0005-0000-0000-000016580000}"/>
    <cellStyle name="Normal 2 17 3 6" xfId="22548" xr:uid="{00000000-0005-0000-0000-000017580000}"/>
    <cellStyle name="Normal 2 17 3 7" xfId="22549" xr:uid="{00000000-0005-0000-0000-000018580000}"/>
    <cellStyle name="Normal 2 17 3 8" xfId="22550" xr:uid="{00000000-0005-0000-0000-000019580000}"/>
    <cellStyle name="Normal 2 17 3 9" xfId="22551" xr:uid="{00000000-0005-0000-0000-00001A580000}"/>
    <cellStyle name="Normal 2 17 4" xfId="22552" xr:uid="{00000000-0005-0000-0000-00001B580000}"/>
    <cellStyle name="Normal 2 17 4 2" xfId="22553" xr:uid="{00000000-0005-0000-0000-00001C580000}"/>
    <cellStyle name="Normal 2 17 4 2 2" xfId="22554" xr:uid="{00000000-0005-0000-0000-00001D580000}"/>
    <cellStyle name="Normal 2 17 4 2 2 2" xfId="22555" xr:uid="{00000000-0005-0000-0000-00001E580000}"/>
    <cellStyle name="Normal 2 17 4 2 2 3" xfId="22556" xr:uid="{00000000-0005-0000-0000-00001F580000}"/>
    <cellStyle name="Normal 2 17 4 2 3" xfId="22557" xr:uid="{00000000-0005-0000-0000-000020580000}"/>
    <cellStyle name="Normal 2 17 4 2 4" xfId="22558" xr:uid="{00000000-0005-0000-0000-000021580000}"/>
    <cellStyle name="Normal 2 17 4 2 5" xfId="22559" xr:uid="{00000000-0005-0000-0000-000022580000}"/>
    <cellStyle name="Normal 2 17 4 2 6" xfId="22560" xr:uid="{00000000-0005-0000-0000-000023580000}"/>
    <cellStyle name="Normal 2 17 4 3" xfId="22561" xr:uid="{00000000-0005-0000-0000-000024580000}"/>
    <cellStyle name="Normal 2 17 4 3 2" xfId="22562" xr:uid="{00000000-0005-0000-0000-000025580000}"/>
    <cellStyle name="Normal 2 17 4 3 2 2" xfId="22563" xr:uid="{00000000-0005-0000-0000-000026580000}"/>
    <cellStyle name="Normal 2 17 4 3 3" xfId="22564" xr:uid="{00000000-0005-0000-0000-000027580000}"/>
    <cellStyle name="Normal 2 17 4 3 4" xfId="22565" xr:uid="{00000000-0005-0000-0000-000028580000}"/>
    <cellStyle name="Normal 2 17 4 3 5" xfId="22566" xr:uid="{00000000-0005-0000-0000-000029580000}"/>
    <cellStyle name="Normal 2 17 4 4" xfId="22567" xr:uid="{00000000-0005-0000-0000-00002A580000}"/>
    <cellStyle name="Normal 2 17 4 4 2" xfId="22568" xr:uid="{00000000-0005-0000-0000-00002B580000}"/>
    <cellStyle name="Normal 2 17 4 4 3" xfId="22569" xr:uid="{00000000-0005-0000-0000-00002C580000}"/>
    <cellStyle name="Normal 2 17 4 4 4" xfId="22570" xr:uid="{00000000-0005-0000-0000-00002D580000}"/>
    <cellStyle name="Normal 2 17 4 5" xfId="22571" xr:uid="{00000000-0005-0000-0000-00002E580000}"/>
    <cellStyle name="Normal 2 17 4 5 2" xfId="22572" xr:uid="{00000000-0005-0000-0000-00002F580000}"/>
    <cellStyle name="Normal 2 17 4 6" xfId="22573" xr:uid="{00000000-0005-0000-0000-000030580000}"/>
    <cellStyle name="Normal 2 17 4 7" xfId="22574" xr:uid="{00000000-0005-0000-0000-000031580000}"/>
    <cellStyle name="Normal 2 17 4 8" xfId="22575" xr:uid="{00000000-0005-0000-0000-000032580000}"/>
    <cellStyle name="Normal 2 17 4 9" xfId="22576" xr:uid="{00000000-0005-0000-0000-000033580000}"/>
    <cellStyle name="Normal 2 17 5" xfId="22577" xr:uid="{00000000-0005-0000-0000-000034580000}"/>
    <cellStyle name="Normal 2 17 5 2" xfId="22578" xr:uid="{00000000-0005-0000-0000-000035580000}"/>
    <cellStyle name="Normal 2 17 5 2 2" xfId="22579" xr:uid="{00000000-0005-0000-0000-000036580000}"/>
    <cellStyle name="Normal 2 17 5 2 3" xfId="22580" xr:uid="{00000000-0005-0000-0000-000037580000}"/>
    <cellStyle name="Normal 2 17 5 3" xfId="22581" xr:uid="{00000000-0005-0000-0000-000038580000}"/>
    <cellStyle name="Normal 2 17 5 4" xfId="22582" xr:uid="{00000000-0005-0000-0000-000039580000}"/>
    <cellStyle name="Normal 2 17 5 5" xfId="22583" xr:uid="{00000000-0005-0000-0000-00003A580000}"/>
    <cellStyle name="Normal 2 17 5 6" xfId="22584" xr:uid="{00000000-0005-0000-0000-00003B580000}"/>
    <cellStyle name="Normal 2 17 6" xfId="22585" xr:uid="{00000000-0005-0000-0000-00003C580000}"/>
    <cellStyle name="Normal 2 17 6 2" xfId="22586" xr:uid="{00000000-0005-0000-0000-00003D580000}"/>
    <cellStyle name="Normal 2 17 6 2 2" xfId="22587" xr:uid="{00000000-0005-0000-0000-00003E580000}"/>
    <cellStyle name="Normal 2 17 6 3" xfId="22588" xr:uid="{00000000-0005-0000-0000-00003F580000}"/>
    <cellStyle name="Normal 2 17 6 4" xfId="22589" xr:uid="{00000000-0005-0000-0000-000040580000}"/>
    <cellStyle name="Normal 2 17 6 5" xfId="22590" xr:uid="{00000000-0005-0000-0000-000041580000}"/>
    <cellStyle name="Normal 2 17 6 6" xfId="22591" xr:uid="{00000000-0005-0000-0000-000042580000}"/>
    <cellStyle name="Normal 2 17 7" xfId="22592" xr:uid="{00000000-0005-0000-0000-000043580000}"/>
    <cellStyle name="Normal 2 17 7 2" xfId="22593" xr:uid="{00000000-0005-0000-0000-000044580000}"/>
    <cellStyle name="Normal 2 17 7 3" xfId="22594" xr:uid="{00000000-0005-0000-0000-000045580000}"/>
    <cellStyle name="Normal 2 17 7 4" xfId="22595" xr:uid="{00000000-0005-0000-0000-000046580000}"/>
    <cellStyle name="Normal 2 17 7 5" xfId="22596" xr:uid="{00000000-0005-0000-0000-000047580000}"/>
    <cellStyle name="Normal 2 17 8" xfId="22597" xr:uid="{00000000-0005-0000-0000-000048580000}"/>
    <cellStyle name="Normal 2 17 8 2" xfId="22598" xr:uid="{00000000-0005-0000-0000-000049580000}"/>
    <cellStyle name="Normal 2 17 9" xfId="22599" xr:uid="{00000000-0005-0000-0000-00004A580000}"/>
    <cellStyle name="Normal 2 18" xfId="22600" xr:uid="{00000000-0005-0000-0000-00004B580000}"/>
    <cellStyle name="Normal 2 18 10" xfId="22601" xr:uid="{00000000-0005-0000-0000-00004C580000}"/>
    <cellStyle name="Normal 2 18 11" xfId="22602" xr:uid="{00000000-0005-0000-0000-00004D580000}"/>
    <cellStyle name="Normal 2 18 2" xfId="22603" xr:uid="{00000000-0005-0000-0000-00004E580000}"/>
    <cellStyle name="Normal 2 18 2 2" xfId="22604" xr:uid="{00000000-0005-0000-0000-00004F580000}"/>
    <cellStyle name="Normal 2 18 3" xfId="22605" xr:uid="{00000000-0005-0000-0000-000050580000}"/>
    <cellStyle name="Normal 2 18 3 2" xfId="22606" xr:uid="{00000000-0005-0000-0000-000051580000}"/>
    <cellStyle name="Normal 2 18 3 2 2" xfId="22607" xr:uid="{00000000-0005-0000-0000-000052580000}"/>
    <cellStyle name="Normal 2 18 3 2 2 2" xfId="22608" xr:uid="{00000000-0005-0000-0000-000053580000}"/>
    <cellStyle name="Normal 2 18 3 2 2 3" xfId="22609" xr:uid="{00000000-0005-0000-0000-000054580000}"/>
    <cellStyle name="Normal 2 18 3 2 3" xfId="22610" xr:uid="{00000000-0005-0000-0000-000055580000}"/>
    <cellStyle name="Normal 2 18 3 2 4" xfId="22611" xr:uid="{00000000-0005-0000-0000-000056580000}"/>
    <cellStyle name="Normal 2 18 3 2 5" xfId="22612" xr:uid="{00000000-0005-0000-0000-000057580000}"/>
    <cellStyle name="Normal 2 18 3 2 6" xfId="22613" xr:uid="{00000000-0005-0000-0000-000058580000}"/>
    <cellStyle name="Normal 2 18 3 3" xfId="22614" xr:uid="{00000000-0005-0000-0000-000059580000}"/>
    <cellStyle name="Normal 2 18 3 3 2" xfId="22615" xr:uid="{00000000-0005-0000-0000-00005A580000}"/>
    <cellStyle name="Normal 2 18 3 3 2 2" xfId="22616" xr:uid="{00000000-0005-0000-0000-00005B580000}"/>
    <cellStyle name="Normal 2 18 3 3 3" xfId="22617" xr:uid="{00000000-0005-0000-0000-00005C580000}"/>
    <cellStyle name="Normal 2 18 3 3 4" xfId="22618" xr:uid="{00000000-0005-0000-0000-00005D580000}"/>
    <cellStyle name="Normal 2 18 3 3 5" xfId="22619" xr:uid="{00000000-0005-0000-0000-00005E580000}"/>
    <cellStyle name="Normal 2 18 3 4" xfId="22620" xr:uid="{00000000-0005-0000-0000-00005F580000}"/>
    <cellStyle name="Normal 2 18 3 4 2" xfId="22621" xr:uid="{00000000-0005-0000-0000-000060580000}"/>
    <cellStyle name="Normal 2 18 3 4 3" xfId="22622" xr:uid="{00000000-0005-0000-0000-000061580000}"/>
    <cellStyle name="Normal 2 18 3 4 4" xfId="22623" xr:uid="{00000000-0005-0000-0000-000062580000}"/>
    <cellStyle name="Normal 2 18 3 5" xfId="22624" xr:uid="{00000000-0005-0000-0000-000063580000}"/>
    <cellStyle name="Normal 2 18 3 5 2" xfId="22625" xr:uid="{00000000-0005-0000-0000-000064580000}"/>
    <cellStyle name="Normal 2 18 3 6" xfId="22626" xr:uid="{00000000-0005-0000-0000-000065580000}"/>
    <cellStyle name="Normal 2 18 3 7" xfId="22627" xr:uid="{00000000-0005-0000-0000-000066580000}"/>
    <cellStyle name="Normal 2 18 3 8" xfId="22628" xr:uid="{00000000-0005-0000-0000-000067580000}"/>
    <cellStyle name="Normal 2 18 3 9" xfId="22629" xr:uid="{00000000-0005-0000-0000-000068580000}"/>
    <cellStyle name="Normal 2 18 4" xfId="22630" xr:uid="{00000000-0005-0000-0000-000069580000}"/>
    <cellStyle name="Normal 2 18 4 2" xfId="22631" xr:uid="{00000000-0005-0000-0000-00006A580000}"/>
    <cellStyle name="Normal 2 18 4 2 2" xfId="22632" xr:uid="{00000000-0005-0000-0000-00006B580000}"/>
    <cellStyle name="Normal 2 18 4 2 2 2" xfId="22633" xr:uid="{00000000-0005-0000-0000-00006C580000}"/>
    <cellStyle name="Normal 2 18 4 2 2 3" xfId="22634" xr:uid="{00000000-0005-0000-0000-00006D580000}"/>
    <cellStyle name="Normal 2 18 4 2 3" xfId="22635" xr:uid="{00000000-0005-0000-0000-00006E580000}"/>
    <cellStyle name="Normal 2 18 4 2 4" xfId="22636" xr:uid="{00000000-0005-0000-0000-00006F580000}"/>
    <cellStyle name="Normal 2 18 4 2 5" xfId="22637" xr:uid="{00000000-0005-0000-0000-000070580000}"/>
    <cellStyle name="Normal 2 18 4 2 6" xfId="22638" xr:uid="{00000000-0005-0000-0000-000071580000}"/>
    <cellStyle name="Normal 2 18 4 3" xfId="22639" xr:uid="{00000000-0005-0000-0000-000072580000}"/>
    <cellStyle name="Normal 2 18 4 3 2" xfId="22640" xr:uid="{00000000-0005-0000-0000-000073580000}"/>
    <cellStyle name="Normal 2 18 4 3 2 2" xfId="22641" xr:uid="{00000000-0005-0000-0000-000074580000}"/>
    <cellStyle name="Normal 2 18 4 3 3" xfId="22642" xr:uid="{00000000-0005-0000-0000-000075580000}"/>
    <cellStyle name="Normal 2 18 4 3 4" xfId="22643" xr:uid="{00000000-0005-0000-0000-000076580000}"/>
    <cellStyle name="Normal 2 18 4 3 5" xfId="22644" xr:uid="{00000000-0005-0000-0000-000077580000}"/>
    <cellStyle name="Normal 2 18 4 4" xfId="22645" xr:uid="{00000000-0005-0000-0000-000078580000}"/>
    <cellStyle name="Normal 2 18 4 4 2" xfId="22646" xr:uid="{00000000-0005-0000-0000-000079580000}"/>
    <cellStyle name="Normal 2 18 4 4 3" xfId="22647" xr:uid="{00000000-0005-0000-0000-00007A580000}"/>
    <cellStyle name="Normal 2 18 4 4 4" xfId="22648" xr:uid="{00000000-0005-0000-0000-00007B580000}"/>
    <cellStyle name="Normal 2 18 4 5" xfId="22649" xr:uid="{00000000-0005-0000-0000-00007C580000}"/>
    <cellStyle name="Normal 2 18 4 5 2" xfId="22650" xr:uid="{00000000-0005-0000-0000-00007D580000}"/>
    <cellStyle name="Normal 2 18 4 6" xfId="22651" xr:uid="{00000000-0005-0000-0000-00007E580000}"/>
    <cellStyle name="Normal 2 18 4 7" xfId="22652" xr:uid="{00000000-0005-0000-0000-00007F580000}"/>
    <cellStyle name="Normal 2 18 4 8" xfId="22653" xr:uid="{00000000-0005-0000-0000-000080580000}"/>
    <cellStyle name="Normal 2 18 4 9" xfId="22654" xr:uid="{00000000-0005-0000-0000-000081580000}"/>
    <cellStyle name="Normal 2 18 5" xfId="22655" xr:uid="{00000000-0005-0000-0000-000082580000}"/>
    <cellStyle name="Normal 2 18 5 2" xfId="22656" xr:uid="{00000000-0005-0000-0000-000083580000}"/>
    <cellStyle name="Normal 2 18 5 2 2" xfId="22657" xr:uid="{00000000-0005-0000-0000-000084580000}"/>
    <cellStyle name="Normal 2 18 5 2 3" xfId="22658" xr:uid="{00000000-0005-0000-0000-000085580000}"/>
    <cellStyle name="Normal 2 18 5 3" xfId="22659" xr:uid="{00000000-0005-0000-0000-000086580000}"/>
    <cellStyle name="Normal 2 18 5 4" xfId="22660" xr:uid="{00000000-0005-0000-0000-000087580000}"/>
    <cellStyle name="Normal 2 18 5 5" xfId="22661" xr:uid="{00000000-0005-0000-0000-000088580000}"/>
    <cellStyle name="Normal 2 18 5 6" xfId="22662" xr:uid="{00000000-0005-0000-0000-000089580000}"/>
    <cellStyle name="Normal 2 18 6" xfId="22663" xr:uid="{00000000-0005-0000-0000-00008A580000}"/>
    <cellStyle name="Normal 2 18 6 2" xfId="22664" xr:uid="{00000000-0005-0000-0000-00008B580000}"/>
    <cellStyle name="Normal 2 18 6 2 2" xfId="22665" xr:uid="{00000000-0005-0000-0000-00008C580000}"/>
    <cellStyle name="Normal 2 18 6 3" xfId="22666" xr:uid="{00000000-0005-0000-0000-00008D580000}"/>
    <cellStyle name="Normal 2 18 6 4" xfId="22667" xr:uid="{00000000-0005-0000-0000-00008E580000}"/>
    <cellStyle name="Normal 2 18 6 5" xfId="22668" xr:uid="{00000000-0005-0000-0000-00008F580000}"/>
    <cellStyle name="Normal 2 18 6 6" xfId="22669" xr:uid="{00000000-0005-0000-0000-000090580000}"/>
    <cellStyle name="Normal 2 18 7" xfId="22670" xr:uid="{00000000-0005-0000-0000-000091580000}"/>
    <cellStyle name="Normal 2 18 7 2" xfId="22671" xr:uid="{00000000-0005-0000-0000-000092580000}"/>
    <cellStyle name="Normal 2 18 7 3" xfId="22672" xr:uid="{00000000-0005-0000-0000-000093580000}"/>
    <cellStyle name="Normal 2 18 7 4" xfId="22673" xr:uid="{00000000-0005-0000-0000-000094580000}"/>
    <cellStyle name="Normal 2 18 7 5" xfId="22674" xr:uid="{00000000-0005-0000-0000-000095580000}"/>
    <cellStyle name="Normal 2 18 8" xfId="22675" xr:uid="{00000000-0005-0000-0000-000096580000}"/>
    <cellStyle name="Normal 2 18 8 2" xfId="22676" xr:uid="{00000000-0005-0000-0000-000097580000}"/>
    <cellStyle name="Normal 2 18 9" xfId="22677" xr:uid="{00000000-0005-0000-0000-000098580000}"/>
    <cellStyle name="Normal 2 19" xfId="22678" xr:uid="{00000000-0005-0000-0000-000099580000}"/>
    <cellStyle name="Normal 2 19 10" xfId="22679" xr:uid="{00000000-0005-0000-0000-00009A580000}"/>
    <cellStyle name="Normal 2 19 11" xfId="22680" xr:uid="{00000000-0005-0000-0000-00009B580000}"/>
    <cellStyle name="Normal 2 19 2" xfId="22681" xr:uid="{00000000-0005-0000-0000-00009C580000}"/>
    <cellStyle name="Normal 2 19 2 2" xfId="22682" xr:uid="{00000000-0005-0000-0000-00009D580000}"/>
    <cellStyle name="Normal 2 19 3" xfId="22683" xr:uid="{00000000-0005-0000-0000-00009E580000}"/>
    <cellStyle name="Normal 2 19 3 2" xfId="22684" xr:uid="{00000000-0005-0000-0000-00009F580000}"/>
    <cellStyle name="Normal 2 19 3 2 2" xfId="22685" xr:uid="{00000000-0005-0000-0000-0000A0580000}"/>
    <cellStyle name="Normal 2 19 3 2 2 2" xfId="22686" xr:uid="{00000000-0005-0000-0000-0000A1580000}"/>
    <cellStyle name="Normal 2 19 3 2 2 3" xfId="22687" xr:uid="{00000000-0005-0000-0000-0000A2580000}"/>
    <cellStyle name="Normal 2 19 3 2 3" xfId="22688" xr:uid="{00000000-0005-0000-0000-0000A3580000}"/>
    <cellStyle name="Normal 2 19 3 2 4" xfId="22689" xr:uid="{00000000-0005-0000-0000-0000A4580000}"/>
    <cellStyle name="Normal 2 19 3 2 5" xfId="22690" xr:uid="{00000000-0005-0000-0000-0000A5580000}"/>
    <cellStyle name="Normal 2 19 3 2 6" xfId="22691" xr:uid="{00000000-0005-0000-0000-0000A6580000}"/>
    <cellStyle name="Normal 2 19 3 3" xfId="22692" xr:uid="{00000000-0005-0000-0000-0000A7580000}"/>
    <cellStyle name="Normal 2 19 3 3 2" xfId="22693" xr:uid="{00000000-0005-0000-0000-0000A8580000}"/>
    <cellStyle name="Normal 2 19 3 3 2 2" xfId="22694" xr:uid="{00000000-0005-0000-0000-0000A9580000}"/>
    <cellStyle name="Normal 2 19 3 3 3" xfId="22695" xr:uid="{00000000-0005-0000-0000-0000AA580000}"/>
    <cellStyle name="Normal 2 19 3 3 4" xfId="22696" xr:uid="{00000000-0005-0000-0000-0000AB580000}"/>
    <cellStyle name="Normal 2 19 3 3 5" xfId="22697" xr:uid="{00000000-0005-0000-0000-0000AC580000}"/>
    <cellStyle name="Normal 2 19 3 4" xfId="22698" xr:uid="{00000000-0005-0000-0000-0000AD580000}"/>
    <cellStyle name="Normal 2 19 3 4 2" xfId="22699" xr:uid="{00000000-0005-0000-0000-0000AE580000}"/>
    <cellStyle name="Normal 2 19 3 4 3" xfId="22700" xr:uid="{00000000-0005-0000-0000-0000AF580000}"/>
    <cellStyle name="Normal 2 19 3 4 4" xfId="22701" xr:uid="{00000000-0005-0000-0000-0000B0580000}"/>
    <cellStyle name="Normal 2 19 3 5" xfId="22702" xr:uid="{00000000-0005-0000-0000-0000B1580000}"/>
    <cellStyle name="Normal 2 19 3 5 2" xfId="22703" xr:uid="{00000000-0005-0000-0000-0000B2580000}"/>
    <cellStyle name="Normal 2 19 3 6" xfId="22704" xr:uid="{00000000-0005-0000-0000-0000B3580000}"/>
    <cellStyle name="Normal 2 19 3 7" xfId="22705" xr:uid="{00000000-0005-0000-0000-0000B4580000}"/>
    <cellStyle name="Normal 2 19 3 8" xfId="22706" xr:uid="{00000000-0005-0000-0000-0000B5580000}"/>
    <cellStyle name="Normal 2 19 3 9" xfId="22707" xr:uid="{00000000-0005-0000-0000-0000B6580000}"/>
    <cellStyle name="Normal 2 19 4" xfId="22708" xr:uid="{00000000-0005-0000-0000-0000B7580000}"/>
    <cellStyle name="Normal 2 19 4 2" xfId="22709" xr:uid="{00000000-0005-0000-0000-0000B8580000}"/>
    <cellStyle name="Normal 2 19 4 2 2" xfId="22710" xr:uid="{00000000-0005-0000-0000-0000B9580000}"/>
    <cellStyle name="Normal 2 19 4 2 2 2" xfId="22711" xr:uid="{00000000-0005-0000-0000-0000BA580000}"/>
    <cellStyle name="Normal 2 19 4 2 2 3" xfId="22712" xr:uid="{00000000-0005-0000-0000-0000BB580000}"/>
    <cellStyle name="Normal 2 19 4 2 3" xfId="22713" xr:uid="{00000000-0005-0000-0000-0000BC580000}"/>
    <cellStyle name="Normal 2 19 4 2 4" xfId="22714" xr:uid="{00000000-0005-0000-0000-0000BD580000}"/>
    <cellStyle name="Normal 2 19 4 2 5" xfId="22715" xr:uid="{00000000-0005-0000-0000-0000BE580000}"/>
    <cellStyle name="Normal 2 19 4 2 6" xfId="22716" xr:uid="{00000000-0005-0000-0000-0000BF580000}"/>
    <cellStyle name="Normal 2 19 4 3" xfId="22717" xr:uid="{00000000-0005-0000-0000-0000C0580000}"/>
    <cellStyle name="Normal 2 19 4 3 2" xfId="22718" xr:uid="{00000000-0005-0000-0000-0000C1580000}"/>
    <cellStyle name="Normal 2 19 4 3 2 2" xfId="22719" xr:uid="{00000000-0005-0000-0000-0000C2580000}"/>
    <cellStyle name="Normal 2 19 4 3 3" xfId="22720" xr:uid="{00000000-0005-0000-0000-0000C3580000}"/>
    <cellStyle name="Normal 2 19 4 3 4" xfId="22721" xr:uid="{00000000-0005-0000-0000-0000C4580000}"/>
    <cellStyle name="Normal 2 19 4 3 5" xfId="22722" xr:uid="{00000000-0005-0000-0000-0000C5580000}"/>
    <cellStyle name="Normal 2 19 4 4" xfId="22723" xr:uid="{00000000-0005-0000-0000-0000C6580000}"/>
    <cellStyle name="Normal 2 19 4 4 2" xfId="22724" xr:uid="{00000000-0005-0000-0000-0000C7580000}"/>
    <cellStyle name="Normal 2 19 4 4 3" xfId="22725" xr:uid="{00000000-0005-0000-0000-0000C8580000}"/>
    <cellStyle name="Normal 2 19 4 4 4" xfId="22726" xr:uid="{00000000-0005-0000-0000-0000C9580000}"/>
    <cellStyle name="Normal 2 19 4 5" xfId="22727" xr:uid="{00000000-0005-0000-0000-0000CA580000}"/>
    <cellStyle name="Normal 2 19 4 5 2" xfId="22728" xr:uid="{00000000-0005-0000-0000-0000CB580000}"/>
    <cellStyle name="Normal 2 19 4 6" xfId="22729" xr:uid="{00000000-0005-0000-0000-0000CC580000}"/>
    <cellStyle name="Normal 2 19 4 7" xfId="22730" xr:uid="{00000000-0005-0000-0000-0000CD580000}"/>
    <cellStyle name="Normal 2 19 4 8" xfId="22731" xr:uid="{00000000-0005-0000-0000-0000CE580000}"/>
    <cellStyle name="Normal 2 19 4 9" xfId="22732" xr:uid="{00000000-0005-0000-0000-0000CF580000}"/>
    <cellStyle name="Normal 2 19 5" xfId="22733" xr:uid="{00000000-0005-0000-0000-0000D0580000}"/>
    <cellStyle name="Normal 2 19 5 2" xfId="22734" xr:uid="{00000000-0005-0000-0000-0000D1580000}"/>
    <cellStyle name="Normal 2 19 5 2 2" xfId="22735" xr:uid="{00000000-0005-0000-0000-0000D2580000}"/>
    <cellStyle name="Normal 2 19 5 2 3" xfId="22736" xr:uid="{00000000-0005-0000-0000-0000D3580000}"/>
    <cellStyle name="Normal 2 19 5 3" xfId="22737" xr:uid="{00000000-0005-0000-0000-0000D4580000}"/>
    <cellStyle name="Normal 2 19 5 4" xfId="22738" xr:uid="{00000000-0005-0000-0000-0000D5580000}"/>
    <cellStyle name="Normal 2 19 5 5" xfId="22739" xr:uid="{00000000-0005-0000-0000-0000D6580000}"/>
    <cellStyle name="Normal 2 19 5 6" xfId="22740" xr:uid="{00000000-0005-0000-0000-0000D7580000}"/>
    <cellStyle name="Normal 2 19 6" xfId="22741" xr:uid="{00000000-0005-0000-0000-0000D8580000}"/>
    <cellStyle name="Normal 2 19 6 2" xfId="22742" xr:uid="{00000000-0005-0000-0000-0000D9580000}"/>
    <cellStyle name="Normal 2 19 6 2 2" xfId="22743" xr:uid="{00000000-0005-0000-0000-0000DA580000}"/>
    <cellStyle name="Normal 2 19 6 3" xfId="22744" xr:uid="{00000000-0005-0000-0000-0000DB580000}"/>
    <cellStyle name="Normal 2 19 6 4" xfId="22745" xr:uid="{00000000-0005-0000-0000-0000DC580000}"/>
    <cellStyle name="Normal 2 19 6 5" xfId="22746" xr:uid="{00000000-0005-0000-0000-0000DD580000}"/>
    <cellStyle name="Normal 2 19 6 6" xfId="22747" xr:uid="{00000000-0005-0000-0000-0000DE580000}"/>
    <cellStyle name="Normal 2 19 7" xfId="22748" xr:uid="{00000000-0005-0000-0000-0000DF580000}"/>
    <cellStyle name="Normal 2 19 7 2" xfId="22749" xr:uid="{00000000-0005-0000-0000-0000E0580000}"/>
    <cellStyle name="Normal 2 19 7 3" xfId="22750" xr:uid="{00000000-0005-0000-0000-0000E1580000}"/>
    <cellStyle name="Normal 2 19 7 4" xfId="22751" xr:uid="{00000000-0005-0000-0000-0000E2580000}"/>
    <cellStyle name="Normal 2 19 7 5" xfId="22752" xr:uid="{00000000-0005-0000-0000-0000E3580000}"/>
    <cellStyle name="Normal 2 19 8" xfId="22753" xr:uid="{00000000-0005-0000-0000-0000E4580000}"/>
    <cellStyle name="Normal 2 19 8 2" xfId="22754" xr:uid="{00000000-0005-0000-0000-0000E5580000}"/>
    <cellStyle name="Normal 2 19 9" xfId="22755" xr:uid="{00000000-0005-0000-0000-0000E6580000}"/>
    <cellStyle name="Normal 2 2" xfId="22756" xr:uid="{00000000-0005-0000-0000-0000E7580000}"/>
    <cellStyle name="Normal 2 2 10" xfId="22757" xr:uid="{00000000-0005-0000-0000-0000E8580000}"/>
    <cellStyle name="Normal 2 2 10 2" xfId="22758" xr:uid="{00000000-0005-0000-0000-0000E9580000}"/>
    <cellStyle name="Normal 2 2 10 3" xfId="22759" xr:uid="{00000000-0005-0000-0000-0000EA580000}"/>
    <cellStyle name="Normal 2 2 10 4" xfId="22760" xr:uid="{00000000-0005-0000-0000-0000EB580000}"/>
    <cellStyle name="Normal 2 2 11" xfId="22761" xr:uid="{00000000-0005-0000-0000-0000EC580000}"/>
    <cellStyle name="Normal 2 2 11 2" xfId="22762" xr:uid="{00000000-0005-0000-0000-0000ED580000}"/>
    <cellStyle name="Normal 2 2 11 3" xfId="22763" xr:uid="{00000000-0005-0000-0000-0000EE580000}"/>
    <cellStyle name="Normal 2 2 11 4" xfId="22764" xr:uid="{00000000-0005-0000-0000-0000EF580000}"/>
    <cellStyle name="Normal 2 2 12" xfId="22765" xr:uid="{00000000-0005-0000-0000-0000F0580000}"/>
    <cellStyle name="Normal 2 2 12 2" xfId="22766" xr:uid="{00000000-0005-0000-0000-0000F1580000}"/>
    <cellStyle name="Normal 2 2 12 3" xfId="22767" xr:uid="{00000000-0005-0000-0000-0000F2580000}"/>
    <cellStyle name="Normal 2 2 12 4" xfId="22768" xr:uid="{00000000-0005-0000-0000-0000F3580000}"/>
    <cellStyle name="Normal 2 2 13" xfId="22769" xr:uid="{00000000-0005-0000-0000-0000F4580000}"/>
    <cellStyle name="Normal 2 2 13 2" xfId="22770" xr:uid="{00000000-0005-0000-0000-0000F5580000}"/>
    <cellStyle name="Normal 2 2 13 3" xfId="22771" xr:uid="{00000000-0005-0000-0000-0000F6580000}"/>
    <cellStyle name="Normal 2 2 13 4" xfId="22772" xr:uid="{00000000-0005-0000-0000-0000F7580000}"/>
    <cellStyle name="Normal 2 2 14" xfId="22773" xr:uid="{00000000-0005-0000-0000-0000F8580000}"/>
    <cellStyle name="Normal 2 2 14 2" xfId="22774" xr:uid="{00000000-0005-0000-0000-0000F9580000}"/>
    <cellStyle name="Normal 2 2 14 3" xfId="22775" xr:uid="{00000000-0005-0000-0000-0000FA580000}"/>
    <cellStyle name="Normal 2 2 14 4" xfId="22776" xr:uid="{00000000-0005-0000-0000-0000FB580000}"/>
    <cellStyle name="Normal 2 2 15" xfId="22777" xr:uid="{00000000-0005-0000-0000-0000FC580000}"/>
    <cellStyle name="Normal 2 2 15 2" xfId="22778" xr:uid="{00000000-0005-0000-0000-0000FD580000}"/>
    <cellStyle name="Normal 2 2 15 3" xfId="22779" xr:uid="{00000000-0005-0000-0000-0000FE580000}"/>
    <cellStyle name="Normal 2 2 15 4" xfId="22780" xr:uid="{00000000-0005-0000-0000-0000FF580000}"/>
    <cellStyle name="Normal 2 2 16" xfId="22781" xr:uid="{00000000-0005-0000-0000-000000590000}"/>
    <cellStyle name="Normal 2 2 16 2" xfId="22782" xr:uid="{00000000-0005-0000-0000-000001590000}"/>
    <cellStyle name="Normal 2 2 16 3" xfId="22783" xr:uid="{00000000-0005-0000-0000-000002590000}"/>
    <cellStyle name="Normal 2 2 16 4" xfId="22784" xr:uid="{00000000-0005-0000-0000-000003590000}"/>
    <cellStyle name="Normal 2 2 17" xfId="22785" xr:uid="{00000000-0005-0000-0000-000004590000}"/>
    <cellStyle name="Normal 2 2 17 2" xfId="22786" xr:uid="{00000000-0005-0000-0000-000005590000}"/>
    <cellStyle name="Normal 2 2 17 2 2" xfId="22787" xr:uid="{00000000-0005-0000-0000-000006590000}"/>
    <cellStyle name="Normal 2 2 18" xfId="22788" xr:uid="{00000000-0005-0000-0000-000007590000}"/>
    <cellStyle name="Normal 2 2 19" xfId="22789" xr:uid="{00000000-0005-0000-0000-000008590000}"/>
    <cellStyle name="Normal 2 2 2" xfId="22790" xr:uid="{00000000-0005-0000-0000-000009590000}"/>
    <cellStyle name="Normal 2 2 2 10" xfId="22791" xr:uid="{00000000-0005-0000-0000-00000A590000}"/>
    <cellStyle name="Normal 2 2 2 10 10" xfId="22792" xr:uid="{00000000-0005-0000-0000-00000B590000}"/>
    <cellStyle name="Normal 2 2 2 10 2" xfId="22793" xr:uid="{00000000-0005-0000-0000-00000C590000}"/>
    <cellStyle name="Normal 2 2 2 10 2 2" xfId="22794" xr:uid="{00000000-0005-0000-0000-00000D590000}"/>
    <cellStyle name="Normal 2 2 2 10 2 2 2" xfId="22795" xr:uid="{00000000-0005-0000-0000-00000E590000}"/>
    <cellStyle name="Normal 2 2 2 10 2 2 3" xfId="22796" xr:uid="{00000000-0005-0000-0000-00000F590000}"/>
    <cellStyle name="Normal 2 2 2 10 2 3" xfId="22797" xr:uid="{00000000-0005-0000-0000-000010590000}"/>
    <cellStyle name="Normal 2 2 2 10 2 4" xfId="22798" xr:uid="{00000000-0005-0000-0000-000011590000}"/>
    <cellStyle name="Normal 2 2 2 10 2 5" xfId="22799" xr:uid="{00000000-0005-0000-0000-000012590000}"/>
    <cellStyle name="Normal 2 2 2 10 2 6" xfId="22800" xr:uid="{00000000-0005-0000-0000-000013590000}"/>
    <cellStyle name="Normal 2 2 2 10 3" xfId="22801" xr:uid="{00000000-0005-0000-0000-000014590000}"/>
    <cellStyle name="Normal 2 2 2 10 3 2" xfId="22802" xr:uid="{00000000-0005-0000-0000-000015590000}"/>
    <cellStyle name="Normal 2 2 2 10 3 2 2" xfId="22803" xr:uid="{00000000-0005-0000-0000-000016590000}"/>
    <cellStyle name="Normal 2 2 2 10 3 2 3" xfId="22804" xr:uid="{00000000-0005-0000-0000-000017590000}"/>
    <cellStyle name="Normal 2 2 2 10 3 3" xfId="22805" xr:uid="{00000000-0005-0000-0000-000018590000}"/>
    <cellStyle name="Normal 2 2 2 10 3 4" xfId="22806" xr:uid="{00000000-0005-0000-0000-000019590000}"/>
    <cellStyle name="Normal 2 2 2 10 3 5" xfId="22807" xr:uid="{00000000-0005-0000-0000-00001A590000}"/>
    <cellStyle name="Normal 2 2 2 10 3 6" xfId="22808" xr:uid="{00000000-0005-0000-0000-00001B590000}"/>
    <cellStyle name="Normal 2 2 2 10 4" xfId="22809" xr:uid="{00000000-0005-0000-0000-00001C590000}"/>
    <cellStyle name="Normal 2 2 2 10 4 2" xfId="22810" xr:uid="{00000000-0005-0000-0000-00001D590000}"/>
    <cellStyle name="Normal 2 2 2 10 4 2 2" xfId="22811" xr:uid="{00000000-0005-0000-0000-00001E590000}"/>
    <cellStyle name="Normal 2 2 2 10 4 3" xfId="22812" xr:uid="{00000000-0005-0000-0000-00001F590000}"/>
    <cellStyle name="Normal 2 2 2 10 4 4" xfId="22813" xr:uid="{00000000-0005-0000-0000-000020590000}"/>
    <cellStyle name="Normal 2 2 2 10 4 5" xfId="22814" xr:uid="{00000000-0005-0000-0000-000021590000}"/>
    <cellStyle name="Normal 2 2 2 10 5" xfId="22815" xr:uid="{00000000-0005-0000-0000-000022590000}"/>
    <cellStyle name="Normal 2 2 2 10 5 2" xfId="22816" xr:uid="{00000000-0005-0000-0000-000023590000}"/>
    <cellStyle name="Normal 2 2 2 10 5 3" xfId="22817" xr:uid="{00000000-0005-0000-0000-000024590000}"/>
    <cellStyle name="Normal 2 2 2 10 5 4" xfId="22818" xr:uid="{00000000-0005-0000-0000-000025590000}"/>
    <cellStyle name="Normal 2 2 2 10 6" xfId="22819" xr:uid="{00000000-0005-0000-0000-000026590000}"/>
    <cellStyle name="Normal 2 2 2 10 6 2" xfId="22820" xr:uid="{00000000-0005-0000-0000-000027590000}"/>
    <cellStyle name="Normal 2 2 2 10 7" xfId="22821" xr:uid="{00000000-0005-0000-0000-000028590000}"/>
    <cellStyle name="Normal 2 2 2 10 8" xfId="22822" xr:uid="{00000000-0005-0000-0000-000029590000}"/>
    <cellStyle name="Normal 2 2 2 10 9" xfId="22823" xr:uid="{00000000-0005-0000-0000-00002A590000}"/>
    <cellStyle name="Normal 2 2 2 11" xfId="22824" xr:uid="{00000000-0005-0000-0000-00002B590000}"/>
    <cellStyle name="Normal 2 2 2 11 10" xfId="22825" xr:uid="{00000000-0005-0000-0000-00002C590000}"/>
    <cellStyle name="Normal 2 2 2 11 2" xfId="22826" xr:uid="{00000000-0005-0000-0000-00002D590000}"/>
    <cellStyle name="Normal 2 2 2 11 2 2" xfId="22827" xr:uid="{00000000-0005-0000-0000-00002E590000}"/>
    <cellStyle name="Normal 2 2 2 11 2 2 2" xfId="22828" xr:uid="{00000000-0005-0000-0000-00002F590000}"/>
    <cellStyle name="Normal 2 2 2 11 2 2 3" xfId="22829" xr:uid="{00000000-0005-0000-0000-000030590000}"/>
    <cellStyle name="Normal 2 2 2 11 2 3" xfId="22830" xr:uid="{00000000-0005-0000-0000-000031590000}"/>
    <cellStyle name="Normal 2 2 2 11 2 4" xfId="22831" xr:uid="{00000000-0005-0000-0000-000032590000}"/>
    <cellStyle name="Normal 2 2 2 11 2 5" xfId="22832" xr:uid="{00000000-0005-0000-0000-000033590000}"/>
    <cellStyle name="Normal 2 2 2 11 2 6" xfId="22833" xr:uid="{00000000-0005-0000-0000-000034590000}"/>
    <cellStyle name="Normal 2 2 2 11 3" xfId="22834" xr:uid="{00000000-0005-0000-0000-000035590000}"/>
    <cellStyle name="Normal 2 2 2 11 3 2" xfId="22835" xr:uid="{00000000-0005-0000-0000-000036590000}"/>
    <cellStyle name="Normal 2 2 2 11 3 2 2" xfId="22836" xr:uid="{00000000-0005-0000-0000-000037590000}"/>
    <cellStyle name="Normal 2 2 2 11 3 2 3" xfId="22837" xr:uid="{00000000-0005-0000-0000-000038590000}"/>
    <cellStyle name="Normal 2 2 2 11 3 3" xfId="22838" xr:uid="{00000000-0005-0000-0000-000039590000}"/>
    <cellStyle name="Normal 2 2 2 11 3 4" xfId="22839" xr:uid="{00000000-0005-0000-0000-00003A590000}"/>
    <cellStyle name="Normal 2 2 2 11 3 5" xfId="22840" xr:uid="{00000000-0005-0000-0000-00003B590000}"/>
    <cellStyle name="Normal 2 2 2 11 3 6" xfId="22841" xr:uid="{00000000-0005-0000-0000-00003C590000}"/>
    <cellStyle name="Normal 2 2 2 11 4" xfId="22842" xr:uid="{00000000-0005-0000-0000-00003D590000}"/>
    <cellStyle name="Normal 2 2 2 11 4 2" xfId="22843" xr:uid="{00000000-0005-0000-0000-00003E590000}"/>
    <cellStyle name="Normal 2 2 2 11 4 2 2" xfId="22844" xr:uid="{00000000-0005-0000-0000-00003F590000}"/>
    <cellStyle name="Normal 2 2 2 11 4 3" xfId="22845" xr:uid="{00000000-0005-0000-0000-000040590000}"/>
    <cellStyle name="Normal 2 2 2 11 4 4" xfId="22846" xr:uid="{00000000-0005-0000-0000-000041590000}"/>
    <cellStyle name="Normal 2 2 2 11 4 5" xfId="22847" xr:uid="{00000000-0005-0000-0000-000042590000}"/>
    <cellStyle name="Normal 2 2 2 11 5" xfId="22848" xr:uid="{00000000-0005-0000-0000-000043590000}"/>
    <cellStyle name="Normal 2 2 2 11 5 2" xfId="22849" xr:uid="{00000000-0005-0000-0000-000044590000}"/>
    <cellStyle name="Normal 2 2 2 11 5 3" xfId="22850" xr:uid="{00000000-0005-0000-0000-000045590000}"/>
    <cellStyle name="Normal 2 2 2 11 5 4" xfId="22851" xr:uid="{00000000-0005-0000-0000-000046590000}"/>
    <cellStyle name="Normal 2 2 2 11 6" xfId="22852" xr:uid="{00000000-0005-0000-0000-000047590000}"/>
    <cellStyle name="Normal 2 2 2 11 6 2" xfId="22853" xr:uid="{00000000-0005-0000-0000-000048590000}"/>
    <cellStyle name="Normal 2 2 2 11 7" xfId="22854" xr:uid="{00000000-0005-0000-0000-000049590000}"/>
    <cellStyle name="Normal 2 2 2 11 8" xfId="22855" xr:uid="{00000000-0005-0000-0000-00004A590000}"/>
    <cellStyle name="Normal 2 2 2 11 9" xfId="22856" xr:uid="{00000000-0005-0000-0000-00004B590000}"/>
    <cellStyle name="Normal 2 2 2 12" xfId="22857" xr:uid="{00000000-0005-0000-0000-00004C590000}"/>
    <cellStyle name="Normal 2 2 2 12 10" xfId="22858" xr:uid="{00000000-0005-0000-0000-00004D590000}"/>
    <cellStyle name="Normal 2 2 2 12 2" xfId="22859" xr:uid="{00000000-0005-0000-0000-00004E590000}"/>
    <cellStyle name="Normal 2 2 2 12 2 2" xfId="22860" xr:uid="{00000000-0005-0000-0000-00004F590000}"/>
    <cellStyle name="Normal 2 2 2 12 2 2 2" xfId="22861" xr:uid="{00000000-0005-0000-0000-000050590000}"/>
    <cellStyle name="Normal 2 2 2 12 2 2 3" xfId="22862" xr:uid="{00000000-0005-0000-0000-000051590000}"/>
    <cellStyle name="Normal 2 2 2 12 2 3" xfId="22863" xr:uid="{00000000-0005-0000-0000-000052590000}"/>
    <cellStyle name="Normal 2 2 2 12 2 4" xfId="22864" xr:uid="{00000000-0005-0000-0000-000053590000}"/>
    <cellStyle name="Normal 2 2 2 12 2 5" xfId="22865" xr:uid="{00000000-0005-0000-0000-000054590000}"/>
    <cellStyle name="Normal 2 2 2 12 2 6" xfId="22866" xr:uid="{00000000-0005-0000-0000-000055590000}"/>
    <cellStyle name="Normal 2 2 2 12 3" xfId="22867" xr:uid="{00000000-0005-0000-0000-000056590000}"/>
    <cellStyle name="Normal 2 2 2 12 3 2" xfId="22868" xr:uid="{00000000-0005-0000-0000-000057590000}"/>
    <cellStyle name="Normal 2 2 2 12 3 2 2" xfId="22869" xr:uid="{00000000-0005-0000-0000-000058590000}"/>
    <cellStyle name="Normal 2 2 2 12 3 2 3" xfId="22870" xr:uid="{00000000-0005-0000-0000-000059590000}"/>
    <cellStyle name="Normal 2 2 2 12 3 3" xfId="22871" xr:uid="{00000000-0005-0000-0000-00005A590000}"/>
    <cellStyle name="Normal 2 2 2 12 3 4" xfId="22872" xr:uid="{00000000-0005-0000-0000-00005B590000}"/>
    <cellStyle name="Normal 2 2 2 12 3 5" xfId="22873" xr:uid="{00000000-0005-0000-0000-00005C590000}"/>
    <cellStyle name="Normal 2 2 2 12 3 6" xfId="22874" xr:uid="{00000000-0005-0000-0000-00005D590000}"/>
    <cellStyle name="Normal 2 2 2 12 4" xfId="22875" xr:uid="{00000000-0005-0000-0000-00005E590000}"/>
    <cellStyle name="Normal 2 2 2 12 4 2" xfId="22876" xr:uid="{00000000-0005-0000-0000-00005F590000}"/>
    <cellStyle name="Normal 2 2 2 12 4 2 2" xfId="22877" xr:uid="{00000000-0005-0000-0000-000060590000}"/>
    <cellStyle name="Normal 2 2 2 12 4 3" xfId="22878" xr:uid="{00000000-0005-0000-0000-000061590000}"/>
    <cellStyle name="Normal 2 2 2 12 4 4" xfId="22879" xr:uid="{00000000-0005-0000-0000-000062590000}"/>
    <cellStyle name="Normal 2 2 2 12 4 5" xfId="22880" xr:uid="{00000000-0005-0000-0000-000063590000}"/>
    <cellStyle name="Normal 2 2 2 12 5" xfId="22881" xr:uid="{00000000-0005-0000-0000-000064590000}"/>
    <cellStyle name="Normal 2 2 2 12 5 2" xfId="22882" xr:uid="{00000000-0005-0000-0000-000065590000}"/>
    <cellStyle name="Normal 2 2 2 12 5 3" xfId="22883" xr:uid="{00000000-0005-0000-0000-000066590000}"/>
    <cellStyle name="Normal 2 2 2 12 5 4" xfId="22884" xr:uid="{00000000-0005-0000-0000-000067590000}"/>
    <cellStyle name="Normal 2 2 2 12 6" xfId="22885" xr:uid="{00000000-0005-0000-0000-000068590000}"/>
    <cellStyle name="Normal 2 2 2 12 6 2" xfId="22886" xr:uid="{00000000-0005-0000-0000-000069590000}"/>
    <cellStyle name="Normal 2 2 2 12 7" xfId="22887" xr:uid="{00000000-0005-0000-0000-00006A590000}"/>
    <cellStyle name="Normal 2 2 2 12 8" xfId="22888" xr:uid="{00000000-0005-0000-0000-00006B590000}"/>
    <cellStyle name="Normal 2 2 2 12 9" xfId="22889" xr:uid="{00000000-0005-0000-0000-00006C590000}"/>
    <cellStyle name="Normal 2 2 2 13" xfId="22890" xr:uid="{00000000-0005-0000-0000-00006D590000}"/>
    <cellStyle name="Normal 2 2 2 13 10" xfId="22891" xr:uid="{00000000-0005-0000-0000-00006E590000}"/>
    <cellStyle name="Normal 2 2 2 13 2" xfId="22892" xr:uid="{00000000-0005-0000-0000-00006F590000}"/>
    <cellStyle name="Normal 2 2 2 13 2 2" xfId="22893" xr:uid="{00000000-0005-0000-0000-000070590000}"/>
    <cellStyle name="Normal 2 2 2 13 2 2 2" xfId="22894" xr:uid="{00000000-0005-0000-0000-000071590000}"/>
    <cellStyle name="Normal 2 2 2 13 2 2 3" xfId="22895" xr:uid="{00000000-0005-0000-0000-000072590000}"/>
    <cellStyle name="Normal 2 2 2 13 2 3" xfId="22896" xr:uid="{00000000-0005-0000-0000-000073590000}"/>
    <cellStyle name="Normal 2 2 2 13 2 4" xfId="22897" xr:uid="{00000000-0005-0000-0000-000074590000}"/>
    <cellStyle name="Normal 2 2 2 13 2 5" xfId="22898" xr:uid="{00000000-0005-0000-0000-000075590000}"/>
    <cellStyle name="Normal 2 2 2 13 2 6" xfId="22899" xr:uid="{00000000-0005-0000-0000-000076590000}"/>
    <cellStyle name="Normal 2 2 2 13 3" xfId="22900" xr:uid="{00000000-0005-0000-0000-000077590000}"/>
    <cellStyle name="Normal 2 2 2 13 3 2" xfId="22901" xr:uid="{00000000-0005-0000-0000-000078590000}"/>
    <cellStyle name="Normal 2 2 2 13 3 2 2" xfId="22902" xr:uid="{00000000-0005-0000-0000-000079590000}"/>
    <cellStyle name="Normal 2 2 2 13 3 2 3" xfId="22903" xr:uid="{00000000-0005-0000-0000-00007A590000}"/>
    <cellStyle name="Normal 2 2 2 13 3 3" xfId="22904" xr:uid="{00000000-0005-0000-0000-00007B590000}"/>
    <cellStyle name="Normal 2 2 2 13 3 4" xfId="22905" xr:uid="{00000000-0005-0000-0000-00007C590000}"/>
    <cellStyle name="Normal 2 2 2 13 3 5" xfId="22906" xr:uid="{00000000-0005-0000-0000-00007D590000}"/>
    <cellStyle name="Normal 2 2 2 13 3 6" xfId="22907" xr:uid="{00000000-0005-0000-0000-00007E590000}"/>
    <cellStyle name="Normal 2 2 2 13 4" xfId="22908" xr:uid="{00000000-0005-0000-0000-00007F590000}"/>
    <cellStyle name="Normal 2 2 2 13 4 2" xfId="22909" xr:uid="{00000000-0005-0000-0000-000080590000}"/>
    <cellStyle name="Normal 2 2 2 13 4 2 2" xfId="22910" xr:uid="{00000000-0005-0000-0000-000081590000}"/>
    <cellStyle name="Normal 2 2 2 13 4 3" xfId="22911" xr:uid="{00000000-0005-0000-0000-000082590000}"/>
    <cellStyle name="Normal 2 2 2 13 4 4" xfId="22912" xr:uid="{00000000-0005-0000-0000-000083590000}"/>
    <cellStyle name="Normal 2 2 2 13 4 5" xfId="22913" xr:uid="{00000000-0005-0000-0000-000084590000}"/>
    <cellStyle name="Normal 2 2 2 13 5" xfId="22914" xr:uid="{00000000-0005-0000-0000-000085590000}"/>
    <cellStyle name="Normal 2 2 2 13 5 2" xfId="22915" xr:uid="{00000000-0005-0000-0000-000086590000}"/>
    <cellStyle name="Normal 2 2 2 13 5 3" xfId="22916" xr:uid="{00000000-0005-0000-0000-000087590000}"/>
    <cellStyle name="Normal 2 2 2 13 5 4" xfId="22917" xr:uid="{00000000-0005-0000-0000-000088590000}"/>
    <cellStyle name="Normal 2 2 2 13 6" xfId="22918" xr:uid="{00000000-0005-0000-0000-000089590000}"/>
    <cellStyle name="Normal 2 2 2 13 6 2" xfId="22919" xr:uid="{00000000-0005-0000-0000-00008A590000}"/>
    <cellStyle name="Normal 2 2 2 13 7" xfId="22920" xr:uid="{00000000-0005-0000-0000-00008B590000}"/>
    <cellStyle name="Normal 2 2 2 13 8" xfId="22921" xr:uid="{00000000-0005-0000-0000-00008C590000}"/>
    <cellStyle name="Normal 2 2 2 13 9" xfId="22922" xr:uid="{00000000-0005-0000-0000-00008D590000}"/>
    <cellStyle name="Normal 2 2 2 14" xfId="22923" xr:uid="{00000000-0005-0000-0000-00008E590000}"/>
    <cellStyle name="Normal 2 2 2 14 10" xfId="22924" xr:uid="{00000000-0005-0000-0000-00008F590000}"/>
    <cellStyle name="Normal 2 2 2 14 2" xfId="22925" xr:uid="{00000000-0005-0000-0000-000090590000}"/>
    <cellStyle name="Normal 2 2 2 14 2 2" xfId="22926" xr:uid="{00000000-0005-0000-0000-000091590000}"/>
    <cellStyle name="Normal 2 2 2 14 2 2 2" xfId="22927" xr:uid="{00000000-0005-0000-0000-000092590000}"/>
    <cellStyle name="Normal 2 2 2 14 2 2 3" xfId="22928" xr:uid="{00000000-0005-0000-0000-000093590000}"/>
    <cellStyle name="Normal 2 2 2 14 2 3" xfId="22929" xr:uid="{00000000-0005-0000-0000-000094590000}"/>
    <cellStyle name="Normal 2 2 2 14 2 4" xfId="22930" xr:uid="{00000000-0005-0000-0000-000095590000}"/>
    <cellStyle name="Normal 2 2 2 14 2 5" xfId="22931" xr:uid="{00000000-0005-0000-0000-000096590000}"/>
    <cellStyle name="Normal 2 2 2 14 2 6" xfId="22932" xr:uid="{00000000-0005-0000-0000-000097590000}"/>
    <cellStyle name="Normal 2 2 2 14 3" xfId="22933" xr:uid="{00000000-0005-0000-0000-000098590000}"/>
    <cellStyle name="Normal 2 2 2 14 3 2" xfId="22934" xr:uid="{00000000-0005-0000-0000-000099590000}"/>
    <cellStyle name="Normal 2 2 2 14 3 2 2" xfId="22935" xr:uid="{00000000-0005-0000-0000-00009A590000}"/>
    <cellStyle name="Normal 2 2 2 14 3 2 3" xfId="22936" xr:uid="{00000000-0005-0000-0000-00009B590000}"/>
    <cellStyle name="Normal 2 2 2 14 3 3" xfId="22937" xr:uid="{00000000-0005-0000-0000-00009C590000}"/>
    <cellStyle name="Normal 2 2 2 14 3 4" xfId="22938" xr:uid="{00000000-0005-0000-0000-00009D590000}"/>
    <cellStyle name="Normal 2 2 2 14 3 5" xfId="22939" xr:uid="{00000000-0005-0000-0000-00009E590000}"/>
    <cellStyle name="Normal 2 2 2 14 3 6" xfId="22940" xr:uid="{00000000-0005-0000-0000-00009F590000}"/>
    <cellStyle name="Normal 2 2 2 14 4" xfId="22941" xr:uid="{00000000-0005-0000-0000-0000A0590000}"/>
    <cellStyle name="Normal 2 2 2 14 4 2" xfId="22942" xr:uid="{00000000-0005-0000-0000-0000A1590000}"/>
    <cellStyle name="Normal 2 2 2 14 4 2 2" xfId="22943" xr:uid="{00000000-0005-0000-0000-0000A2590000}"/>
    <cellStyle name="Normal 2 2 2 14 4 3" xfId="22944" xr:uid="{00000000-0005-0000-0000-0000A3590000}"/>
    <cellStyle name="Normal 2 2 2 14 4 4" xfId="22945" xr:uid="{00000000-0005-0000-0000-0000A4590000}"/>
    <cellStyle name="Normal 2 2 2 14 4 5" xfId="22946" xr:uid="{00000000-0005-0000-0000-0000A5590000}"/>
    <cellStyle name="Normal 2 2 2 14 5" xfId="22947" xr:uid="{00000000-0005-0000-0000-0000A6590000}"/>
    <cellStyle name="Normal 2 2 2 14 5 2" xfId="22948" xr:uid="{00000000-0005-0000-0000-0000A7590000}"/>
    <cellStyle name="Normal 2 2 2 14 5 3" xfId="22949" xr:uid="{00000000-0005-0000-0000-0000A8590000}"/>
    <cellStyle name="Normal 2 2 2 14 5 4" xfId="22950" xr:uid="{00000000-0005-0000-0000-0000A9590000}"/>
    <cellStyle name="Normal 2 2 2 14 6" xfId="22951" xr:uid="{00000000-0005-0000-0000-0000AA590000}"/>
    <cellStyle name="Normal 2 2 2 14 6 2" xfId="22952" xr:uid="{00000000-0005-0000-0000-0000AB590000}"/>
    <cellStyle name="Normal 2 2 2 14 7" xfId="22953" xr:uid="{00000000-0005-0000-0000-0000AC590000}"/>
    <cellStyle name="Normal 2 2 2 14 8" xfId="22954" xr:uid="{00000000-0005-0000-0000-0000AD590000}"/>
    <cellStyle name="Normal 2 2 2 14 9" xfId="22955" xr:uid="{00000000-0005-0000-0000-0000AE590000}"/>
    <cellStyle name="Normal 2 2 2 15" xfId="22956" xr:uid="{00000000-0005-0000-0000-0000AF590000}"/>
    <cellStyle name="Normal 2 2 2 15 10" xfId="22957" xr:uid="{00000000-0005-0000-0000-0000B0590000}"/>
    <cellStyle name="Normal 2 2 2 15 2" xfId="22958" xr:uid="{00000000-0005-0000-0000-0000B1590000}"/>
    <cellStyle name="Normal 2 2 2 15 2 2" xfId="22959" xr:uid="{00000000-0005-0000-0000-0000B2590000}"/>
    <cellStyle name="Normal 2 2 2 15 2 2 2" xfId="22960" xr:uid="{00000000-0005-0000-0000-0000B3590000}"/>
    <cellStyle name="Normal 2 2 2 15 2 2 3" xfId="22961" xr:uid="{00000000-0005-0000-0000-0000B4590000}"/>
    <cellStyle name="Normal 2 2 2 15 2 3" xfId="22962" xr:uid="{00000000-0005-0000-0000-0000B5590000}"/>
    <cellStyle name="Normal 2 2 2 15 2 4" xfId="22963" xr:uid="{00000000-0005-0000-0000-0000B6590000}"/>
    <cellStyle name="Normal 2 2 2 15 2 5" xfId="22964" xr:uid="{00000000-0005-0000-0000-0000B7590000}"/>
    <cellStyle name="Normal 2 2 2 15 2 6" xfId="22965" xr:uid="{00000000-0005-0000-0000-0000B8590000}"/>
    <cellStyle name="Normal 2 2 2 15 3" xfId="22966" xr:uid="{00000000-0005-0000-0000-0000B9590000}"/>
    <cellStyle name="Normal 2 2 2 15 3 2" xfId="22967" xr:uid="{00000000-0005-0000-0000-0000BA590000}"/>
    <cellStyle name="Normal 2 2 2 15 3 2 2" xfId="22968" xr:uid="{00000000-0005-0000-0000-0000BB590000}"/>
    <cellStyle name="Normal 2 2 2 15 3 2 3" xfId="22969" xr:uid="{00000000-0005-0000-0000-0000BC590000}"/>
    <cellStyle name="Normal 2 2 2 15 3 3" xfId="22970" xr:uid="{00000000-0005-0000-0000-0000BD590000}"/>
    <cellStyle name="Normal 2 2 2 15 3 4" xfId="22971" xr:uid="{00000000-0005-0000-0000-0000BE590000}"/>
    <cellStyle name="Normal 2 2 2 15 3 5" xfId="22972" xr:uid="{00000000-0005-0000-0000-0000BF590000}"/>
    <cellStyle name="Normal 2 2 2 15 3 6" xfId="22973" xr:uid="{00000000-0005-0000-0000-0000C0590000}"/>
    <cellStyle name="Normal 2 2 2 15 4" xfId="22974" xr:uid="{00000000-0005-0000-0000-0000C1590000}"/>
    <cellStyle name="Normal 2 2 2 15 4 2" xfId="22975" xr:uid="{00000000-0005-0000-0000-0000C2590000}"/>
    <cellStyle name="Normal 2 2 2 15 4 2 2" xfId="22976" xr:uid="{00000000-0005-0000-0000-0000C3590000}"/>
    <cellStyle name="Normal 2 2 2 15 4 3" xfId="22977" xr:uid="{00000000-0005-0000-0000-0000C4590000}"/>
    <cellStyle name="Normal 2 2 2 15 4 4" xfId="22978" xr:uid="{00000000-0005-0000-0000-0000C5590000}"/>
    <cellStyle name="Normal 2 2 2 15 4 5" xfId="22979" xr:uid="{00000000-0005-0000-0000-0000C6590000}"/>
    <cellStyle name="Normal 2 2 2 15 5" xfId="22980" xr:uid="{00000000-0005-0000-0000-0000C7590000}"/>
    <cellStyle name="Normal 2 2 2 15 5 2" xfId="22981" xr:uid="{00000000-0005-0000-0000-0000C8590000}"/>
    <cellStyle name="Normal 2 2 2 15 5 3" xfId="22982" xr:uid="{00000000-0005-0000-0000-0000C9590000}"/>
    <cellStyle name="Normal 2 2 2 15 5 4" xfId="22983" xr:uid="{00000000-0005-0000-0000-0000CA590000}"/>
    <cellStyle name="Normal 2 2 2 15 6" xfId="22984" xr:uid="{00000000-0005-0000-0000-0000CB590000}"/>
    <cellStyle name="Normal 2 2 2 15 6 2" xfId="22985" xr:uid="{00000000-0005-0000-0000-0000CC590000}"/>
    <cellStyle name="Normal 2 2 2 15 7" xfId="22986" xr:uid="{00000000-0005-0000-0000-0000CD590000}"/>
    <cellStyle name="Normal 2 2 2 15 8" xfId="22987" xr:uid="{00000000-0005-0000-0000-0000CE590000}"/>
    <cellStyle name="Normal 2 2 2 15 9" xfId="22988" xr:uid="{00000000-0005-0000-0000-0000CF590000}"/>
    <cellStyle name="Normal 2 2 2 16" xfId="22989" xr:uid="{00000000-0005-0000-0000-0000D0590000}"/>
    <cellStyle name="Normal 2 2 2 16 10" xfId="22990" xr:uid="{00000000-0005-0000-0000-0000D1590000}"/>
    <cellStyle name="Normal 2 2 2 16 2" xfId="22991" xr:uid="{00000000-0005-0000-0000-0000D2590000}"/>
    <cellStyle name="Normal 2 2 2 16 2 2" xfId="22992" xr:uid="{00000000-0005-0000-0000-0000D3590000}"/>
    <cellStyle name="Normal 2 2 2 16 2 2 2" xfId="22993" xr:uid="{00000000-0005-0000-0000-0000D4590000}"/>
    <cellStyle name="Normal 2 2 2 16 2 2 3" xfId="22994" xr:uid="{00000000-0005-0000-0000-0000D5590000}"/>
    <cellStyle name="Normal 2 2 2 16 2 3" xfId="22995" xr:uid="{00000000-0005-0000-0000-0000D6590000}"/>
    <cellStyle name="Normal 2 2 2 16 2 4" xfId="22996" xr:uid="{00000000-0005-0000-0000-0000D7590000}"/>
    <cellStyle name="Normal 2 2 2 16 2 5" xfId="22997" xr:uid="{00000000-0005-0000-0000-0000D8590000}"/>
    <cellStyle name="Normal 2 2 2 16 2 6" xfId="22998" xr:uid="{00000000-0005-0000-0000-0000D9590000}"/>
    <cellStyle name="Normal 2 2 2 16 3" xfId="22999" xr:uid="{00000000-0005-0000-0000-0000DA590000}"/>
    <cellStyle name="Normal 2 2 2 16 3 2" xfId="23000" xr:uid="{00000000-0005-0000-0000-0000DB590000}"/>
    <cellStyle name="Normal 2 2 2 16 3 2 2" xfId="23001" xr:uid="{00000000-0005-0000-0000-0000DC590000}"/>
    <cellStyle name="Normal 2 2 2 16 3 2 3" xfId="23002" xr:uid="{00000000-0005-0000-0000-0000DD590000}"/>
    <cellStyle name="Normal 2 2 2 16 3 3" xfId="23003" xr:uid="{00000000-0005-0000-0000-0000DE590000}"/>
    <cellStyle name="Normal 2 2 2 16 3 4" xfId="23004" xr:uid="{00000000-0005-0000-0000-0000DF590000}"/>
    <cellStyle name="Normal 2 2 2 16 3 5" xfId="23005" xr:uid="{00000000-0005-0000-0000-0000E0590000}"/>
    <cellStyle name="Normal 2 2 2 16 3 6" xfId="23006" xr:uid="{00000000-0005-0000-0000-0000E1590000}"/>
    <cellStyle name="Normal 2 2 2 16 4" xfId="23007" xr:uid="{00000000-0005-0000-0000-0000E2590000}"/>
    <cellStyle name="Normal 2 2 2 16 4 2" xfId="23008" xr:uid="{00000000-0005-0000-0000-0000E3590000}"/>
    <cellStyle name="Normal 2 2 2 16 4 2 2" xfId="23009" xr:uid="{00000000-0005-0000-0000-0000E4590000}"/>
    <cellStyle name="Normal 2 2 2 16 4 3" xfId="23010" xr:uid="{00000000-0005-0000-0000-0000E5590000}"/>
    <cellStyle name="Normal 2 2 2 16 4 4" xfId="23011" xr:uid="{00000000-0005-0000-0000-0000E6590000}"/>
    <cellStyle name="Normal 2 2 2 16 4 5" xfId="23012" xr:uid="{00000000-0005-0000-0000-0000E7590000}"/>
    <cellStyle name="Normal 2 2 2 16 5" xfId="23013" xr:uid="{00000000-0005-0000-0000-0000E8590000}"/>
    <cellStyle name="Normal 2 2 2 16 5 2" xfId="23014" xr:uid="{00000000-0005-0000-0000-0000E9590000}"/>
    <cellStyle name="Normal 2 2 2 16 5 3" xfId="23015" xr:uid="{00000000-0005-0000-0000-0000EA590000}"/>
    <cellStyle name="Normal 2 2 2 16 5 4" xfId="23016" xr:uid="{00000000-0005-0000-0000-0000EB590000}"/>
    <cellStyle name="Normal 2 2 2 16 6" xfId="23017" xr:uid="{00000000-0005-0000-0000-0000EC590000}"/>
    <cellStyle name="Normal 2 2 2 16 6 2" xfId="23018" xr:uid="{00000000-0005-0000-0000-0000ED590000}"/>
    <cellStyle name="Normal 2 2 2 16 7" xfId="23019" xr:uid="{00000000-0005-0000-0000-0000EE590000}"/>
    <cellStyle name="Normal 2 2 2 16 8" xfId="23020" xr:uid="{00000000-0005-0000-0000-0000EF590000}"/>
    <cellStyle name="Normal 2 2 2 16 9" xfId="23021" xr:uid="{00000000-0005-0000-0000-0000F0590000}"/>
    <cellStyle name="Normal 2 2 2 17" xfId="23022" xr:uid="{00000000-0005-0000-0000-0000F1590000}"/>
    <cellStyle name="Normal 2 2 2 17 10" xfId="23023" xr:uid="{00000000-0005-0000-0000-0000F2590000}"/>
    <cellStyle name="Normal 2 2 2 17 2" xfId="23024" xr:uid="{00000000-0005-0000-0000-0000F3590000}"/>
    <cellStyle name="Normal 2 2 2 17 2 2" xfId="23025" xr:uid="{00000000-0005-0000-0000-0000F4590000}"/>
    <cellStyle name="Normal 2 2 2 17 2 2 2" xfId="23026" xr:uid="{00000000-0005-0000-0000-0000F5590000}"/>
    <cellStyle name="Normal 2 2 2 17 2 2 3" xfId="23027" xr:uid="{00000000-0005-0000-0000-0000F6590000}"/>
    <cellStyle name="Normal 2 2 2 17 2 3" xfId="23028" xr:uid="{00000000-0005-0000-0000-0000F7590000}"/>
    <cellStyle name="Normal 2 2 2 17 2 4" xfId="23029" xr:uid="{00000000-0005-0000-0000-0000F8590000}"/>
    <cellStyle name="Normal 2 2 2 17 2 5" xfId="23030" xr:uid="{00000000-0005-0000-0000-0000F9590000}"/>
    <cellStyle name="Normal 2 2 2 17 2 6" xfId="23031" xr:uid="{00000000-0005-0000-0000-0000FA590000}"/>
    <cellStyle name="Normal 2 2 2 17 3" xfId="23032" xr:uid="{00000000-0005-0000-0000-0000FB590000}"/>
    <cellStyle name="Normal 2 2 2 17 3 2" xfId="23033" xr:uid="{00000000-0005-0000-0000-0000FC590000}"/>
    <cellStyle name="Normal 2 2 2 17 3 2 2" xfId="23034" xr:uid="{00000000-0005-0000-0000-0000FD590000}"/>
    <cellStyle name="Normal 2 2 2 17 3 2 3" xfId="23035" xr:uid="{00000000-0005-0000-0000-0000FE590000}"/>
    <cellStyle name="Normal 2 2 2 17 3 3" xfId="23036" xr:uid="{00000000-0005-0000-0000-0000FF590000}"/>
    <cellStyle name="Normal 2 2 2 17 3 4" xfId="23037" xr:uid="{00000000-0005-0000-0000-0000005A0000}"/>
    <cellStyle name="Normal 2 2 2 17 3 5" xfId="23038" xr:uid="{00000000-0005-0000-0000-0000015A0000}"/>
    <cellStyle name="Normal 2 2 2 17 3 6" xfId="23039" xr:uid="{00000000-0005-0000-0000-0000025A0000}"/>
    <cellStyle name="Normal 2 2 2 17 4" xfId="23040" xr:uid="{00000000-0005-0000-0000-0000035A0000}"/>
    <cellStyle name="Normal 2 2 2 17 4 2" xfId="23041" xr:uid="{00000000-0005-0000-0000-0000045A0000}"/>
    <cellStyle name="Normal 2 2 2 17 4 2 2" xfId="23042" xr:uid="{00000000-0005-0000-0000-0000055A0000}"/>
    <cellStyle name="Normal 2 2 2 17 4 3" xfId="23043" xr:uid="{00000000-0005-0000-0000-0000065A0000}"/>
    <cellStyle name="Normal 2 2 2 17 4 4" xfId="23044" xr:uid="{00000000-0005-0000-0000-0000075A0000}"/>
    <cellStyle name="Normal 2 2 2 17 4 5" xfId="23045" xr:uid="{00000000-0005-0000-0000-0000085A0000}"/>
    <cellStyle name="Normal 2 2 2 17 5" xfId="23046" xr:uid="{00000000-0005-0000-0000-0000095A0000}"/>
    <cellStyle name="Normal 2 2 2 17 5 2" xfId="23047" xr:uid="{00000000-0005-0000-0000-00000A5A0000}"/>
    <cellStyle name="Normal 2 2 2 17 5 3" xfId="23048" xr:uid="{00000000-0005-0000-0000-00000B5A0000}"/>
    <cellStyle name="Normal 2 2 2 17 5 4" xfId="23049" xr:uid="{00000000-0005-0000-0000-00000C5A0000}"/>
    <cellStyle name="Normal 2 2 2 17 6" xfId="23050" xr:uid="{00000000-0005-0000-0000-00000D5A0000}"/>
    <cellStyle name="Normal 2 2 2 17 6 2" xfId="23051" xr:uid="{00000000-0005-0000-0000-00000E5A0000}"/>
    <cellStyle name="Normal 2 2 2 17 7" xfId="23052" xr:uid="{00000000-0005-0000-0000-00000F5A0000}"/>
    <cellStyle name="Normal 2 2 2 17 8" xfId="23053" xr:uid="{00000000-0005-0000-0000-0000105A0000}"/>
    <cellStyle name="Normal 2 2 2 17 9" xfId="23054" xr:uid="{00000000-0005-0000-0000-0000115A0000}"/>
    <cellStyle name="Normal 2 2 2 18" xfId="23055" xr:uid="{00000000-0005-0000-0000-0000125A0000}"/>
    <cellStyle name="Normal 2 2 2 18 10" xfId="23056" xr:uid="{00000000-0005-0000-0000-0000135A0000}"/>
    <cellStyle name="Normal 2 2 2 18 2" xfId="23057" xr:uid="{00000000-0005-0000-0000-0000145A0000}"/>
    <cellStyle name="Normal 2 2 2 18 2 2" xfId="23058" xr:uid="{00000000-0005-0000-0000-0000155A0000}"/>
    <cellStyle name="Normal 2 2 2 18 2 2 2" xfId="23059" xr:uid="{00000000-0005-0000-0000-0000165A0000}"/>
    <cellStyle name="Normal 2 2 2 18 2 2 3" xfId="23060" xr:uid="{00000000-0005-0000-0000-0000175A0000}"/>
    <cellStyle name="Normal 2 2 2 18 2 3" xfId="23061" xr:uid="{00000000-0005-0000-0000-0000185A0000}"/>
    <cellStyle name="Normal 2 2 2 18 2 4" xfId="23062" xr:uid="{00000000-0005-0000-0000-0000195A0000}"/>
    <cellStyle name="Normal 2 2 2 18 2 5" xfId="23063" xr:uid="{00000000-0005-0000-0000-00001A5A0000}"/>
    <cellStyle name="Normal 2 2 2 18 2 6" xfId="23064" xr:uid="{00000000-0005-0000-0000-00001B5A0000}"/>
    <cellStyle name="Normal 2 2 2 18 3" xfId="23065" xr:uid="{00000000-0005-0000-0000-00001C5A0000}"/>
    <cellStyle name="Normal 2 2 2 18 3 2" xfId="23066" xr:uid="{00000000-0005-0000-0000-00001D5A0000}"/>
    <cellStyle name="Normal 2 2 2 18 3 2 2" xfId="23067" xr:uid="{00000000-0005-0000-0000-00001E5A0000}"/>
    <cellStyle name="Normal 2 2 2 18 3 2 3" xfId="23068" xr:uid="{00000000-0005-0000-0000-00001F5A0000}"/>
    <cellStyle name="Normal 2 2 2 18 3 3" xfId="23069" xr:uid="{00000000-0005-0000-0000-0000205A0000}"/>
    <cellStyle name="Normal 2 2 2 18 3 4" xfId="23070" xr:uid="{00000000-0005-0000-0000-0000215A0000}"/>
    <cellStyle name="Normal 2 2 2 18 3 5" xfId="23071" xr:uid="{00000000-0005-0000-0000-0000225A0000}"/>
    <cellStyle name="Normal 2 2 2 18 3 6" xfId="23072" xr:uid="{00000000-0005-0000-0000-0000235A0000}"/>
    <cellStyle name="Normal 2 2 2 18 4" xfId="23073" xr:uid="{00000000-0005-0000-0000-0000245A0000}"/>
    <cellStyle name="Normal 2 2 2 18 4 2" xfId="23074" xr:uid="{00000000-0005-0000-0000-0000255A0000}"/>
    <cellStyle name="Normal 2 2 2 18 4 2 2" xfId="23075" xr:uid="{00000000-0005-0000-0000-0000265A0000}"/>
    <cellStyle name="Normal 2 2 2 18 4 3" xfId="23076" xr:uid="{00000000-0005-0000-0000-0000275A0000}"/>
    <cellStyle name="Normal 2 2 2 18 4 4" xfId="23077" xr:uid="{00000000-0005-0000-0000-0000285A0000}"/>
    <cellStyle name="Normal 2 2 2 18 4 5" xfId="23078" xr:uid="{00000000-0005-0000-0000-0000295A0000}"/>
    <cellStyle name="Normal 2 2 2 18 5" xfId="23079" xr:uid="{00000000-0005-0000-0000-00002A5A0000}"/>
    <cellStyle name="Normal 2 2 2 18 5 2" xfId="23080" xr:uid="{00000000-0005-0000-0000-00002B5A0000}"/>
    <cellStyle name="Normal 2 2 2 18 5 3" xfId="23081" xr:uid="{00000000-0005-0000-0000-00002C5A0000}"/>
    <cellStyle name="Normal 2 2 2 18 5 4" xfId="23082" xr:uid="{00000000-0005-0000-0000-00002D5A0000}"/>
    <cellStyle name="Normal 2 2 2 18 6" xfId="23083" xr:uid="{00000000-0005-0000-0000-00002E5A0000}"/>
    <cellStyle name="Normal 2 2 2 18 6 2" xfId="23084" xr:uid="{00000000-0005-0000-0000-00002F5A0000}"/>
    <cellStyle name="Normal 2 2 2 18 7" xfId="23085" xr:uid="{00000000-0005-0000-0000-0000305A0000}"/>
    <cellStyle name="Normal 2 2 2 18 8" xfId="23086" xr:uid="{00000000-0005-0000-0000-0000315A0000}"/>
    <cellStyle name="Normal 2 2 2 18 9" xfId="23087" xr:uid="{00000000-0005-0000-0000-0000325A0000}"/>
    <cellStyle name="Normal 2 2 2 19" xfId="23088" xr:uid="{00000000-0005-0000-0000-0000335A0000}"/>
    <cellStyle name="Normal 2 2 2 19 10" xfId="23089" xr:uid="{00000000-0005-0000-0000-0000345A0000}"/>
    <cellStyle name="Normal 2 2 2 19 2" xfId="23090" xr:uid="{00000000-0005-0000-0000-0000355A0000}"/>
    <cellStyle name="Normal 2 2 2 19 2 2" xfId="23091" xr:uid="{00000000-0005-0000-0000-0000365A0000}"/>
    <cellStyle name="Normal 2 2 2 19 2 2 2" xfId="23092" xr:uid="{00000000-0005-0000-0000-0000375A0000}"/>
    <cellStyle name="Normal 2 2 2 19 2 2 3" xfId="23093" xr:uid="{00000000-0005-0000-0000-0000385A0000}"/>
    <cellStyle name="Normal 2 2 2 19 2 3" xfId="23094" xr:uid="{00000000-0005-0000-0000-0000395A0000}"/>
    <cellStyle name="Normal 2 2 2 19 2 4" xfId="23095" xr:uid="{00000000-0005-0000-0000-00003A5A0000}"/>
    <cellStyle name="Normal 2 2 2 19 2 5" xfId="23096" xr:uid="{00000000-0005-0000-0000-00003B5A0000}"/>
    <cellStyle name="Normal 2 2 2 19 2 6" xfId="23097" xr:uid="{00000000-0005-0000-0000-00003C5A0000}"/>
    <cellStyle name="Normal 2 2 2 19 3" xfId="23098" xr:uid="{00000000-0005-0000-0000-00003D5A0000}"/>
    <cellStyle name="Normal 2 2 2 19 3 2" xfId="23099" xr:uid="{00000000-0005-0000-0000-00003E5A0000}"/>
    <cellStyle name="Normal 2 2 2 19 3 2 2" xfId="23100" xr:uid="{00000000-0005-0000-0000-00003F5A0000}"/>
    <cellStyle name="Normal 2 2 2 19 3 2 3" xfId="23101" xr:uid="{00000000-0005-0000-0000-0000405A0000}"/>
    <cellStyle name="Normal 2 2 2 19 3 3" xfId="23102" xr:uid="{00000000-0005-0000-0000-0000415A0000}"/>
    <cellStyle name="Normal 2 2 2 19 3 4" xfId="23103" xr:uid="{00000000-0005-0000-0000-0000425A0000}"/>
    <cellStyle name="Normal 2 2 2 19 3 5" xfId="23104" xr:uid="{00000000-0005-0000-0000-0000435A0000}"/>
    <cellStyle name="Normal 2 2 2 19 3 6" xfId="23105" xr:uid="{00000000-0005-0000-0000-0000445A0000}"/>
    <cellStyle name="Normal 2 2 2 19 4" xfId="23106" xr:uid="{00000000-0005-0000-0000-0000455A0000}"/>
    <cellStyle name="Normal 2 2 2 19 4 2" xfId="23107" xr:uid="{00000000-0005-0000-0000-0000465A0000}"/>
    <cellStyle name="Normal 2 2 2 19 4 2 2" xfId="23108" xr:uid="{00000000-0005-0000-0000-0000475A0000}"/>
    <cellStyle name="Normal 2 2 2 19 4 3" xfId="23109" xr:uid="{00000000-0005-0000-0000-0000485A0000}"/>
    <cellStyle name="Normal 2 2 2 19 4 4" xfId="23110" xr:uid="{00000000-0005-0000-0000-0000495A0000}"/>
    <cellStyle name="Normal 2 2 2 19 4 5" xfId="23111" xr:uid="{00000000-0005-0000-0000-00004A5A0000}"/>
    <cellStyle name="Normal 2 2 2 19 5" xfId="23112" xr:uid="{00000000-0005-0000-0000-00004B5A0000}"/>
    <cellStyle name="Normal 2 2 2 19 5 2" xfId="23113" xr:uid="{00000000-0005-0000-0000-00004C5A0000}"/>
    <cellStyle name="Normal 2 2 2 19 5 3" xfId="23114" xr:uid="{00000000-0005-0000-0000-00004D5A0000}"/>
    <cellStyle name="Normal 2 2 2 19 5 4" xfId="23115" xr:uid="{00000000-0005-0000-0000-00004E5A0000}"/>
    <cellStyle name="Normal 2 2 2 19 6" xfId="23116" xr:uid="{00000000-0005-0000-0000-00004F5A0000}"/>
    <cellStyle name="Normal 2 2 2 19 6 2" xfId="23117" xr:uid="{00000000-0005-0000-0000-0000505A0000}"/>
    <cellStyle name="Normal 2 2 2 19 7" xfId="23118" xr:uid="{00000000-0005-0000-0000-0000515A0000}"/>
    <cellStyle name="Normal 2 2 2 19 8" xfId="23119" xr:uid="{00000000-0005-0000-0000-0000525A0000}"/>
    <cellStyle name="Normal 2 2 2 19 9" xfId="23120" xr:uid="{00000000-0005-0000-0000-0000535A0000}"/>
    <cellStyle name="Normal 2 2 2 2" xfId="23121" xr:uid="{00000000-0005-0000-0000-0000545A0000}"/>
    <cellStyle name="Normal 2 2 2 2 10" xfId="23122" xr:uid="{00000000-0005-0000-0000-0000555A0000}"/>
    <cellStyle name="Normal 2 2 2 2 11" xfId="23123" xr:uid="{00000000-0005-0000-0000-0000565A0000}"/>
    <cellStyle name="Normal 2 2 2 2 2" xfId="23124" xr:uid="{00000000-0005-0000-0000-0000575A0000}"/>
    <cellStyle name="Normal 2 2 2 2 2 2" xfId="23125" xr:uid="{00000000-0005-0000-0000-0000585A0000}"/>
    <cellStyle name="Normal 2 2 2 2 2 2 2" xfId="23126" xr:uid="{00000000-0005-0000-0000-0000595A0000}"/>
    <cellStyle name="Normal 2 2 2 2 2 2 2 2" xfId="23127" xr:uid="{00000000-0005-0000-0000-00005A5A0000}"/>
    <cellStyle name="Normal 2 2 2 2 2 2 2 3" xfId="23128" xr:uid="{00000000-0005-0000-0000-00005B5A0000}"/>
    <cellStyle name="Normal 2 2 2 2 2 2 3" xfId="23129" xr:uid="{00000000-0005-0000-0000-00005C5A0000}"/>
    <cellStyle name="Normal 2 2 2 2 2 2 4" xfId="23130" xr:uid="{00000000-0005-0000-0000-00005D5A0000}"/>
    <cellStyle name="Normal 2 2 2 2 2 2 5" xfId="23131" xr:uid="{00000000-0005-0000-0000-00005E5A0000}"/>
    <cellStyle name="Normal 2 2 2 2 2 2 6" xfId="23132" xr:uid="{00000000-0005-0000-0000-00005F5A0000}"/>
    <cellStyle name="Normal 2 2 2 2 2 3" xfId="23133" xr:uid="{00000000-0005-0000-0000-0000605A0000}"/>
    <cellStyle name="Normal 2 2 2 2 2 3 2" xfId="23134" xr:uid="{00000000-0005-0000-0000-0000615A0000}"/>
    <cellStyle name="Normal 2 2 2 2 2 3 2 2" xfId="23135" xr:uid="{00000000-0005-0000-0000-0000625A0000}"/>
    <cellStyle name="Normal 2 2 2 2 2 3 3" xfId="23136" xr:uid="{00000000-0005-0000-0000-0000635A0000}"/>
    <cellStyle name="Normal 2 2 2 2 2 3 4" xfId="23137" xr:uid="{00000000-0005-0000-0000-0000645A0000}"/>
    <cellStyle name="Normal 2 2 2 2 2 3 5" xfId="23138" xr:uid="{00000000-0005-0000-0000-0000655A0000}"/>
    <cellStyle name="Normal 2 2 2 2 2 4" xfId="23139" xr:uid="{00000000-0005-0000-0000-0000665A0000}"/>
    <cellStyle name="Normal 2 2 2 2 2 4 2" xfId="23140" xr:uid="{00000000-0005-0000-0000-0000675A0000}"/>
    <cellStyle name="Normal 2 2 2 2 2 4 3" xfId="23141" xr:uid="{00000000-0005-0000-0000-0000685A0000}"/>
    <cellStyle name="Normal 2 2 2 2 2 4 4" xfId="23142" xr:uid="{00000000-0005-0000-0000-0000695A0000}"/>
    <cellStyle name="Normal 2 2 2 2 2 5" xfId="23143" xr:uid="{00000000-0005-0000-0000-00006A5A0000}"/>
    <cellStyle name="Normal 2 2 2 2 2 5 2" xfId="23144" xr:uid="{00000000-0005-0000-0000-00006B5A0000}"/>
    <cellStyle name="Normal 2 2 2 2 2 6" xfId="23145" xr:uid="{00000000-0005-0000-0000-00006C5A0000}"/>
    <cellStyle name="Normal 2 2 2 2 2 7" xfId="23146" xr:uid="{00000000-0005-0000-0000-00006D5A0000}"/>
    <cellStyle name="Normal 2 2 2 2 2 8" xfId="23147" xr:uid="{00000000-0005-0000-0000-00006E5A0000}"/>
    <cellStyle name="Normal 2 2 2 2 2 9" xfId="23148" xr:uid="{00000000-0005-0000-0000-00006F5A0000}"/>
    <cellStyle name="Normal 2 2 2 2 3" xfId="23149" xr:uid="{00000000-0005-0000-0000-0000705A0000}"/>
    <cellStyle name="Normal 2 2 2 2 3 2" xfId="23150" xr:uid="{00000000-0005-0000-0000-0000715A0000}"/>
    <cellStyle name="Normal 2 2 2 2 3 2 2" xfId="23151" xr:uid="{00000000-0005-0000-0000-0000725A0000}"/>
    <cellStyle name="Normal 2 2 2 2 3 2 2 2" xfId="23152" xr:uid="{00000000-0005-0000-0000-0000735A0000}"/>
    <cellStyle name="Normal 2 2 2 2 3 2 2 3" xfId="23153" xr:uid="{00000000-0005-0000-0000-0000745A0000}"/>
    <cellStyle name="Normal 2 2 2 2 3 2 3" xfId="23154" xr:uid="{00000000-0005-0000-0000-0000755A0000}"/>
    <cellStyle name="Normal 2 2 2 2 3 2 4" xfId="23155" xr:uid="{00000000-0005-0000-0000-0000765A0000}"/>
    <cellStyle name="Normal 2 2 2 2 3 2 5" xfId="23156" xr:uid="{00000000-0005-0000-0000-0000775A0000}"/>
    <cellStyle name="Normal 2 2 2 2 3 2 6" xfId="23157" xr:uid="{00000000-0005-0000-0000-0000785A0000}"/>
    <cellStyle name="Normal 2 2 2 2 3 3" xfId="23158" xr:uid="{00000000-0005-0000-0000-0000795A0000}"/>
    <cellStyle name="Normal 2 2 2 2 3 3 2" xfId="23159" xr:uid="{00000000-0005-0000-0000-00007A5A0000}"/>
    <cellStyle name="Normal 2 2 2 2 3 3 2 2" xfId="23160" xr:uid="{00000000-0005-0000-0000-00007B5A0000}"/>
    <cellStyle name="Normal 2 2 2 2 3 3 3" xfId="23161" xr:uid="{00000000-0005-0000-0000-00007C5A0000}"/>
    <cellStyle name="Normal 2 2 2 2 3 3 4" xfId="23162" xr:uid="{00000000-0005-0000-0000-00007D5A0000}"/>
    <cellStyle name="Normal 2 2 2 2 3 3 5" xfId="23163" xr:uid="{00000000-0005-0000-0000-00007E5A0000}"/>
    <cellStyle name="Normal 2 2 2 2 3 4" xfId="23164" xr:uid="{00000000-0005-0000-0000-00007F5A0000}"/>
    <cellStyle name="Normal 2 2 2 2 3 4 2" xfId="23165" xr:uid="{00000000-0005-0000-0000-0000805A0000}"/>
    <cellStyle name="Normal 2 2 2 2 3 4 3" xfId="23166" xr:uid="{00000000-0005-0000-0000-0000815A0000}"/>
    <cellStyle name="Normal 2 2 2 2 3 4 4" xfId="23167" xr:uid="{00000000-0005-0000-0000-0000825A0000}"/>
    <cellStyle name="Normal 2 2 2 2 3 5" xfId="23168" xr:uid="{00000000-0005-0000-0000-0000835A0000}"/>
    <cellStyle name="Normal 2 2 2 2 3 5 2" xfId="23169" xr:uid="{00000000-0005-0000-0000-0000845A0000}"/>
    <cellStyle name="Normal 2 2 2 2 3 6" xfId="23170" xr:uid="{00000000-0005-0000-0000-0000855A0000}"/>
    <cellStyle name="Normal 2 2 2 2 3 7" xfId="23171" xr:uid="{00000000-0005-0000-0000-0000865A0000}"/>
    <cellStyle name="Normal 2 2 2 2 3 8" xfId="23172" xr:uid="{00000000-0005-0000-0000-0000875A0000}"/>
    <cellStyle name="Normal 2 2 2 2 3 9" xfId="23173" xr:uid="{00000000-0005-0000-0000-0000885A0000}"/>
    <cellStyle name="Normal 2 2 2 2 4" xfId="23174" xr:uid="{00000000-0005-0000-0000-0000895A0000}"/>
    <cellStyle name="Normal 2 2 2 2 4 2" xfId="23175" xr:uid="{00000000-0005-0000-0000-00008A5A0000}"/>
    <cellStyle name="Normal 2 2 2 2 4 2 2" xfId="23176" xr:uid="{00000000-0005-0000-0000-00008B5A0000}"/>
    <cellStyle name="Normal 2 2 2 2 4 2 3" xfId="23177" xr:uid="{00000000-0005-0000-0000-00008C5A0000}"/>
    <cellStyle name="Normal 2 2 2 2 4 3" xfId="23178" xr:uid="{00000000-0005-0000-0000-00008D5A0000}"/>
    <cellStyle name="Normal 2 2 2 2 4 4" xfId="23179" xr:uid="{00000000-0005-0000-0000-00008E5A0000}"/>
    <cellStyle name="Normal 2 2 2 2 4 5" xfId="23180" xr:uid="{00000000-0005-0000-0000-00008F5A0000}"/>
    <cellStyle name="Normal 2 2 2 2 4 6" xfId="23181" xr:uid="{00000000-0005-0000-0000-0000905A0000}"/>
    <cellStyle name="Normal 2 2 2 2 5" xfId="23182" xr:uid="{00000000-0005-0000-0000-0000915A0000}"/>
    <cellStyle name="Normal 2 2 2 2 5 2" xfId="23183" xr:uid="{00000000-0005-0000-0000-0000925A0000}"/>
    <cellStyle name="Normal 2 2 2 2 5 2 2" xfId="23184" xr:uid="{00000000-0005-0000-0000-0000935A0000}"/>
    <cellStyle name="Normal 2 2 2 2 5 3" xfId="23185" xr:uid="{00000000-0005-0000-0000-0000945A0000}"/>
    <cellStyle name="Normal 2 2 2 2 5 4" xfId="23186" xr:uid="{00000000-0005-0000-0000-0000955A0000}"/>
    <cellStyle name="Normal 2 2 2 2 5 5" xfId="23187" xr:uid="{00000000-0005-0000-0000-0000965A0000}"/>
    <cellStyle name="Normal 2 2 2 2 6" xfId="23188" xr:uid="{00000000-0005-0000-0000-0000975A0000}"/>
    <cellStyle name="Normal 2 2 2 2 6 2" xfId="23189" xr:uid="{00000000-0005-0000-0000-0000985A0000}"/>
    <cellStyle name="Normal 2 2 2 2 6 3" xfId="23190" xr:uid="{00000000-0005-0000-0000-0000995A0000}"/>
    <cellStyle name="Normal 2 2 2 2 6 4" xfId="23191" xr:uid="{00000000-0005-0000-0000-00009A5A0000}"/>
    <cellStyle name="Normal 2 2 2 2 7" xfId="23192" xr:uid="{00000000-0005-0000-0000-00009B5A0000}"/>
    <cellStyle name="Normal 2 2 2 2 7 2" xfId="23193" xr:uid="{00000000-0005-0000-0000-00009C5A0000}"/>
    <cellStyle name="Normal 2 2 2 2 8" xfId="23194" xr:uid="{00000000-0005-0000-0000-00009D5A0000}"/>
    <cellStyle name="Normal 2 2 2 2 9" xfId="23195" xr:uid="{00000000-0005-0000-0000-00009E5A0000}"/>
    <cellStyle name="Normal 2 2 2 20" xfId="23196" xr:uid="{00000000-0005-0000-0000-00009F5A0000}"/>
    <cellStyle name="Normal 2 2 2 20 10" xfId="23197" xr:uid="{00000000-0005-0000-0000-0000A05A0000}"/>
    <cellStyle name="Normal 2 2 2 20 2" xfId="23198" xr:uid="{00000000-0005-0000-0000-0000A15A0000}"/>
    <cellStyle name="Normal 2 2 2 20 2 2" xfId="23199" xr:uid="{00000000-0005-0000-0000-0000A25A0000}"/>
    <cellStyle name="Normal 2 2 2 20 2 2 2" xfId="23200" xr:uid="{00000000-0005-0000-0000-0000A35A0000}"/>
    <cellStyle name="Normal 2 2 2 20 2 2 3" xfId="23201" xr:uid="{00000000-0005-0000-0000-0000A45A0000}"/>
    <cellStyle name="Normal 2 2 2 20 2 3" xfId="23202" xr:uid="{00000000-0005-0000-0000-0000A55A0000}"/>
    <cellStyle name="Normal 2 2 2 20 2 4" xfId="23203" xr:uid="{00000000-0005-0000-0000-0000A65A0000}"/>
    <cellStyle name="Normal 2 2 2 20 2 5" xfId="23204" xr:uid="{00000000-0005-0000-0000-0000A75A0000}"/>
    <cellStyle name="Normal 2 2 2 20 2 6" xfId="23205" xr:uid="{00000000-0005-0000-0000-0000A85A0000}"/>
    <cellStyle name="Normal 2 2 2 20 3" xfId="23206" xr:uid="{00000000-0005-0000-0000-0000A95A0000}"/>
    <cellStyle name="Normal 2 2 2 20 3 2" xfId="23207" xr:uid="{00000000-0005-0000-0000-0000AA5A0000}"/>
    <cellStyle name="Normal 2 2 2 20 3 2 2" xfId="23208" xr:uid="{00000000-0005-0000-0000-0000AB5A0000}"/>
    <cellStyle name="Normal 2 2 2 20 3 2 3" xfId="23209" xr:uid="{00000000-0005-0000-0000-0000AC5A0000}"/>
    <cellStyle name="Normal 2 2 2 20 3 3" xfId="23210" xr:uid="{00000000-0005-0000-0000-0000AD5A0000}"/>
    <cellStyle name="Normal 2 2 2 20 3 4" xfId="23211" xr:uid="{00000000-0005-0000-0000-0000AE5A0000}"/>
    <cellStyle name="Normal 2 2 2 20 3 5" xfId="23212" xr:uid="{00000000-0005-0000-0000-0000AF5A0000}"/>
    <cellStyle name="Normal 2 2 2 20 3 6" xfId="23213" xr:uid="{00000000-0005-0000-0000-0000B05A0000}"/>
    <cellStyle name="Normal 2 2 2 20 4" xfId="23214" xr:uid="{00000000-0005-0000-0000-0000B15A0000}"/>
    <cellStyle name="Normal 2 2 2 20 4 2" xfId="23215" xr:uid="{00000000-0005-0000-0000-0000B25A0000}"/>
    <cellStyle name="Normal 2 2 2 20 4 2 2" xfId="23216" xr:uid="{00000000-0005-0000-0000-0000B35A0000}"/>
    <cellStyle name="Normal 2 2 2 20 4 3" xfId="23217" xr:uid="{00000000-0005-0000-0000-0000B45A0000}"/>
    <cellStyle name="Normal 2 2 2 20 4 4" xfId="23218" xr:uid="{00000000-0005-0000-0000-0000B55A0000}"/>
    <cellStyle name="Normal 2 2 2 20 4 5" xfId="23219" xr:uid="{00000000-0005-0000-0000-0000B65A0000}"/>
    <cellStyle name="Normal 2 2 2 20 5" xfId="23220" xr:uid="{00000000-0005-0000-0000-0000B75A0000}"/>
    <cellStyle name="Normal 2 2 2 20 5 2" xfId="23221" xr:uid="{00000000-0005-0000-0000-0000B85A0000}"/>
    <cellStyle name="Normal 2 2 2 20 5 3" xfId="23222" xr:uid="{00000000-0005-0000-0000-0000B95A0000}"/>
    <cellStyle name="Normal 2 2 2 20 5 4" xfId="23223" xr:uid="{00000000-0005-0000-0000-0000BA5A0000}"/>
    <cellStyle name="Normal 2 2 2 20 6" xfId="23224" xr:uid="{00000000-0005-0000-0000-0000BB5A0000}"/>
    <cellStyle name="Normal 2 2 2 20 6 2" xfId="23225" xr:uid="{00000000-0005-0000-0000-0000BC5A0000}"/>
    <cellStyle name="Normal 2 2 2 20 7" xfId="23226" xr:uid="{00000000-0005-0000-0000-0000BD5A0000}"/>
    <cellStyle name="Normal 2 2 2 20 8" xfId="23227" xr:uid="{00000000-0005-0000-0000-0000BE5A0000}"/>
    <cellStyle name="Normal 2 2 2 20 9" xfId="23228" xr:uid="{00000000-0005-0000-0000-0000BF5A0000}"/>
    <cellStyle name="Normal 2 2 2 21" xfId="23229" xr:uid="{00000000-0005-0000-0000-0000C05A0000}"/>
    <cellStyle name="Normal 2 2 2 21 10" xfId="23230" xr:uid="{00000000-0005-0000-0000-0000C15A0000}"/>
    <cellStyle name="Normal 2 2 2 21 2" xfId="23231" xr:uid="{00000000-0005-0000-0000-0000C25A0000}"/>
    <cellStyle name="Normal 2 2 2 21 2 2" xfId="23232" xr:uid="{00000000-0005-0000-0000-0000C35A0000}"/>
    <cellStyle name="Normal 2 2 2 21 2 2 2" xfId="23233" xr:uid="{00000000-0005-0000-0000-0000C45A0000}"/>
    <cellStyle name="Normal 2 2 2 21 2 2 3" xfId="23234" xr:uid="{00000000-0005-0000-0000-0000C55A0000}"/>
    <cellStyle name="Normal 2 2 2 21 2 3" xfId="23235" xr:uid="{00000000-0005-0000-0000-0000C65A0000}"/>
    <cellStyle name="Normal 2 2 2 21 2 4" xfId="23236" xr:uid="{00000000-0005-0000-0000-0000C75A0000}"/>
    <cellStyle name="Normal 2 2 2 21 2 5" xfId="23237" xr:uid="{00000000-0005-0000-0000-0000C85A0000}"/>
    <cellStyle name="Normal 2 2 2 21 2 6" xfId="23238" xr:uid="{00000000-0005-0000-0000-0000C95A0000}"/>
    <cellStyle name="Normal 2 2 2 21 3" xfId="23239" xr:uid="{00000000-0005-0000-0000-0000CA5A0000}"/>
    <cellStyle name="Normal 2 2 2 21 3 2" xfId="23240" xr:uid="{00000000-0005-0000-0000-0000CB5A0000}"/>
    <cellStyle name="Normal 2 2 2 21 3 2 2" xfId="23241" xr:uid="{00000000-0005-0000-0000-0000CC5A0000}"/>
    <cellStyle name="Normal 2 2 2 21 3 2 3" xfId="23242" xr:uid="{00000000-0005-0000-0000-0000CD5A0000}"/>
    <cellStyle name="Normal 2 2 2 21 3 3" xfId="23243" xr:uid="{00000000-0005-0000-0000-0000CE5A0000}"/>
    <cellStyle name="Normal 2 2 2 21 3 4" xfId="23244" xr:uid="{00000000-0005-0000-0000-0000CF5A0000}"/>
    <cellStyle name="Normal 2 2 2 21 3 5" xfId="23245" xr:uid="{00000000-0005-0000-0000-0000D05A0000}"/>
    <cellStyle name="Normal 2 2 2 21 3 6" xfId="23246" xr:uid="{00000000-0005-0000-0000-0000D15A0000}"/>
    <cellStyle name="Normal 2 2 2 21 4" xfId="23247" xr:uid="{00000000-0005-0000-0000-0000D25A0000}"/>
    <cellStyle name="Normal 2 2 2 21 4 2" xfId="23248" xr:uid="{00000000-0005-0000-0000-0000D35A0000}"/>
    <cellStyle name="Normal 2 2 2 21 4 2 2" xfId="23249" xr:uid="{00000000-0005-0000-0000-0000D45A0000}"/>
    <cellStyle name="Normal 2 2 2 21 4 3" xfId="23250" xr:uid="{00000000-0005-0000-0000-0000D55A0000}"/>
    <cellStyle name="Normal 2 2 2 21 4 4" xfId="23251" xr:uid="{00000000-0005-0000-0000-0000D65A0000}"/>
    <cellStyle name="Normal 2 2 2 21 4 5" xfId="23252" xr:uid="{00000000-0005-0000-0000-0000D75A0000}"/>
    <cellStyle name="Normal 2 2 2 21 5" xfId="23253" xr:uid="{00000000-0005-0000-0000-0000D85A0000}"/>
    <cellStyle name="Normal 2 2 2 21 5 2" xfId="23254" xr:uid="{00000000-0005-0000-0000-0000D95A0000}"/>
    <cellStyle name="Normal 2 2 2 21 5 3" xfId="23255" xr:uid="{00000000-0005-0000-0000-0000DA5A0000}"/>
    <cellStyle name="Normal 2 2 2 21 5 4" xfId="23256" xr:uid="{00000000-0005-0000-0000-0000DB5A0000}"/>
    <cellStyle name="Normal 2 2 2 21 6" xfId="23257" xr:uid="{00000000-0005-0000-0000-0000DC5A0000}"/>
    <cellStyle name="Normal 2 2 2 21 6 2" xfId="23258" xr:uid="{00000000-0005-0000-0000-0000DD5A0000}"/>
    <cellStyle name="Normal 2 2 2 21 7" xfId="23259" xr:uid="{00000000-0005-0000-0000-0000DE5A0000}"/>
    <cellStyle name="Normal 2 2 2 21 8" xfId="23260" xr:uid="{00000000-0005-0000-0000-0000DF5A0000}"/>
    <cellStyle name="Normal 2 2 2 21 9" xfId="23261" xr:uid="{00000000-0005-0000-0000-0000E05A0000}"/>
    <cellStyle name="Normal 2 2 2 22" xfId="23262" xr:uid="{00000000-0005-0000-0000-0000E15A0000}"/>
    <cellStyle name="Normal 2 2 2 22 10" xfId="23263" xr:uid="{00000000-0005-0000-0000-0000E25A0000}"/>
    <cellStyle name="Normal 2 2 2 22 2" xfId="23264" xr:uid="{00000000-0005-0000-0000-0000E35A0000}"/>
    <cellStyle name="Normal 2 2 2 22 2 2" xfId="23265" xr:uid="{00000000-0005-0000-0000-0000E45A0000}"/>
    <cellStyle name="Normal 2 2 2 22 2 2 2" xfId="23266" xr:uid="{00000000-0005-0000-0000-0000E55A0000}"/>
    <cellStyle name="Normal 2 2 2 22 2 2 3" xfId="23267" xr:uid="{00000000-0005-0000-0000-0000E65A0000}"/>
    <cellStyle name="Normal 2 2 2 22 2 3" xfId="23268" xr:uid="{00000000-0005-0000-0000-0000E75A0000}"/>
    <cellStyle name="Normal 2 2 2 22 2 4" xfId="23269" xr:uid="{00000000-0005-0000-0000-0000E85A0000}"/>
    <cellStyle name="Normal 2 2 2 22 2 5" xfId="23270" xr:uid="{00000000-0005-0000-0000-0000E95A0000}"/>
    <cellStyle name="Normal 2 2 2 22 2 6" xfId="23271" xr:uid="{00000000-0005-0000-0000-0000EA5A0000}"/>
    <cellStyle name="Normal 2 2 2 22 3" xfId="23272" xr:uid="{00000000-0005-0000-0000-0000EB5A0000}"/>
    <cellStyle name="Normal 2 2 2 22 3 2" xfId="23273" xr:uid="{00000000-0005-0000-0000-0000EC5A0000}"/>
    <cellStyle name="Normal 2 2 2 22 3 2 2" xfId="23274" xr:uid="{00000000-0005-0000-0000-0000ED5A0000}"/>
    <cellStyle name="Normal 2 2 2 22 3 2 3" xfId="23275" xr:uid="{00000000-0005-0000-0000-0000EE5A0000}"/>
    <cellStyle name="Normal 2 2 2 22 3 3" xfId="23276" xr:uid="{00000000-0005-0000-0000-0000EF5A0000}"/>
    <cellStyle name="Normal 2 2 2 22 3 4" xfId="23277" xr:uid="{00000000-0005-0000-0000-0000F05A0000}"/>
    <cellStyle name="Normal 2 2 2 22 3 5" xfId="23278" xr:uid="{00000000-0005-0000-0000-0000F15A0000}"/>
    <cellStyle name="Normal 2 2 2 22 3 6" xfId="23279" xr:uid="{00000000-0005-0000-0000-0000F25A0000}"/>
    <cellStyle name="Normal 2 2 2 22 4" xfId="23280" xr:uid="{00000000-0005-0000-0000-0000F35A0000}"/>
    <cellStyle name="Normal 2 2 2 22 4 2" xfId="23281" xr:uid="{00000000-0005-0000-0000-0000F45A0000}"/>
    <cellStyle name="Normal 2 2 2 22 4 2 2" xfId="23282" xr:uid="{00000000-0005-0000-0000-0000F55A0000}"/>
    <cellStyle name="Normal 2 2 2 22 4 3" xfId="23283" xr:uid="{00000000-0005-0000-0000-0000F65A0000}"/>
    <cellStyle name="Normal 2 2 2 22 4 4" xfId="23284" xr:uid="{00000000-0005-0000-0000-0000F75A0000}"/>
    <cellStyle name="Normal 2 2 2 22 4 5" xfId="23285" xr:uid="{00000000-0005-0000-0000-0000F85A0000}"/>
    <cellStyle name="Normal 2 2 2 22 5" xfId="23286" xr:uid="{00000000-0005-0000-0000-0000F95A0000}"/>
    <cellStyle name="Normal 2 2 2 22 5 2" xfId="23287" xr:uid="{00000000-0005-0000-0000-0000FA5A0000}"/>
    <cellStyle name="Normal 2 2 2 22 5 3" xfId="23288" xr:uid="{00000000-0005-0000-0000-0000FB5A0000}"/>
    <cellStyle name="Normal 2 2 2 22 5 4" xfId="23289" xr:uid="{00000000-0005-0000-0000-0000FC5A0000}"/>
    <cellStyle name="Normal 2 2 2 22 6" xfId="23290" xr:uid="{00000000-0005-0000-0000-0000FD5A0000}"/>
    <cellStyle name="Normal 2 2 2 22 6 2" xfId="23291" xr:uid="{00000000-0005-0000-0000-0000FE5A0000}"/>
    <cellStyle name="Normal 2 2 2 22 7" xfId="23292" xr:uid="{00000000-0005-0000-0000-0000FF5A0000}"/>
    <cellStyle name="Normal 2 2 2 22 8" xfId="23293" xr:uid="{00000000-0005-0000-0000-0000005B0000}"/>
    <cellStyle name="Normal 2 2 2 22 9" xfId="23294" xr:uid="{00000000-0005-0000-0000-0000015B0000}"/>
    <cellStyle name="Normal 2 2 2 23" xfId="23295" xr:uid="{00000000-0005-0000-0000-0000025B0000}"/>
    <cellStyle name="Normal 2 2 2 23 10" xfId="23296" xr:uid="{00000000-0005-0000-0000-0000035B0000}"/>
    <cellStyle name="Normal 2 2 2 23 2" xfId="23297" xr:uid="{00000000-0005-0000-0000-0000045B0000}"/>
    <cellStyle name="Normal 2 2 2 23 2 2" xfId="23298" xr:uid="{00000000-0005-0000-0000-0000055B0000}"/>
    <cellStyle name="Normal 2 2 2 23 2 2 2" xfId="23299" xr:uid="{00000000-0005-0000-0000-0000065B0000}"/>
    <cellStyle name="Normal 2 2 2 23 2 2 3" xfId="23300" xr:uid="{00000000-0005-0000-0000-0000075B0000}"/>
    <cellStyle name="Normal 2 2 2 23 2 3" xfId="23301" xr:uid="{00000000-0005-0000-0000-0000085B0000}"/>
    <cellStyle name="Normal 2 2 2 23 2 4" xfId="23302" xr:uid="{00000000-0005-0000-0000-0000095B0000}"/>
    <cellStyle name="Normal 2 2 2 23 2 5" xfId="23303" xr:uid="{00000000-0005-0000-0000-00000A5B0000}"/>
    <cellStyle name="Normal 2 2 2 23 2 6" xfId="23304" xr:uid="{00000000-0005-0000-0000-00000B5B0000}"/>
    <cellStyle name="Normal 2 2 2 23 3" xfId="23305" xr:uid="{00000000-0005-0000-0000-00000C5B0000}"/>
    <cellStyle name="Normal 2 2 2 23 3 2" xfId="23306" xr:uid="{00000000-0005-0000-0000-00000D5B0000}"/>
    <cellStyle name="Normal 2 2 2 23 3 2 2" xfId="23307" xr:uid="{00000000-0005-0000-0000-00000E5B0000}"/>
    <cellStyle name="Normal 2 2 2 23 3 2 3" xfId="23308" xr:uid="{00000000-0005-0000-0000-00000F5B0000}"/>
    <cellStyle name="Normal 2 2 2 23 3 3" xfId="23309" xr:uid="{00000000-0005-0000-0000-0000105B0000}"/>
    <cellStyle name="Normal 2 2 2 23 3 4" xfId="23310" xr:uid="{00000000-0005-0000-0000-0000115B0000}"/>
    <cellStyle name="Normal 2 2 2 23 3 5" xfId="23311" xr:uid="{00000000-0005-0000-0000-0000125B0000}"/>
    <cellStyle name="Normal 2 2 2 23 3 6" xfId="23312" xr:uid="{00000000-0005-0000-0000-0000135B0000}"/>
    <cellStyle name="Normal 2 2 2 23 4" xfId="23313" xr:uid="{00000000-0005-0000-0000-0000145B0000}"/>
    <cellStyle name="Normal 2 2 2 23 4 2" xfId="23314" xr:uid="{00000000-0005-0000-0000-0000155B0000}"/>
    <cellStyle name="Normal 2 2 2 23 4 2 2" xfId="23315" xr:uid="{00000000-0005-0000-0000-0000165B0000}"/>
    <cellStyle name="Normal 2 2 2 23 4 3" xfId="23316" xr:uid="{00000000-0005-0000-0000-0000175B0000}"/>
    <cellStyle name="Normal 2 2 2 23 4 4" xfId="23317" xr:uid="{00000000-0005-0000-0000-0000185B0000}"/>
    <cellStyle name="Normal 2 2 2 23 4 5" xfId="23318" xr:uid="{00000000-0005-0000-0000-0000195B0000}"/>
    <cellStyle name="Normal 2 2 2 23 5" xfId="23319" xr:uid="{00000000-0005-0000-0000-00001A5B0000}"/>
    <cellStyle name="Normal 2 2 2 23 5 2" xfId="23320" xr:uid="{00000000-0005-0000-0000-00001B5B0000}"/>
    <cellStyle name="Normal 2 2 2 23 5 3" xfId="23321" xr:uid="{00000000-0005-0000-0000-00001C5B0000}"/>
    <cellStyle name="Normal 2 2 2 23 5 4" xfId="23322" xr:uid="{00000000-0005-0000-0000-00001D5B0000}"/>
    <cellStyle name="Normal 2 2 2 23 6" xfId="23323" xr:uid="{00000000-0005-0000-0000-00001E5B0000}"/>
    <cellStyle name="Normal 2 2 2 23 6 2" xfId="23324" xr:uid="{00000000-0005-0000-0000-00001F5B0000}"/>
    <cellStyle name="Normal 2 2 2 23 7" xfId="23325" xr:uid="{00000000-0005-0000-0000-0000205B0000}"/>
    <cellStyle name="Normal 2 2 2 23 8" xfId="23326" xr:uid="{00000000-0005-0000-0000-0000215B0000}"/>
    <cellStyle name="Normal 2 2 2 23 9" xfId="23327" xr:uid="{00000000-0005-0000-0000-0000225B0000}"/>
    <cellStyle name="Normal 2 2 2 24" xfId="23328" xr:uid="{00000000-0005-0000-0000-0000235B0000}"/>
    <cellStyle name="Normal 2 2 2 24 10" xfId="23329" xr:uid="{00000000-0005-0000-0000-0000245B0000}"/>
    <cellStyle name="Normal 2 2 2 24 2" xfId="23330" xr:uid="{00000000-0005-0000-0000-0000255B0000}"/>
    <cellStyle name="Normal 2 2 2 24 2 2" xfId="23331" xr:uid="{00000000-0005-0000-0000-0000265B0000}"/>
    <cellStyle name="Normal 2 2 2 24 2 2 2" xfId="23332" xr:uid="{00000000-0005-0000-0000-0000275B0000}"/>
    <cellStyle name="Normal 2 2 2 24 2 2 3" xfId="23333" xr:uid="{00000000-0005-0000-0000-0000285B0000}"/>
    <cellStyle name="Normal 2 2 2 24 2 3" xfId="23334" xr:uid="{00000000-0005-0000-0000-0000295B0000}"/>
    <cellStyle name="Normal 2 2 2 24 2 4" xfId="23335" xr:uid="{00000000-0005-0000-0000-00002A5B0000}"/>
    <cellStyle name="Normal 2 2 2 24 2 5" xfId="23336" xr:uid="{00000000-0005-0000-0000-00002B5B0000}"/>
    <cellStyle name="Normal 2 2 2 24 2 6" xfId="23337" xr:uid="{00000000-0005-0000-0000-00002C5B0000}"/>
    <cellStyle name="Normal 2 2 2 24 3" xfId="23338" xr:uid="{00000000-0005-0000-0000-00002D5B0000}"/>
    <cellStyle name="Normal 2 2 2 24 3 2" xfId="23339" xr:uid="{00000000-0005-0000-0000-00002E5B0000}"/>
    <cellStyle name="Normal 2 2 2 24 3 2 2" xfId="23340" xr:uid="{00000000-0005-0000-0000-00002F5B0000}"/>
    <cellStyle name="Normal 2 2 2 24 3 2 3" xfId="23341" xr:uid="{00000000-0005-0000-0000-0000305B0000}"/>
    <cellStyle name="Normal 2 2 2 24 3 3" xfId="23342" xr:uid="{00000000-0005-0000-0000-0000315B0000}"/>
    <cellStyle name="Normal 2 2 2 24 3 4" xfId="23343" xr:uid="{00000000-0005-0000-0000-0000325B0000}"/>
    <cellStyle name="Normal 2 2 2 24 3 5" xfId="23344" xr:uid="{00000000-0005-0000-0000-0000335B0000}"/>
    <cellStyle name="Normal 2 2 2 24 3 6" xfId="23345" xr:uid="{00000000-0005-0000-0000-0000345B0000}"/>
    <cellStyle name="Normal 2 2 2 24 4" xfId="23346" xr:uid="{00000000-0005-0000-0000-0000355B0000}"/>
    <cellStyle name="Normal 2 2 2 24 4 2" xfId="23347" xr:uid="{00000000-0005-0000-0000-0000365B0000}"/>
    <cellStyle name="Normal 2 2 2 24 4 2 2" xfId="23348" xr:uid="{00000000-0005-0000-0000-0000375B0000}"/>
    <cellStyle name="Normal 2 2 2 24 4 3" xfId="23349" xr:uid="{00000000-0005-0000-0000-0000385B0000}"/>
    <cellStyle name="Normal 2 2 2 24 4 4" xfId="23350" xr:uid="{00000000-0005-0000-0000-0000395B0000}"/>
    <cellStyle name="Normal 2 2 2 24 4 5" xfId="23351" xr:uid="{00000000-0005-0000-0000-00003A5B0000}"/>
    <cellStyle name="Normal 2 2 2 24 5" xfId="23352" xr:uid="{00000000-0005-0000-0000-00003B5B0000}"/>
    <cellStyle name="Normal 2 2 2 24 5 2" xfId="23353" xr:uid="{00000000-0005-0000-0000-00003C5B0000}"/>
    <cellStyle name="Normal 2 2 2 24 5 3" xfId="23354" xr:uid="{00000000-0005-0000-0000-00003D5B0000}"/>
    <cellStyle name="Normal 2 2 2 24 5 4" xfId="23355" xr:uid="{00000000-0005-0000-0000-00003E5B0000}"/>
    <cellStyle name="Normal 2 2 2 24 6" xfId="23356" xr:uid="{00000000-0005-0000-0000-00003F5B0000}"/>
    <cellStyle name="Normal 2 2 2 24 6 2" xfId="23357" xr:uid="{00000000-0005-0000-0000-0000405B0000}"/>
    <cellStyle name="Normal 2 2 2 24 7" xfId="23358" xr:uid="{00000000-0005-0000-0000-0000415B0000}"/>
    <cellStyle name="Normal 2 2 2 24 8" xfId="23359" xr:uid="{00000000-0005-0000-0000-0000425B0000}"/>
    <cellStyle name="Normal 2 2 2 24 9" xfId="23360" xr:uid="{00000000-0005-0000-0000-0000435B0000}"/>
    <cellStyle name="Normal 2 2 2 25" xfId="23361" xr:uid="{00000000-0005-0000-0000-0000445B0000}"/>
    <cellStyle name="Normal 2 2 2 25 10" xfId="23362" xr:uid="{00000000-0005-0000-0000-0000455B0000}"/>
    <cellStyle name="Normal 2 2 2 25 2" xfId="23363" xr:uid="{00000000-0005-0000-0000-0000465B0000}"/>
    <cellStyle name="Normal 2 2 2 25 2 2" xfId="23364" xr:uid="{00000000-0005-0000-0000-0000475B0000}"/>
    <cellStyle name="Normal 2 2 2 25 2 2 2" xfId="23365" xr:uid="{00000000-0005-0000-0000-0000485B0000}"/>
    <cellStyle name="Normal 2 2 2 25 2 2 3" xfId="23366" xr:uid="{00000000-0005-0000-0000-0000495B0000}"/>
    <cellStyle name="Normal 2 2 2 25 2 3" xfId="23367" xr:uid="{00000000-0005-0000-0000-00004A5B0000}"/>
    <cellStyle name="Normal 2 2 2 25 2 4" xfId="23368" xr:uid="{00000000-0005-0000-0000-00004B5B0000}"/>
    <cellStyle name="Normal 2 2 2 25 2 5" xfId="23369" xr:uid="{00000000-0005-0000-0000-00004C5B0000}"/>
    <cellStyle name="Normal 2 2 2 25 2 6" xfId="23370" xr:uid="{00000000-0005-0000-0000-00004D5B0000}"/>
    <cellStyle name="Normal 2 2 2 25 3" xfId="23371" xr:uid="{00000000-0005-0000-0000-00004E5B0000}"/>
    <cellStyle name="Normal 2 2 2 25 3 2" xfId="23372" xr:uid="{00000000-0005-0000-0000-00004F5B0000}"/>
    <cellStyle name="Normal 2 2 2 25 3 2 2" xfId="23373" xr:uid="{00000000-0005-0000-0000-0000505B0000}"/>
    <cellStyle name="Normal 2 2 2 25 3 2 3" xfId="23374" xr:uid="{00000000-0005-0000-0000-0000515B0000}"/>
    <cellStyle name="Normal 2 2 2 25 3 3" xfId="23375" xr:uid="{00000000-0005-0000-0000-0000525B0000}"/>
    <cellStyle name="Normal 2 2 2 25 3 4" xfId="23376" xr:uid="{00000000-0005-0000-0000-0000535B0000}"/>
    <cellStyle name="Normal 2 2 2 25 3 5" xfId="23377" xr:uid="{00000000-0005-0000-0000-0000545B0000}"/>
    <cellStyle name="Normal 2 2 2 25 3 6" xfId="23378" xr:uid="{00000000-0005-0000-0000-0000555B0000}"/>
    <cellStyle name="Normal 2 2 2 25 4" xfId="23379" xr:uid="{00000000-0005-0000-0000-0000565B0000}"/>
    <cellStyle name="Normal 2 2 2 25 4 2" xfId="23380" xr:uid="{00000000-0005-0000-0000-0000575B0000}"/>
    <cellStyle name="Normal 2 2 2 25 4 2 2" xfId="23381" xr:uid="{00000000-0005-0000-0000-0000585B0000}"/>
    <cellStyle name="Normal 2 2 2 25 4 3" xfId="23382" xr:uid="{00000000-0005-0000-0000-0000595B0000}"/>
    <cellStyle name="Normal 2 2 2 25 4 4" xfId="23383" xr:uid="{00000000-0005-0000-0000-00005A5B0000}"/>
    <cellStyle name="Normal 2 2 2 25 4 5" xfId="23384" xr:uid="{00000000-0005-0000-0000-00005B5B0000}"/>
    <cellStyle name="Normal 2 2 2 25 5" xfId="23385" xr:uid="{00000000-0005-0000-0000-00005C5B0000}"/>
    <cellStyle name="Normal 2 2 2 25 5 2" xfId="23386" xr:uid="{00000000-0005-0000-0000-00005D5B0000}"/>
    <cellStyle name="Normal 2 2 2 25 5 3" xfId="23387" xr:uid="{00000000-0005-0000-0000-00005E5B0000}"/>
    <cellStyle name="Normal 2 2 2 25 5 4" xfId="23388" xr:uid="{00000000-0005-0000-0000-00005F5B0000}"/>
    <cellStyle name="Normal 2 2 2 25 6" xfId="23389" xr:uid="{00000000-0005-0000-0000-0000605B0000}"/>
    <cellStyle name="Normal 2 2 2 25 6 2" xfId="23390" xr:uid="{00000000-0005-0000-0000-0000615B0000}"/>
    <cellStyle name="Normal 2 2 2 25 7" xfId="23391" xr:uid="{00000000-0005-0000-0000-0000625B0000}"/>
    <cellStyle name="Normal 2 2 2 25 8" xfId="23392" xr:uid="{00000000-0005-0000-0000-0000635B0000}"/>
    <cellStyle name="Normal 2 2 2 25 9" xfId="23393" xr:uid="{00000000-0005-0000-0000-0000645B0000}"/>
    <cellStyle name="Normal 2 2 2 26" xfId="23394" xr:uid="{00000000-0005-0000-0000-0000655B0000}"/>
    <cellStyle name="Normal 2 2 2 26 10" xfId="23395" xr:uid="{00000000-0005-0000-0000-0000665B0000}"/>
    <cellStyle name="Normal 2 2 2 26 2" xfId="23396" xr:uid="{00000000-0005-0000-0000-0000675B0000}"/>
    <cellStyle name="Normal 2 2 2 26 2 2" xfId="23397" xr:uid="{00000000-0005-0000-0000-0000685B0000}"/>
    <cellStyle name="Normal 2 2 2 26 2 2 2" xfId="23398" xr:uid="{00000000-0005-0000-0000-0000695B0000}"/>
    <cellStyle name="Normal 2 2 2 26 2 2 3" xfId="23399" xr:uid="{00000000-0005-0000-0000-00006A5B0000}"/>
    <cellStyle name="Normal 2 2 2 26 2 3" xfId="23400" xr:uid="{00000000-0005-0000-0000-00006B5B0000}"/>
    <cellStyle name="Normal 2 2 2 26 2 4" xfId="23401" xr:uid="{00000000-0005-0000-0000-00006C5B0000}"/>
    <cellStyle name="Normal 2 2 2 26 2 5" xfId="23402" xr:uid="{00000000-0005-0000-0000-00006D5B0000}"/>
    <cellStyle name="Normal 2 2 2 26 2 6" xfId="23403" xr:uid="{00000000-0005-0000-0000-00006E5B0000}"/>
    <cellStyle name="Normal 2 2 2 26 3" xfId="23404" xr:uid="{00000000-0005-0000-0000-00006F5B0000}"/>
    <cellStyle name="Normal 2 2 2 26 3 2" xfId="23405" xr:uid="{00000000-0005-0000-0000-0000705B0000}"/>
    <cellStyle name="Normal 2 2 2 26 3 2 2" xfId="23406" xr:uid="{00000000-0005-0000-0000-0000715B0000}"/>
    <cellStyle name="Normal 2 2 2 26 3 2 3" xfId="23407" xr:uid="{00000000-0005-0000-0000-0000725B0000}"/>
    <cellStyle name="Normal 2 2 2 26 3 3" xfId="23408" xr:uid="{00000000-0005-0000-0000-0000735B0000}"/>
    <cellStyle name="Normal 2 2 2 26 3 4" xfId="23409" xr:uid="{00000000-0005-0000-0000-0000745B0000}"/>
    <cellStyle name="Normal 2 2 2 26 3 5" xfId="23410" xr:uid="{00000000-0005-0000-0000-0000755B0000}"/>
    <cellStyle name="Normal 2 2 2 26 3 6" xfId="23411" xr:uid="{00000000-0005-0000-0000-0000765B0000}"/>
    <cellStyle name="Normal 2 2 2 26 4" xfId="23412" xr:uid="{00000000-0005-0000-0000-0000775B0000}"/>
    <cellStyle name="Normal 2 2 2 26 4 2" xfId="23413" xr:uid="{00000000-0005-0000-0000-0000785B0000}"/>
    <cellStyle name="Normal 2 2 2 26 4 2 2" xfId="23414" xr:uid="{00000000-0005-0000-0000-0000795B0000}"/>
    <cellStyle name="Normal 2 2 2 26 4 3" xfId="23415" xr:uid="{00000000-0005-0000-0000-00007A5B0000}"/>
    <cellStyle name="Normal 2 2 2 26 4 4" xfId="23416" xr:uid="{00000000-0005-0000-0000-00007B5B0000}"/>
    <cellStyle name="Normal 2 2 2 26 4 5" xfId="23417" xr:uid="{00000000-0005-0000-0000-00007C5B0000}"/>
    <cellStyle name="Normal 2 2 2 26 5" xfId="23418" xr:uid="{00000000-0005-0000-0000-00007D5B0000}"/>
    <cellStyle name="Normal 2 2 2 26 5 2" xfId="23419" xr:uid="{00000000-0005-0000-0000-00007E5B0000}"/>
    <cellStyle name="Normal 2 2 2 26 5 3" xfId="23420" xr:uid="{00000000-0005-0000-0000-00007F5B0000}"/>
    <cellStyle name="Normal 2 2 2 26 5 4" xfId="23421" xr:uid="{00000000-0005-0000-0000-0000805B0000}"/>
    <cellStyle name="Normal 2 2 2 26 6" xfId="23422" xr:uid="{00000000-0005-0000-0000-0000815B0000}"/>
    <cellStyle name="Normal 2 2 2 26 6 2" xfId="23423" xr:uid="{00000000-0005-0000-0000-0000825B0000}"/>
    <cellStyle name="Normal 2 2 2 26 7" xfId="23424" xr:uid="{00000000-0005-0000-0000-0000835B0000}"/>
    <cellStyle name="Normal 2 2 2 26 8" xfId="23425" xr:uid="{00000000-0005-0000-0000-0000845B0000}"/>
    <cellStyle name="Normal 2 2 2 26 9" xfId="23426" xr:uid="{00000000-0005-0000-0000-0000855B0000}"/>
    <cellStyle name="Normal 2 2 2 27" xfId="23427" xr:uid="{00000000-0005-0000-0000-0000865B0000}"/>
    <cellStyle name="Normal 2 2 2 27 10" xfId="23428" xr:uid="{00000000-0005-0000-0000-0000875B0000}"/>
    <cellStyle name="Normal 2 2 2 27 2" xfId="23429" xr:uid="{00000000-0005-0000-0000-0000885B0000}"/>
    <cellStyle name="Normal 2 2 2 27 2 2" xfId="23430" xr:uid="{00000000-0005-0000-0000-0000895B0000}"/>
    <cellStyle name="Normal 2 2 2 27 2 2 2" xfId="23431" xr:uid="{00000000-0005-0000-0000-00008A5B0000}"/>
    <cellStyle name="Normal 2 2 2 27 2 2 3" xfId="23432" xr:uid="{00000000-0005-0000-0000-00008B5B0000}"/>
    <cellStyle name="Normal 2 2 2 27 2 3" xfId="23433" xr:uid="{00000000-0005-0000-0000-00008C5B0000}"/>
    <cellStyle name="Normal 2 2 2 27 2 4" xfId="23434" xr:uid="{00000000-0005-0000-0000-00008D5B0000}"/>
    <cellStyle name="Normal 2 2 2 27 2 5" xfId="23435" xr:uid="{00000000-0005-0000-0000-00008E5B0000}"/>
    <cellStyle name="Normal 2 2 2 27 2 6" xfId="23436" xr:uid="{00000000-0005-0000-0000-00008F5B0000}"/>
    <cellStyle name="Normal 2 2 2 27 3" xfId="23437" xr:uid="{00000000-0005-0000-0000-0000905B0000}"/>
    <cellStyle name="Normal 2 2 2 27 3 2" xfId="23438" xr:uid="{00000000-0005-0000-0000-0000915B0000}"/>
    <cellStyle name="Normal 2 2 2 27 3 2 2" xfId="23439" xr:uid="{00000000-0005-0000-0000-0000925B0000}"/>
    <cellStyle name="Normal 2 2 2 27 3 2 3" xfId="23440" xr:uid="{00000000-0005-0000-0000-0000935B0000}"/>
    <cellStyle name="Normal 2 2 2 27 3 3" xfId="23441" xr:uid="{00000000-0005-0000-0000-0000945B0000}"/>
    <cellStyle name="Normal 2 2 2 27 3 4" xfId="23442" xr:uid="{00000000-0005-0000-0000-0000955B0000}"/>
    <cellStyle name="Normal 2 2 2 27 3 5" xfId="23443" xr:uid="{00000000-0005-0000-0000-0000965B0000}"/>
    <cellStyle name="Normal 2 2 2 27 3 6" xfId="23444" xr:uid="{00000000-0005-0000-0000-0000975B0000}"/>
    <cellStyle name="Normal 2 2 2 27 4" xfId="23445" xr:uid="{00000000-0005-0000-0000-0000985B0000}"/>
    <cellStyle name="Normal 2 2 2 27 4 2" xfId="23446" xr:uid="{00000000-0005-0000-0000-0000995B0000}"/>
    <cellStyle name="Normal 2 2 2 27 4 2 2" xfId="23447" xr:uid="{00000000-0005-0000-0000-00009A5B0000}"/>
    <cellStyle name="Normal 2 2 2 27 4 3" xfId="23448" xr:uid="{00000000-0005-0000-0000-00009B5B0000}"/>
    <cellStyle name="Normal 2 2 2 27 4 4" xfId="23449" xr:uid="{00000000-0005-0000-0000-00009C5B0000}"/>
    <cellStyle name="Normal 2 2 2 27 4 5" xfId="23450" xr:uid="{00000000-0005-0000-0000-00009D5B0000}"/>
    <cellStyle name="Normal 2 2 2 27 5" xfId="23451" xr:uid="{00000000-0005-0000-0000-00009E5B0000}"/>
    <cellStyle name="Normal 2 2 2 27 5 2" xfId="23452" xr:uid="{00000000-0005-0000-0000-00009F5B0000}"/>
    <cellStyle name="Normal 2 2 2 27 5 3" xfId="23453" xr:uid="{00000000-0005-0000-0000-0000A05B0000}"/>
    <cellStyle name="Normal 2 2 2 27 5 4" xfId="23454" xr:uid="{00000000-0005-0000-0000-0000A15B0000}"/>
    <cellStyle name="Normal 2 2 2 27 6" xfId="23455" xr:uid="{00000000-0005-0000-0000-0000A25B0000}"/>
    <cellStyle name="Normal 2 2 2 27 6 2" xfId="23456" xr:uid="{00000000-0005-0000-0000-0000A35B0000}"/>
    <cellStyle name="Normal 2 2 2 27 7" xfId="23457" xr:uid="{00000000-0005-0000-0000-0000A45B0000}"/>
    <cellStyle name="Normal 2 2 2 27 8" xfId="23458" xr:uid="{00000000-0005-0000-0000-0000A55B0000}"/>
    <cellStyle name="Normal 2 2 2 27 9" xfId="23459" xr:uid="{00000000-0005-0000-0000-0000A65B0000}"/>
    <cellStyle name="Normal 2 2 2 28" xfId="23460" xr:uid="{00000000-0005-0000-0000-0000A75B0000}"/>
    <cellStyle name="Normal 2 2 2 28 10" xfId="23461" xr:uid="{00000000-0005-0000-0000-0000A85B0000}"/>
    <cellStyle name="Normal 2 2 2 28 2" xfId="23462" xr:uid="{00000000-0005-0000-0000-0000A95B0000}"/>
    <cellStyle name="Normal 2 2 2 28 2 2" xfId="23463" xr:uid="{00000000-0005-0000-0000-0000AA5B0000}"/>
    <cellStyle name="Normal 2 2 2 28 2 2 2" xfId="23464" xr:uid="{00000000-0005-0000-0000-0000AB5B0000}"/>
    <cellStyle name="Normal 2 2 2 28 2 2 3" xfId="23465" xr:uid="{00000000-0005-0000-0000-0000AC5B0000}"/>
    <cellStyle name="Normal 2 2 2 28 2 3" xfId="23466" xr:uid="{00000000-0005-0000-0000-0000AD5B0000}"/>
    <cellStyle name="Normal 2 2 2 28 2 4" xfId="23467" xr:uid="{00000000-0005-0000-0000-0000AE5B0000}"/>
    <cellStyle name="Normal 2 2 2 28 2 5" xfId="23468" xr:uid="{00000000-0005-0000-0000-0000AF5B0000}"/>
    <cellStyle name="Normal 2 2 2 28 2 6" xfId="23469" xr:uid="{00000000-0005-0000-0000-0000B05B0000}"/>
    <cellStyle name="Normal 2 2 2 28 3" xfId="23470" xr:uid="{00000000-0005-0000-0000-0000B15B0000}"/>
    <cellStyle name="Normal 2 2 2 28 3 2" xfId="23471" xr:uid="{00000000-0005-0000-0000-0000B25B0000}"/>
    <cellStyle name="Normal 2 2 2 28 3 2 2" xfId="23472" xr:uid="{00000000-0005-0000-0000-0000B35B0000}"/>
    <cellStyle name="Normal 2 2 2 28 3 2 3" xfId="23473" xr:uid="{00000000-0005-0000-0000-0000B45B0000}"/>
    <cellStyle name="Normal 2 2 2 28 3 3" xfId="23474" xr:uid="{00000000-0005-0000-0000-0000B55B0000}"/>
    <cellStyle name="Normal 2 2 2 28 3 4" xfId="23475" xr:uid="{00000000-0005-0000-0000-0000B65B0000}"/>
    <cellStyle name="Normal 2 2 2 28 3 5" xfId="23476" xr:uid="{00000000-0005-0000-0000-0000B75B0000}"/>
    <cellStyle name="Normal 2 2 2 28 3 6" xfId="23477" xr:uid="{00000000-0005-0000-0000-0000B85B0000}"/>
    <cellStyle name="Normal 2 2 2 28 4" xfId="23478" xr:uid="{00000000-0005-0000-0000-0000B95B0000}"/>
    <cellStyle name="Normal 2 2 2 28 4 2" xfId="23479" xr:uid="{00000000-0005-0000-0000-0000BA5B0000}"/>
    <cellStyle name="Normal 2 2 2 28 4 2 2" xfId="23480" xr:uid="{00000000-0005-0000-0000-0000BB5B0000}"/>
    <cellStyle name="Normal 2 2 2 28 4 3" xfId="23481" xr:uid="{00000000-0005-0000-0000-0000BC5B0000}"/>
    <cellStyle name="Normal 2 2 2 28 4 4" xfId="23482" xr:uid="{00000000-0005-0000-0000-0000BD5B0000}"/>
    <cellStyle name="Normal 2 2 2 28 4 5" xfId="23483" xr:uid="{00000000-0005-0000-0000-0000BE5B0000}"/>
    <cellStyle name="Normal 2 2 2 28 5" xfId="23484" xr:uid="{00000000-0005-0000-0000-0000BF5B0000}"/>
    <cellStyle name="Normal 2 2 2 28 5 2" xfId="23485" xr:uid="{00000000-0005-0000-0000-0000C05B0000}"/>
    <cellStyle name="Normal 2 2 2 28 5 3" xfId="23486" xr:uid="{00000000-0005-0000-0000-0000C15B0000}"/>
    <cellStyle name="Normal 2 2 2 28 5 4" xfId="23487" xr:uid="{00000000-0005-0000-0000-0000C25B0000}"/>
    <cellStyle name="Normal 2 2 2 28 6" xfId="23488" xr:uid="{00000000-0005-0000-0000-0000C35B0000}"/>
    <cellStyle name="Normal 2 2 2 28 6 2" xfId="23489" xr:uid="{00000000-0005-0000-0000-0000C45B0000}"/>
    <cellStyle name="Normal 2 2 2 28 7" xfId="23490" xr:uid="{00000000-0005-0000-0000-0000C55B0000}"/>
    <cellStyle name="Normal 2 2 2 28 8" xfId="23491" xr:uid="{00000000-0005-0000-0000-0000C65B0000}"/>
    <cellStyle name="Normal 2 2 2 28 9" xfId="23492" xr:uid="{00000000-0005-0000-0000-0000C75B0000}"/>
    <cellStyle name="Normal 2 2 2 29" xfId="23493" xr:uid="{00000000-0005-0000-0000-0000C85B0000}"/>
    <cellStyle name="Normal 2 2 2 29 10" xfId="23494" xr:uid="{00000000-0005-0000-0000-0000C95B0000}"/>
    <cellStyle name="Normal 2 2 2 29 2" xfId="23495" xr:uid="{00000000-0005-0000-0000-0000CA5B0000}"/>
    <cellStyle name="Normal 2 2 2 29 2 2" xfId="23496" xr:uid="{00000000-0005-0000-0000-0000CB5B0000}"/>
    <cellStyle name="Normal 2 2 2 29 2 2 2" xfId="23497" xr:uid="{00000000-0005-0000-0000-0000CC5B0000}"/>
    <cellStyle name="Normal 2 2 2 29 2 2 3" xfId="23498" xr:uid="{00000000-0005-0000-0000-0000CD5B0000}"/>
    <cellStyle name="Normal 2 2 2 29 2 3" xfId="23499" xr:uid="{00000000-0005-0000-0000-0000CE5B0000}"/>
    <cellStyle name="Normal 2 2 2 29 2 4" xfId="23500" xr:uid="{00000000-0005-0000-0000-0000CF5B0000}"/>
    <cellStyle name="Normal 2 2 2 29 2 5" xfId="23501" xr:uid="{00000000-0005-0000-0000-0000D05B0000}"/>
    <cellStyle name="Normal 2 2 2 29 2 6" xfId="23502" xr:uid="{00000000-0005-0000-0000-0000D15B0000}"/>
    <cellStyle name="Normal 2 2 2 29 3" xfId="23503" xr:uid="{00000000-0005-0000-0000-0000D25B0000}"/>
    <cellStyle name="Normal 2 2 2 29 3 2" xfId="23504" xr:uid="{00000000-0005-0000-0000-0000D35B0000}"/>
    <cellStyle name="Normal 2 2 2 29 3 2 2" xfId="23505" xr:uid="{00000000-0005-0000-0000-0000D45B0000}"/>
    <cellStyle name="Normal 2 2 2 29 3 2 3" xfId="23506" xr:uid="{00000000-0005-0000-0000-0000D55B0000}"/>
    <cellStyle name="Normal 2 2 2 29 3 3" xfId="23507" xr:uid="{00000000-0005-0000-0000-0000D65B0000}"/>
    <cellStyle name="Normal 2 2 2 29 3 4" xfId="23508" xr:uid="{00000000-0005-0000-0000-0000D75B0000}"/>
    <cellStyle name="Normal 2 2 2 29 3 5" xfId="23509" xr:uid="{00000000-0005-0000-0000-0000D85B0000}"/>
    <cellStyle name="Normal 2 2 2 29 3 6" xfId="23510" xr:uid="{00000000-0005-0000-0000-0000D95B0000}"/>
    <cellStyle name="Normal 2 2 2 29 4" xfId="23511" xr:uid="{00000000-0005-0000-0000-0000DA5B0000}"/>
    <cellStyle name="Normal 2 2 2 29 4 2" xfId="23512" xr:uid="{00000000-0005-0000-0000-0000DB5B0000}"/>
    <cellStyle name="Normal 2 2 2 29 4 2 2" xfId="23513" xr:uid="{00000000-0005-0000-0000-0000DC5B0000}"/>
    <cellStyle name="Normal 2 2 2 29 4 3" xfId="23514" xr:uid="{00000000-0005-0000-0000-0000DD5B0000}"/>
    <cellStyle name="Normal 2 2 2 29 4 4" xfId="23515" xr:uid="{00000000-0005-0000-0000-0000DE5B0000}"/>
    <cellStyle name="Normal 2 2 2 29 4 5" xfId="23516" xr:uid="{00000000-0005-0000-0000-0000DF5B0000}"/>
    <cellStyle name="Normal 2 2 2 29 5" xfId="23517" xr:uid="{00000000-0005-0000-0000-0000E05B0000}"/>
    <cellStyle name="Normal 2 2 2 29 5 2" xfId="23518" xr:uid="{00000000-0005-0000-0000-0000E15B0000}"/>
    <cellStyle name="Normal 2 2 2 29 5 3" xfId="23519" xr:uid="{00000000-0005-0000-0000-0000E25B0000}"/>
    <cellStyle name="Normal 2 2 2 29 5 4" xfId="23520" xr:uid="{00000000-0005-0000-0000-0000E35B0000}"/>
    <cellStyle name="Normal 2 2 2 29 6" xfId="23521" xr:uid="{00000000-0005-0000-0000-0000E45B0000}"/>
    <cellStyle name="Normal 2 2 2 29 6 2" xfId="23522" xr:uid="{00000000-0005-0000-0000-0000E55B0000}"/>
    <cellStyle name="Normal 2 2 2 29 7" xfId="23523" xr:uid="{00000000-0005-0000-0000-0000E65B0000}"/>
    <cellStyle name="Normal 2 2 2 29 8" xfId="23524" xr:uid="{00000000-0005-0000-0000-0000E75B0000}"/>
    <cellStyle name="Normal 2 2 2 29 9" xfId="23525" xr:uid="{00000000-0005-0000-0000-0000E85B0000}"/>
    <cellStyle name="Normal 2 2 2 3" xfId="23526" xr:uid="{00000000-0005-0000-0000-0000E95B0000}"/>
    <cellStyle name="Normal 2 2 2 3 10" xfId="23527" xr:uid="{00000000-0005-0000-0000-0000EA5B0000}"/>
    <cellStyle name="Normal 2 2 2 3 11" xfId="23528" xr:uid="{00000000-0005-0000-0000-0000EB5B0000}"/>
    <cellStyle name="Normal 2 2 2 3 2" xfId="23529" xr:uid="{00000000-0005-0000-0000-0000EC5B0000}"/>
    <cellStyle name="Normal 2 2 2 3 2 2" xfId="23530" xr:uid="{00000000-0005-0000-0000-0000ED5B0000}"/>
    <cellStyle name="Normal 2 2 2 3 2 2 2" xfId="23531" xr:uid="{00000000-0005-0000-0000-0000EE5B0000}"/>
    <cellStyle name="Normal 2 2 2 3 2 2 2 2" xfId="23532" xr:uid="{00000000-0005-0000-0000-0000EF5B0000}"/>
    <cellStyle name="Normal 2 2 2 3 2 2 2 3" xfId="23533" xr:uid="{00000000-0005-0000-0000-0000F05B0000}"/>
    <cellStyle name="Normal 2 2 2 3 2 2 3" xfId="23534" xr:uid="{00000000-0005-0000-0000-0000F15B0000}"/>
    <cellStyle name="Normal 2 2 2 3 2 2 4" xfId="23535" xr:uid="{00000000-0005-0000-0000-0000F25B0000}"/>
    <cellStyle name="Normal 2 2 2 3 2 2 5" xfId="23536" xr:uid="{00000000-0005-0000-0000-0000F35B0000}"/>
    <cellStyle name="Normal 2 2 2 3 2 2 6" xfId="23537" xr:uid="{00000000-0005-0000-0000-0000F45B0000}"/>
    <cellStyle name="Normal 2 2 2 3 2 3" xfId="23538" xr:uid="{00000000-0005-0000-0000-0000F55B0000}"/>
    <cellStyle name="Normal 2 2 2 3 2 3 2" xfId="23539" xr:uid="{00000000-0005-0000-0000-0000F65B0000}"/>
    <cellStyle name="Normal 2 2 2 3 2 3 2 2" xfId="23540" xr:uid="{00000000-0005-0000-0000-0000F75B0000}"/>
    <cellStyle name="Normal 2 2 2 3 2 3 3" xfId="23541" xr:uid="{00000000-0005-0000-0000-0000F85B0000}"/>
    <cellStyle name="Normal 2 2 2 3 2 3 4" xfId="23542" xr:uid="{00000000-0005-0000-0000-0000F95B0000}"/>
    <cellStyle name="Normal 2 2 2 3 2 3 5" xfId="23543" xr:uid="{00000000-0005-0000-0000-0000FA5B0000}"/>
    <cellStyle name="Normal 2 2 2 3 2 4" xfId="23544" xr:uid="{00000000-0005-0000-0000-0000FB5B0000}"/>
    <cellStyle name="Normal 2 2 2 3 2 4 2" xfId="23545" xr:uid="{00000000-0005-0000-0000-0000FC5B0000}"/>
    <cellStyle name="Normal 2 2 2 3 2 4 3" xfId="23546" xr:uid="{00000000-0005-0000-0000-0000FD5B0000}"/>
    <cellStyle name="Normal 2 2 2 3 2 4 4" xfId="23547" xr:uid="{00000000-0005-0000-0000-0000FE5B0000}"/>
    <cellStyle name="Normal 2 2 2 3 2 5" xfId="23548" xr:uid="{00000000-0005-0000-0000-0000FF5B0000}"/>
    <cellStyle name="Normal 2 2 2 3 2 5 2" xfId="23549" xr:uid="{00000000-0005-0000-0000-0000005C0000}"/>
    <cellStyle name="Normal 2 2 2 3 2 6" xfId="23550" xr:uid="{00000000-0005-0000-0000-0000015C0000}"/>
    <cellStyle name="Normal 2 2 2 3 2 7" xfId="23551" xr:uid="{00000000-0005-0000-0000-0000025C0000}"/>
    <cellStyle name="Normal 2 2 2 3 2 8" xfId="23552" xr:uid="{00000000-0005-0000-0000-0000035C0000}"/>
    <cellStyle name="Normal 2 2 2 3 2 9" xfId="23553" xr:uid="{00000000-0005-0000-0000-0000045C0000}"/>
    <cellStyle name="Normal 2 2 2 3 3" xfId="23554" xr:uid="{00000000-0005-0000-0000-0000055C0000}"/>
    <cellStyle name="Normal 2 2 2 3 3 2" xfId="23555" xr:uid="{00000000-0005-0000-0000-0000065C0000}"/>
    <cellStyle name="Normal 2 2 2 3 3 2 2" xfId="23556" xr:uid="{00000000-0005-0000-0000-0000075C0000}"/>
    <cellStyle name="Normal 2 2 2 3 3 2 2 2" xfId="23557" xr:uid="{00000000-0005-0000-0000-0000085C0000}"/>
    <cellStyle name="Normal 2 2 2 3 3 2 2 3" xfId="23558" xr:uid="{00000000-0005-0000-0000-0000095C0000}"/>
    <cellStyle name="Normal 2 2 2 3 3 2 3" xfId="23559" xr:uid="{00000000-0005-0000-0000-00000A5C0000}"/>
    <cellStyle name="Normal 2 2 2 3 3 2 4" xfId="23560" xr:uid="{00000000-0005-0000-0000-00000B5C0000}"/>
    <cellStyle name="Normal 2 2 2 3 3 2 5" xfId="23561" xr:uid="{00000000-0005-0000-0000-00000C5C0000}"/>
    <cellStyle name="Normal 2 2 2 3 3 2 6" xfId="23562" xr:uid="{00000000-0005-0000-0000-00000D5C0000}"/>
    <cellStyle name="Normal 2 2 2 3 3 3" xfId="23563" xr:uid="{00000000-0005-0000-0000-00000E5C0000}"/>
    <cellStyle name="Normal 2 2 2 3 3 3 2" xfId="23564" xr:uid="{00000000-0005-0000-0000-00000F5C0000}"/>
    <cellStyle name="Normal 2 2 2 3 3 3 2 2" xfId="23565" xr:uid="{00000000-0005-0000-0000-0000105C0000}"/>
    <cellStyle name="Normal 2 2 2 3 3 3 3" xfId="23566" xr:uid="{00000000-0005-0000-0000-0000115C0000}"/>
    <cellStyle name="Normal 2 2 2 3 3 3 4" xfId="23567" xr:uid="{00000000-0005-0000-0000-0000125C0000}"/>
    <cellStyle name="Normal 2 2 2 3 3 3 5" xfId="23568" xr:uid="{00000000-0005-0000-0000-0000135C0000}"/>
    <cellStyle name="Normal 2 2 2 3 3 4" xfId="23569" xr:uid="{00000000-0005-0000-0000-0000145C0000}"/>
    <cellStyle name="Normal 2 2 2 3 3 4 2" xfId="23570" xr:uid="{00000000-0005-0000-0000-0000155C0000}"/>
    <cellStyle name="Normal 2 2 2 3 3 4 3" xfId="23571" xr:uid="{00000000-0005-0000-0000-0000165C0000}"/>
    <cellStyle name="Normal 2 2 2 3 3 4 4" xfId="23572" xr:uid="{00000000-0005-0000-0000-0000175C0000}"/>
    <cellStyle name="Normal 2 2 2 3 3 5" xfId="23573" xr:uid="{00000000-0005-0000-0000-0000185C0000}"/>
    <cellStyle name="Normal 2 2 2 3 3 5 2" xfId="23574" xr:uid="{00000000-0005-0000-0000-0000195C0000}"/>
    <cellStyle name="Normal 2 2 2 3 3 6" xfId="23575" xr:uid="{00000000-0005-0000-0000-00001A5C0000}"/>
    <cellStyle name="Normal 2 2 2 3 3 7" xfId="23576" xr:uid="{00000000-0005-0000-0000-00001B5C0000}"/>
    <cellStyle name="Normal 2 2 2 3 3 8" xfId="23577" xr:uid="{00000000-0005-0000-0000-00001C5C0000}"/>
    <cellStyle name="Normal 2 2 2 3 3 9" xfId="23578" xr:uid="{00000000-0005-0000-0000-00001D5C0000}"/>
    <cellStyle name="Normal 2 2 2 3 4" xfId="23579" xr:uid="{00000000-0005-0000-0000-00001E5C0000}"/>
    <cellStyle name="Normal 2 2 2 3 4 2" xfId="23580" xr:uid="{00000000-0005-0000-0000-00001F5C0000}"/>
    <cellStyle name="Normal 2 2 2 3 4 2 2" xfId="23581" xr:uid="{00000000-0005-0000-0000-0000205C0000}"/>
    <cellStyle name="Normal 2 2 2 3 4 2 3" xfId="23582" xr:uid="{00000000-0005-0000-0000-0000215C0000}"/>
    <cellStyle name="Normal 2 2 2 3 4 3" xfId="23583" xr:uid="{00000000-0005-0000-0000-0000225C0000}"/>
    <cellStyle name="Normal 2 2 2 3 4 4" xfId="23584" xr:uid="{00000000-0005-0000-0000-0000235C0000}"/>
    <cellStyle name="Normal 2 2 2 3 4 5" xfId="23585" xr:uid="{00000000-0005-0000-0000-0000245C0000}"/>
    <cellStyle name="Normal 2 2 2 3 4 6" xfId="23586" xr:uid="{00000000-0005-0000-0000-0000255C0000}"/>
    <cellStyle name="Normal 2 2 2 3 5" xfId="23587" xr:uid="{00000000-0005-0000-0000-0000265C0000}"/>
    <cellStyle name="Normal 2 2 2 3 5 2" xfId="23588" xr:uid="{00000000-0005-0000-0000-0000275C0000}"/>
    <cellStyle name="Normal 2 2 2 3 5 2 2" xfId="23589" xr:uid="{00000000-0005-0000-0000-0000285C0000}"/>
    <cellStyle name="Normal 2 2 2 3 5 3" xfId="23590" xr:uid="{00000000-0005-0000-0000-0000295C0000}"/>
    <cellStyle name="Normal 2 2 2 3 5 4" xfId="23591" xr:uid="{00000000-0005-0000-0000-00002A5C0000}"/>
    <cellStyle name="Normal 2 2 2 3 5 5" xfId="23592" xr:uid="{00000000-0005-0000-0000-00002B5C0000}"/>
    <cellStyle name="Normal 2 2 2 3 6" xfId="23593" xr:uid="{00000000-0005-0000-0000-00002C5C0000}"/>
    <cellStyle name="Normal 2 2 2 3 6 2" xfId="23594" xr:uid="{00000000-0005-0000-0000-00002D5C0000}"/>
    <cellStyle name="Normal 2 2 2 3 6 3" xfId="23595" xr:uid="{00000000-0005-0000-0000-00002E5C0000}"/>
    <cellStyle name="Normal 2 2 2 3 6 4" xfId="23596" xr:uid="{00000000-0005-0000-0000-00002F5C0000}"/>
    <cellStyle name="Normal 2 2 2 3 7" xfId="23597" xr:uid="{00000000-0005-0000-0000-0000305C0000}"/>
    <cellStyle name="Normal 2 2 2 3 7 2" xfId="23598" xr:uid="{00000000-0005-0000-0000-0000315C0000}"/>
    <cellStyle name="Normal 2 2 2 3 8" xfId="23599" xr:uid="{00000000-0005-0000-0000-0000325C0000}"/>
    <cellStyle name="Normal 2 2 2 3 9" xfId="23600" xr:uid="{00000000-0005-0000-0000-0000335C0000}"/>
    <cellStyle name="Normal 2 2 2 30" xfId="23601" xr:uid="{00000000-0005-0000-0000-0000345C0000}"/>
    <cellStyle name="Normal 2 2 2 30 10" xfId="23602" xr:uid="{00000000-0005-0000-0000-0000355C0000}"/>
    <cellStyle name="Normal 2 2 2 30 2" xfId="23603" xr:uid="{00000000-0005-0000-0000-0000365C0000}"/>
    <cellStyle name="Normal 2 2 2 30 2 2" xfId="23604" xr:uid="{00000000-0005-0000-0000-0000375C0000}"/>
    <cellStyle name="Normal 2 2 2 30 2 2 2" xfId="23605" xr:uid="{00000000-0005-0000-0000-0000385C0000}"/>
    <cellStyle name="Normal 2 2 2 30 2 2 3" xfId="23606" xr:uid="{00000000-0005-0000-0000-0000395C0000}"/>
    <cellStyle name="Normal 2 2 2 30 2 3" xfId="23607" xr:uid="{00000000-0005-0000-0000-00003A5C0000}"/>
    <cellStyle name="Normal 2 2 2 30 2 4" xfId="23608" xr:uid="{00000000-0005-0000-0000-00003B5C0000}"/>
    <cellStyle name="Normal 2 2 2 30 2 5" xfId="23609" xr:uid="{00000000-0005-0000-0000-00003C5C0000}"/>
    <cellStyle name="Normal 2 2 2 30 2 6" xfId="23610" xr:uid="{00000000-0005-0000-0000-00003D5C0000}"/>
    <cellStyle name="Normal 2 2 2 30 3" xfId="23611" xr:uid="{00000000-0005-0000-0000-00003E5C0000}"/>
    <cellStyle name="Normal 2 2 2 30 3 2" xfId="23612" xr:uid="{00000000-0005-0000-0000-00003F5C0000}"/>
    <cellStyle name="Normal 2 2 2 30 3 2 2" xfId="23613" xr:uid="{00000000-0005-0000-0000-0000405C0000}"/>
    <cellStyle name="Normal 2 2 2 30 3 2 3" xfId="23614" xr:uid="{00000000-0005-0000-0000-0000415C0000}"/>
    <cellStyle name="Normal 2 2 2 30 3 3" xfId="23615" xr:uid="{00000000-0005-0000-0000-0000425C0000}"/>
    <cellStyle name="Normal 2 2 2 30 3 4" xfId="23616" xr:uid="{00000000-0005-0000-0000-0000435C0000}"/>
    <cellStyle name="Normal 2 2 2 30 3 5" xfId="23617" xr:uid="{00000000-0005-0000-0000-0000445C0000}"/>
    <cellStyle name="Normal 2 2 2 30 3 6" xfId="23618" xr:uid="{00000000-0005-0000-0000-0000455C0000}"/>
    <cellStyle name="Normal 2 2 2 30 4" xfId="23619" xr:uid="{00000000-0005-0000-0000-0000465C0000}"/>
    <cellStyle name="Normal 2 2 2 30 4 2" xfId="23620" xr:uid="{00000000-0005-0000-0000-0000475C0000}"/>
    <cellStyle name="Normal 2 2 2 30 4 2 2" xfId="23621" xr:uid="{00000000-0005-0000-0000-0000485C0000}"/>
    <cellStyle name="Normal 2 2 2 30 4 3" xfId="23622" xr:uid="{00000000-0005-0000-0000-0000495C0000}"/>
    <cellStyle name="Normal 2 2 2 30 4 4" xfId="23623" xr:uid="{00000000-0005-0000-0000-00004A5C0000}"/>
    <cellStyle name="Normal 2 2 2 30 4 5" xfId="23624" xr:uid="{00000000-0005-0000-0000-00004B5C0000}"/>
    <cellStyle name="Normal 2 2 2 30 5" xfId="23625" xr:uid="{00000000-0005-0000-0000-00004C5C0000}"/>
    <cellStyle name="Normal 2 2 2 30 5 2" xfId="23626" xr:uid="{00000000-0005-0000-0000-00004D5C0000}"/>
    <cellStyle name="Normal 2 2 2 30 5 3" xfId="23627" xr:uid="{00000000-0005-0000-0000-00004E5C0000}"/>
    <cellStyle name="Normal 2 2 2 30 5 4" xfId="23628" xr:uid="{00000000-0005-0000-0000-00004F5C0000}"/>
    <cellStyle name="Normal 2 2 2 30 6" xfId="23629" xr:uid="{00000000-0005-0000-0000-0000505C0000}"/>
    <cellStyle name="Normal 2 2 2 30 6 2" xfId="23630" xr:uid="{00000000-0005-0000-0000-0000515C0000}"/>
    <cellStyle name="Normal 2 2 2 30 7" xfId="23631" xr:uid="{00000000-0005-0000-0000-0000525C0000}"/>
    <cellStyle name="Normal 2 2 2 30 8" xfId="23632" xr:uid="{00000000-0005-0000-0000-0000535C0000}"/>
    <cellStyle name="Normal 2 2 2 30 9" xfId="23633" xr:uid="{00000000-0005-0000-0000-0000545C0000}"/>
    <cellStyle name="Normal 2 2 2 31" xfId="23634" xr:uid="{00000000-0005-0000-0000-0000555C0000}"/>
    <cellStyle name="Normal 2 2 2 31 10" xfId="23635" xr:uid="{00000000-0005-0000-0000-0000565C0000}"/>
    <cellStyle name="Normal 2 2 2 31 2" xfId="23636" xr:uid="{00000000-0005-0000-0000-0000575C0000}"/>
    <cellStyle name="Normal 2 2 2 31 2 2" xfId="23637" xr:uid="{00000000-0005-0000-0000-0000585C0000}"/>
    <cellStyle name="Normal 2 2 2 31 2 2 2" xfId="23638" xr:uid="{00000000-0005-0000-0000-0000595C0000}"/>
    <cellStyle name="Normal 2 2 2 31 2 2 3" xfId="23639" xr:uid="{00000000-0005-0000-0000-00005A5C0000}"/>
    <cellStyle name="Normal 2 2 2 31 2 3" xfId="23640" xr:uid="{00000000-0005-0000-0000-00005B5C0000}"/>
    <cellStyle name="Normal 2 2 2 31 2 4" xfId="23641" xr:uid="{00000000-0005-0000-0000-00005C5C0000}"/>
    <cellStyle name="Normal 2 2 2 31 2 5" xfId="23642" xr:uid="{00000000-0005-0000-0000-00005D5C0000}"/>
    <cellStyle name="Normal 2 2 2 31 2 6" xfId="23643" xr:uid="{00000000-0005-0000-0000-00005E5C0000}"/>
    <cellStyle name="Normal 2 2 2 31 3" xfId="23644" xr:uid="{00000000-0005-0000-0000-00005F5C0000}"/>
    <cellStyle name="Normal 2 2 2 31 3 2" xfId="23645" xr:uid="{00000000-0005-0000-0000-0000605C0000}"/>
    <cellStyle name="Normal 2 2 2 31 3 2 2" xfId="23646" xr:uid="{00000000-0005-0000-0000-0000615C0000}"/>
    <cellStyle name="Normal 2 2 2 31 3 2 3" xfId="23647" xr:uid="{00000000-0005-0000-0000-0000625C0000}"/>
    <cellStyle name="Normal 2 2 2 31 3 3" xfId="23648" xr:uid="{00000000-0005-0000-0000-0000635C0000}"/>
    <cellStyle name="Normal 2 2 2 31 3 4" xfId="23649" xr:uid="{00000000-0005-0000-0000-0000645C0000}"/>
    <cellStyle name="Normal 2 2 2 31 3 5" xfId="23650" xr:uid="{00000000-0005-0000-0000-0000655C0000}"/>
    <cellStyle name="Normal 2 2 2 31 3 6" xfId="23651" xr:uid="{00000000-0005-0000-0000-0000665C0000}"/>
    <cellStyle name="Normal 2 2 2 31 4" xfId="23652" xr:uid="{00000000-0005-0000-0000-0000675C0000}"/>
    <cellStyle name="Normal 2 2 2 31 4 2" xfId="23653" xr:uid="{00000000-0005-0000-0000-0000685C0000}"/>
    <cellStyle name="Normal 2 2 2 31 4 2 2" xfId="23654" xr:uid="{00000000-0005-0000-0000-0000695C0000}"/>
    <cellStyle name="Normal 2 2 2 31 4 3" xfId="23655" xr:uid="{00000000-0005-0000-0000-00006A5C0000}"/>
    <cellStyle name="Normal 2 2 2 31 4 4" xfId="23656" xr:uid="{00000000-0005-0000-0000-00006B5C0000}"/>
    <cellStyle name="Normal 2 2 2 31 4 5" xfId="23657" xr:uid="{00000000-0005-0000-0000-00006C5C0000}"/>
    <cellStyle name="Normal 2 2 2 31 5" xfId="23658" xr:uid="{00000000-0005-0000-0000-00006D5C0000}"/>
    <cellStyle name="Normal 2 2 2 31 5 2" xfId="23659" xr:uid="{00000000-0005-0000-0000-00006E5C0000}"/>
    <cellStyle name="Normal 2 2 2 31 5 3" xfId="23660" xr:uid="{00000000-0005-0000-0000-00006F5C0000}"/>
    <cellStyle name="Normal 2 2 2 31 5 4" xfId="23661" xr:uid="{00000000-0005-0000-0000-0000705C0000}"/>
    <cellStyle name="Normal 2 2 2 31 6" xfId="23662" xr:uid="{00000000-0005-0000-0000-0000715C0000}"/>
    <cellStyle name="Normal 2 2 2 31 6 2" xfId="23663" xr:uid="{00000000-0005-0000-0000-0000725C0000}"/>
    <cellStyle name="Normal 2 2 2 31 7" xfId="23664" xr:uid="{00000000-0005-0000-0000-0000735C0000}"/>
    <cellStyle name="Normal 2 2 2 31 8" xfId="23665" xr:uid="{00000000-0005-0000-0000-0000745C0000}"/>
    <cellStyle name="Normal 2 2 2 31 9" xfId="23666" xr:uid="{00000000-0005-0000-0000-0000755C0000}"/>
    <cellStyle name="Normal 2 2 2 32" xfId="23667" xr:uid="{00000000-0005-0000-0000-0000765C0000}"/>
    <cellStyle name="Normal 2 2 2 32 10" xfId="23668" xr:uid="{00000000-0005-0000-0000-0000775C0000}"/>
    <cellStyle name="Normal 2 2 2 32 2" xfId="23669" xr:uid="{00000000-0005-0000-0000-0000785C0000}"/>
    <cellStyle name="Normal 2 2 2 32 2 2" xfId="23670" xr:uid="{00000000-0005-0000-0000-0000795C0000}"/>
    <cellStyle name="Normal 2 2 2 32 2 2 2" xfId="23671" xr:uid="{00000000-0005-0000-0000-00007A5C0000}"/>
    <cellStyle name="Normal 2 2 2 32 2 2 3" xfId="23672" xr:uid="{00000000-0005-0000-0000-00007B5C0000}"/>
    <cellStyle name="Normal 2 2 2 32 2 3" xfId="23673" xr:uid="{00000000-0005-0000-0000-00007C5C0000}"/>
    <cellStyle name="Normal 2 2 2 32 2 4" xfId="23674" xr:uid="{00000000-0005-0000-0000-00007D5C0000}"/>
    <cellStyle name="Normal 2 2 2 32 2 5" xfId="23675" xr:uid="{00000000-0005-0000-0000-00007E5C0000}"/>
    <cellStyle name="Normal 2 2 2 32 2 6" xfId="23676" xr:uid="{00000000-0005-0000-0000-00007F5C0000}"/>
    <cellStyle name="Normal 2 2 2 32 3" xfId="23677" xr:uid="{00000000-0005-0000-0000-0000805C0000}"/>
    <cellStyle name="Normal 2 2 2 32 3 2" xfId="23678" xr:uid="{00000000-0005-0000-0000-0000815C0000}"/>
    <cellStyle name="Normal 2 2 2 32 3 2 2" xfId="23679" xr:uid="{00000000-0005-0000-0000-0000825C0000}"/>
    <cellStyle name="Normal 2 2 2 32 3 2 3" xfId="23680" xr:uid="{00000000-0005-0000-0000-0000835C0000}"/>
    <cellStyle name="Normal 2 2 2 32 3 3" xfId="23681" xr:uid="{00000000-0005-0000-0000-0000845C0000}"/>
    <cellStyle name="Normal 2 2 2 32 3 4" xfId="23682" xr:uid="{00000000-0005-0000-0000-0000855C0000}"/>
    <cellStyle name="Normal 2 2 2 32 3 5" xfId="23683" xr:uid="{00000000-0005-0000-0000-0000865C0000}"/>
    <cellStyle name="Normal 2 2 2 32 3 6" xfId="23684" xr:uid="{00000000-0005-0000-0000-0000875C0000}"/>
    <cellStyle name="Normal 2 2 2 32 4" xfId="23685" xr:uid="{00000000-0005-0000-0000-0000885C0000}"/>
    <cellStyle name="Normal 2 2 2 32 4 2" xfId="23686" xr:uid="{00000000-0005-0000-0000-0000895C0000}"/>
    <cellStyle name="Normal 2 2 2 32 4 2 2" xfId="23687" xr:uid="{00000000-0005-0000-0000-00008A5C0000}"/>
    <cellStyle name="Normal 2 2 2 32 4 3" xfId="23688" xr:uid="{00000000-0005-0000-0000-00008B5C0000}"/>
    <cellStyle name="Normal 2 2 2 32 4 4" xfId="23689" xr:uid="{00000000-0005-0000-0000-00008C5C0000}"/>
    <cellStyle name="Normal 2 2 2 32 4 5" xfId="23690" xr:uid="{00000000-0005-0000-0000-00008D5C0000}"/>
    <cellStyle name="Normal 2 2 2 32 5" xfId="23691" xr:uid="{00000000-0005-0000-0000-00008E5C0000}"/>
    <cellStyle name="Normal 2 2 2 32 5 2" xfId="23692" xr:uid="{00000000-0005-0000-0000-00008F5C0000}"/>
    <cellStyle name="Normal 2 2 2 32 5 3" xfId="23693" xr:uid="{00000000-0005-0000-0000-0000905C0000}"/>
    <cellStyle name="Normal 2 2 2 32 5 4" xfId="23694" xr:uid="{00000000-0005-0000-0000-0000915C0000}"/>
    <cellStyle name="Normal 2 2 2 32 6" xfId="23695" xr:uid="{00000000-0005-0000-0000-0000925C0000}"/>
    <cellStyle name="Normal 2 2 2 32 6 2" xfId="23696" xr:uid="{00000000-0005-0000-0000-0000935C0000}"/>
    <cellStyle name="Normal 2 2 2 32 7" xfId="23697" xr:uid="{00000000-0005-0000-0000-0000945C0000}"/>
    <cellStyle name="Normal 2 2 2 32 8" xfId="23698" xr:uid="{00000000-0005-0000-0000-0000955C0000}"/>
    <cellStyle name="Normal 2 2 2 32 9" xfId="23699" xr:uid="{00000000-0005-0000-0000-0000965C0000}"/>
    <cellStyle name="Normal 2 2 2 33" xfId="23700" xr:uid="{00000000-0005-0000-0000-0000975C0000}"/>
    <cellStyle name="Normal 2 2 2 33 2" xfId="23701" xr:uid="{00000000-0005-0000-0000-0000985C0000}"/>
    <cellStyle name="Normal 2 2 2 33 2 2" xfId="23702" xr:uid="{00000000-0005-0000-0000-0000995C0000}"/>
    <cellStyle name="Normal 2 2 2 33 2 2 2" xfId="23703" xr:uid="{00000000-0005-0000-0000-00009A5C0000}"/>
    <cellStyle name="Normal 2 2 2 33 2 2 3" xfId="23704" xr:uid="{00000000-0005-0000-0000-00009B5C0000}"/>
    <cellStyle name="Normal 2 2 2 33 2 3" xfId="23705" xr:uid="{00000000-0005-0000-0000-00009C5C0000}"/>
    <cellStyle name="Normal 2 2 2 33 2 4" xfId="23706" xr:uid="{00000000-0005-0000-0000-00009D5C0000}"/>
    <cellStyle name="Normal 2 2 2 33 2 5" xfId="23707" xr:uid="{00000000-0005-0000-0000-00009E5C0000}"/>
    <cellStyle name="Normal 2 2 2 33 2 6" xfId="23708" xr:uid="{00000000-0005-0000-0000-00009F5C0000}"/>
    <cellStyle name="Normal 2 2 2 33 3" xfId="23709" xr:uid="{00000000-0005-0000-0000-0000A05C0000}"/>
    <cellStyle name="Normal 2 2 2 33 3 2" xfId="23710" xr:uid="{00000000-0005-0000-0000-0000A15C0000}"/>
    <cellStyle name="Normal 2 2 2 33 3 2 2" xfId="23711" xr:uid="{00000000-0005-0000-0000-0000A25C0000}"/>
    <cellStyle name="Normal 2 2 2 33 3 3" xfId="23712" xr:uid="{00000000-0005-0000-0000-0000A35C0000}"/>
    <cellStyle name="Normal 2 2 2 33 3 4" xfId="23713" xr:uid="{00000000-0005-0000-0000-0000A45C0000}"/>
    <cellStyle name="Normal 2 2 2 33 3 5" xfId="23714" xr:uid="{00000000-0005-0000-0000-0000A55C0000}"/>
    <cellStyle name="Normal 2 2 2 33 4" xfId="23715" xr:uid="{00000000-0005-0000-0000-0000A65C0000}"/>
    <cellStyle name="Normal 2 2 2 33 4 2" xfId="23716" xr:uid="{00000000-0005-0000-0000-0000A75C0000}"/>
    <cellStyle name="Normal 2 2 2 33 4 3" xfId="23717" xr:uid="{00000000-0005-0000-0000-0000A85C0000}"/>
    <cellStyle name="Normal 2 2 2 33 4 4" xfId="23718" xr:uid="{00000000-0005-0000-0000-0000A95C0000}"/>
    <cellStyle name="Normal 2 2 2 33 5" xfId="23719" xr:uid="{00000000-0005-0000-0000-0000AA5C0000}"/>
    <cellStyle name="Normal 2 2 2 33 5 2" xfId="23720" xr:uid="{00000000-0005-0000-0000-0000AB5C0000}"/>
    <cellStyle name="Normal 2 2 2 33 6" xfId="23721" xr:uid="{00000000-0005-0000-0000-0000AC5C0000}"/>
    <cellStyle name="Normal 2 2 2 33 7" xfId="23722" xr:uid="{00000000-0005-0000-0000-0000AD5C0000}"/>
    <cellStyle name="Normal 2 2 2 33 8" xfId="23723" xr:uid="{00000000-0005-0000-0000-0000AE5C0000}"/>
    <cellStyle name="Normal 2 2 2 33 9" xfId="23724" xr:uid="{00000000-0005-0000-0000-0000AF5C0000}"/>
    <cellStyle name="Normal 2 2 2 34" xfId="23725" xr:uid="{00000000-0005-0000-0000-0000B05C0000}"/>
    <cellStyle name="Normal 2 2 2 34 2" xfId="23726" xr:uid="{00000000-0005-0000-0000-0000B15C0000}"/>
    <cellStyle name="Normal 2 2 2 34 3" xfId="23727" xr:uid="{00000000-0005-0000-0000-0000B25C0000}"/>
    <cellStyle name="Normal 2 2 2 34 4" xfId="23728" xr:uid="{00000000-0005-0000-0000-0000B35C0000}"/>
    <cellStyle name="Normal 2 2 2 35" xfId="23729" xr:uid="{00000000-0005-0000-0000-0000B45C0000}"/>
    <cellStyle name="Normal 2 2 2 35 2" xfId="23730" xr:uid="{00000000-0005-0000-0000-0000B55C0000}"/>
    <cellStyle name="Normal 2 2 2 35 2 2" xfId="23731" xr:uid="{00000000-0005-0000-0000-0000B65C0000}"/>
    <cellStyle name="Normal 2 2 2 35 2 3" xfId="23732" xr:uid="{00000000-0005-0000-0000-0000B75C0000}"/>
    <cellStyle name="Normal 2 2 2 35 3" xfId="23733" xr:uid="{00000000-0005-0000-0000-0000B85C0000}"/>
    <cellStyle name="Normal 2 2 2 35 4" xfId="23734" xr:uid="{00000000-0005-0000-0000-0000B95C0000}"/>
    <cellStyle name="Normal 2 2 2 35 5" xfId="23735" xr:uid="{00000000-0005-0000-0000-0000BA5C0000}"/>
    <cellStyle name="Normal 2 2 2 35 6" xfId="23736" xr:uid="{00000000-0005-0000-0000-0000BB5C0000}"/>
    <cellStyle name="Normal 2 2 2 36" xfId="23737" xr:uid="{00000000-0005-0000-0000-0000BC5C0000}"/>
    <cellStyle name="Normal 2 2 2 36 2" xfId="23738" xr:uid="{00000000-0005-0000-0000-0000BD5C0000}"/>
    <cellStyle name="Normal 2 2 2 36 2 2" xfId="23739" xr:uid="{00000000-0005-0000-0000-0000BE5C0000}"/>
    <cellStyle name="Normal 2 2 2 36 3" xfId="23740" xr:uid="{00000000-0005-0000-0000-0000BF5C0000}"/>
    <cellStyle name="Normal 2 2 2 36 4" xfId="23741" xr:uid="{00000000-0005-0000-0000-0000C05C0000}"/>
    <cellStyle name="Normal 2 2 2 36 5" xfId="23742" xr:uid="{00000000-0005-0000-0000-0000C15C0000}"/>
    <cellStyle name="Normal 2 2 2 36 6" xfId="23743" xr:uid="{00000000-0005-0000-0000-0000C25C0000}"/>
    <cellStyle name="Normal 2 2 2 37" xfId="23744" xr:uid="{00000000-0005-0000-0000-0000C35C0000}"/>
    <cellStyle name="Normal 2 2 2 37 2" xfId="23745" xr:uid="{00000000-0005-0000-0000-0000C45C0000}"/>
    <cellStyle name="Normal 2 2 2 37 3" xfId="23746" xr:uid="{00000000-0005-0000-0000-0000C55C0000}"/>
    <cellStyle name="Normal 2 2 2 38" xfId="23747" xr:uid="{00000000-0005-0000-0000-0000C65C0000}"/>
    <cellStyle name="Normal 2 2 2 39" xfId="23748" xr:uid="{00000000-0005-0000-0000-0000C75C0000}"/>
    <cellStyle name="Normal 2 2 2 4" xfId="23749" xr:uid="{00000000-0005-0000-0000-0000C85C0000}"/>
    <cellStyle name="Normal 2 2 2 4 10" xfId="23750" xr:uid="{00000000-0005-0000-0000-0000C95C0000}"/>
    <cellStyle name="Normal 2 2 2 4 11" xfId="23751" xr:uid="{00000000-0005-0000-0000-0000CA5C0000}"/>
    <cellStyle name="Normal 2 2 2 4 2" xfId="23752" xr:uid="{00000000-0005-0000-0000-0000CB5C0000}"/>
    <cellStyle name="Normal 2 2 2 4 2 2" xfId="23753" xr:uid="{00000000-0005-0000-0000-0000CC5C0000}"/>
    <cellStyle name="Normal 2 2 2 4 2 2 2" xfId="23754" xr:uid="{00000000-0005-0000-0000-0000CD5C0000}"/>
    <cellStyle name="Normal 2 2 2 4 2 2 2 2" xfId="23755" xr:uid="{00000000-0005-0000-0000-0000CE5C0000}"/>
    <cellStyle name="Normal 2 2 2 4 2 2 2 3" xfId="23756" xr:uid="{00000000-0005-0000-0000-0000CF5C0000}"/>
    <cellStyle name="Normal 2 2 2 4 2 2 3" xfId="23757" xr:uid="{00000000-0005-0000-0000-0000D05C0000}"/>
    <cellStyle name="Normal 2 2 2 4 2 2 4" xfId="23758" xr:uid="{00000000-0005-0000-0000-0000D15C0000}"/>
    <cellStyle name="Normal 2 2 2 4 2 2 5" xfId="23759" xr:uid="{00000000-0005-0000-0000-0000D25C0000}"/>
    <cellStyle name="Normal 2 2 2 4 2 2 6" xfId="23760" xr:uid="{00000000-0005-0000-0000-0000D35C0000}"/>
    <cellStyle name="Normal 2 2 2 4 2 3" xfId="23761" xr:uid="{00000000-0005-0000-0000-0000D45C0000}"/>
    <cellStyle name="Normal 2 2 2 4 2 3 2" xfId="23762" xr:uid="{00000000-0005-0000-0000-0000D55C0000}"/>
    <cellStyle name="Normal 2 2 2 4 2 3 2 2" xfId="23763" xr:uid="{00000000-0005-0000-0000-0000D65C0000}"/>
    <cellStyle name="Normal 2 2 2 4 2 3 3" xfId="23764" xr:uid="{00000000-0005-0000-0000-0000D75C0000}"/>
    <cellStyle name="Normal 2 2 2 4 2 3 4" xfId="23765" xr:uid="{00000000-0005-0000-0000-0000D85C0000}"/>
    <cellStyle name="Normal 2 2 2 4 2 3 5" xfId="23766" xr:uid="{00000000-0005-0000-0000-0000D95C0000}"/>
    <cellStyle name="Normal 2 2 2 4 2 4" xfId="23767" xr:uid="{00000000-0005-0000-0000-0000DA5C0000}"/>
    <cellStyle name="Normal 2 2 2 4 2 4 2" xfId="23768" xr:uid="{00000000-0005-0000-0000-0000DB5C0000}"/>
    <cellStyle name="Normal 2 2 2 4 2 4 3" xfId="23769" xr:uid="{00000000-0005-0000-0000-0000DC5C0000}"/>
    <cellStyle name="Normal 2 2 2 4 2 4 4" xfId="23770" xr:uid="{00000000-0005-0000-0000-0000DD5C0000}"/>
    <cellStyle name="Normal 2 2 2 4 2 5" xfId="23771" xr:uid="{00000000-0005-0000-0000-0000DE5C0000}"/>
    <cellStyle name="Normal 2 2 2 4 2 5 2" xfId="23772" xr:uid="{00000000-0005-0000-0000-0000DF5C0000}"/>
    <cellStyle name="Normal 2 2 2 4 2 6" xfId="23773" xr:uid="{00000000-0005-0000-0000-0000E05C0000}"/>
    <cellStyle name="Normal 2 2 2 4 2 7" xfId="23774" xr:uid="{00000000-0005-0000-0000-0000E15C0000}"/>
    <cellStyle name="Normal 2 2 2 4 2 8" xfId="23775" xr:uid="{00000000-0005-0000-0000-0000E25C0000}"/>
    <cellStyle name="Normal 2 2 2 4 2 9" xfId="23776" xr:uid="{00000000-0005-0000-0000-0000E35C0000}"/>
    <cellStyle name="Normal 2 2 2 4 3" xfId="23777" xr:uid="{00000000-0005-0000-0000-0000E45C0000}"/>
    <cellStyle name="Normal 2 2 2 4 3 2" xfId="23778" xr:uid="{00000000-0005-0000-0000-0000E55C0000}"/>
    <cellStyle name="Normal 2 2 2 4 3 2 2" xfId="23779" xr:uid="{00000000-0005-0000-0000-0000E65C0000}"/>
    <cellStyle name="Normal 2 2 2 4 3 2 2 2" xfId="23780" xr:uid="{00000000-0005-0000-0000-0000E75C0000}"/>
    <cellStyle name="Normal 2 2 2 4 3 2 2 3" xfId="23781" xr:uid="{00000000-0005-0000-0000-0000E85C0000}"/>
    <cellStyle name="Normal 2 2 2 4 3 2 3" xfId="23782" xr:uid="{00000000-0005-0000-0000-0000E95C0000}"/>
    <cellStyle name="Normal 2 2 2 4 3 2 4" xfId="23783" xr:uid="{00000000-0005-0000-0000-0000EA5C0000}"/>
    <cellStyle name="Normal 2 2 2 4 3 2 5" xfId="23784" xr:uid="{00000000-0005-0000-0000-0000EB5C0000}"/>
    <cellStyle name="Normal 2 2 2 4 3 2 6" xfId="23785" xr:uid="{00000000-0005-0000-0000-0000EC5C0000}"/>
    <cellStyle name="Normal 2 2 2 4 3 3" xfId="23786" xr:uid="{00000000-0005-0000-0000-0000ED5C0000}"/>
    <cellStyle name="Normal 2 2 2 4 3 3 2" xfId="23787" xr:uid="{00000000-0005-0000-0000-0000EE5C0000}"/>
    <cellStyle name="Normal 2 2 2 4 3 3 2 2" xfId="23788" xr:uid="{00000000-0005-0000-0000-0000EF5C0000}"/>
    <cellStyle name="Normal 2 2 2 4 3 3 3" xfId="23789" xr:uid="{00000000-0005-0000-0000-0000F05C0000}"/>
    <cellStyle name="Normal 2 2 2 4 3 3 4" xfId="23790" xr:uid="{00000000-0005-0000-0000-0000F15C0000}"/>
    <cellStyle name="Normal 2 2 2 4 3 3 5" xfId="23791" xr:uid="{00000000-0005-0000-0000-0000F25C0000}"/>
    <cellStyle name="Normal 2 2 2 4 3 4" xfId="23792" xr:uid="{00000000-0005-0000-0000-0000F35C0000}"/>
    <cellStyle name="Normal 2 2 2 4 3 4 2" xfId="23793" xr:uid="{00000000-0005-0000-0000-0000F45C0000}"/>
    <cellStyle name="Normal 2 2 2 4 3 4 3" xfId="23794" xr:uid="{00000000-0005-0000-0000-0000F55C0000}"/>
    <cellStyle name="Normal 2 2 2 4 3 4 4" xfId="23795" xr:uid="{00000000-0005-0000-0000-0000F65C0000}"/>
    <cellStyle name="Normal 2 2 2 4 3 5" xfId="23796" xr:uid="{00000000-0005-0000-0000-0000F75C0000}"/>
    <cellStyle name="Normal 2 2 2 4 3 5 2" xfId="23797" xr:uid="{00000000-0005-0000-0000-0000F85C0000}"/>
    <cellStyle name="Normal 2 2 2 4 3 6" xfId="23798" xr:uid="{00000000-0005-0000-0000-0000F95C0000}"/>
    <cellStyle name="Normal 2 2 2 4 3 7" xfId="23799" xr:uid="{00000000-0005-0000-0000-0000FA5C0000}"/>
    <cellStyle name="Normal 2 2 2 4 3 8" xfId="23800" xr:uid="{00000000-0005-0000-0000-0000FB5C0000}"/>
    <cellStyle name="Normal 2 2 2 4 3 9" xfId="23801" xr:uid="{00000000-0005-0000-0000-0000FC5C0000}"/>
    <cellStyle name="Normal 2 2 2 4 4" xfId="23802" xr:uid="{00000000-0005-0000-0000-0000FD5C0000}"/>
    <cellStyle name="Normal 2 2 2 4 4 2" xfId="23803" xr:uid="{00000000-0005-0000-0000-0000FE5C0000}"/>
    <cellStyle name="Normal 2 2 2 4 4 2 2" xfId="23804" xr:uid="{00000000-0005-0000-0000-0000FF5C0000}"/>
    <cellStyle name="Normal 2 2 2 4 4 2 3" xfId="23805" xr:uid="{00000000-0005-0000-0000-0000005D0000}"/>
    <cellStyle name="Normal 2 2 2 4 4 3" xfId="23806" xr:uid="{00000000-0005-0000-0000-0000015D0000}"/>
    <cellStyle name="Normal 2 2 2 4 4 4" xfId="23807" xr:uid="{00000000-0005-0000-0000-0000025D0000}"/>
    <cellStyle name="Normal 2 2 2 4 4 5" xfId="23808" xr:uid="{00000000-0005-0000-0000-0000035D0000}"/>
    <cellStyle name="Normal 2 2 2 4 4 6" xfId="23809" xr:uid="{00000000-0005-0000-0000-0000045D0000}"/>
    <cellStyle name="Normal 2 2 2 4 5" xfId="23810" xr:uid="{00000000-0005-0000-0000-0000055D0000}"/>
    <cellStyle name="Normal 2 2 2 4 5 2" xfId="23811" xr:uid="{00000000-0005-0000-0000-0000065D0000}"/>
    <cellStyle name="Normal 2 2 2 4 5 2 2" xfId="23812" xr:uid="{00000000-0005-0000-0000-0000075D0000}"/>
    <cellStyle name="Normal 2 2 2 4 5 3" xfId="23813" xr:uid="{00000000-0005-0000-0000-0000085D0000}"/>
    <cellStyle name="Normal 2 2 2 4 5 4" xfId="23814" xr:uid="{00000000-0005-0000-0000-0000095D0000}"/>
    <cellStyle name="Normal 2 2 2 4 5 5" xfId="23815" xr:uid="{00000000-0005-0000-0000-00000A5D0000}"/>
    <cellStyle name="Normal 2 2 2 4 6" xfId="23816" xr:uid="{00000000-0005-0000-0000-00000B5D0000}"/>
    <cellStyle name="Normal 2 2 2 4 6 2" xfId="23817" xr:uid="{00000000-0005-0000-0000-00000C5D0000}"/>
    <cellStyle name="Normal 2 2 2 4 6 3" xfId="23818" xr:uid="{00000000-0005-0000-0000-00000D5D0000}"/>
    <cellStyle name="Normal 2 2 2 4 6 4" xfId="23819" xr:uid="{00000000-0005-0000-0000-00000E5D0000}"/>
    <cellStyle name="Normal 2 2 2 4 7" xfId="23820" xr:uid="{00000000-0005-0000-0000-00000F5D0000}"/>
    <cellStyle name="Normal 2 2 2 4 7 2" xfId="23821" xr:uid="{00000000-0005-0000-0000-0000105D0000}"/>
    <cellStyle name="Normal 2 2 2 4 8" xfId="23822" xr:uid="{00000000-0005-0000-0000-0000115D0000}"/>
    <cellStyle name="Normal 2 2 2 4 9" xfId="23823" xr:uid="{00000000-0005-0000-0000-0000125D0000}"/>
    <cellStyle name="Normal 2 2 2 40" xfId="23824" xr:uid="{00000000-0005-0000-0000-0000135D0000}"/>
    <cellStyle name="Normal 2 2 2 41" xfId="23825" xr:uid="{00000000-0005-0000-0000-0000145D0000}"/>
    <cellStyle name="Normal 2 2 2 5" xfId="23826" xr:uid="{00000000-0005-0000-0000-0000155D0000}"/>
    <cellStyle name="Normal 2 2 2 5 10" xfId="23827" xr:uid="{00000000-0005-0000-0000-0000165D0000}"/>
    <cellStyle name="Normal 2 2 2 5 11" xfId="23828" xr:uid="{00000000-0005-0000-0000-0000175D0000}"/>
    <cellStyle name="Normal 2 2 2 5 2" xfId="23829" xr:uid="{00000000-0005-0000-0000-0000185D0000}"/>
    <cellStyle name="Normal 2 2 2 5 2 2" xfId="23830" xr:uid="{00000000-0005-0000-0000-0000195D0000}"/>
    <cellStyle name="Normal 2 2 2 5 2 2 2" xfId="23831" xr:uid="{00000000-0005-0000-0000-00001A5D0000}"/>
    <cellStyle name="Normal 2 2 2 5 2 2 2 2" xfId="23832" xr:uid="{00000000-0005-0000-0000-00001B5D0000}"/>
    <cellStyle name="Normal 2 2 2 5 2 2 2 3" xfId="23833" xr:uid="{00000000-0005-0000-0000-00001C5D0000}"/>
    <cellStyle name="Normal 2 2 2 5 2 2 3" xfId="23834" xr:uid="{00000000-0005-0000-0000-00001D5D0000}"/>
    <cellStyle name="Normal 2 2 2 5 2 2 4" xfId="23835" xr:uid="{00000000-0005-0000-0000-00001E5D0000}"/>
    <cellStyle name="Normal 2 2 2 5 2 2 5" xfId="23836" xr:uid="{00000000-0005-0000-0000-00001F5D0000}"/>
    <cellStyle name="Normal 2 2 2 5 2 2 6" xfId="23837" xr:uid="{00000000-0005-0000-0000-0000205D0000}"/>
    <cellStyle name="Normal 2 2 2 5 2 3" xfId="23838" xr:uid="{00000000-0005-0000-0000-0000215D0000}"/>
    <cellStyle name="Normal 2 2 2 5 2 3 2" xfId="23839" xr:uid="{00000000-0005-0000-0000-0000225D0000}"/>
    <cellStyle name="Normal 2 2 2 5 2 3 2 2" xfId="23840" xr:uid="{00000000-0005-0000-0000-0000235D0000}"/>
    <cellStyle name="Normal 2 2 2 5 2 3 3" xfId="23841" xr:uid="{00000000-0005-0000-0000-0000245D0000}"/>
    <cellStyle name="Normal 2 2 2 5 2 3 4" xfId="23842" xr:uid="{00000000-0005-0000-0000-0000255D0000}"/>
    <cellStyle name="Normal 2 2 2 5 2 3 5" xfId="23843" xr:uid="{00000000-0005-0000-0000-0000265D0000}"/>
    <cellStyle name="Normal 2 2 2 5 2 4" xfId="23844" xr:uid="{00000000-0005-0000-0000-0000275D0000}"/>
    <cellStyle name="Normal 2 2 2 5 2 4 2" xfId="23845" xr:uid="{00000000-0005-0000-0000-0000285D0000}"/>
    <cellStyle name="Normal 2 2 2 5 2 4 3" xfId="23846" xr:uid="{00000000-0005-0000-0000-0000295D0000}"/>
    <cellStyle name="Normal 2 2 2 5 2 4 4" xfId="23847" xr:uid="{00000000-0005-0000-0000-00002A5D0000}"/>
    <cellStyle name="Normal 2 2 2 5 2 5" xfId="23848" xr:uid="{00000000-0005-0000-0000-00002B5D0000}"/>
    <cellStyle name="Normal 2 2 2 5 2 5 2" xfId="23849" xr:uid="{00000000-0005-0000-0000-00002C5D0000}"/>
    <cellStyle name="Normal 2 2 2 5 2 6" xfId="23850" xr:uid="{00000000-0005-0000-0000-00002D5D0000}"/>
    <cellStyle name="Normal 2 2 2 5 2 7" xfId="23851" xr:uid="{00000000-0005-0000-0000-00002E5D0000}"/>
    <cellStyle name="Normal 2 2 2 5 2 8" xfId="23852" xr:uid="{00000000-0005-0000-0000-00002F5D0000}"/>
    <cellStyle name="Normal 2 2 2 5 2 9" xfId="23853" xr:uid="{00000000-0005-0000-0000-0000305D0000}"/>
    <cellStyle name="Normal 2 2 2 5 3" xfId="23854" xr:uid="{00000000-0005-0000-0000-0000315D0000}"/>
    <cellStyle name="Normal 2 2 2 5 3 2" xfId="23855" xr:uid="{00000000-0005-0000-0000-0000325D0000}"/>
    <cellStyle name="Normal 2 2 2 5 3 2 2" xfId="23856" xr:uid="{00000000-0005-0000-0000-0000335D0000}"/>
    <cellStyle name="Normal 2 2 2 5 3 2 2 2" xfId="23857" xr:uid="{00000000-0005-0000-0000-0000345D0000}"/>
    <cellStyle name="Normal 2 2 2 5 3 2 2 3" xfId="23858" xr:uid="{00000000-0005-0000-0000-0000355D0000}"/>
    <cellStyle name="Normal 2 2 2 5 3 2 3" xfId="23859" xr:uid="{00000000-0005-0000-0000-0000365D0000}"/>
    <cellStyle name="Normal 2 2 2 5 3 2 4" xfId="23860" xr:uid="{00000000-0005-0000-0000-0000375D0000}"/>
    <cellStyle name="Normal 2 2 2 5 3 2 5" xfId="23861" xr:uid="{00000000-0005-0000-0000-0000385D0000}"/>
    <cellStyle name="Normal 2 2 2 5 3 2 6" xfId="23862" xr:uid="{00000000-0005-0000-0000-0000395D0000}"/>
    <cellStyle name="Normal 2 2 2 5 3 3" xfId="23863" xr:uid="{00000000-0005-0000-0000-00003A5D0000}"/>
    <cellStyle name="Normal 2 2 2 5 3 3 2" xfId="23864" xr:uid="{00000000-0005-0000-0000-00003B5D0000}"/>
    <cellStyle name="Normal 2 2 2 5 3 3 2 2" xfId="23865" xr:uid="{00000000-0005-0000-0000-00003C5D0000}"/>
    <cellStyle name="Normal 2 2 2 5 3 3 3" xfId="23866" xr:uid="{00000000-0005-0000-0000-00003D5D0000}"/>
    <cellStyle name="Normal 2 2 2 5 3 3 4" xfId="23867" xr:uid="{00000000-0005-0000-0000-00003E5D0000}"/>
    <cellStyle name="Normal 2 2 2 5 3 3 5" xfId="23868" xr:uid="{00000000-0005-0000-0000-00003F5D0000}"/>
    <cellStyle name="Normal 2 2 2 5 3 4" xfId="23869" xr:uid="{00000000-0005-0000-0000-0000405D0000}"/>
    <cellStyle name="Normal 2 2 2 5 3 4 2" xfId="23870" xr:uid="{00000000-0005-0000-0000-0000415D0000}"/>
    <cellStyle name="Normal 2 2 2 5 3 4 3" xfId="23871" xr:uid="{00000000-0005-0000-0000-0000425D0000}"/>
    <cellStyle name="Normal 2 2 2 5 3 4 4" xfId="23872" xr:uid="{00000000-0005-0000-0000-0000435D0000}"/>
    <cellStyle name="Normal 2 2 2 5 3 5" xfId="23873" xr:uid="{00000000-0005-0000-0000-0000445D0000}"/>
    <cellStyle name="Normal 2 2 2 5 3 5 2" xfId="23874" xr:uid="{00000000-0005-0000-0000-0000455D0000}"/>
    <cellStyle name="Normal 2 2 2 5 3 6" xfId="23875" xr:uid="{00000000-0005-0000-0000-0000465D0000}"/>
    <cellStyle name="Normal 2 2 2 5 3 7" xfId="23876" xr:uid="{00000000-0005-0000-0000-0000475D0000}"/>
    <cellStyle name="Normal 2 2 2 5 3 8" xfId="23877" xr:uid="{00000000-0005-0000-0000-0000485D0000}"/>
    <cellStyle name="Normal 2 2 2 5 3 9" xfId="23878" xr:uid="{00000000-0005-0000-0000-0000495D0000}"/>
    <cellStyle name="Normal 2 2 2 5 4" xfId="23879" xr:uid="{00000000-0005-0000-0000-00004A5D0000}"/>
    <cellStyle name="Normal 2 2 2 5 4 2" xfId="23880" xr:uid="{00000000-0005-0000-0000-00004B5D0000}"/>
    <cellStyle name="Normal 2 2 2 5 4 2 2" xfId="23881" xr:uid="{00000000-0005-0000-0000-00004C5D0000}"/>
    <cellStyle name="Normal 2 2 2 5 4 2 3" xfId="23882" xr:uid="{00000000-0005-0000-0000-00004D5D0000}"/>
    <cellStyle name="Normal 2 2 2 5 4 3" xfId="23883" xr:uid="{00000000-0005-0000-0000-00004E5D0000}"/>
    <cellStyle name="Normal 2 2 2 5 4 4" xfId="23884" xr:uid="{00000000-0005-0000-0000-00004F5D0000}"/>
    <cellStyle name="Normal 2 2 2 5 4 5" xfId="23885" xr:uid="{00000000-0005-0000-0000-0000505D0000}"/>
    <cellStyle name="Normal 2 2 2 5 4 6" xfId="23886" xr:uid="{00000000-0005-0000-0000-0000515D0000}"/>
    <cellStyle name="Normal 2 2 2 5 5" xfId="23887" xr:uid="{00000000-0005-0000-0000-0000525D0000}"/>
    <cellStyle name="Normal 2 2 2 5 5 2" xfId="23888" xr:uid="{00000000-0005-0000-0000-0000535D0000}"/>
    <cellStyle name="Normal 2 2 2 5 5 2 2" xfId="23889" xr:uid="{00000000-0005-0000-0000-0000545D0000}"/>
    <cellStyle name="Normal 2 2 2 5 5 3" xfId="23890" xr:uid="{00000000-0005-0000-0000-0000555D0000}"/>
    <cellStyle name="Normal 2 2 2 5 5 4" xfId="23891" xr:uid="{00000000-0005-0000-0000-0000565D0000}"/>
    <cellStyle name="Normal 2 2 2 5 5 5" xfId="23892" xr:uid="{00000000-0005-0000-0000-0000575D0000}"/>
    <cellStyle name="Normal 2 2 2 5 6" xfId="23893" xr:uid="{00000000-0005-0000-0000-0000585D0000}"/>
    <cellStyle name="Normal 2 2 2 5 6 2" xfId="23894" xr:uid="{00000000-0005-0000-0000-0000595D0000}"/>
    <cellStyle name="Normal 2 2 2 5 6 3" xfId="23895" xr:uid="{00000000-0005-0000-0000-00005A5D0000}"/>
    <cellStyle name="Normal 2 2 2 5 6 4" xfId="23896" xr:uid="{00000000-0005-0000-0000-00005B5D0000}"/>
    <cellStyle name="Normal 2 2 2 5 7" xfId="23897" xr:uid="{00000000-0005-0000-0000-00005C5D0000}"/>
    <cellStyle name="Normal 2 2 2 5 7 2" xfId="23898" xr:uid="{00000000-0005-0000-0000-00005D5D0000}"/>
    <cellStyle name="Normal 2 2 2 5 8" xfId="23899" xr:uid="{00000000-0005-0000-0000-00005E5D0000}"/>
    <cellStyle name="Normal 2 2 2 5 9" xfId="23900" xr:uid="{00000000-0005-0000-0000-00005F5D0000}"/>
    <cellStyle name="Normal 2 2 2 6" xfId="23901" xr:uid="{00000000-0005-0000-0000-0000605D0000}"/>
    <cellStyle name="Normal 2 2 2 6 10" xfId="23902" xr:uid="{00000000-0005-0000-0000-0000615D0000}"/>
    <cellStyle name="Normal 2 2 2 6 11" xfId="23903" xr:uid="{00000000-0005-0000-0000-0000625D0000}"/>
    <cellStyle name="Normal 2 2 2 6 2" xfId="23904" xr:uid="{00000000-0005-0000-0000-0000635D0000}"/>
    <cellStyle name="Normal 2 2 2 6 2 2" xfId="23905" xr:uid="{00000000-0005-0000-0000-0000645D0000}"/>
    <cellStyle name="Normal 2 2 2 6 2 2 2" xfId="23906" xr:uid="{00000000-0005-0000-0000-0000655D0000}"/>
    <cellStyle name="Normal 2 2 2 6 2 2 2 2" xfId="23907" xr:uid="{00000000-0005-0000-0000-0000665D0000}"/>
    <cellStyle name="Normal 2 2 2 6 2 2 2 3" xfId="23908" xr:uid="{00000000-0005-0000-0000-0000675D0000}"/>
    <cellStyle name="Normal 2 2 2 6 2 2 3" xfId="23909" xr:uid="{00000000-0005-0000-0000-0000685D0000}"/>
    <cellStyle name="Normal 2 2 2 6 2 2 4" xfId="23910" xr:uid="{00000000-0005-0000-0000-0000695D0000}"/>
    <cellStyle name="Normal 2 2 2 6 2 2 5" xfId="23911" xr:uid="{00000000-0005-0000-0000-00006A5D0000}"/>
    <cellStyle name="Normal 2 2 2 6 2 2 6" xfId="23912" xr:uid="{00000000-0005-0000-0000-00006B5D0000}"/>
    <cellStyle name="Normal 2 2 2 6 2 3" xfId="23913" xr:uid="{00000000-0005-0000-0000-00006C5D0000}"/>
    <cellStyle name="Normal 2 2 2 6 2 3 2" xfId="23914" xr:uid="{00000000-0005-0000-0000-00006D5D0000}"/>
    <cellStyle name="Normal 2 2 2 6 2 3 2 2" xfId="23915" xr:uid="{00000000-0005-0000-0000-00006E5D0000}"/>
    <cellStyle name="Normal 2 2 2 6 2 3 3" xfId="23916" xr:uid="{00000000-0005-0000-0000-00006F5D0000}"/>
    <cellStyle name="Normal 2 2 2 6 2 3 4" xfId="23917" xr:uid="{00000000-0005-0000-0000-0000705D0000}"/>
    <cellStyle name="Normal 2 2 2 6 2 3 5" xfId="23918" xr:uid="{00000000-0005-0000-0000-0000715D0000}"/>
    <cellStyle name="Normal 2 2 2 6 2 4" xfId="23919" xr:uid="{00000000-0005-0000-0000-0000725D0000}"/>
    <cellStyle name="Normal 2 2 2 6 2 4 2" xfId="23920" xr:uid="{00000000-0005-0000-0000-0000735D0000}"/>
    <cellStyle name="Normal 2 2 2 6 2 4 3" xfId="23921" xr:uid="{00000000-0005-0000-0000-0000745D0000}"/>
    <cellStyle name="Normal 2 2 2 6 2 4 4" xfId="23922" xr:uid="{00000000-0005-0000-0000-0000755D0000}"/>
    <cellStyle name="Normal 2 2 2 6 2 5" xfId="23923" xr:uid="{00000000-0005-0000-0000-0000765D0000}"/>
    <cellStyle name="Normal 2 2 2 6 2 5 2" xfId="23924" xr:uid="{00000000-0005-0000-0000-0000775D0000}"/>
    <cellStyle name="Normal 2 2 2 6 2 6" xfId="23925" xr:uid="{00000000-0005-0000-0000-0000785D0000}"/>
    <cellStyle name="Normal 2 2 2 6 2 7" xfId="23926" xr:uid="{00000000-0005-0000-0000-0000795D0000}"/>
    <cellStyle name="Normal 2 2 2 6 2 8" xfId="23927" xr:uid="{00000000-0005-0000-0000-00007A5D0000}"/>
    <cellStyle name="Normal 2 2 2 6 2 9" xfId="23928" xr:uid="{00000000-0005-0000-0000-00007B5D0000}"/>
    <cellStyle name="Normal 2 2 2 6 3" xfId="23929" xr:uid="{00000000-0005-0000-0000-00007C5D0000}"/>
    <cellStyle name="Normal 2 2 2 6 3 2" xfId="23930" xr:uid="{00000000-0005-0000-0000-00007D5D0000}"/>
    <cellStyle name="Normal 2 2 2 6 3 2 2" xfId="23931" xr:uid="{00000000-0005-0000-0000-00007E5D0000}"/>
    <cellStyle name="Normal 2 2 2 6 3 2 2 2" xfId="23932" xr:uid="{00000000-0005-0000-0000-00007F5D0000}"/>
    <cellStyle name="Normal 2 2 2 6 3 2 2 3" xfId="23933" xr:uid="{00000000-0005-0000-0000-0000805D0000}"/>
    <cellStyle name="Normal 2 2 2 6 3 2 3" xfId="23934" xr:uid="{00000000-0005-0000-0000-0000815D0000}"/>
    <cellStyle name="Normal 2 2 2 6 3 2 4" xfId="23935" xr:uid="{00000000-0005-0000-0000-0000825D0000}"/>
    <cellStyle name="Normal 2 2 2 6 3 2 5" xfId="23936" xr:uid="{00000000-0005-0000-0000-0000835D0000}"/>
    <cellStyle name="Normal 2 2 2 6 3 2 6" xfId="23937" xr:uid="{00000000-0005-0000-0000-0000845D0000}"/>
    <cellStyle name="Normal 2 2 2 6 3 3" xfId="23938" xr:uid="{00000000-0005-0000-0000-0000855D0000}"/>
    <cellStyle name="Normal 2 2 2 6 3 3 2" xfId="23939" xr:uid="{00000000-0005-0000-0000-0000865D0000}"/>
    <cellStyle name="Normal 2 2 2 6 3 3 2 2" xfId="23940" xr:uid="{00000000-0005-0000-0000-0000875D0000}"/>
    <cellStyle name="Normal 2 2 2 6 3 3 3" xfId="23941" xr:uid="{00000000-0005-0000-0000-0000885D0000}"/>
    <cellStyle name="Normal 2 2 2 6 3 3 4" xfId="23942" xr:uid="{00000000-0005-0000-0000-0000895D0000}"/>
    <cellStyle name="Normal 2 2 2 6 3 3 5" xfId="23943" xr:uid="{00000000-0005-0000-0000-00008A5D0000}"/>
    <cellStyle name="Normal 2 2 2 6 3 4" xfId="23944" xr:uid="{00000000-0005-0000-0000-00008B5D0000}"/>
    <cellStyle name="Normal 2 2 2 6 3 4 2" xfId="23945" xr:uid="{00000000-0005-0000-0000-00008C5D0000}"/>
    <cellStyle name="Normal 2 2 2 6 3 4 3" xfId="23946" xr:uid="{00000000-0005-0000-0000-00008D5D0000}"/>
    <cellStyle name="Normal 2 2 2 6 3 4 4" xfId="23947" xr:uid="{00000000-0005-0000-0000-00008E5D0000}"/>
    <cellStyle name="Normal 2 2 2 6 3 5" xfId="23948" xr:uid="{00000000-0005-0000-0000-00008F5D0000}"/>
    <cellStyle name="Normal 2 2 2 6 3 5 2" xfId="23949" xr:uid="{00000000-0005-0000-0000-0000905D0000}"/>
    <cellStyle name="Normal 2 2 2 6 3 6" xfId="23950" xr:uid="{00000000-0005-0000-0000-0000915D0000}"/>
    <cellStyle name="Normal 2 2 2 6 3 7" xfId="23951" xr:uid="{00000000-0005-0000-0000-0000925D0000}"/>
    <cellStyle name="Normal 2 2 2 6 3 8" xfId="23952" xr:uid="{00000000-0005-0000-0000-0000935D0000}"/>
    <cellStyle name="Normal 2 2 2 6 3 9" xfId="23953" xr:uid="{00000000-0005-0000-0000-0000945D0000}"/>
    <cellStyle name="Normal 2 2 2 6 4" xfId="23954" xr:uid="{00000000-0005-0000-0000-0000955D0000}"/>
    <cellStyle name="Normal 2 2 2 6 4 2" xfId="23955" xr:uid="{00000000-0005-0000-0000-0000965D0000}"/>
    <cellStyle name="Normal 2 2 2 6 4 2 2" xfId="23956" xr:uid="{00000000-0005-0000-0000-0000975D0000}"/>
    <cellStyle name="Normal 2 2 2 6 4 2 3" xfId="23957" xr:uid="{00000000-0005-0000-0000-0000985D0000}"/>
    <cellStyle name="Normal 2 2 2 6 4 3" xfId="23958" xr:uid="{00000000-0005-0000-0000-0000995D0000}"/>
    <cellStyle name="Normal 2 2 2 6 4 4" xfId="23959" xr:uid="{00000000-0005-0000-0000-00009A5D0000}"/>
    <cellStyle name="Normal 2 2 2 6 4 5" xfId="23960" xr:uid="{00000000-0005-0000-0000-00009B5D0000}"/>
    <cellStyle name="Normal 2 2 2 6 4 6" xfId="23961" xr:uid="{00000000-0005-0000-0000-00009C5D0000}"/>
    <cellStyle name="Normal 2 2 2 6 5" xfId="23962" xr:uid="{00000000-0005-0000-0000-00009D5D0000}"/>
    <cellStyle name="Normal 2 2 2 6 5 2" xfId="23963" xr:uid="{00000000-0005-0000-0000-00009E5D0000}"/>
    <cellStyle name="Normal 2 2 2 6 5 2 2" xfId="23964" xr:uid="{00000000-0005-0000-0000-00009F5D0000}"/>
    <cellStyle name="Normal 2 2 2 6 5 3" xfId="23965" xr:uid="{00000000-0005-0000-0000-0000A05D0000}"/>
    <cellStyle name="Normal 2 2 2 6 5 4" xfId="23966" xr:uid="{00000000-0005-0000-0000-0000A15D0000}"/>
    <cellStyle name="Normal 2 2 2 6 5 5" xfId="23967" xr:uid="{00000000-0005-0000-0000-0000A25D0000}"/>
    <cellStyle name="Normal 2 2 2 6 6" xfId="23968" xr:uid="{00000000-0005-0000-0000-0000A35D0000}"/>
    <cellStyle name="Normal 2 2 2 6 6 2" xfId="23969" xr:uid="{00000000-0005-0000-0000-0000A45D0000}"/>
    <cellStyle name="Normal 2 2 2 6 6 3" xfId="23970" xr:uid="{00000000-0005-0000-0000-0000A55D0000}"/>
    <cellStyle name="Normal 2 2 2 6 6 4" xfId="23971" xr:uid="{00000000-0005-0000-0000-0000A65D0000}"/>
    <cellStyle name="Normal 2 2 2 6 7" xfId="23972" xr:uid="{00000000-0005-0000-0000-0000A75D0000}"/>
    <cellStyle name="Normal 2 2 2 6 7 2" xfId="23973" xr:uid="{00000000-0005-0000-0000-0000A85D0000}"/>
    <cellStyle name="Normal 2 2 2 6 8" xfId="23974" xr:uid="{00000000-0005-0000-0000-0000A95D0000}"/>
    <cellStyle name="Normal 2 2 2 6 9" xfId="23975" xr:uid="{00000000-0005-0000-0000-0000AA5D0000}"/>
    <cellStyle name="Normal 2 2 2 7" xfId="23976" xr:uid="{00000000-0005-0000-0000-0000AB5D0000}"/>
    <cellStyle name="Normal 2 2 2 7 10" xfId="23977" xr:uid="{00000000-0005-0000-0000-0000AC5D0000}"/>
    <cellStyle name="Normal 2 2 2 7 11" xfId="23978" xr:uid="{00000000-0005-0000-0000-0000AD5D0000}"/>
    <cellStyle name="Normal 2 2 2 7 2" xfId="23979" xr:uid="{00000000-0005-0000-0000-0000AE5D0000}"/>
    <cellStyle name="Normal 2 2 2 7 2 2" xfId="23980" xr:uid="{00000000-0005-0000-0000-0000AF5D0000}"/>
    <cellStyle name="Normal 2 2 2 7 2 2 2" xfId="23981" xr:uid="{00000000-0005-0000-0000-0000B05D0000}"/>
    <cellStyle name="Normal 2 2 2 7 2 2 2 2" xfId="23982" xr:uid="{00000000-0005-0000-0000-0000B15D0000}"/>
    <cellStyle name="Normal 2 2 2 7 2 2 2 3" xfId="23983" xr:uid="{00000000-0005-0000-0000-0000B25D0000}"/>
    <cellStyle name="Normal 2 2 2 7 2 2 3" xfId="23984" xr:uid="{00000000-0005-0000-0000-0000B35D0000}"/>
    <cellStyle name="Normal 2 2 2 7 2 2 4" xfId="23985" xr:uid="{00000000-0005-0000-0000-0000B45D0000}"/>
    <cellStyle name="Normal 2 2 2 7 2 2 5" xfId="23986" xr:uid="{00000000-0005-0000-0000-0000B55D0000}"/>
    <cellStyle name="Normal 2 2 2 7 2 2 6" xfId="23987" xr:uid="{00000000-0005-0000-0000-0000B65D0000}"/>
    <cellStyle name="Normal 2 2 2 7 2 3" xfId="23988" xr:uid="{00000000-0005-0000-0000-0000B75D0000}"/>
    <cellStyle name="Normal 2 2 2 7 2 3 2" xfId="23989" xr:uid="{00000000-0005-0000-0000-0000B85D0000}"/>
    <cellStyle name="Normal 2 2 2 7 2 3 2 2" xfId="23990" xr:uid="{00000000-0005-0000-0000-0000B95D0000}"/>
    <cellStyle name="Normal 2 2 2 7 2 3 3" xfId="23991" xr:uid="{00000000-0005-0000-0000-0000BA5D0000}"/>
    <cellStyle name="Normal 2 2 2 7 2 3 4" xfId="23992" xr:uid="{00000000-0005-0000-0000-0000BB5D0000}"/>
    <cellStyle name="Normal 2 2 2 7 2 3 5" xfId="23993" xr:uid="{00000000-0005-0000-0000-0000BC5D0000}"/>
    <cellStyle name="Normal 2 2 2 7 2 4" xfId="23994" xr:uid="{00000000-0005-0000-0000-0000BD5D0000}"/>
    <cellStyle name="Normal 2 2 2 7 2 4 2" xfId="23995" xr:uid="{00000000-0005-0000-0000-0000BE5D0000}"/>
    <cellStyle name="Normal 2 2 2 7 2 4 3" xfId="23996" xr:uid="{00000000-0005-0000-0000-0000BF5D0000}"/>
    <cellStyle name="Normal 2 2 2 7 2 4 4" xfId="23997" xr:uid="{00000000-0005-0000-0000-0000C05D0000}"/>
    <cellStyle name="Normal 2 2 2 7 2 5" xfId="23998" xr:uid="{00000000-0005-0000-0000-0000C15D0000}"/>
    <cellStyle name="Normal 2 2 2 7 2 5 2" xfId="23999" xr:uid="{00000000-0005-0000-0000-0000C25D0000}"/>
    <cellStyle name="Normal 2 2 2 7 2 6" xfId="24000" xr:uid="{00000000-0005-0000-0000-0000C35D0000}"/>
    <cellStyle name="Normal 2 2 2 7 2 7" xfId="24001" xr:uid="{00000000-0005-0000-0000-0000C45D0000}"/>
    <cellStyle name="Normal 2 2 2 7 2 8" xfId="24002" xr:uid="{00000000-0005-0000-0000-0000C55D0000}"/>
    <cellStyle name="Normal 2 2 2 7 2 9" xfId="24003" xr:uid="{00000000-0005-0000-0000-0000C65D0000}"/>
    <cellStyle name="Normal 2 2 2 7 3" xfId="24004" xr:uid="{00000000-0005-0000-0000-0000C75D0000}"/>
    <cellStyle name="Normal 2 2 2 7 3 2" xfId="24005" xr:uid="{00000000-0005-0000-0000-0000C85D0000}"/>
    <cellStyle name="Normal 2 2 2 7 3 2 2" xfId="24006" xr:uid="{00000000-0005-0000-0000-0000C95D0000}"/>
    <cellStyle name="Normal 2 2 2 7 3 2 2 2" xfId="24007" xr:uid="{00000000-0005-0000-0000-0000CA5D0000}"/>
    <cellStyle name="Normal 2 2 2 7 3 2 2 3" xfId="24008" xr:uid="{00000000-0005-0000-0000-0000CB5D0000}"/>
    <cellStyle name="Normal 2 2 2 7 3 2 3" xfId="24009" xr:uid="{00000000-0005-0000-0000-0000CC5D0000}"/>
    <cellStyle name="Normal 2 2 2 7 3 2 4" xfId="24010" xr:uid="{00000000-0005-0000-0000-0000CD5D0000}"/>
    <cellStyle name="Normal 2 2 2 7 3 2 5" xfId="24011" xr:uid="{00000000-0005-0000-0000-0000CE5D0000}"/>
    <cellStyle name="Normal 2 2 2 7 3 2 6" xfId="24012" xr:uid="{00000000-0005-0000-0000-0000CF5D0000}"/>
    <cellStyle name="Normal 2 2 2 7 3 3" xfId="24013" xr:uid="{00000000-0005-0000-0000-0000D05D0000}"/>
    <cellStyle name="Normal 2 2 2 7 3 3 2" xfId="24014" xr:uid="{00000000-0005-0000-0000-0000D15D0000}"/>
    <cellStyle name="Normal 2 2 2 7 3 3 2 2" xfId="24015" xr:uid="{00000000-0005-0000-0000-0000D25D0000}"/>
    <cellStyle name="Normal 2 2 2 7 3 3 3" xfId="24016" xr:uid="{00000000-0005-0000-0000-0000D35D0000}"/>
    <cellStyle name="Normal 2 2 2 7 3 3 4" xfId="24017" xr:uid="{00000000-0005-0000-0000-0000D45D0000}"/>
    <cellStyle name="Normal 2 2 2 7 3 3 5" xfId="24018" xr:uid="{00000000-0005-0000-0000-0000D55D0000}"/>
    <cellStyle name="Normal 2 2 2 7 3 4" xfId="24019" xr:uid="{00000000-0005-0000-0000-0000D65D0000}"/>
    <cellStyle name="Normal 2 2 2 7 3 4 2" xfId="24020" xr:uid="{00000000-0005-0000-0000-0000D75D0000}"/>
    <cellStyle name="Normal 2 2 2 7 3 4 3" xfId="24021" xr:uid="{00000000-0005-0000-0000-0000D85D0000}"/>
    <cellStyle name="Normal 2 2 2 7 3 4 4" xfId="24022" xr:uid="{00000000-0005-0000-0000-0000D95D0000}"/>
    <cellStyle name="Normal 2 2 2 7 3 5" xfId="24023" xr:uid="{00000000-0005-0000-0000-0000DA5D0000}"/>
    <cellStyle name="Normal 2 2 2 7 3 5 2" xfId="24024" xr:uid="{00000000-0005-0000-0000-0000DB5D0000}"/>
    <cellStyle name="Normal 2 2 2 7 3 6" xfId="24025" xr:uid="{00000000-0005-0000-0000-0000DC5D0000}"/>
    <cellStyle name="Normal 2 2 2 7 3 7" xfId="24026" xr:uid="{00000000-0005-0000-0000-0000DD5D0000}"/>
    <cellStyle name="Normal 2 2 2 7 3 8" xfId="24027" xr:uid="{00000000-0005-0000-0000-0000DE5D0000}"/>
    <cellStyle name="Normal 2 2 2 7 3 9" xfId="24028" xr:uid="{00000000-0005-0000-0000-0000DF5D0000}"/>
    <cellStyle name="Normal 2 2 2 7 4" xfId="24029" xr:uid="{00000000-0005-0000-0000-0000E05D0000}"/>
    <cellStyle name="Normal 2 2 2 7 4 2" xfId="24030" xr:uid="{00000000-0005-0000-0000-0000E15D0000}"/>
    <cellStyle name="Normal 2 2 2 7 4 2 2" xfId="24031" xr:uid="{00000000-0005-0000-0000-0000E25D0000}"/>
    <cellStyle name="Normal 2 2 2 7 4 2 3" xfId="24032" xr:uid="{00000000-0005-0000-0000-0000E35D0000}"/>
    <cellStyle name="Normal 2 2 2 7 4 3" xfId="24033" xr:uid="{00000000-0005-0000-0000-0000E45D0000}"/>
    <cellStyle name="Normal 2 2 2 7 4 4" xfId="24034" xr:uid="{00000000-0005-0000-0000-0000E55D0000}"/>
    <cellStyle name="Normal 2 2 2 7 4 5" xfId="24035" xr:uid="{00000000-0005-0000-0000-0000E65D0000}"/>
    <cellStyle name="Normal 2 2 2 7 4 6" xfId="24036" xr:uid="{00000000-0005-0000-0000-0000E75D0000}"/>
    <cellStyle name="Normal 2 2 2 7 5" xfId="24037" xr:uid="{00000000-0005-0000-0000-0000E85D0000}"/>
    <cellStyle name="Normal 2 2 2 7 5 2" xfId="24038" xr:uid="{00000000-0005-0000-0000-0000E95D0000}"/>
    <cellStyle name="Normal 2 2 2 7 5 2 2" xfId="24039" xr:uid="{00000000-0005-0000-0000-0000EA5D0000}"/>
    <cellStyle name="Normal 2 2 2 7 5 3" xfId="24040" xr:uid="{00000000-0005-0000-0000-0000EB5D0000}"/>
    <cellStyle name="Normal 2 2 2 7 5 4" xfId="24041" xr:uid="{00000000-0005-0000-0000-0000EC5D0000}"/>
    <cellStyle name="Normal 2 2 2 7 5 5" xfId="24042" xr:uid="{00000000-0005-0000-0000-0000ED5D0000}"/>
    <cellStyle name="Normal 2 2 2 7 6" xfId="24043" xr:uid="{00000000-0005-0000-0000-0000EE5D0000}"/>
    <cellStyle name="Normal 2 2 2 7 6 2" xfId="24044" xr:uid="{00000000-0005-0000-0000-0000EF5D0000}"/>
    <cellStyle name="Normal 2 2 2 7 6 3" xfId="24045" xr:uid="{00000000-0005-0000-0000-0000F05D0000}"/>
    <cellStyle name="Normal 2 2 2 7 6 4" xfId="24046" xr:uid="{00000000-0005-0000-0000-0000F15D0000}"/>
    <cellStyle name="Normal 2 2 2 7 7" xfId="24047" xr:uid="{00000000-0005-0000-0000-0000F25D0000}"/>
    <cellStyle name="Normal 2 2 2 7 7 2" xfId="24048" xr:uid="{00000000-0005-0000-0000-0000F35D0000}"/>
    <cellStyle name="Normal 2 2 2 7 8" xfId="24049" xr:uid="{00000000-0005-0000-0000-0000F45D0000}"/>
    <cellStyle name="Normal 2 2 2 7 9" xfId="24050" xr:uid="{00000000-0005-0000-0000-0000F55D0000}"/>
    <cellStyle name="Normal 2 2 2 8" xfId="24051" xr:uid="{00000000-0005-0000-0000-0000F65D0000}"/>
    <cellStyle name="Normal 2 2 2 8 10" xfId="24052" xr:uid="{00000000-0005-0000-0000-0000F75D0000}"/>
    <cellStyle name="Normal 2 2 2 8 2" xfId="24053" xr:uid="{00000000-0005-0000-0000-0000F85D0000}"/>
    <cellStyle name="Normal 2 2 2 8 2 2" xfId="24054" xr:uid="{00000000-0005-0000-0000-0000F95D0000}"/>
    <cellStyle name="Normal 2 2 2 8 2 2 2" xfId="24055" xr:uid="{00000000-0005-0000-0000-0000FA5D0000}"/>
    <cellStyle name="Normal 2 2 2 8 2 2 3" xfId="24056" xr:uid="{00000000-0005-0000-0000-0000FB5D0000}"/>
    <cellStyle name="Normal 2 2 2 8 2 3" xfId="24057" xr:uid="{00000000-0005-0000-0000-0000FC5D0000}"/>
    <cellStyle name="Normal 2 2 2 8 2 4" xfId="24058" xr:uid="{00000000-0005-0000-0000-0000FD5D0000}"/>
    <cellStyle name="Normal 2 2 2 8 2 5" xfId="24059" xr:uid="{00000000-0005-0000-0000-0000FE5D0000}"/>
    <cellStyle name="Normal 2 2 2 8 2 6" xfId="24060" xr:uid="{00000000-0005-0000-0000-0000FF5D0000}"/>
    <cellStyle name="Normal 2 2 2 8 3" xfId="24061" xr:uid="{00000000-0005-0000-0000-0000005E0000}"/>
    <cellStyle name="Normal 2 2 2 8 3 2" xfId="24062" xr:uid="{00000000-0005-0000-0000-0000015E0000}"/>
    <cellStyle name="Normal 2 2 2 8 3 2 2" xfId="24063" xr:uid="{00000000-0005-0000-0000-0000025E0000}"/>
    <cellStyle name="Normal 2 2 2 8 3 2 3" xfId="24064" xr:uid="{00000000-0005-0000-0000-0000035E0000}"/>
    <cellStyle name="Normal 2 2 2 8 3 3" xfId="24065" xr:uid="{00000000-0005-0000-0000-0000045E0000}"/>
    <cellStyle name="Normal 2 2 2 8 3 4" xfId="24066" xr:uid="{00000000-0005-0000-0000-0000055E0000}"/>
    <cellStyle name="Normal 2 2 2 8 3 5" xfId="24067" xr:uid="{00000000-0005-0000-0000-0000065E0000}"/>
    <cellStyle name="Normal 2 2 2 8 3 6" xfId="24068" xr:uid="{00000000-0005-0000-0000-0000075E0000}"/>
    <cellStyle name="Normal 2 2 2 8 4" xfId="24069" xr:uid="{00000000-0005-0000-0000-0000085E0000}"/>
    <cellStyle name="Normal 2 2 2 8 4 2" xfId="24070" xr:uid="{00000000-0005-0000-0000-0000095E0000}"/>
    <cellStyle name="Normal 2 2 2 8 4 2 2" xfId="24071" xr:uid="{00000000-0005-0000-0000-00000A5E0000}"/>
    <cellStyle name="Normal 2 2 2 8 4 3" xfId="24072" xr:uid="{00000000-0005-0000-0000-00000B5E0000}"/>
    <cellStyle name="Normal 2 2 2 8 4 4" xfId="24073" xr:uid="{00000000-0005-0000-0000-00000C5E0000}"/>
    <cellStyle name="Normal 2 2 2 8 4 5" xfId="24074" xr:uid="{00000000-0005-0000-0000-00000D5E0000}"/>
    <cellStyle name="Normal 2 2 2 8 5" xfId="24075" xr:uid="{00000000-0005-0000-0000-00000E5E0000}"/>
    <cellStyle name="Normal 2 2 2 8 5 2" xfId="24076" xr:uid="{00000000-0005-0000-0000-00000F5E0000}"/>
    <cellStyle name="Normal 2 2 2 8 5 3" xfId="24077" xr:uid="{00000000-0005-0000-0000-0000105E0000}"/>
    <cellStyle name="Normal 2 2 2 8 5 4" xfId="24078" xr:uid="{00000000-0005-0000-0000-0000115E0000}"/>
    <cellStyle name="Normal 2 2 2 8 6" xfId="24079" xr:uid="{00000000-0005-0000-0000-0000125E0000}"/>
    <cellStyle name="Normal 2 2 2 8 6 2" xfId="24080" xr:uid="{00000000-0005-0000-0000-0000135E0000}"/>
    <cellStyle name="Normal 2 2 2 8 7" xfId="24081" xr:uid="{00000000-0005-0000-0000-0000145E0000}"/>
    <cellStyle name="Normal 2 2 2 8 8" xfId="24082" xr:uid="{00000000-0005-0000-0000-0000155E0000}"/>
    <cellStyle name="Normal 2 2 2 8 9" xfId="24083" xr:uid="{00000000-0005-0000-0000-0000165E0000}"/>
    <cellStyle name="Normal 2 2 2 9" xfId="24084" xr:uid="{00000000-0005-0000-0000-0000175E0000}"/>
    <cellStyle name="Normal 2 2 2 9 10" xfId="24085" xr:uid="{00000000-0005-0000-0000-0000185E0000}"/>
    <cellStyle name="Normal 2 2 2 9 2" xfId="24086" xr:uid="{00000000-0005-0000-0000-0000195E0000}"/>
    <cellStyle name="Normal 2 2 2 9 2 2" xfId="24087" xr:uid="{00000000-0005-0000-0000-00001A5E0000}"/>
    <cellStyle name="Normal 2 2 2 9 2 2 2" xfId="24088" xr:uid="{00000000-0005-0000-0000-00001B5E0000}"/>
    <cellStyle name="Normal 2 2 2 9 2 2 3" xfId="24089" xr:uid="{00000000-0005-0000-0000-00001C5E0000}"/>
    <cellStyle name="Normal 2 2 2 9 2 3" xfId="24090" xr:uid="{00000000-0005-0000-0000-00001D5E0000}"/>
    <cellStyle name="Normal 2 2 2 9 2 4" xfId="24091" xr:uid="{00000000-0005-0000-0000-00001E5E0000}"/>
    <cellStyle name="Normal 2 2 2 9 2 5" xfId="24092" xr:uid="{00000000-0005-0000-0000-00001F5E0000}"/>
    <cellStyle name="Normal 2 2 2 9 2 6" xfId="24093" xr:uid="{00000000-0005-0000-0000-0000205E0000}"/>
    <cellStyle name="Normal 2 2 2 9 3" xfId="24094" xr:uid="{00000000-0005-0000-0000-0000215E0000}"/>
    <cellStyle name="Normal 2 2 2 9 3 2" xfId="24095" xr:uid="{00000000-0005-0000-0000-0000225E0000}"/>
    <cellStyle name="Normal 2 2 2 9 3 2 2" xfId="24096" xr:uid="{00000000-0005-0000-0000-0000235E0000}"/>
    <cellStyle name="Normal 2 2 2 9 3 2 3" xfId="24097" xr:uid="{00000000-0005-0000-0000-0000245E0000}"/>
    <cellStyle name="Normal 2 2 2 9 3 3" xfId="24098" xr:uid="{00000000-0005-0000-0000-0000255E0000}"/>
    <cellStyle name="Normal 2 2 2 9 3 4" xfId="24099" xr:uid="{00000000-0005-0000-0000-0000265E0000}"/>
    <cellStyle name="Normal 2 2 2 9 3 5" xfId="24100" xr:uid="{00000000-0005-0000-0000-0000275E0000}"/>
    <cellStyle name="Normal 2 2 2 9 3 6" xfId="24101" xr:uid="{00000000-0005-0000-0000-0000285E0000}"/>
    <cellStyle name="Normal 2 2 2 9 4" xfId="24102" xr:uid="{00000000-0005-0000-0000-0000295E0000}"/>
    <cellStyle name="Normal 2 2 2 9 4 2" xfId="24103" xr:uid="{00000000-0005-0000-0000-00002A5E0000}"/>
    <cellStyle name="Normal 2 2 2 9 4 2 2" xfId="24104" xr:uid="{00000000-0005-0000-0000-00002B5E0000}"/>
    <cellStyle name="Normal 2 2 2 9 4 3" xfId="24105" xr:uid="{00000000-0005-0000-0000-00002C5E0000}"/>
    <cellStyle name="Normal 2 2 2 9 4 4" xfId="24106" xr:uid="{00000000-0005-0000-0000-00002D5E0000}"/>
    <cellStyle name="Normal 2 2 2 9 4 5" xfId="24107" xr:uid="{00000000-0005-0000-0000-00002E5E0000}"/>
    <cellStyle name="Normal 2 2 2 9 5" xfId="24108" xr:uid="{00000000-0005-0000-0000-00002F5E0000}"/>
    <cellStyle name="Normal 2 2 2 9 5 2" xfId="24109" xr:uid="{00000000-0005-0000-0000-0000305E0000}"/>
    <cellStyle name="Normal 2 2 2 9 5 3" xfId="24110" xr:uid="{00000000-0005-0000-0000-0000315E0000}"/>
    <cellStyle name="Normal 2 2 2 9 5 4" xfId="24111" xr:uid="{00000000-0005-0000-0000-0000325E0000}"/>
    <cellStyle name="Normal 2 2 2 9 6" xfId="24112" xr:uid="{00000000-0005-0000-0000-0000335E0000}"/>
    <cellStyle name="Normal 2 2 2 9 6 2" xfId="24113" xr:uid="{00000000-0005-0000-0000-0000345E0000}"/>
    <cellStyle name="Normal 2 2 2 9 7" xfId="24114" xr:uid="{00000000-0005-0000-0000-0000355E0000}"/>
    <cellStyle name="Normal 2 2 2 9 8" xfId="24115" xr:uid="{00000000-0005-0000-0000-0000365E0000}"/>
    <cellStyle name="Normal 2 2 2 9 9" xfId="24116" xr:uid="{00000000-0005-0000-0000-0000375E0000}"/>
    <cellStyle name="Normal 2 2 20" xfId="24117" xr:uid="{00000000-0005-0000-0000-0000385E0000}"/>
    <cellStyle name="Normal 2 2 21" xfId="24118" xr:uid="{00000000-0005-0000-0000-0000395E0000}"/>
    <cellStyle name="Normal 2 2 22" xfId="24119" xr:uid="{00000000-0005-0000-0000-00003A5E0000}"/>
    <cellStyle name="Normal 2 2 23" xfId="24120" xr:uid="{00000000-0005-0000-0000-00003B5E0000}"/>
    <cellStyle name="Normal 2 2 24" xfId="24121" xr:uid="{00000000-0005-0000-0000-00003C5E0000}"/>
    <cellStyle name="Normal 2 2 25" xfId="24122" xr:uid="{00000000-0005-0000-0000-00003D5E0000}"/>
    <cellStyle name="Normal 2 2 25 2" xfId="24123" xr:uid="{00000000-0005-0000-0000-00003E5E0000}"/>
    <cellStyle name="Normal 2 2 25 2 2" xfId="24124" xr:uid="{00000000-0005-0000-0000-00003F5E0000}"/>
    <cellStyle name="Normal 2 2 25 2 2 2" xfId="24125" xr:uid="{00000000-0005-0000-0000-0000405E0000}"/>
    <cellStyle name="Normal 2 2 25 2 2 3" xfId="24126" xr:uid="{00000000-0005-0000-0000-0000415E0000}"/>
    <cellStyle name="Normal 2 2 25 2 3" xfId="24127" xr:uid="{00000000-0005-0000-0000-0000425E0000}"/>
    <cellStyle name="Normal 2 2 25 2 4" xfId="24128" xr:uid="{00000000-0005-0000-0000-0000435E0000}"/>
    <cellStyle name="Normal 2 2 25 2 5" xfId="24129" xr:uid="{00000000-0005-0000-0000-0000445E0000}"/>
    <cellStyle name="Normal 2 2 25 2 6" xfId="24130" xr:uid="{00000000-0005-0000-0000-0000455E0000}"/>
    <cellStyle name="Normal 2 2 25 3" xfId="24131" xr:uid="{00000000-0005-0000-0000-0000465E0000}"/>
    <cellStyle name="Normal 2 2 25 3 2" xfId="24132" xr:uid="{00000000-0005-0000-0000-0000475E0000}"/>
    <cellStyle name="Normal 2 2 25 3 2 2" xfId="24133" xr:uid="{00000000-0005-0000-0000-0000485E0000}"/>
    <cellStyle name="Normal 2 2 25 3 3" xfId="24134" xr:uid="{00000000-0005-0000-0000-0000495E0000}"/>
    <cellStyle name="Normal 2 2 25 3 4" xfId="24135" xr:uid="{00000000-0005-0000-0000-00004A5E0000}"/>
    <cellStyle name="Normal 2 2 25 3 5" xfId="24136" xr:uid="{00000000-0005-0000-0000-00004B5E0000}"/>
    <cellStyle name="Normal 2 2 25 4" xfId="24137" xr:uid="{00000000-0005-0000-0000-00004C5E0000}"/>
    <cellStyle name="Normal 2 2 25 4 2" xfId="24138" xr:uid="{00000000-0005-0000-0000-00004D5E0000}"/>
    <cellStyle name="Normal 2 2 25 4 3" xfId="24139" xr:uid="{00000000-0005-0000-0000-00004E5E0000}"/>
    <cellStyle name="Normal 2 2 25 4 4" xfId="24140" xr:uid="{00000000-0005-0000-0000-00004F5E0000}"/>
    <cellStyle name="Normal 2 2 25 5" xfId="24141" xr:uid="{00000000-0005-0000-0000-0000505E0000}"/>
    <cellStyle name="Normal 2 2 25 5 2" xfId="24142" xr:uid="{00000000-0005-0000-0000-0000515E0000}"/>
    <cellStyle name="Normal 2 2 25 6" xfId="24143" xr:uid="{00000000-0005-0000-0000-0000525E0000}"/>
    <cellStyle name="Normal 2 2 25 7" xfId="24144" xr:uid="{00000000-0005-0000-0000-0000535E0000}"/>
    <cellStyle name="Normal 2 2 25 8" xfId="24145" xr:uid="{00000000-0005-0000-0000-0000545E0000}"/>
    <cellStyle name="Normal 2 2 25 9" xfId="24146" xr:uid="{00000000-0005-0000-0000-0000555E0000}"/>
    <cellStyle name="Normal 2 2 26" xfId="24147" xr:uid="{00000000-0005-0000-0000-0000565E0000}"/>
    <cellStyle name="Normal 2 2 26 2" xfId="24148" xr:uid="{00000000-0005-0000-0000-0000575E0000}"/>
    <cellStyle name="Normal 2 2 26 2 2" xfId="24149" xr:uid="{00000000-0005-0000-0000-0000585E0000}"/>
    <cellStyle name="Normal 2 2 26 3" xfId="24150" xr:uid="{00000000-0005-0000-0000-0000595E0000}"/>
    <cellStyle name="Normal 2 2 26 4" xfId="24151" xr:uid="{00000000-0005-0000-0000-00005A5E0000}"/>
    <cellStyle name="Normal 2 2 26 5" xfId="24152" xr:uid="{00000000-0005-0000-0000-00005B5E0000}"/>
    <cellStyle name="Normal 2 2 26 6" xfId="24153" xr:uid="{00000000-0005-0000-0000-00005C5E0000}"/>
    <cellStyle name="Normal 2 2 27" xfId="24154" xr:uid="{00000000-0005-0000-0000-00005D5E0000}"/>
    <cellStyle name="Normal 2 2 27 2" xfId="24155" xr:uid="{00000000-0005-0000-0000-00005E5E0000}"/>
    <cellStyle name="Normal 2 2 28" xfId="24156" xr:uid="{00000000-0005-0000-0000-00005F5E0000}"/>
    <cellStyle name="Normal 2 2 28 2" xfId="24157" xr:uid="{00000000-0005-0000-0000-0000605E0000}"/>
    <cellStyle name="Normal 2 2 28 3" xfId="24158" xr:uid="{00000000-0005-0000-0000-0000615E0000}"/>
    <cellStyle name="Normal 2 2 29" xfId="24159" xr:uid="{00000000-0005-0000-0000-0000625E0000}"/>
    <cellStyle name="Normal 2 2 29 2" xfId="24160" xr:uid="{00000000-0005-0000-0000-0000635E0000}"/>
    <cellStyle name="Normal 2 2 29 3" xfId="24161" xr:uid="{00000000-0005-0000-0000-0000645E0000}"/>
    <cellStyle name="Normal 2 2 3" xfId="24162" xr:uid="{00000000-0005-0000-0000-0000655E0000}"/>
    <cellStyle name="Normal 2 2 3 2" xfId="24163" xr:uid="{00000000-0005-0000-0000-0000665E0000}"/>
    <cellStyle name="Normal 2 2 3 3" xfId="24164" xr:uid="{00000000-0005-0000-0000-0000675E0000}"/>
    <cellStyle name="Normal 2 2 3 4" xfId="24165" xr:uid="{00000000-0005-0000-0000-0000685E0000}"/>
    <cellStyle name="Normal 2 2 30" xfId="24166" xr:uid="{00000000-0005-0000-0000-0000695E0000}"/>
    <cellStyle name="Normal 2 2 31" xfId="24167" xr:uid="{00000000-0005-0000-0000-00006A5E0000}"/>
    <cellStyle name="Normal 2 2 32" xfId="24168" xr:uid="{00000000-0005-0000-0000-00006B5E0000}"/>
    <cellStyle name="Normal 2 2 33" xfId="24169" xr:uid="{00000000-0005-0000-0000-00006C5E0000}"/>
    <cellStyle name="Normal 2 2 34" xfId="24170" xr:uid="{00000000-0005-0000-0000-00006D5E0000}"/>
    <cellStyle name="Normal 2 2 35" xfId="24171" xr:uid="{00000000-0005-0000-0000-00006E5E0000}"/>
    <cellStyle name="Normal 2 2 36" xfId="24172" xr:uid="{00000000-0005-0000-0000-00006F5E0000}"/>
    <cellStyle name="Normal 2 2 37" xfId="24173" xr:uid="{00000000-0005-0000-0000-0000705E0000}"/>
    <cellStyle name="Normal 2 2 38" xfId="24174" xr:uid="{00000000-0005-0000-0000-0000715E0000}"/>
    <cellStyle name="Normal 2 2 39" xfId="24175" xr:uid="{00000000-0005-0000-0000-0000725E0000}"/>
    <cellStyle name="Normal 2 2 4" xfId="24176" xr:uid="{00000000-0005-0000-0000-0000735E0000}"/>
    <cellStyle name="Normal 2 2 4 2" xfId="24177" xr:uid="{00000000-0005-0000-0000-0000745E0000}"/>
    <cellStyle name="Normal 2 2 4 3" xfId="24178" xr:uid="{00000000-0005-0000-0000-0000755E0000}"/>
    <cellStyle name="Normal 2 2 4 3 2" xfId="24179" xr:uid="{00000000-0005-0000-0000-0000765E0000}"/>
    <cellStyle name="Normal 2 2 4 4" xfId="24180" xr:uid="{00000000-0005-0000-0000-0000775E0000}"/>
    <cellStyle name="Normal 2 2 40" xfId="24181" xr:uid="{00000000-0005-0000-0000-0000785E0000}"/>
    <cellStyle name="Normal 2 2 41" xfId="24182" xr:uid="{00000000-0005-0000-0000-0000795E0000}"/>
    <cellStyle name="Normal 2 2 42" xfId="24183" xr:uid="{00000000-0005-0000-0000-00007A5E0000}"/>
    <cellStyle name="Normal 2 2 43" xfId="24184" xr:uid="{00000000-0005-0000-0000-00007B5E0000}"/>
    <cellStyle name="Normal 2 2 44" xfId="24185" xr:uid="{00000000-0005-0000-0000-00007C5E0000}"/>
    <cellStyle name="Normal 2 2 45" xfId="24186" xr:uid="{00000000-0005-0000-0000-00007D5E0000}"/>
    <cellStyle name="Normal 2 2 46" xfId="24187" xr:uid="{00000000-0005-0000-0000-00007E5E0000}"/>
    <cellStyle name="Normal 2 2 47" xfId="24188" xr:uid="{00000000-0005-0000-0000-00007F5E0000}"/>
    <cellStyle name="Normal 2 2 48" xfId="24189" xr:uid="{00000000-0005-0000-0000-0000805E0000}"/>
    <cellStyle name="Normal 2 2 49" xfId="24190" xr:uid="{00000000-0005-0000-0000-0000815E0000}"/>
    <cellStyle name="Normal 2 2 5" xfId="24191" xr:uid="{00000000-0005-0000-0000-0000825E0000}"/>
    <cellStyle name="Normal 2 2 5 2" xfId="24192" xr:uid="{00000000-0005-0000-0000-0000835E0000}"/>
    <cellStyle name="Normal 2 2 5 3" xfId="24193" xr:uid="{00000000-0005-0000-0000-0000845E0000}"/>
    <cellStyle name="Normal 2 2 5 3 2" xfId="24194" xr:uid="{00000000-0005-0000-0000-0000855E0000}"/>
    <cellStyle name="Normal 2 2 5 4" xfId="24195" xr:uid="{00000000-0005-0000-0000-0000865E0000}"/>
    <cellStyle name="Normal 2 2 50" xfId="24196" xr:uid="{00000000-0005-0000-0000-0000875E0000}"/>
    <cellStyle name="Normal 2 2 51" xfId="24197" xr:uid="{00000000-0005-0000-0000-0000885E0000}"/>
    <cellStyle name="Normal 2 2 52" xfId="24198" xr:uid="{00000000-0005-0000-0000-0000895E0000}"/>
    <cellStyle name="Normal 2 2 53" xfId="24199" xr:uid="{00000000-0005-0000-0000-00008A5E0000}"/>
    <cellStyle name="Normal 2 2 6" xfId="24200" xr:uid="{00000000-0005-0000-0000-00008B5E0000}"/>
    <cellStyle name="Normal 2 2 6 2" xfId="24201" xr:uid="{00000000-0005-0000-0000-00008C5E0000}"/>
    <cellStyle name="Normal 2 2 6 3" xfId="24202" xr:uid="{00000000-0005-0000-0000-00008D5E0000}"/>
    <cellStyle name="Normal 2 2 6 3 2" xfId="24203" xr:uid="{00000000-0005-0000-0000-00008E5E0000}"/>
    <cellStyle name="Normal 2 2 6 4" xfId="24204" xr:uid="{00000000-0005-0000-0000-00008F5E0000}"/>
    <cellStyle name="Normal 2 2 7" xfId="24205" xr:uid="{00000000-0005-0000-0000-0000905E0000}"/>
    <cellStyle name="Normal 2 2 7 2" xfId="24206" xr:uid="{00000000-0005-0000-0000-0000915E0000}"/>
    <cellStyle name="Normal 2 2 7 3" xfId="24207" xr:uid="{00000000-0005-0000-0000-0000925E0000}"/>
    <cellStyle name="Normal 2 2 7 3 2" xfId="24208" xr:uid="{00000000-0005-0000-0000-0000935E0000}"/>
    <cellStyle name="Normal 2 2 7 4" xfId="24209" xr:uid="{00000000-0005-0000-0000-0000945E0000}"/>
    <cellStyle name="Normal 2 2 8" xfId="24210" xr:uid="{00000000-0005-0000-0000-0000955E0000}"/>
    <cellStyle name="Normal 2 2 8 2" xfId="24211" xr:uid="{00000000-0005-0000-0000-0000965E0000}"/>
    <cellStyle name="Normal 2 2 8 3" xfId="24212" xr:uid="{00000000-0005-0000-0000-0000975E0000}"/>
    <cellStyle name="Normal 2 2 8 3 2" xfId="24213" xr:uid="{00000000-0005-0000-0000-0000985E0000}"/>
    <cellStyle name="Normal 2 2 8 4" xfId="24214" xr:uid="{00000000-0005-0000-0000-0000995E0000}"/>
    <cellStyle name="Normal 2 2 9" xfId="24215" xr:uid="{00000000-0005-0000-0000-00009A5E0000}"/>
    <cellStyle name="Normal 2 2 9 2" xfId="24216" xr:uid="{00000000-0005-0000-0000-00009B5E0000}"/>
    <cellStyle name="Normal 2 2 9 3" xfId="24217" xr:uid="{00000000-0005-0000-0000-00009C5E0000}"/>
    <cellStyle name="Normal 2 2 9 3 2" xfId="24218" xr:uid="{00000000-0005-0000-0000-00009D5E0000}"/>
    <cellStyle name="Normal 2 2 9 4" xfId="24219" xr:uid="{00000000-0005-0000-0000-00009E5E0000}"/>
    <cellStyle name="Normal 2 20" xfId="24220" xr:uid="{00000000-0005-0000-0000-00009F5E0000}"/>
    <cellStyle name="Normal 2 20 10" xfId="24221" xr:uid="{00000000-0005-0000-0000-0000A05E0000}"/>
    <cellStyle name="Normal 2 20 11" xfId="24222" xr:uid="{00000000-0005-0000-0000-0000A15E0000}"/>
    <cellStyle name="Normal 2 20 2" xfId="24223" xr:uid="{00000000-0005-0000-0000-0000A25E0000}"/>
    <cellStyle name="Normal 2 20 2 2" xfId="24224" xr:uid="{00000000-0005-0000-0000-0000A35E0000}"/>
    <cellStyle name="Normal 2 20 3" xfId="24225" xr:uid="{00000000-0005-0000-0000-0000A45E0000}"/>
    <cellStyle name="Normal 2 20 3 2" xfId="24226" xr:uid="{00000000-0005-0000-0000-0000A55E0000}"/>
    <cellStyle name="Normal 2 20 3 2 2" xfId="24227" xr:uid="{00000000-0005-0000-0000-0000A65E0000}"/>
    <cellStyle name="Normal 2 20 3 2 2 2" xfId="24228" xr:uid="{00000000-0005-0000-0000-0000A75E0000}"/>
    <cellStyle name="Normal 2 20 3 2 2 3" xfId="24229" xr:uid="{00000000-0005-0000-0000-0000A85E0000}"/>
    <cellStyle name="Normal 2 20 3 2 3" xfId="24230" xr:uid="{00000000-0005-0000-0000-0000A95E0000}"/>
    <cellStyle name="Normal 2 20 3 2 4" xfId="24231" xr:uid="{00000000-0005-0000-0000-0000AA5E0000}"/>
    <cellStyle name="Normal 2 20 3 2 5" xfId="24232" xr:uid="{00000000-0005-0000-0000-0000AB5E0000}"/>
    <cellStyle name="Normal 2 20 3 2 6" xfId="24233" xr:uid="{00000000-0005-0000-0000-0000AC5E0000}"/>
    <cellStyle name="Normal 2 20 3 3" xfId="24234" xr:uid="{00000000-0005-0000-0000-0000AD5E0000}"/>
    <cellStyle name="Normal 2 20 3 3 2" xfId="24235" xr:uid="{00000000-0005-0000-0000-0000AE5E0000}"/>
    <cellStyle name="Normal 2 20 3 3 2 2" xfId="24236" xr:uid="{00000000-0005-0000-0000-0000AF5E0000}"/>
    <cellStyle name="Normal 2 20 3 3 3" xfId="24237" xr:uid="{00000000-0005-0000-0000-0000B05E0000}"/>
    <cellStyle name="Normal 2 20 3 3 4" xfId="24238" xr:uid="{00000000-0005-0000-0000-0000B15E0000}"/>
    <cellStyle name="Normal 2 20 3 3 5" xfId="24239" xr:uid="{00000000-0005-0000-0000-0000B25E0000}"/>
    <cellStyle name="Normal 2 20 3 4" xfId="24240" xr:uid="{00000000-0005-0000-0000-0000B35E0000}"/>
    <cellStyle name="Normal 2 20 3 4 2" xfId="24241" xr:uid="{00000000-0005-0000-0000-0000B45E0000}"/>
    <cellStyle name="Normal 2 20 3 4 3" xfId="24242" xr:uid="{00000000-0005-0000-0000-0000B55E0000}"/>
    <cellStyle name="Normal 2 20 3 4 4" xfId="24243" xr:uid="{00000000-0005-0000-0000-0000B65E0000}"/>
    <cellStyle name="Normal 2 20 3 5" xfId="24244" xr:uid="{00000000-0005-0000-0000-0000B75E0000}"/>
    <cellStyle name="Normal 2 20 3 5 2" xfId="24245" xr:uid="{00000000-0005-0000-0000-0000B85E0000}"/>
    <cellStyle name="Normal 2 20 3 6" xfId="24246" xr:uid="{00000000-0005-0000-0000-0000B95E0000}"/>
    <cellStyle name="Normal 2 20 3 7" xfId="24247" xr:uid="{00000000-0005-0000-0000-0000BA5E0000}"/>
    <cellStyle name="Normal 2 20 3 8" xfId="24248" xr:uid="{00000000-0005-0000-0000-0000BB5E0000}"/>
    <cellStyle name="Normal 2 20 3 9" xfId="24249" xr:uid="{00000000-0005-0000-0000-0000BC5E0000}"/>
    <cellStyle name="Normal 2 20 4" xfId="24250" xr:uid="{00000000-0005-0000-0000-0000BD5E0000}"/>
    <cellStyle name="Normal 2 20 4 2" xfId="24251" xr:uid="{00000000-0005-0000-0000-0000BE5E0000}"/>
    <cellStyle name="Normal 2 20 4 2 2" xfId="24252" xr:uid="{00000000-0005-0000-0000-0000BF5E0000}"/>
    <cellStyle name="Normal 2 20 4 2 2 2" xfId="24253" xr:uid="{00000000-0005-0000-0000-0000C05E0000}"/>
    <cellStyle name="Normal 2 20 4 2 2 3" xfId="24254" xr:uid="{00000000-0005-0000-0000-0000C15E0000}"/>
    <cellStyle name="Normal 2 20 4 2 3" xfId="24255" xr:uid="{00000000-0005-0000-0000-0000C25E0000}"/>
    <cellStyle name="Normal 2 20 4 2 4" xfId="24256" xr:uid="{00000000-0005-0000-0000-0000C35E0000}"/>
    <cellStyle name="Normal 2 20 4 2 5" xfId="24257" xr:uid="{00000000-0005-0000-0000-0000C45E0000}"/>
    <cellStyle name="Normal 2 20 4 2 6" xfId="24258" xr:uid="{00000000-0005-0000-0000-0000C55E0000}"/>
    <cellStyle name="Normal 2 20 4 3" xfId="24259" xr:uid="{00000000-0005-0000-0000-0000C65E0000}"/>
    <cellStyle name="Normal 2 20 4 3 2" xfId="24260" xr:uid="{00000000-0005-0000-0000-0000C75E0000}"/>
    <cellStyle name="Normal 2 20 4 3 2 2" xfId="24261" xr:uid="{00000000-0005-0000-0000-0000C85E0000}"/>
    <cellStyle name="Normal 2 20 4 3 3" xfId="24262" xr:uid="{00000000-0005-0000-0000-0000C95E0000}"/>
    <cellStyle name="Normal 2 20 4 3 4" xfId="24263" xr:uid="{00000000-0005-0000-0000-0000CA5E0000}"/>
    <cellStyle name="Normal 2 20 4 3 5" xfId="24264" xr:uid="{00000000-0005-0000-0000-0000CB5E0000}"/>
    <cellStyle name="Normal 2 20 4 4" xfId="24265" xr:uid="{00000000-0005-0000-0000-0000CC5E0000}"/>
    <cellStyle name="Normal 2 20 4 4 2" xfId="24266" xr:uid="{00000000-0005-0000-0000-0000CD5E0000}"/>
    <cellStyle name="Normal 2 20 4 4 3" xfId="24267" xr:uid="{00000000-0005-0000-0000-0000CE5E0000}"/>
    <cellStyle name="Normal 2 20 4 4 4" xfId="24268" xr:uid="{00000000-0005-0000-0000-0000CF5E0000}"/>
    <cellStyle name="Normal 2 20 4 5" xfId="24269" xr:uid="{00000000-0005-0000-0000-0000D05E0000}"/>
    <cellStyle name="Normal 2 20 4 5 2" xfId="24270" xr:uid="{00000000-0005-0000-0000-0000D15E0000}"/>
    <cellStyle name="Normal 2 20 4 6" xfId="24271" xr:uid="{00000000-0005-0000-0000-0000D25E0000}"/>
    <cellStyle name="Normal 2 20 4 7" xfId="24272" xr:uid="{00000000-0005-0000-0000-0000D35E0000}"/>
    <cellStyle name="Normal 2 20 4 8" xfId="24273" xr:uid="{00000000-0005-0000-0000-0000D45E0000}"/>
    <cellStyle name="Normal 2 20 4 9" xfId="24274" xr:uid="{00000000-0005-0000-0000-0000D55E0000}"/>
    <cellStyle name="Normal 2 20 5" xfId="24275" xr:uid="{00000000-0005-0000-0000-0000D65E0000}"/>
    <cellStyle name="Normal 2 20 5 2" xfId="24276" xr:uid="{00000000-0005-0000-0000-0000D75E0000}"/>
    <cellStyle name="Normal 2 20 5 2 2" xfId="24277" xr:uid="{00000000-0005-0000-0000-0000D85E0000}"/>
    <cellStyle name="Normal 2 20 5 2 3" xfId="24278" xr:uid="{00000000-0005-0000-0000-0000D95E0000}"/>
    <cellStyle name="Normal 2 20 5 3" xfId="24279" xr:uid="{00000000-0005-0000-0000-0000DA5E0000}"/>
    <cellStyle name="Normal 2 20 5 4" xfId="24280" xr:uid="{00000000-0005-0000-0000-0000DB5E0000}"/>
    <cellStyle name="Normal 2 20 5 5" xfId="24281" xr:uid="{00000000-0005-0000-0000-0000DC5E0000}"/>
    <cellStyle name="Normal 2 20 5 6" xfId="24282" xr:uid="{00000000-0005-0000-0000-0000DD5E0000}"/>
    <cellStyle name="Normal 2 20 6" xfId="24283" xr:uid="{00000000-0005-0000-0000-0000DE5E0000}"/>
    <cellStyle name="Normal 2 20 6 2" xfId="24284" xr:uid="{00000000-0005-0000-0000-0000DF5E0000}"/>
    <cellStyle name="Normal 2 20 6 2 2" xfId="24285" xr:uid="{00000000-0005-0000-0000-0000E05E0000}"/>
    <cellStyle name="Normal 2 20 6 3" xfId="24286" xr:uid="{00000000-0005-0000-0000-0000E15E0000}"/>
    <cellStyle name="Normal 2 20 6 4" xfId="24287" xr:uid="{00000000-0005-0000-0000-0000E25E0000}"/>
    <cellStyle name="Normal 2 20 6 5" xfId="24288" xr:uid="{00000000-0005-0000-0000-0000E35E0000}"/>
    <cellStyle name="Normal 2 20 6 6" xfId="24289" xr:uid="{00000000-0005-0000-0000-0000E45E0000}"/>
    <cellStyle name="Normal 2 20 7" xfId="24290" xr:uid="{00000000-0005-0000-0000-0000E55E0000}"/>
    <cellStyle name="Normal 2 20 7 2" xfId="24291" xr:uid="{00000000-0005-0000-0000-0000E65E0000}"/>
    <cellStyle name="Normal 2 20 7 3" xfId="24292" xr:uid="{00000000-0005-0000-0000-0000E75E0000}"/>
    <cellStyle name="Normal 2 20 7 4" xfId="24293" xr:uid="{00000000-0005-0000-0000-0000E85E0000}"/>
    <cellStyle name="Normal 2 20 7 5" xfId="24294" xr:uid="{00000000-0005-0000-0000-0000E95E0000}"/>
    <cellStyle name="Normal 2 20 8" xfId="24295" xr:uid="{00000000-0005-0000-0000-0000EA5E0000}"/>
    <cellStyle name="Normal 2 20 8 2" xfId="24296" xr:uid="{00000000-0005-0000-0000-0000EB5E0000}"/>
    <cellStyle name="Normal 2 20 9" xfId="24297" xr:uid="{00000000-0005-0000-0000-0000EC5E0000}"/>
    <cellStyle name="Normal 2 21" xfId="24298" xr:uid="{00000000-0005-0000-0000-0000ED5E0000}"/>
    <cellStyle name="Normal 2 21 2" xfId="24299" xr:uid="{00000000-0005-0000-0000-0000EE5E0000}"/>
    <cellStyle name="Normal 2 21 2 2" xfId="24300" xr:uid="{00000000-0005-0000-0000-0000EF5E0000}"/>
    <cellStyle name="Normal 2 21 3" xfId="24301" xr:uid="{00000000-0005-0000-0000-0000F05E0000}"/>
    <cellStyle name="Normal 2 21 3 2" xfId="24302" xr:uid="{00000000-0005-0000-0000-0000F15E0000}"/>
    <cellStyle name="Normal 2 21 3 2 2" xfId="24303" xr:uid="{00000000-0005-0000-0000-0000F25E0000}"/>
    <cellStyle name="Normal 2 21 3 2 2 2" xfId="24304" xr:uid="{00000000-0005-0000-0000-0000F35E0000}"/>
    <cellStyle name="Normal 2 21 3 2 2 3" xfId="24305" xr:uid="{00000000-0005-0000-0000-0000F45E0000}"/>
    <cellStyle name="Normal 2 21 3 2 3" xfId="24306" xr:uid="{00000000-0005-0000-0000-0000F55E0000}"/>
    <cellStyle name="Normal 2 21 3 2 4" xfId="24307" xr:uid="{00000000-0005-0000-0000-0000F65E0000}"/>
    <cellStyle name="Normal 2 21 3 2 5" xfId="24308" xr:uid="{00000000-0005-0000-0000-0000F75E0000}"/>
    <cellStyle name="Normal 2 21 3 2 6" xfId="24309" xr:uid="{00000000-0005-0000-0000-0000F85E0000}"/>
    <cellStyle name="Normal 2 21 3 3" xfId="24310" xr:uid="{00000000-0005-0000-0000-0000F95E0000}"/>
    <cellStyle name="Normal 2 21 3 3 2" xfId="24311" xr:uid="{00000000-0005-0000-0000-0000FA5E0000}"/>
    <cellStyle name="Normal 2 21 3 3 2 2" xfId="24312" xr:uid="{00000000-0005-0000-0000-0000FB5E0000}"/>
    <cellStyle name="Normal 2 21 3 3 3" xfId="24313" xr:uid="{00000000-0005-0000-0000-0000FC5E0000}"/>
    <cellStyle name="Normal 2 21 3 3 4" xfId="24314" xr:uid="{00000000-0005-0000-0000-0000FD5E0000}"/>
    <cellStyle name="Normal 2 21 3 3 5" xfId="24315" xr:uid="{00000000-0005-0000-0000-0000FE5E0000}"/>
    <cellStyle name="Normal 2 21 3 4" xfId="24316" xr:uid="{00000000-0005-0000-0000-0000FF5E0000}"/>
    <cellStyle name="Normal 2 21 3 4 2" xfId="24317" xr:uid="{00000000-0005-0000-0000-0000005F0000}"/>
    <cellStyle name="Normal 2 21 3 4 3" xfId="24318" xr:uid="{00000000-0005-0000-0000-0000015F0000}"/>
    <cellStyle name="Normal 2 21 3 4 4" xfId="24319" xr:uid="{00000000-0005-0000-0000-0000025F0000}"/>
    <cellStyle name="Normal 2 21 3 5" xfId="24320" xr:uid="{00000000-0005-0000-0000-0000035F0000}"/>
    <cellStyle name="Normal 2 21 3 5 2" xfId="24321" xr:uid="{00000000-0005-0000-0000-0000045F0000}"/>
    <cellStyle name="Normal 2 21 3 6" xfId="24322" xr:uid="{00000000-0005-0000-0000-0000055F0000}"/>
    <cellStyle name="Normal 2 21 3 7" xfId="24323" xr:uid="{00000000-0005-0000-0000-0000065F0000}"/>
    <cellStyle name="Normal 2 21 3 8" xfId="24324" xr:uid="{00000000-0005-0000-0000-0000075F0000}"/>
    <cellStyle name="Normal 2 21 3 9" xfId="24325" xr:uid="{00000000-0005-0000-0000-0000085F0000}"/>
    <cellStyle name="Normal 2 21 4" xfId="24326" xr:uid="{00000000-0005-0000-0000-0000095F0000}"/>
    <cellStyle name="Normal 2 21 4 2" xfId="24327" xr:uid="{00000000-0005-0000-0000-00000A5F0000}"/>
    <cellStyle name="Normal 2 21 4 2 2" xfId="24328" xr:uid="{00000000-0005-0000-0000-00000B5F0000}"/>
    <cellStyle name="Normal 2 21 4 3" xfId="24329" xr:uid="{00000000-0005-0000-0000-00000C5F0000}"/>
    <cellStyle name="Normal 2 21 4 4" xfId="24330" xr:uid="{00000000-0005-0000-0000-00000D5F0000}"/>
    <cellStyle name="Normal 2 21 4 5" xfId="24331" xr:uid="{00000000-0005-0000-0000-00000E5F0000}"/>
    <cellStyle name="Normal 2 21 4 6" xfId="24332" xr:uid="{00000000-0005-0000-0000-00000F5F0000}"/>
    <cellStyle name="Normal 2 21 5" xfId="24333" xr:uid="{00000000-0005-0000-0000-0000105F0000}"/>
    <cellStyle name="Normal 2 21 5 2" xfId="24334" xr:uid="{00000000-0005-0000-0000-0000115F0000}"/>
    <cellStyle name="Normal 2 21 5 3" xfId="24335" xr:uid="{00000000-0005-0000-0000-0000125F0000}"/>
    <cellStyle name="Normal 2 21 6" xfId="24336" xr:uid="{00000000-0005-0000-0000-0000135F0000}"/>
    <cellStyle name="Normal 2 21 7" xfId="24337" xr:uid="{00000000-0005-0000-0000-0000145F0000}"/>
    <cellStyle name="Normal 2 22" xfId="24338" xr:uid="{00000000-0005-0000-0000-0000155F0000}"/>
    <cellStyle name="Normal 2 22 2" xfId="24339" xr:uid="{00000000-0005-0000-0000-0000165F0000}"/>
    <cellStyle name="Normal 2 22 2 2" xfId="24340" xr:uid="{00000000-0005-0000-0000-0000175F0000}"/>
    <cellStyle name="Normal 2 22 3" xfId="24341" xr:uid="{00000000-0005-0000-0000-0000185F0000}"/>
    <cellStyle name="Normal 2 22 3 2" xfId="24342" xr:uid="{00000000-0005-0000-0000-0000195F0000}"/>
    <cellStyle name="Normal 2 22 3 2 2" xfId="24343" xr:uid="{00000000-0005-0000-0000-00001A5F0000}"/>
    <cellStyle name="Normal 2 22 3 2 2 2" xfId="24344" xr:uid="{00000000-0005-0000-0000-00001B5F0000}"/>
    <cellStyle name="Normal 2 22 3 2 2 3" xfId="24345" xr:uid="{00000000-0005-0000-0000-00001C5F0000}"/>
    <cellStyle name="Normal 2 22 3 2 3" xfId="24346" xr:uid="{00000000-0005-0000-0000-00001D5F0000}"/>
    <cellStyle name="Normal 2 22 3 2 4" xfId="24347" xr:uid="{00000000-0005-0000-0000-00001E5F0000}"/>
    <cellStyle name="Normal 2 22 3 2 5" xfId="24348" xr:uid="{00000000-0005-0000-0000-00001F5F0000}"/>
    <cellStyle name="Normal 2 22 3 2 6" xfId="24349" xr:uid="{00000000-0005-0000-0000-0000205F0000}"/>
    <cellStyle name="Normal 2 22 3 3" xfId="24350" xr:uid="{00000000-0005-0000-0000-0000215F0000}"/>
    <cellStyle name="Normal 2 22 3 3 2" xfId="24351" xr:uid="{00000000-0005-0000-0000-0000225F0000}"/>
    <cellStyle name="Normal 2 22 3 3 2 2" xfId="24352" xr:uid="{00000000-0005-0000-0000-0000235F0000}"/>
    <cellStyle name="Normal 2 22 3 3 3" xfId="24353" xr:uid="{00000000-0005-0000-0000-0000245F0000}"/>
    <cellStyle name="Normal 2 22 3 3 4" xfId="24354" xr:uid="{00000000-0005-0000-0000-0000255F0000}"/>
    <cellStyle name="Normal 2 22 3 3 5" xfId="24355" xr:uid="{00000000-0005-0000-0000-0000265F0000}"/>
    <cellStyle name="Normal 2 22 3 4" xfId="24356" xr:uid="{00000000-0005-0000-0000-0000275F0000}"/>
    <cellStyle name="Normal 2 22 3 4 2" xfId="24357" xr:uid="{00000000-0005-0000-0000-0000285F0000}"/>
    <cellStyle name="Normal 2 22 3 4 3" xfId="24358" xr:uid="{00000000-0005-0000-0000-0000295F0000}"/>
    <cellStyle name="Normal 2 22 3 4 4" xfId="24359" xr:uid="{00000000-0005-0000-0000-00002A5F0000}"/>
    <cellStyle name="Normal 2 22 3 5" xfId="24360" xr:uid="{00000000-0005-0000-0000-00002B5F0000}"/>
    <cellStyle name="Normal 2 22 3 5 2" xfId="24361" xr:uid="{00000000-0005-0000-0000-00002C5F0000}"/>
    <cellStyle name="Normal 2 22 3 6" xfId="24362" xr:uid="{00000000-0005-0000-0000-00002D5F0000}"/>
    <cellStyle name="Normal 2 22 3 7" xfId="24363" xr:uid="{00000000-0005-0000-0000-00002E5F0000}"/>
    <cellStyle name="Normal 2 22 3 8" xfId="24364" xr:uid="{00000000-0005-0000-0000-00002F5F0000}"/>
    <cellStyle name="Normal 2 22 3 9" xfId="24365" xr:uid="{00000000-0005-0000-0000-0000305F0000}"/>
    <cellStyle name="Normal 2 22 4" xfId="24366" xr:uid="{00000000-0005-0000-0000-0000315F0000}"/>
    <cellStyle name="Normal 2 22 4 2" xfId="24367" xr:uid="{00000000-0005-0000-0000-0000325F0000}"/>
    <cellStyle name="Normal 2 22 4 2 2" xfId="24368" xr:uid="{00000000-0005-0000-0000-0000335F0000}"/>
    <cellStyle name="Normal 2 22 4 3" xfId="24369" xr:uid="{00000000-0005-0000-0000-0000345F0000}"/>
    <cellStyle name="Normal 2 22 4 4" xfId="24370" xr:uid="{00000000-0005-0000-0000-0000355F0000}"/>
    <cellStyle name="Normal 2 22 4 5" xfId="24371" xr:uid="{00000000-0005-0000-0000-0000365F0000}"/>
    <cellStyle name="Normal 2 22 4 6" xfId="24372" xr:uid="{00000000-0005-0000-0000-0000375F0000}"/>
    <cellStyle name="Normal 2 22 5" xfId="24373" xr:uid="{00000000-0005-0000-0000-0000385F0000}"/>
    <cellStyle name="Normal 2 22 5 2" xfId="24374" xr:uid="{00000000-0005-0000-0000-0000395F0000}"/>
    <cellStyle name="Normal 2 22 5 3" xfId="24375" xr:uid="{00000000-0005-0000-0000-00003A5F0000}"/>
    <cellStyle name="Normal 2 22 6" xfId="24376" xr:uid="{00000000-0005-0000-0000-00003B5F0000}"/>
    <cellStyle name="Normal 2 22 7" xfId="24377" xr:uid="{00000000-0005-0000-0000-00003C5F0000}"/>
    <cellStyle name="Normal 2 23" xfId="24378" xr:uid="{00000000-0005-0000-0000-00003D5F0000}"/>
    <cellStyle name="Normal 2 23 2" xfId="24379" xr:uid="{00000000-0005-0000-0000-00003E5F0000}"/>
    <cellStyle name="Normal 2 23 2 2" xfId="24380" xr:uid="{00000000-0005-0000-0000-00003F5F0000}"/>
    <cellStyle name="Normal 2 23 3" xfId="24381" xr:uid="{00000000-0005-0000-0000-0000405F0000}"/>
    <cellStyle name="Normal 2 23 3 2" xfId="24382" xr:uid="{00000000-0005-0000-0000-0000415F0000}"/>
    <cellStyle name="Normal 2 23 3 2 2" xfId="24383" xr:uid="{00000000-0005-0000-0000-0000425F0000}"/>
    <cellStyle name="Normal 2 23 3 2 2 2" xfId="24384" xr:uid="{00000000-0005-0000-0000-0000435F0000}"/>
    <cellStyle name="Normal 2 23 3 2 2 3" xfId="24385" xr:uid="{00000000-0005-0000-0000-0000445F0000}"/>
    <cellStyle name="Normal 2 23 3 2 3" xfId="24386" xr:uid="{00000000-0005-0000-0000-0000455F0000}"/>
    <cellStyle name="Normal 2 23 3 2 4" xfId="24387" xr:uid="{00000000-0005-0000-0000-0000465F0000}"/>
    <cellStyle name="Normal 2 23 3 2 5" xfId="24388" xr:uid="{00000000-0005-0000-0000-0000475F0000}"/>
    <cellStyle name="Normal 2 23 3 2 6" xfId="24389" xr:uid="{00000000-0005-0000-0000-0000485F0000}"/>
    <cellStyle name="Normal 2 23 3 3" xfId="24390" xr:uid="{00000000-0005-0000-0000-0000495F0000}"/>
    <cellStyle name="Normal 2 23 3 3 2" xfId="24391" xr:uid="{00000000-0005-0000-0000-00004A5F0000}"/>
    <cellStyle name="Normal 2 23 3 3 2 2" xfId="24392" xr:uid="{00000000-0005-0000-0000-00004B5F0000}"/>
    <cellStyle name="Normal 2 23 3 3 3" xfId="24393" xr:uid="{00000000-0005-0000-0000-00004C5F0000}"/>
    <cellStyle name="Normal 2 23 3 3 4" xfId="24394" xr:uid="{00000000-0005-0000-0000-00004D5F0000}"/>
    <cellStyle name="Normal 2 23 3 3 5" xfId="24395" xr:uid="{00000000-0005-0000-0000-00004E5F0000}"/>
    <cellStyle name="Normal 2 23 3 4" xfId="24396" xr:uid="{00000000-0005-0000-0000-00004F5F0000}"/>
    <cellStyle name="Normal 2 23 3 4 2" xfId="24397" xr:uid="{00000000-0005-0000-0000-0000505F0000}"/>
    <cellStyle name="Normal 2 23 3 4 3" xfId="24398" xr:uid="{00000000-0005-0000-0000-0000515F0000}"/>
    <cellStyle name="Normal 2 23 3 4 4" xfId="24399" xr:uid="{00000000-0005-0000-0000-0000525F0000}"/>
    <cellStyle name="Normal 2 23 3 5" xfId="24400" xr:uid="{00000000-0005-0000-0000-0000535F0000}"/>
    <cellStyle name="Normal 2 23 3 5 2" xfId="24401" xr:uid="{00000000-0005-0000-0000-0000545F0000}"/>
    <cellStyle name="Normal 2 23 3 6" xfId="24402" xr:uid="{00000000-0005-0000-0000-0000555F0000}"/>
    <cellStyle name="Normal 2 23 3 7" xfId="24403" xr:uid="{00000000-0005-0000-0000-0000565F0000}"/>
    <cellStyle name="Normal 2 23 3 8" xfId="24404" xr:uid="{00000000-0005-0000-0000-0000575F0000}"/>
    <cellStyle name="Normal 2 23 3 9" xfId="24405" xr:uid="{00000000-0005-0000-0000-0000585F0000}"/>
    <cellStyle name="Normal 2 23 4" xfId="24406" xr:uid="{00000000-0005-0000-0000-0000595F0000}"/>
    <cellStyle name="Normal 2 23 4 2" xfId="24407" xr:uid="{00000000-0005-0000-0000-00005A5F0000}"/>
    <cellStyle name="Normal 2 23 4 2 2" xfId="24408" xr:uid="{00000000-0005-0000-0000-00005B5F0000}"/>
    <cellStyle name="Normal 2 23 4 3" xfId="24409" xr:uid="{00000000-0005-0000-0000-00005C5F0000}"/>
    <cellStyle name="Normal 2 23 4 4" xfId="24410" xr:uid="{00000000-0005-0000-0000-00005D5F0000}"/>
    <cellStyle name="Normal 2 23 4 5" xfId="24411" xr:uid="{00000000-0005-0000-0000-00005E5F0000}"/>
    <cellStyle name="Normal 2 23 4 6" xfId="24412" xr:uid="{00000000-0005-0000-0000-00005F5F0000}"/>
    <cellStyle name="Normal 2 23 5" xfId="24413" xr:uid="{00000000-0005-0000-0000-0000605F0000}"/>
    <cellStyle name="Normal 2 23 5 2" xfId="24414" xr:uid="{00000000-0005-0000-0000-0000615F0000}"/>
    <cellStyle name="Normal 2 23 5 3" xfId="24415" xr:uid="{00000000-0005-0000-0000-0000625F0000}"/>
    <cellStyle name="Normal 2 23 6" xfId="24416" xr:uid="{00000000-0005-0000-0000-0000635F0000}"/>
    <cellStyle name="Normal 2 23 7" xfId="24417" xr:uid="{00000000-0005-0000-0000-0000645F0000}"/>
    <cellStyle name="Normal 2 24" xfId="24418" xr:uid="{00000000-0005-0000-0000-0000655F0000}"/>
    <cellStyle name="Normal 2 24 2" xfId="24419" xr:uid="{00000000-0005-0000-0000-0000665F0000}"/>
    <cellStyle name="Normal 2 24 2 2" xfId="24420" xr:uid="{00000000-0005-0000-0000-0000675F0000}"/>
    <cellStyle name="Normal 2 24 3" xfId="24421" xr:uid="{00000000-0005-0000-0000-0000685F0000}"/>
    <cellStyle name="Normal 2 24 3 2" xfId="24422" xr:uid="{00000000-0005-0000-0000-0000695F0000}"/>
    <cellStyle name="Normal 2 24 3 2 2" xfId="24423" xr:uid="{00000000-0005-0000-0000-00006A5F0000}"/>
    <cellStyle name="Normal 2 24 3 2 2 2" xfId="24424" xr:uid="{00000000-0005-0000-0000-00006B5F0000}"/>
    <cellStyle name="Normal 2 24 3 2 2 3" xfId="24425" xr:uid="{00000000-0005-0000-0000-00006C5F0000}"/>
    <cellStyle name="Normal 2 24 3 2 3" xfId="24426" xr:uid="{00000000-0005-0000-0000-00006D5F0000}"/>
    <cellStyle name="Normal 2 24 3 2 4" xfId="24427" xr:uid="{00000000-0005-0000-0000-00006E5F0000}"/>
    <cellStyle name="Normal 2 24 3 2 5" xfId="24428" xr:uid="{00000000-0005-0000-0000-00006F5F0000}"/>
    <cellStyle name="Normal 2 24 3 2 6" xfId="24429" xr:uid="{00000000-0005-0000-0000-0000705F0000}"/>
    <cellStyle name="Normal 2 24 3 3" xfId="24430" xr:uid="{00000000-0005-0000-0000-0000715F0000}"/>
    <cellStyle name="Normal 2 24 3 3 2" xfId="24431" xr:uid="{00000000-0005-0000-0000-0000725F0000}"/>
    <cellStyle name="Normal 2 24 3 3 2 2" xfId="24432" xr:uid="{00000000-0005-0000-0000-0000735F0000}"/>
    <cellStyle name="Normal 2 24 3 3 3" xfId="24433" xr:uid="{00000000-0005-0000-0000-0000745F0000}"/>
    <cellStyle name="Normal 2 24 3 3 4" xfId="24434" xr:uid="{00000000-0005-0000-0000-0000755F0000}"/>
    <cellStyle name="Normal 2 24 3 3 5" xfId="24435" xr:uid="{00000000-0005-0000-0000-0000765F0000}"/>
    <cellStyle name="Normal 2 24 3 4" xfId="24436" xr:uid="{00000000-0005-0000-0000-0000775F0000}"/>
    <cellStyle name="Normal 2 24 3 4 2" xfId="24437" xr:uid="{00000000-0005-0000-0000-0000785F0000}"/>
    <cellStyle name="Normal 2 24 3 4 3" xfId="24438" xr:uid="{00000000-0005-0000-0000-0000795F0000}"/>
    <cellStyle name="Normal 2 24 3 4 4" xfId="24439" xr:uid="{00000000-0005-0000-0000-00007A5F0000}"/>
    <cellStyle name="Normal 2 24 3 5" xfId="24440" xr:uid="{00000000-0005-0000-0000-00007B5F0000}"/>
    <cellStyle name="Normal 2 24 3 5 2" xfId="24441" xr:uid="{00000000-0005-0000-0000-00007C5F0000}"/>
    <cellStyle name="Normal 2 24 3 6" xfId="24442" xr:uid="{00000000-0005-0000-0000-00007D5F0000}"/>
    <cellStyle name="Normal 2 24 3 7" xfId="24443" xr:uid="{00000000-0005-0000-0000-00007E5F0000}"/>
    <cellStyle name="Normal 2 24 3 8" xfId="24444" xr:uid="{00000000-0005-0000-0000-00007F5F0000}"/>
    <cellStyle name="Normal 2 24 3 9" xfId="24445" xr:uid="{00000000-0005-0000-0000-0000805F0000}"/>
    <cellStyle name="Normal 2 24 4" xfId="24446" xr:uid="{00000000-0005-0000-0000-0000815F0000}"/>
    <cellStyle name="Normal 2 24 4 2" xfId="24447" xr:uid="{00000000-0005-0000-0000-0000825F0000}"/>
    <cellStyle name="Normal 2 24 4 2 2" xfId="24448" xr:uid="{00000000-0005-0000-0000-0000835F0000}"/>
    <cellStyle name="Normal 2 24 4 3" xfId="24449" xr:uid="{00000000-0005-0000-0000-0000845F0000}"/>
    <cellStyle name="Normal 2 24 4 4" xfId="24450" xr:uid="{00000000-0005-0000-0000-0000855F0000}"/>
    <cellStyle name="Normal 2 24 4 5" xfId="24451" xr:uid="{00000000-0005-0000-0000-0000865F0000}"/>
    <cellStyle name="Normal 2 24 4 6" xfId="24452" xr:uid="{00000000-0005-0000-0000-0000875F0000}"/>
    <cellStyle name="Normal 2 24 5" xfId="24453" xr:uid="{00000000-0005-0000-0000-0000885F0000}"/>
    <cellStyle name="Normal 2 24 5 2" xfId="24454" xr:uid="{00000000-0005-0000-0000-0000895F0000}"/>
    <cellStyle name="Normal 2 24 5 3" xfId="24455" xr:uid="{00000000-0005-0000-0000-00008A5F0000}"/>
    <cellStyle name="Normal 2 24 6" xfId="24456" xr:uid="{00000000-0005-0000-0000-00008B5F0000}"/>
    <cellStyle name="Normal 2 24 7" xfId="24457" xr:uid="{00000000-0005-0000-0000-00008C5F0000}"/>
    <cellStyle name="Normal 2 25" xfId="24458" xr:uid="{00000000-0005-0000-0000-00008D5F0000}"/>
    <cellStyle name="Normal 2 25 2" xfId="24459" xr:uid="{00000000-0005-0000-0000-00008E5F0000}"/>
    <cellStyle name="Normal 2 25 2 2" xfId="24460" xr:uid="{00000000-0005-0000-0000-00008F5F0000}"/>
    <cellStyle name="Normal 2 25 3" xfId="24461" xr:uid="{00000000-0005-0000-0000-0000905F0000}"/>
    <cellStyle name="Normal 2 25 3 2" xfId="24462" xr:uid="{00000000-0005-0000-0000-0000915F0000}"/>
    <cellStyle name="Normal 2 25 3 2 2" xfId="24463" xr:uid="{00000000-0005-0000-0000-0000925F0000}"/>
    <cellStyle name="Normal 2 25 3 2 2 2" xfId="24464" xr:uid="{00000000-0005-0000-0000-0000935F0000}"/>
    <cellStyle name="Normal 2 25 3 2 2 3" xfId="24465" xr:uid="{00000000-0005-0000-0000-0000945F0000}"/>
    <cellStyle name="Normal 2 25 3 2 3" xfId="24466" xr:uid="{00000000-0005-0000-0000-0000955F0000}"/>
    <cellStyle name="Normal 2 25 3 2 4" xfId="24467" xr:uid="{00000000-0005-0000-0000-0000965F0000}"/>
    <cellStyle name="Normal 2 25 3 2 5" xfId="24468" xr:uid="{00000000-0005-0000-0000-0000975F0000}"/>
    <cellStyle name="Normal 2 25 3 2 6" xfId="24469" xr:uid="{00000000-0005-0000-0000-0000985F0000}"/>
    <cellStyle name="Normal 2 25 3 3" xfId="24470" xr:uid="{00000000-0005-0000-0000-0000995F0000}"/>
    <cellStyle name="Normal 2 25 3 3 2" xfId="24471" xr:uid="{00000000-0005-0000-0000-00009A5F0000}"/>
    <cellStyle name="Normal 2 25 3 3 2 2" xfId="24472" xr:uid="{00000000-0005-0000-0000-00009B5F0000}"/>
    <cellStyle name="Normal 2 25 3 3 3" xfId="24473" xr:uid="{00000000-0005-0000-0000-00009C5F0000}"/>
    <cellStyle name="Normal 2 25 3 3 4" xfId="24474" xr:uid="{00000000-0005-0000-0000-00009D5F0000}"/>
    <cellStyle name="Normal 2 25 3 3 5" xfId="24475" xr:uid="{00000000-0005-0000-0000-00009E5F0000}"/>
    <cellStyle name="Normal 2 25 3 4" xfId="24476" xr:uid="{00000000-0005-0000-0000-00009F5F0000}"/>
    <cellStyle name="Normal 2 25 3 4 2" xfId="24477" xr:uid="{00000000-0005-0000-0000-0000A05F0000}"/>
    <cellStyle name="Normal 2 25 3 4 3" xfId="24478" xr:uid="{00000000-0005-0000-0000-0000A15F0000}"/>
    <cellStyle name="Normal 2 25 3 4 4" xfId="24479" xr:uid="{00000000-0005-0000-0000-0000A25F0000}"/>
    <cellStyle name="Normal 2 25 3 5" xfId="24480" xr:uid="{00000000-0005-0000-0000-0000A35F0000}"/>
    <cellStyle name="Normal 2 25 3 5 2" xfId="24481" xr:uid="{00000000-0005-0000-0000-0000A45F0000}"/>
    <cellStyle name="Normal 2 25 3 6" xfId="24482" xr:uid="{00000000-0005-0000-0000-0000A55F0000}"/>
    <cellStyle name="Normal 2 25 3 7" xfId="24483" xr:uid="{00000000-0005-0000-0000-0000A65F0000}"/>
    <cellStyle name="Normal 2 25 3 8" xfId="24484" xr:uid="{00000000-0005-0000-0000-0000A75F0000}"/>
    <cellStyle name="Normal 2 25 3 9" xfId="24485" xr:uid="{00000000-0005-0000-0000-0000A85F0000}"/>
    <cellStyle name="Normal 2 25 4" xfId="24486" xr:uid="{00000000-0005-0000-0000-0000A95F0000}"/>
    <cellStyle name="Normal 2 25 4 2" xfId="24487" xr:uid="{00000000-0005-0000-0000-0000AA5F0000}"/>
    <cellStyle name="Normal 2 25 4 2 2" xfId="24488" xr:uid="{00000000-0005-0000-0000-0000AB5F0000}"/>
    <cellStyle name="Normal 2 25 4 3" xfId="24489" xr:uid="{00000000-0005-0000-0000-0000AC5F0000}"/>
    <cellStyle name="Normal 2 25 4 4" xfId="24490" xr:uid="{00000000-0005-0000-0000-0000AD5F0000}"/>
    <cellStyle name="Normal 2 25 4 5" xfId="24491" xr:uid="{00000000-0005-0000-0000-0000AE5F0000}"/>
    <cellStyle name="Normal 2 25 4 6" xfId="24492" xr:uid="{00000000-0005-0000-0000-0000AF5F0000}"/>
    <cellStyle name="Normal 2 25 5" xfId="24493" xr:uid="{00000000-0005-0000-0000-0000B05F0000}"/>
    <cellStyle name="Normal 2 25 5 2" xfId="24494" xr:uid="{00000000-0005-0000-0000-0000B15F0000}"/>
    <cellStyle name="Normal 2 25 5 3" xfId="24495" xr:uid="{00000000-0005-0000-0000-0000B25F0000}"/>
    <cellStyle name="Normal 2 25 6" xfId="24496" xr:uid="{00000000-0005-0000-0000-0000B35F0000}"/>
    <cellStyle name="Normal 2 25 7" xfId="24497" xr:uid="{00000000-0005-0000-0000-0000B45F0000}"/>
    <cellStyle name="Normal 2 26" xfId="24498" xr:uid="{00000000-0005-0000-0000-0000B55F0000}"/>
    <cellStyle name="Normal 2 26 2" xfId="24499" xr:uid="{00000000-0005-0000-0000-0000B65F0000}"/>
    <cellStyle name="Normal 2 26 2 2" xfId="24500" xr:uid="{00000000-0005-0000-0000-0000B75F0000}"/>
    <cellStyle name="Normal 2 26 3" xfId="24501" xr:uid="{00000000-0005-0000-0000-0000B85F0000}"/>
    <cellStyle name="Normal 2 26 3 2" xfId="24502" xr:uid="{00000000-0005-0000-0000-0000B95F0000}"/>
    <cellStyle name="Normal 2 26 3 2 2" xfId="24503" xr:uid="{00000000-0005-0000-0000-0000BA5F0000}"/>
    <cellStyle name="Normal 2 26 3 2 2 2" xfId="24504" xr:uid="{00000000-0005-0000-0000-0000BB5F0000}"/>
    <cellStyle name="Normal 2 26 3 2 2 3" xfId="24505" xr:uid="{00000000-0005-0000-0000-0000BC5F0000}"/>
    <cellStyle name="Normal 2 26 3 2 3" xfId="24506" xr:uid="{00000000-0005-0000-0000-0000BD5F0000}"/>
    <cellStyle name="Normal 2 26 3 2 4" xfId="24507" xr:uid="{00000000-0005-0000-0000-0000BE5F0000}"/>
    <cellStyle name="Normal 2 26 3 2 5" xfId="24508" xr:uid="{00000000-0005-0000-0000-0000BF5F0000}"/>
    <cellStyle name="Normal 2 26 3 2 6" xfId="24509" xr:uid="{00000000-0005-0000-0000-0000C05F0000}"/>
    <cellStyle name="Normal 2 26 3 3" xfId="24510" xr:uid="{00000000-0005-0000-0000-0000C15F0000}"/>
    <cellStyle name="Normal 2 26 3 3 2" xfId="24511" xr:uid="{00000000-0005-0000-0000-0000C25F0000}"/>
    <cellStyle name="Normal 2 26 3 3 2 2" xfId="24512" xr:uid="{00000000-0005-0000-0000-0000C35F0000}"/>
    <cellStyle name="Normal 2 26 3 3 3" xfId="24513" xr:uid="{00000000-0005-0000-0000-0000C45F0000}"/>
    <cellStyle name="Normal 2 26 3 3 4" xfId="24514" xr:uid="{00000000-0005-0000-0000-0000C55F0000}"/>
    <cellStyle name="Normal 2 26 3 3 5" xfId="24515" xr:uid="{00000000-0005-0000-0000-0000C65F0000}"/>
    <cellStyle name="Normal 2 26 3 4" xfId="24516" xr:uid="{00000000-0005-0000-0000-0000C75F0000}"/>
    <cellStyle name="Normal 2 26 3 4 2" xfId="24517" xr:uid="{00000000-0005-0000-0000-0000C85F0000}"/>
    <cellStyle name="Normal 2 26 3 4 3" xfId="24518" xr:uid="{00000000-0005-0000-0000-0000C95F0000}"/>
    <cellStyle name="Normal 2 26 3 4 4" xfId="24519" xr:uid="{00000000-0005-0000-0000-0000CA5F0000}"/>
    <cellStyle name="Normal 2 26 3 5" xfId="24520" xr:uid="{00000000-0005-0000-0000-0000CB5F0000}"/>
    <cellStyle name="Normal 2 26 3 5 2" xfId="24521" xr:uid="{00000000-0005-0000-0000-0000CC5F0000}"/>
    <cellStyle name="Normal 2 26 3 6" xfId="24522" xr:uid="{00000000-0005-0000-0000-0000CD5F0000}"/>
    <cellStyle name="Normal 2 26 3 7" xfId="24523" xr:uid="{00000000-0005-0000-0000-0000CE5F0000}"/>
    <cellStyle name="Normal 2 26 3 8" xfId="24524" xr:uid="{00000000-0005-0000-0000-0000CF5F0000}"/>
    <cellStyle name="Normal 2 26 3 9" xfId="24525" xr:uid="{00000000-0005-0000-0000-0000D05F0000}"/>
    <cellStyle name="Normal 2 26 4" xfId="24526" xr:uid="{00000000-0005-0000-0000-0000D15F0000}"/>
    <cellStyle name="Normal 2 26 4 2" xfId="24527" xr:uid="{00000000-0005-0000-0000-0000D25F0000}"/>
    <cellStyle name="Normal 2 26 4 2 2" xfId="24528" xr:uid="{00000000-0005-0000-0000-0000D35F0000}"/>
    <cellStyle name="Normal 2 26 4 3" xfId="24529" xr:uid="{00000000-0005-0000-0000-0000D45F0000}"/>
    <cellStyle name="Normal 2 26 4 4" xfId="24530" xr:uid="{00000000-0005-0000-0000-0000D55F0000}"/>
    <cellStyle name="Normal 2 26 4 5" xfId="24531" xr:uid="{00000000-0005-0000-0000-0000D65F0000}"/>
    <cellStyle name="Normal 2 26 4 6" xfId="24532" xr:uid="{00000000-0005-0000-0000-0000D75F0000}"/>
    <cellStyle name="Normal 2 26 5" xfId="24533" xr:uid="{00000000-0005-0000-0000-0000D85F0000}"/>
    <cellStyle name="Normal 2 26 5 2" xfId="24534" xr:uid="{00000000-0005-0000-0000-0000D95F0000}"/>
    <cellStyle name="Normal 2 26 5 3" xfId="24535" xr:uid="{00000000-0005-0000-0000-0000DA5F0000}"/>
    <cellStyle name="Normal 2 26 6" xfId="24536" xr:uid="{00000000-0005-0000-0000-0000DB5F0000}"/>
    <cellStyle name="Normal 2 26 7" xfId="24537" xr:uid="{00000000-0005-0000-0000-0000DC5F0000}"/>
    <cellStyle name="Normal 2 27" xfId="24538" xr:uid="{00000000-0005-0000-0000-0000DD5F0000}"/>
    <cellStyle name="Normal 2 27 2" xfId="24539" xr:uid="{00000000-0005-0000-0000-0000DE5F0000}"/>
    <cellStyle name="Normal 2 27 2 2" xfId="24540" xr:uid="{00000000-0005-0000-0000-0000DF5F0000}"/>
    <cellStyle name="Normal 2 27 3" xfId="24541" xr:uid="{00000000-0005-0000-0000-0000E05F0000}"/>
    <cellStyle name="Normal 2 27 3 2" xfId="24542" xr:uid="{00000000-0005-0000-0000-0000E15F0000}"/>
    <cellStyle name="Normal 2 27 3 2 2" xfId="24543" xr:uid="{00000000-0005-0000-0000-0000E25F0000}"/>
    <cellStyle name="Normal 2 27 3 2 2 2" xfId="24544" xr:uid="{00000000-0005-0000-0000-0000E35F0000}"/>
    <cellStyle name="Normal 2 27 3 2 2 3" xfId="24545" xr:uid="{00000000-0005-0000-0000-0000E45F0000}"/>
    <cellStyle name="Normal 2 27 3 2 3" xfId="24546" xr:uid="{00000000-0005-0000-0000-0000E55F0000}"/>
    <cellStyle name="Normal 2 27 3 2 4" xfId="24547" xr:uid="{00000000-0005-0000-0000-0000E65F0000}"/>
    <cellStyle name="Normal 2 27 3 2 5" xfId="24548" xr:uid="{00000000-0005-0000-0000-0000E75F0000}"/>
    <cellStyle name="Normal 2 27 3 2 6" xfId="24549" xr:uid="{00000000-0005-0000-0000-0000E85F0000}"/>
    <cellStyle name="Normal 2 27 3 3" xfId="24550" xr:uid="{00000000-0005-0000-0000-0000E95F0000}"/>
    <cellStyle name="Normal 2 27 3 3 2" xfId="24551" xr:uid="{00000000-0005-0000-0000-0000EA5F0000}"/>
    <cellStyle name="Normal 2 27 3 3 2 2" xfId="24552" xr:uid="{00000000-0005-0000-0000-0000EB5F0000}"/>
    <cellStyle name="Normal 2 27 3 3 3" xfId="24553" xr:uid="{00000000-0005-0000-0000-0000EC5F0000}"/>
    <cellStyle name="Normal 2 27 3 3 4" xfId="24554" xr:uid="{00000000-0005-0000-0000-0000ED5F0000}"/>
    <cellStyle name="Normal 2 27 3 3 5" xfId="24555" xr:uid="{00000000-0005-0000-0000-0000EE5F0000}"/>
    <cellStyle name="Normal 2 27 3 4" xfId="24556" xr:uid="{00000000-0005-0000-0000-0000EF5F0000}"/>
    <cellStyle name="Normal 2 27 3 4 2" xfId="24557" xr:uid="{00000000-0005-0000-0000-0000F05F0000}"/>
    <cellStyle name="Normal 2 27 3 4 3" xfId="24558" xr:uid="{00000000-0005-0000-0000-0000F15F0000}"/>
    <cellStyle name="Normal 2 27 3 4 4" xfId="24559" xr:uid="{00000000-0005-0000-0000-0000F25F0000}"/>
    <cellStyle name="Normal 2 27 3 5" xfId="24560" xr:uid="{00000000-0005-0000-0000-0000F35F0000}"/>
    <cellStyle name="Normal 2 27 3 5 2" xfId="24561" xr:uid="{00000000-0005-0000-0000-0000F45F0000}"/>
    <cellStyle name="Normal 2 27 3 6" xfId="24562" xr:uid="{00000000-0005-0000-0000-0000F55F0000}"/>
    <cellStyle name="Normal 2 27 3 7" xfId="24563" xr:uid="{00000000-0005-0000-0000-0000F65F0000}"/>
    <cellStyle name="Normal 2 27 3 8" xfId="24564" xr:uid="{00000000-0005-0000-0000-0000F75F0000}"/>
    <cellStyle name="Normal 2 27 3 9" xfId="24565" xr:uid="{00000000-0005-0000-0000-0000F85F0000}"/>
    <cellStyle name="Normal 2 27 4" xfId="24566" xr:uid="{00000000-0005-0000-0000-0000F95F0000}"/>
    <cellStyle name="Normal 2 27 4 2" xfId="24567" xr:uid="{00000000-0005-0000-0000-0000FA5F0000}"/>
    <cellStyle name="Normal 2 27 4 2 2" xfId="24568" xr:uid="{00000000-0005-0000-0000-0000FB5F0000}"/>
    <cellStyle name="Normal 2 27 4 3" xfId="24569" xr:uid="{00000000-0005-0000-0000-0000FC5F0000}"/>
    <cellStyle name="Normal 2 27 4 4" xfId="24570" xr:uid="{00000000-0005-0000-0000-0000FD5F0000}"/>
    <cellStyle name="Normal 2 27 4 5" xfId="24571" xr:uid="{00000000-0005-0000-0000-0000FE5F0000}"/>
    <cellStyle name="Normal 2 27 4 6" xfId="24572" xr:uid="{00000000-0005-0000-0000-0000FF5F0000}"/>
    <cellStyle name="Normal 2 27 5" xfId="24573" xr:uid="{00000000-0005-0000-0000-000000600000}"/>
    <cellStyle name="Normal 2 27 5 2" xfId="24574" xr:uid="{00000000-0005-0000-0000-000001600000}"/>
    <cellStyle name="Normal 2 27 5 3" xfId="24575" xr:uid="{00000000-0005-0000-0000-000002600000}"/>
    <cellStyle name="Normal 2 27 6" xfId="24576" xr:uid="{00000000-0005-0000-0000-000003600000}"/>
    <cellStyle name="Normal 2 27 7" xfId="24577" xr:uid="{00000000-0005-0000-0000-000004600000}"/>
    <cellStyle name="Normal 2 28" xfId="24578" xr:uid="{00000000-0005-0000-0000-000005600000}"/>
    <cellStyle name="Normal 2 28 2" xfId="24579" xr:uid="{00000000-0005-0000-0000-000006600000}"/>
    <cellStyle name="Normal 2 28 2 2" xfId="24580" xr:uid="{00000000-0005-0000-0000-000007600000}"/>
    <cellStyle name="Normal 2 28 3" xfId="24581" xr:uid="{00000000-0005-0000-0000-000008600000}"/>
    <cellStyle name="Normal 2 28 3 2" xfId="24582" xr:uid="{00000000-0005-0000-0000-000009600000}"/>
    <cellStyle name="Normal 2 28 3 2 2" xfId="24583" xr:uid="{00000000-0005-0000-0000-00000A600000}"/>
    <cellStyle name="Normal 2 28 3 2 2 2" xfId="24584" xr:uid="{00000000-0005-0000-0000-00000B600000}"/>
    <cellStyle name="Normal 2 28 3 2 2 3" xfId="24585" xr:uid="{00000000-0005-0000-0000-00000C600000}"/>
    <cellStyle name="Normal 2 28 3 2 3" xfId="24586" xr:uid="{00000000-0005-0000-0000-00000D600000}"/>
    <cellStyle name="Normal 2 28 3 2 4" xfId="24587" xr:uid="{00000000-0005-0000-0000-00000E600000}"/>
    <cellStyle name="Normal 2 28 3 2 5" xfId="24588" xr:uid="{00000000-0005-0000-0000-00000F600000}"/>
    <cellStyle name="Normal 2 28 3 2 6" xfId="24589" xr:uid="{00000000-0005-0000-0000-000010600000}"/>
    <cellStyle name="Normal 2 28 3 3" xfId="24590" xr:uid="{00000000-0005-0000-0000-000011600000}"/>
    <cellStyle name="Normal 2 28 3 3 2" xfId="24591" xr:uid="{00000000-0005-0000-0000-000012600000}"/>
    <cellStyle name="Normal 2 28 3 3 2 2" xfId="24592" xr:uid="{00000000-0005-0000-0000-000013600000}"/>
    <cellStyle name="Normal 2 28 3 3 3" xfId="24593" xr:uid="{00000000-0005-0000-0000-000014600000}"/>
    <cellStyle name="Normal 2 28 3 3 4" xfId="24594" xr:uid="{00000000-0005-0000-0000-000015600000}"/>
    <cellStyle name="Normal 2 28 3 3 5" xfId="24595" xr:uid="{00000000-0005-0000-0000-000016600000}"/>
    <cellStyle name="Normal 2 28 3 4" xfId="24596" xr:uid="{00000000-0005-0000-0000-000017600000}"/>
    <cellStyle name="Normal 2 28 3 4 2" xfId="24597" xr:uid="{00000000-0005-0000-0000-000018600000}"/>
    <cellStyle name="Normal 2 28 3 4 3" xfId="24598" xr:uid="{00000000-0005-0000-0000-000019600000}"/>
    <cellStyle name="Normal 2 28 3 4 4" xfId="24599" xr:uid="{00000000-0005-0000-0000-00001A600000}"/>
    <cellStyle name="Normal 2 28 3 5" xfId="24600" xr:uid="{00000000-0005-0000-0000-00001B600000}"/>
    <cellStyle name="Normal 2 28 3 5 2" xfId="24601" xr:uid="{00000000-0005-0000-0000-00001C600000}"/>
    <cellStyle name="Normal 2 28 3 6" xfId="24602" xr:uid="{00000000-0005-0000-0000-00001D600000}"/>
    <cellStyle name="Normal 2 28 3 7" xfId="24603" xr:uid="{00000000-0005-0000-0000-00001E600000}"/>
    <cellStyle name="Normal 2 28 3 8" xfId="24604" xr:uid="{00000000-0005-0000-0000-00001F600000}"/>
    <cellStyle name="Normal 2 28 3 9" xfId="24605" xr:uid="{00000000-0005-0000-0000-000020600000}"/>
    <cellStyle name="Normal 2 28 4" xfId="24606" xr:uid="{00000000-0005-0000-0000-000021600000}"/>
    <cellStyle name="Normal 2 28 4 2" xfId="24607" xr:uid="{00000000-0005-0000-0000-000022600000}"/>
    <cellStyle name="Normal 2 28 4 2 2" xfId="24608" xr:uid="{00000000-0005-0000-0000-000023600000}"/>
    <cellStyle name="Normal 2 28 4 3" xfId="24609" xr:uid="{00000000-0005-0000-0000-000024600000}"/>
    <cellStyle name="Normal 2 28 4 4" xfId="24610" xr:uid="{00000000-0005-0000-0000-000025600000}"/>
    <cellStyle name="Normal 2 28 4 5" xfId="24611" xr:uid="{00000000-0005-0000-0000-000026600000}"/>
    <cellStyle name="Normal 2 28 4 6" xfId="24612" xr:uid="{00000000-0005-0000-0000-000027600000}"/>
    <cellStyle name="Normal 2 28 5" xfId="24613" xr:uid="{00000000-0005-0000-0000-000028600000}"/>
    <cellStyle name="Normal 2 28 5 2" xfId="24614" xr:uid="{00000000-0005-0000-0000-000029600000}"/>
    <cellStyle name="Normal 2 28 5 3" xfId="24615" xr:uid="{00000000-0005-0000-0000-00002A600000}"/>
    <cellStyle name="Normal 2 28 6" xfId="24616" xr:uid="{00000000-0005-0000-0000-00002B600000}"/>
    <cellStyle name="Normal 2 28 6 2" xfId="24617" xr:uid="{00000000-0005-0000-0000-00002C600000}"/>
    <cellStyle name="Normal 2 28 7" xfId="24618" xr:uid="{00000000-0005-0000-0000-00002D600000}"/>
    <cellStyle name="Normal 2 28 8" xfId="24619" xr:uid="{00000000-0005-0000-0000-00002E600000}"/>
    <cellStyle name="Normal 2 29" xfId="24620" xr:uid="{00000000-0005-0000-0000-00002F600000}"/>
    <cellStyle name="Normal 2 29 2" xfId="24621" xr:uid="{00000000-0005-0000-0000-000030600000}"/>
    <cellStyle name="Normal 2 29 2 2" xfId="24622" xr:uid="{00000000-0005-0000-0000-000031600000}"/>
    <cellStyle name="Normal 2 29 2 2 2" xfId="24623" xr:uid="{00000000-0005-0000-0000-000032600000}"/>
    <cellStyle name="Normal 2 29 2 3" xfId="24624" xr:uid="{00000000-0005-0000-0000-000033600000}"/>
    <cellStyle name="Normal 2 29 3" xfId="24625" xr:uid="{00000000-0005-0000-0000-000034600000}"/>
    <cellStyle name="Normal 2 29 3 2" xfId="24626" xr:uid="{00000000-0005-0000-0000-000035600000}"/>
    <cellStyle name="Normal 2 29 3 2 2" xfId="24627" xr:uid="{00000000-0005-0000-0000-000036600000}"/>
    <cellStyle name="Normal 2 29 3 2 2 2" xfId="24628" xr:uid="{00000000-0005-0000-0000-000037600000}"/>
    <cellStyle name="Normal 2 29 3 2 2 3" xfId="24629" xr:uid="{00000000-0005-0000-0000-000038600000}"/>
    <cellStyle name="Normal 2 29 3 2 3" xfId="24630" xr:uid="{00000000-0005-0000-0000-000039600000}"/>
    <cellStyle name="Normal 2 29 3 2 4" xfId="24631" xr:uid="{00000000-0005-0000-0000-00003A600000}"/>
    <cellStyle name="Normal 2 29 3 2 5" xfId="24632" xr:uid="{00000000-0005-0000-0000-00003B600000}"/>
    <cellStyle name="Normal 2 29 3 2 6" xfId="24633" xr:uid="{00000000-0005-0000-0000-00003C600000}"/>
    <cellStyle name="Normal 2 29 3 3" xfId="24634" xr:uid="{00000000-0005-0000-0000-00003D600000}"/>
    <cellStyle name="Normal 2 29 3 3 2" xfId="24635" xr:uid="{00000000-0005-0000-0000-00003E600000}"/>
    <cellStyle name="Normal 2 29 3 3 2 2" xfId="24636" xr:uid="{00000000-0005-0000-0000-00003F600000}"/>
    <cellStyle name="Normal 2 29 3 3 3" xfId="24637" xr:uid="{00000000-0005-0000-0000-000040600000}"/>
    <cellStyle name="Normal 2 29 3 3 4" xfId="24638" xr:uid="{00000000-0005-0000-0000-000041600000}"/>
    <cellStyle name="Normal 2 29 3 3 5" xfId="24639" xr:uid="{00000000-0005-0000-0000-000042600000}"/>
    <cellStyle name="Normal 2 29 3 4" xfId="24640" xr:uid="{00000000-0005-0000-0000-000043600000}"/>
    <cellStyle name="Normal 2 29 3 4 2" xfId="24641" xr:uid="{00000000-0005-0000-0000-000044600000}"/>
    <cellStyle name="Normal 2 29 3 4 3" xfId="24642" xr:uid="{00000000-0005-0000-0000-000045600000}"/>
    <cellStyle name="Normal 2 29 3 4 4" xfId="24643" xr:uid="{00000000-0005-0000-0000-000046600000}"/>
    <cellStyle name="Normal 2 29 3 5" xfId="24644" xr:uid="{00000000-0005-0000-0000-000047600000}"/>
    <cellStyle name="Normal 2 29 3 5 2" xfId="24645" xr:uid="{00000000-0005-0000-0000-000048600000}"/>
    <cellStyle name="Normal 2 29 3 6" xfId="24646" xr:uid="{00000000-0005-0000-0000-000049600000}"/>
    <cellStyle name="Normal 2 29 3 7" xfId="24647" xr:uid="{00000000-0005-0000-0000-00004A600000}"/>
    <cellStyle name="Normal 2 29 3 8" xfId="24648" xr:uid="{00000000-0005-0000-0000-00004B600000}"/>
    <cellStyle name="Normal 2 29 3 9" xfId="24649" xr:uid="{00000000-0005-0000-0000-00004C600000}"/>
    <cellStyle name="Normal 2 29 4" xfId="24650" xr:uid="{00000000-0005-0000-0000-00004D600000}"/>
    <cellStyle name="Normal 2 29 4 2" xfId="24651" xr:uid="{00000000-0005-0000-0000-00004E600000}"/>
    <cellStyle name="Normal 2 29 4 2 2" xfId="24652" xr:uid="{00000000-0005-0000-0000-00004F600000}"/>
    <cellStyle name="Normal 2 29 4 3" xfId="24653" xr:uid="{00000000-0005-0000-0000-000050600000}"/>
    <cellStyle name="Normal 2 29 4 4" xfId="24654" xr:uid="{00000000-0005-0000-0000-000051600000}"/>
    <cellStyle name="Normal 2 29 4 5" xfId="24655" xr:uid="{00000000-0005-0000-0000-000052600000}"/>
    <cellStyle name="Normal 2 29 4 6" xfId="24656" xr:uid="{00000000-0005-0000-0000-000053600000}"/>
    <cellStyle name="Normal 2 29 5" xfId="24657" xr:uid="{00000000-0005-0000-0000-000054600000}"/>
    <cellStyle name="Normal 2 29 5 2" xfId="24658" xr:uid="{00000000-0005-0000-0000-000055600000}"/>
    <cellStyle name="Normal 2 29 5 3" xfId="24659" xr:uid="{00000000-0005-0000-0000-000056600000}"/>
    <cellStyle name="Normal 2 29 6" xfId="24660" xr:uid="{00000000-0005-0000-0000-000057600000}"/>
    <cellStyle name="Normal 2 29 6 2" xfId="24661" xr:uid="{00000000-0005-0000-0000-000058600000}"/>
    <cellStyle name="Normal 2 29 7" xfId="24662" xr:uid="{00000000-0005-0000-0000-000059600000}"/>
    <cellStyle name="Normal 2 29 8" xfId="24663" xr:uid="{00000000-0005-0000-0000-00005A600000}"/>
    <cellStyle name="Normal 2 3" xfId="24664" xr:uid="{00000000-0005-0000-0000-00005B600000}"/>
    <cellStyle name="Normal 2 3 2" xfId="24665" xr:uid="{00000000-0005-0000-0000-00005C600000}"/>
    <cellStyle name="Normal 2 3 2 10" xfId="24666" xr:uid="{00000000-0005-0000-0000-00005D600000}"/>
    <cellStyle name="Normal 2 3 2 10 10" xfId="24667" xr:uid="{00000000-0005-0000-0000-00005E600000}"/>
    <cellStyle name="Normal 2 3 2 10 2" xfId="24668" xr:uid="{00000000-0005-0000-0000-00005F600000}"/>
    <cellStyle name="Normal 2 3 2 10 2 2" xfId="24669" xr:uid="{00000000-0005-0000-0000-000060600000}"/>
    <cellStyle name="Normal 2 3 2 10 2 2 2" xfId="24670" xr:uid="{00000000-0005-0000-0000-000061600000}"/>
    <cellStyle name="Normal 2 3 2 10 2 2 3" xfId="24671" xr:uid="{00000000-0005-0000-0000-000062600000}"/>
    <cellStyle name="Normal 2 3 2 10 2 3" xfId="24672" xr:uid="{00000000-0005-0000-0000-000063600000}"/>
    <cellStyle name="Normal 2 3 2 10 2 4" xfId="24673" xr:uid="{00000000-0005-0000-0000-000064600000}"/>
    <cellStyle name="Normal 2 3 2 10 2 5" xfId="24674" xr:uid="{00000000-0005-0000-0000-000065600000}"/>
    <cellStyle name="Normal 2 3 2 10 2 6" xfId="24675" xr:uid="{00000000-0005-0000-0000-000066600000}"/>
    <cellStyle name="Normal 2 3 2 10 3" xfId="24676" xr:uid="{00000000-0005-0000-0000-000067600000}"/>
    <cellStyle name="Normal 2 3 2 10 3 2" xfId="24677" xr:uid="{00000000-0005-0000-0000-000068600000}"/>
    <cellStyle name="Normal 2 3 2 10 3 2 2" xfId="24678" xr:uid="{00000000-0005-0000-0000-000069600000}"/>
    <cellStyle name="Normal 2 3 2 10 3 2 3" xfId="24679" xr:uid="{00000000-0005-0000-0000-00006A600000}"/>
    <cellStyle name="Normal 2 3 2 10 3 3" xfId="24680" xr:uid="{00000000-0005-0000-0000-00006B600000}"/>
    <cellStyle name="Normal 2 3 2 10 3 4" xfId="24681" xr:uid="{00000000-0005-0000-0000-00006C600000}"/>
    <cellStyle name="Normal 2 3 2 10 3 5" xfId="24682" xr:uid="{00000000-0005-0000-0000-00006D600000}"/>
    <cellStyle name="Normal 2 3 2 10 3 6" xfId="24683" xr:uid="{00000000-0005-0000-0000-00006E600000}"/>
    <cellStyle name="Normal 2 3 2 10 4" xfId="24684" xr:uid="{00000000-0005-0000-0000-00006F600000}"/>
    <cellStyle name="Normal 2 3 2 10 4 2" xfId="24685" xr:uid="{00000000-0005-0000-0000-000070600000}"/>
    <cellStyle name="Normal 2 3 2 10 4 2 2" xfId="24686" xr:uid="{00000000-0005-0000-0000-000071600000}"/>
    <cellStyle name="Normal 2 3 2 10 4 3" xfId="24687" xr:uid="{00000000-0005-0000-0000-000072600000}"/>
    <cellStyle name="Normal 2 3 2 10 4 4" xfId="24688" xr:uid="{00000000-0005-0000-0000-000073600000}"/>
    <cellStyle name="Normal 2 3 2 10 4 5" xfId="24689" xr:uid="{00000000-0005-0000-0000-000074600000}"/>
    <cellStyle name="Normal 2 3 2 10 5" xfId="24690" xr:uid="{00000000-0005-0000-0000-000075600000}"/>
    <cellStyle name="Normal 2 3 2 10 5 2" xfId="24691" xr:uid="{00000000-0005-0000-0000-000076600000}"/>
    <cellStyle name="Normal 2 3 2 10 5 3" xfId="24692" xr:uid="{00000000-0005-0000-0000-000077600000}"/>
    <cellStyle name="Normal 2 3 2 10 5 4" xfId="24693" xr:uid="{00000000-0005-0000-0000-000078600000}"/>
    <cellStyle name="Normal 2 3 2 10 6" xfId="24694" xr:uid="{00000000-0005-0000-0000-000079600000}"/>
    <cellStyle name="Normal 2 3 2 10 6 2" xfId="24695" xr:uid="{00000000-0005-0000-0000-00007A600000}"/>
    <cellStyle name="Normal 2 3 2 10 7" xfId="24696" xr:uid="{00000000-0005-0000-0000-00007B600000}"/>
    <cellStyle name="Normal 2 3 2 10 8" xfId="24697" xr:uid="{00000000-0005-0000-0000-00007C600000}"/>
    <cellStyle name="Normal 2 3 2 10 9" xfId="24698" xr:uid="{00000000-0005-0000-0000-00007D600000}"/>
    <cellStyle name="Normal 2 3 2 11" xfId="24699" xr:uid="{00000000-0005-0000-0000-00007E600000}"/>
    <cellStyle name="Normal 2 3 2 11 10" xfId="24700" xr:uid="{00000000-0005-0000-0000-00007F600000}"/>
    <cellStyle name="Normal 2 3 2 11 2" xfId="24701" xr:uid="{00000000-0005-0000-0000-000080600000}"/>
    <cellStyle name="Normal 2 3 2 11 2 2" xfId="24702" xr:uid="{00000000-0005-0000-0000-000081600000}"/>
    <cellStyle name="Normal 2 3 2 11 2 2 2" xfId="24703" xr:uid="{00000000-0005-0000-0000-000082600000}"/>
    <cellStyle name="Normal 2 3 2 11 2 2 3" xfId="24704" xr:uid="{00000000-0005-0000-0000-000083600000}"/>
    <cellStyle name="Normal 2 3 2 11 2 3" xfId="24705" xr:uid="{00000000-0005-0000-0000-000084600000}"/>
    <cellStyle name="Normal 2 3 2 11 2 4" xfId="24706" xr:uid="{00000000-0005-0000-0000-000085600000}"/>
    <cellStyle name="Normal 2 3 2 11 2 5" xfId="24707" xr:uid="{00000000-0005-0000-0000-000086600000}"/>
    <cellStyle name="Normal 2 3 2 11 2 6" xfId="24708" xr:uid="{00000000-0005-0000-0000-000087600000}"/>
    <cellStyle name="Normal 2 3 2 11 3" xfId="24709" xr:uid="{00000000-0005-0000-0000-000088600000}"/>
    <cellStyle name="Normal 2 3 2 11 3 2" xfId="24710" xr:uid="{00000000-0005-0000-0000-000089600000}"/>
    <cellStyle name="Normal 2 3 2 11 3 2 2" xfId="24711" xr:uid="{00000000-0005-0000-0000-00008A600000}"/>
    <cellStyle name="Normal 2 3 2 11 3 2 3" xfId="24712" xr:uid="{00000000-0005-0000-0000-00008B600000}"/>
    <cellStyle name="Normal 2 3 2 11 3 3" xfId="24713" xr:uid="{00000000-0005-0000-0000-00008C600000}"/>
    <cellStyle name="Normal 2 3 2 11 3 4" xfId="24714" xr:uid="{00000000-0005-0000-0000-00008D600000}"/>
    <cellStyle name="Normal 2 3 2 11 3 5" xfId="24715" xr:uid="{00000000-0005-0000-0000-00008E600000}"/>
    <cellStyle name="Normal 2 3 2 11 3 6" xfId="24716" xr:uid="{00000000-0005-0000-0000-00008F600000}"/>
    <cellStyle name="Normal 2 3 2 11 4" xfId="24717" xr:uid="{00000000-0005-0000-0000-000090600000}"/>
    <cellStyle name="Normal 2 3 2 11 4 2" xfId="24718" xr:uid="{00000000-0005-0000-0000-000091600000}"/>
    <cellStyle name="Normal 2 3 2 11 4 2 2" xfId="24719" xr:uid="{00000000-0005-0000-0000-000092600000}"/>
    <cellStyle name="Normal 2 3 2 11 4 3" xfId="24720" xr:uid="{00000000-0005-0000-0000-000093600000}"/>
    <cellStyle name="Normal 2 3 2 11 4 4" xfId="24721" xr:uid="{00000000-0005-0000-0000-000094600000}"/>
    <cellStyle name="Normal 2 3 2 11 4 5" xfId="24722" xr:uid="{00000000-0005-0000-0000-000095600000}"/>
    <cellStyle name="Normal 2 3 2 11 5" xfId="24723" xr:uid="{00000000-0005-0000-0000-000096600000}"/>
    <cellStyle name="Normal 2 3 2 11 5 2" xfId="24724" xr:uid="{00000000-0005-0000-0000-000097600000}"/>
    <cellStyle name="Normal 2 3 2 11 5 3" xfId="24725" xr:uid="{00000000-0005-0000-0000-000098600000}"/>
    <cellStyle name="Normal 2 3 2 11 5 4" xfId="24726" xr:uid="{00000000-0005-0000-0000-000099600000}"/>
    <cellStyle name="Normal 2 3 2 11 6" xfId="24727" xr:uid="{00000000-0005-0000-0000-00009A600000}"/>
    <cellStyle name="Normal 2 3 2 11 6 2" xfId="24728" xr:uid="{00000000-0005-0000-0000-00009B600000}"/>
    <cellStyle name="Normal 2 3 2 11 7" xfId="24729" xr:uid="{00000000-0005-0000-0000-00009C600000}"/>
    <cellStyle name="Normal 2 3 2 11 8" xfId="24730" xr:uid="{00000000-0005-0000-0000-00009D600000}"/>
    <cellStyle name="Normal 2 3 2 11 9" xfId="24731" xr:uid="{00000000-0005-0000-0000-00009E600000}"/>
    <cellStyle name="Normal 2 3 2 12" xfId="24732" xr:uid="{00000000-0005-0000-0000-00009F600000}"/>
    <cellStyle name="Normal 2 3 2 12 10" xfId="24733" xr:uid="{00000000-0005-0000-0000-0000A0600000}"/>
    <cellStyle name="Normal 2 3 2 12 2" xfId="24734" xr:uid="{00000000-0005-0000-0000-0000A1600000}"/>
    <cellStyle name="Normal 2 3 2 12 2 2" xfId="24735" xr:uid="{00000000-0005-0000-0000-0000A2600000}"/>
    <cellStyle name="Normal 2 3 2 12 2 2 2" xfId="24736" xr:uid="{00000000-0005-0000-0000-0000A3600000}"/>
    <cellStyle name="Normal 2 3 2 12 2 2 3" xfId="24737" xr:uid="{00000000-0005-0000-0000-0000A4600000}"/>
    <cellStyle name="Normal 2 3 2 12 2 3" xfId="24738" xr:uid="{00000000-0005-0000-0000-0000A5600000}"/>
    <cellStyle name="Normal 2 3 2 12 2 4" xfId="24739" xr:uid="{00000000-0005-0000-0000-0000A6600000}"/>
    <cellStyle name="Normal 2 3 2 12 2 5" xfId="24740" xr:uid="{00000000-0005-0000-0000-0000A7600000}"/>
    <cellStyle name="Normal 2 3 2 12 2 6" xfId="24741" xr:uid="{00000000-0005-0000-0000-0000A8600000}"/>
    <cellStyle name="Normal 2 3 2 12 3" xfId="24742" xr:uid="{00000000-0005-0000-0000-0000A9600000}"/>
    <cellStyle name="Normal 2 3 2 12 3 2" xfId="24743" xr:uid="{00000000-0005-0000-0000-0000AA600000}"/>
    <cellStyle name="Normal 2 3 2 12 3 2 2" xfId="24744" xr:uid="{00000000-0005-0000-0000-0000AB600000}"/>
    <cellStyle name="Normal 2 3 2 12 3 2 3" xfId="24745" xr:uid="{00000000-0005-0000-0000-0000AC600000}"/>
    <cellStyle name="Normal 2 3 2 12 3 3" xfId="24746" xr:uid="{00000000-0005-0000-0000-0000AD600000}"/>
    <cellStyle name="Normal 2 3 2 12 3 4" xfId="24747" xr:uid="{00000000-0005-0000-0000-0000AE600000}"/>
    <cellStyle name="Normal 2 3 2 12 3 5" xfId="24748" xr:uid="{00000000-0005-0000-0000-0000AF600000}"/>
    <cellStyle name="Normal 2 3 2 12 3 6" xfId="24749" xr:uid="{00000000-0005-0000-0000-0000B0600000}"/>
    <cellStyle name="Normal 2 3 2 12 4" xfId="24750" xr:uid="{00000000-0005-0000-0000-0000B1600000}"/>
    <cellStyle name="Normal 2 3 2 12 4 2" xfId="24751" xr:uid="{00000000-0005-0000-0000-0000B2600000}"/>
    <cellStyle name="Normal 2 3 2 12 4 2 2" xfId="24752" xr:uid="{00000000-0005-0000-0000-0000B3600000}"/>
    <cellStyle name="Normal 2 3 2 12 4 3" xfId="24753" xr:uid="{00000000-0005-0000-0000-0000B4600000}"/>
    <cellStyle name="Normal 2 3 2 12 4 4" xfId="24754" xr:uid="{00000000-0005-0000-0000-0000B5600000}"/>
    <cellStyle name="Normal 2 3 2 12 4 5" xfId="24755" xr:uid="{00000000-0005-0000-0000-0000B6600000}"/>
    <cellStyle name="Normal 2 3 2 12 5" xfId="24756" xr:uid="{00000000-0005-0000-0000-0000B7600000}"/>
    <cellStyle name="Normal 2 3 2 12 5 2" xfId="24757" xr:uid="{00000000-0005-0000-0000-0000B8600000}"/>
    <cellStyle name="Normal 2 3 2 12 5 3" xfId="24758" xr:uid="{00000000-0005-0000-0000-0000B9600000}"/>
    <cellStyle name="Normal 2 3 2 12 5 4" xfId="24759" xr:uid="{00000000-0005-0000-0000-0000BA600000}"/>
    <cellStyle name="Normal 2 3 2 12 6" xfId="24760" xr:uid="{00000000-0005-0000-0000-0000BB600000}"/>
    <cellStyle name="Normal 2 3 2 12 6 2" xfId="24761" xr:uid="{00000000-0005-0000-0000-0000BC600000}"/>
    <cellStyle name="Normal 2 3 2 12 7" xfId="24762" xr:uid="{00000000-0005-0000-0000-0000BD600000}"/>
    <cellStyle name="Normal 2 3 2 12 8" xfId="24763" xr:uid="{00000000-0005-0000-0000-0000BE600000}"/>
    <cellStyle name="Normal 2 3 2 12 9" xfId="24764" xr:uid="{00000000-0005-0000-0000-0000BF600000}"/>
    <cellStyle name="Normal 2 3 2 13" xfId="24765" xr:uid="{00000000-0005-0000-0000-0000C0600000}"/>
    <cellStyle name="Normal 2 3 2 13 2" xfId="24766" xr:uid="{00000000-0005-0000-0000-0000C1600000}"/>
    <cellStyle name="Normal 2 3 2 13 2 2" xfId="24767" xr:uid="{00000000-0005-0000-0000-0000C2600000}"/>
    <cellStyle name="Normal 2 3 2 13 2 2 2" xfId="24768" xr:uid="{00000000-0005-0000-0000-0000C3600000}"/>
    <cellStyle name="Normal 2 3 2 13 2 2 3" xfId="24769" xr:uid="{00000000-0005-0000-0000-0000C4600000}"/>
    <cellStyle name="Normal 2 3 2 13 2 3" xfId="24770" xr:uid="{00000000-0005-0000-0000-0000C5600000}"/>
    <cellStyle name="Normal 2 3 2 13 2 4" xfId="24771" xr:uid="{00000000-0005-0000-0000-0000C6600000}"/>
    <cellStyle name="Normal 2 3 2 13 2 5" xfId="24772" xr:uid="{00000000-0005-0000-0000-0000C7600000}"/>
    <cellStyle name="Normal 2 3 2 13 2 6" xfId="24773" xr:uid="{00000000-0005-0000-0000-0000C8600000}"/>
    <cellStyle name="Normal 2 3 2 13 3" xfId="24774" xr:uid="{00000000-0005-0000-0000-0000C9600000}"/>
    <cellStyle name="Normal 2 3 2 13 3 2" xfId="24775" xr:uid="{00000000-0005-0000-0000-0000CA600000}"/>
    <cellStyle name="Normal 2 3 2 13 3 2 2" xfId="24776" xr:uid="{00000000-0005-0000-0000-0000CB600000}"/>
    <cellStyle name="Normal 2 3 2 13 3 3" xfId="24777" xr:uid="{00000000-0005-0000-0000-0000CC600000}"/>
    <cellStyle name="Normal 2 3 2 13 3 4" xfId="24778" xr:uid="{00000000-0005-0000-0000-0000CD600000}"/>
    <cellStyle name="Normal 2 3 2 13 3 5" xfId="24779" xr:uid="{00000000-0005-0000-0000-0000CE600000}"/>
    <cellStyle name="Normal 2 3 2 13 4" xfId="24780" xr:uid="{00000000-0005-0000-0000-0000CF600000}"/>
    <cellStyle name="Normal 2 3 2 13 4 2" xfId="24781" xr:uid="{00000000-0005-0000-0000-0000D0600000}"/>
    <cellStyle name="Normal 2 3 2 13 4 3" xfId="24782" xr:uid="{00000000-0005-0000-0000-0000D1600000}"/>
    <cellStyle name="Normal 2 3 2 13 4 4" xfId="24783" xr:uid="{00000000-0005-0000-0000-0000D2600000}"/>
    <cellStyle name="Normal 2 3 2 13 5" xfId="24784" xr:uid="{00000000-0005-0000-0000-0000D3600000}"/>
    <cellStyle name="Normal 2 3 2 13 5 2" xfId="24785" xr:uid="{00000000-0005-0000-0000-0000D4600000}"/>
    <cellStyle name="Normal 2 3 2 13 6" xfId="24786" xr:uid="{00000000-0005-0000-0000-0000D5600000}"/>
    <cellStyle name="Normal 2 3 2 13 7" xfId="24787" xr:uid="{00000000-0005-0000-0000-0000D6600000}"/>
    <cellStyle name="Normal 2 3 2 13 8" xfId="24788" xr:uid="{00000000-0005-0000-0000-0000D7600000}"/>
    <cellStyle name="Normal 2 3 2 13 9" xfId="24789" xr:uid="{00000000-0005-0000-0000-0000D8600000}"/>
    <cellStyle name="Normal 2 3 2 14" xfId="24790" xr:uid="{00000000-0005-0000-0000-0000D9600000}"/>
    <cellStyle name="Normal 2 3 2 14 2" xfId="24791" xr:uid="{00000000-0005-0000-0000-0000DA600000}"/>
    <cellStyle name="Normal 2 3 2 14 2 2" xfId="24792" xr:uid="{00000000-0005-0000-0000-0000DB600000}"/>
    <cellStyle name="Normal 2 3 2 14 2 2 2" xfId="24793" xr:uid="{00000000-0005-0000-0000-0000DC600000}"/>
    <cellStyle name="Normal 2 3 2 14 2 2 3" xfId="24794" xr:uid="{00000000-0005-0000-0000-0000DD600000}"/>
    <cellStyle name="Normal 2 3 2 14 2 3" xfId="24795" xr:uid="{00000000-0005-0000-0000-0000DE600000}"/>
    <cellStyle name="Normal 2 3 2 14 2 4" xfId="24796" xr:uid="{00000000-0005-0000-0000-0000DF600000}"/>
    <cellStyle name="Normal 2 3 2 14 2 5" xfId="24797" xr:uid="{00000000-0005-0000-0000-0000E0600000}"/>
    <cellStyle name="Normal 2 3 2 14 2 6" xfId="24798" xr:uid="{00000000-0005-0000-0000-0000E1600000}"/>
    <cellStyle name="Normal 2 3 2 14 3" xfId="24799" xr:uid="{00000000-0005-0000-0000-0000E2600000}"/>
    <cellStyle name="Normal 2 3 2 14 3 2" xfId="24800" xr:uid="{00000000-0005-0000-0000-0000E3600000}"/>
    <cellStyle name="Normal 2 3 2 14 3 2 2" xfId="24801" xr:uid="{00000000-0005-0000-0000-0000E4600000}"/>
    <cellStyle name="Normal 2 3 2 14 3 3" xfId="24802" xr:uid="{00000000-0005-0000-0000-0000E5600000}"/>
    <cellStyle name="Normal 2 3 2 14 3 4" xfId="24803" xr:uid="{00000000-0005-0000-0000-0000E6600000}"/>
    <cellStyle name="Normal 2 3 2 14 3 5" xfId="24804" xr:uid="{00000000-0005-0000-0000-0000E7600000}"/>
    <cellStyle name="Normal 2 3 2 14 4" xfId="24805" xr:uid="{00000000-0005-0000-0000-0000E8600000}"/>
    <cellStyle name="Normal 2 3 2 14 4 2" xfId="24806" xr:uid="{00000000-0005-0000-0000-0000E9600000}"/>
    <cellStyle name="Normal 2 3 2 14 4 3" xfId="24807" xr:uid="{00000000-0005-0000-0000-0000EA600000}"/>
    <cellStyle name="Normal 2 3 2 14 4 4" xfId="24808" xr:uid="{00000000-0005-0000-0000-0000EB600000}"/>
    <cellStyle name="Normal 2 3 2 14 5" xfId="24809" xr:uid="{00000000-0005-0000-0000-0000EC600000}"/>
    <cellStyle name="Normal 2 3 2 14 5 2" xfId="24810" xr:uid="{00000000-0005-0000-0000-0000ED600000}"/>
    <cellStyle name="Normal 2 3 2 14 6" xfId="24811" xr:uid="{00000000-0005-0000-0000-0000EE600000}"/>
    <cellStyle name="Normal 2 3 2 14 7" xfId="24812" xr:uid="{00000000-0005-0000-0000-0000EF600000}"/>
    <cellStyle name="Normal 2 3 2 14 8" xfId="24813" xr:uid="{00000000-0005-0000-0000-0000F0600000}"/>
    <cellStyle name="Normal 2 3 2 14 9" xfId="24814" xr:uid="{00000000-0005-0000-0000-0000F1600000}"/>
    <cellStyle name="Normal 2 3 2 15" xfId="24815" xr:uid="{00000000-0005-0000-0000-0000F2600000}"/>
    <cellStyle name="Normal 2 3 2 15 2" xfId="24816" xr:uid="{00000000-0005-0000-0000-0000F3600000}"/>
    <cellStyle name="Normal 2 3 2 15 2 2" xfId="24817" xr:uid="{00000000-0005-0000-0000-0000F4600000}"/>
    <cellStyle name="Normal 2 3 2 15 2 3" xfId="24818" xr:uid="{00000000-0005-0000-0000-0000F5600000}"/>
    <cellStyle name="Normal 2 3 2 15 3" xfId="24819" xr:uid="{00000000-0005-0000-0000-0000F6600000}"/>
    <cellStyle name="Normal 2 3 2 15 4" xfId="24820" xr:uid="{00000000-0005-0000-0000-0000F7600000}"/>
    <cellStyle name="Normal 2 3 2 15 5" xfId="24821" xr:uid="{00000000-0005-0000-0000-0000F8600000}"/>
    <cellStyle name="Normal 2 3 2 15 6" xfId="24822" xr:uid="{00000000-0005-0000-0000-0000F9600000}"/>
    <cellStyle name="Normal 2 3 2 16" xfId="24823" xr:uid="{00000000-0005-0000-0000-0000FA600000}"/>
    <cellStyle name="Normal 2 3 2 16 2" xfId="24824" xr:uid="{00000000-0005-0000-0000-0000FB600000}"/>
    <cellStyle name="Normal 2 3 2 16 2 2" xfId="24825" xr:uid="{00000000-0005-0000-0000-0000FC600000}"/>
    <cellStyle name="Normal 2 3 2 16 3" xfId="24826" xr:uid="{00000000-0005-0000-0000-0000FD600000}"/>
    <cellStyle name="Normal 2 3 2 16 4" xfId="24827" xr:uid="{00000000-0005-0000-0000-0000FE600000}"/>
    <cellStyle name="Normal 2 3 2 16 5" xfId="24828" xr:uid="{00000000-0005-0000-0000-0000FF600000}"/>
    <cellStyle name="Normal 2 3 2 17" xfId="24829" xr:uid="{00000000-0005-0000-0000-000000610000}"/>
    <cellStyle name="Normal 2 3 2 17 2" xfId="24830" xr:uid="{00000000-0005-0000-0000-000001610000}"/>
    <cellStyle name="Normal 2 3 2 17 2 2" xfId="24831" xr:uid="{00000000-0005-0000-0000-000002610000}"/>
    <cellStyle name="Normal 2 3 2 17 3" xfId="24832" xr:uid="{00000000-0005-0000-0000-000003610000}"/>
    <cellStyle name="Normal 2 3 2 17 4" xfId="24833" xr:uid="{00000000-0005-0000-0000-000004610000}"/>
    <cellStyle name="Normal 2 3 2 17 5" xfId="24834" xr:uid="{00000000-0005-0000-0000-000005610000}"/>
    <cellStyle name="Normal 2 3 2 18" xfId="24835" xr:uid="{00000000-0005-0000-0000-000006610000}"/>
    <cellStyle name="Normal 2 3 2 18 2" xfId="24836" xr:uid="{00000000-0005-0000-0000-000007610000}"/>
    <cellStyle name="Normal 2 3 2 19" xfId="24837" xr:uid="{00000000-0005-0000-0000-000008610000}"/>
    <cellStyle name="Normal 2 3 2 2" xfId="24838" xr:uid="{00000000-0005-0000-0000-000009610000}"/>
    <cellStyle name="Normal 2 3 2 2 10" xfId="24839" xr:uid="{00000000-0005-0000-0000-00000A610000}"/>
    <cellStyle name="Normal 2 3 2 2 11" xfId="24840" xr:uid="{00000000-0005-0000-0000-00000B610000}"/>
    <cellStyle name="Normal 2 3 2 2 2" xfId="24841" xr:uid="{00000000-0005-0000-0000-00000C610000}"/>
    <cellStyle name="Normal 2 3 2 2 2 2" xfId="24842" xr:uid="{00000000-0005-0000-0000-00000D610000}"/>
    <cellStyle name="Normal 2 3 2 2 2 2 2" xfId="24843" xr:uid="{00000000-0005-0000-0000-00000E610000}"/>
    <cellStyle name="Normal 2 3 2 2 2 2 2 2" xfId="24844" xr:uid="{00000000-0005-0000-0000-00000F610000}"/>
    <cellStyle name="Normal 2 3 2 2 2 2 2 3" xfId="24845" xr:uid="{00000000-0005-0000-0000-000010610000}"/>
    <cellStyle name="Normal 2 3 2 2 2 2 3" xfId="24846" xr:uid="{00000000-0005-0000-0000-000011610000}"/>
    <cellStyle name="Normal 2 3 2 2 2 2 4" xfId="24847" xr:uid="{00000000-0005-0000-0000-000012610000}"/>
    <cellStyle name="Normal 2 3 2 2 2 2 5" xfId="24848" xr:uid="{00000000-0005-0000-0000-000013610000}"/>
    <cellStyle name="Normal 2 3 2 2 2 2 6" xfId="24849" xr:uid="{00000000-0005-0000-0000-000014610000}"/>
    <cellStyle name="Normal 2 3 2 2 2 3" xfId="24850" xr:uid="{00000000-0005-0000-0000-000015610000}"/>
    <cellStyle name="Normal 2 3 2 2 2 3 2" xfId="24851" xr:uid="{00000000-0005-0000-0000-000016610000}"/>
    <cellStyle name="Normal 2 3 2 2 2 3 2 2" xfId="24852" xr:uid="{00000000-0005-0000-0000-000017610000}"/>
    <cellStyle name="Normal 2 3 2 2 2 3 3" xfId="24853" xr:uid="{00000000-0005-0000-0000-000018610000}"/>
    <cellStyle name="Normal 2 3 2 2 2 3 4" xfId="24854" xr:uid="{00000000-0005-0000-0000-000019610000}"/>
    <cellStyle name="Normal 2 3 2 2 2 3 5" xfId="24855" xr:uid="{00000000-0005-0000-0000-00001A610000}"/>
    <cellStyle name="Normal 2 3 2 2 2 4" xfId="24856" xr:uid="{00000000-0005-0000-0000-00001B610000}"/>
    <cellStyle name="Normal 2 3 2 2 2 4 2" xfId="24857" xr:uid="{00000000-0005-0000-0000-00001C610000}"/>
    <cellStyle name="Normal 2 3 2 2 2 4 3" xfId="24858" xr:uid="{00000000-0005-0000-0000-00001D610000}"/>
    <cellStyle name="Normal 2 3 2 2 2 4 4" xfId="24859" xr:uid="{00000000-0005-0000-0000-00001E610000}"/>
    <cellStyle name="Normal 2 3 2 2 2 5" xfId="24860" xr:uid="{00000000-0005-0000-0000-00001F610000}"/>
    <cellStyle name="Normal 2 3 2 2 2 5 2" xfId="24861" xr:uid="{00000000-0005-0000-0000-000020610000}"/>
    <cellStyle name="Normal 2 3 2 2 2 6" xfId="24862" xr:uid="{00000000-0005-0000-0000-000021610000}"/>
    <cellStyle name="Normal 2 3 2 2 2 7" xfId="24863" xr:uid="{00000000-0005-0000-0000-000022610000}"/>
    <cellStyle name="Normal 2 3 2 2 2 8" xfId="24864" xr:uid="{00000000-0005-0000-0000-000023610000}"/>
    <cellStyle name="Normal 2 3 2 2 2 9" xfId="24865" xr:uid="{00000000-0005-0000-0000-000024610000}"/>
    <cellStyle name="Normal 2 3 2 2 3" xfId="24866" xr:uid="{00000000-0005-0000-0000-000025610000}"/>
    <cellStyle name="Normal 2 3 2 2 3 2" xfId="24867" xr:uid="{00000000-0005-0000-0000-000026610000}"/>
    <cellStyle name="Normal 2 3 2 2 3 2 2" xfId="24868" xr:uid="{00000000-0005-0000-0000-000027610000}"/>
    <cellStyle name="Normal 2 3 2 2 3 2 2 2" xfId="24869" xr:uid="{00000000-0005-0000-0000-000028610000}"/>
    <cellStyle name="Normal 2 3 2 2 3 2 2 3" xfId="24870" xr:uid="{00000000-0005-0000-0000-000029610000}"/>
    <cellStyle name="Normal 2 3 2 2 3 2 3" xfId="24871" xr:uid="{00000000-0005-0000-0000-00002A610000}"/>
    <cellStyle name="Normal 2 3 2 2 3 2 4" xfId="24872" xr:uid="{00000000-0005-0000-0000-00002B610000}"/>
    <cellStyle name="Normal 2 3 2 2 3 2 5" xfId="24873" xr:uid="{00000000-0005-0000-0000-00002C610000}"/>
    <cellStyle name="Normal 2 3 2 2 3 2 6" xfId="24874" xr:uid="{00000000-0005-0000-0000-00002D610000}"/>
    <cellStyle name="Normal 2 3 2 2 3 3" xfId="24875" xr:uid="{00000000-0005-0000-0000-00002E610000}"/>
    <cellStyle name="Normal 2 3 2 2 3 3 2" xfId="24876" xr:uid="{00000000-0005-0000-0000-00002F610000}"/>
    <cellStyle name="Normal 2 3 2 2 3 3 2 2" xfId="24877" xr:uid="{00000000-0005-0000-0000-000030610000}"/>
    <cellStyle name="Normal 2 3 2 2 3 3 3" xfId="24878" xr:uid="{00000000-0005-0000-0000-000031610000}"/>
    <cellStyle name="Normal 2 3 2 2 3 3 4" xfId="24879" xr:uid="{00000000-0005-0000-0000-000032610000}"/>
    <cellStyle name="Normal 2 3 2 2 3 3 5" xfId="24880" xr:uid="{00000000-0005-0000-0000-000033610000}"/>
    <cellStyle name="Normal 2 3 2 2 3 4" xfId="24881" xr:uid="{00000000-0005-0000-0000-000034610000}"/>
    <cellStyle name="Normal 2 3 2 2 3 4 2" xfId="24882" xr:uid="{00000000-0005-0000-0000-000035610000}"/>
    <cellStyle name="Normal 2 3 2 2 3 4 3" xfId="24883" xr:uid="{00000000-0005-0000-0000-000036610000}"/>
    <cellStyle name="Normal 2 3 2 2 3 4 4" xfId="24884" xr:uid="{00000000-0005-0000-0000-000037610000}"/>
    <cellStyle name="Normal 2 3 2 2 3 5" xfId="24885" xr:uid="{00000000-0005-0000-0000-000038610000}"/>
    <cellStyle name="Normal 2 3 2 2 3 5 2" xfId="24886" xr:uid="{00000000-0005-0000-0000-000039610000}"/>
    <cellStyle name="Normal 2 3 2 2 3 6" xfId="24887" xr:uid="{00000000-0005-0000-0000-00003A610000}"/>
    <cellStyle name="Normal 2 3 2 2 3 7" xfId="24888" xr:uid="{00000000-0005-0000-0000-00003B610000}"/>
    <cellStyle name="Normal 2 3 2 2 3 8" xfId="24889" xr:uid="{00000000-0005-0000-0000-00003C610000}"/>
    <cellStyle name="Normal 2 3 2 2 3 9" xfId="24890" xr:uid="{00000000-0005-0000-0000-00003D610000}"/>
    <cellStyle name="Normal 2 3 2 2 4" xfId="24891" xr:uid="{00000000-0005-0000-0000-00003E610000}"/>
    <cellStyle name="Normal 2 3 2 2 4 2" xfId="24892" xr:uid="{00000000-0005-0000-0000-00003F610000}"/>
    <cellStyle name="Normal 2 3 2 2 4 2 2" xfId="24893" xr:uid="{00000000-0005-0000-0000-000040610000}"/>
    <cellStyle name="Normal 2 3 2 2 4 2 3" xfId="24894" xr:uid="{00000000-0005-0000-0000-000041610000}"/>
    <cellStyle name="Normal 2 3 2 2 4 3" xfId="24895" xr:uid="{00000000-0005-0000-0000-000042610000}"/>
    <cellStyle name="Normal 2 3 2 2 4 4" xfId="24896" xr:uid="{00000000-0005-0000-0000-000043610000}"/>
    <cellStyle name="Normal 2 3 2 2 4 5" xfId="24897" xr:uid="{00000000-0005-0000-0000-000044610000}"/>
    <cellStyle name="Normal 2 3 2 2 4 6" xfId="24898" xr:uid="{00000000-0005-0000-0000-000045610000}"/>
    <cellStyle name="Normal 2 3 2 2 5" xfId="24899" xr:uid="{00000000-0005-0000-0000-000046610000}"/>
    <cellStyle name="Normal 2 3 2 2 5 2" xfId="24900" xr:uid="{00000000-0005-0000-0000-000047610000}"/>
    <cellStyle name="Normal 2 3 2 2 5 2 2" xfId="24901" xr:uid="{00000000-0005-0000-0000-000048610000}"/>
    <cellStyle name="Normal 2 3 2 2 5 3" xfId="24902" xr:uid="{00000000-0005-0000-0000-000049610000}"/>
    <cellStyle name="Normal 2 3 2 2 5 4" xfId="24903" xr:uid="{00000000-0005-0000-0000-00004A610000}"/>
    <cellStyle name="Normal 2 3 2 2 5 5" xfId="24904" xr:uid="{00000000-0005-0000-0000-00004B610000}"/>
    <cellStyle name="Normal 2 3 2 2 6" xfId="24905" xr:uid="{00000000-0005-0000-0000-00004C610000}"/>
    <cellStyle name="Normal 2 3 2 2 6 2" xfId="24906" xr:uid="{00000000-0005-0000-0000-00004D610000}"/>
    <cellStyle name="Normal 2 3 2 2 6 3" xfId="24907" xr:uid="{00000000-0005-0000-0000-00004E610000}"/>
    <cellStyle name="Normal 2 3 2 2 6 4" xfId="24908" xr:uid="{00000000-0005-0000-0000-00004F610000}"/>
    <cellStyle name="Normal 2 3 2 2 7" xfId="24909" xr:uid="{00000000-0005-0000-0000-000050610000}"/>
    <cellStyle name="Normal 2 3 2 2 7 2" xfId="24910" xr:uid="{00000000-0005-0000-0000-000051610000}"/>
    <cellStyle name="Normal 2 3 2 2 8" xfId="24911" xr:uid="{00000000-0005-0000-0000-000052610000}"/>
    <cellStyle name="Normal 2 3 2 2 9" xfId="24912" xr:uid="{00000000-0005-0000-0000-000053610000}"/>
    <cellStyle name="Normal 2 3 2 20" xfId="24913" xr:uid="{00000000-0005-0000-0000-000054610000}"/>
    <cellStyle name="Normal 2 3 2 21" xfId="24914" xr:uid="{00000000-0005-0000-0000-000055610000}"/>
    <cellStyle name="Normal 2 3 2 22" xfId="24915" xr:uid="{00000000-0005-0000-0000-000056610000}"/>
    <cellStyle name="Normal 2 3 2 3" xfId="24916" xr:uid="{00000000-0005-0000-0000-000057610000}"/>
    <cellStyle name="Normal 2 3 2 3 10" xfId="24917" xr:uid="{00000000-0005-0000-0000-000058610000}"/>
    <cellStyle name="Normal 2 3 2 3 11" xfId="24918" xr:uid="{00000000-0005-0000-0000-000059610000}"/>
    <cellStyle name="Normal 2 3 2 3 2" xfId="24919" xr:uid="{00000000-0005-0000-0000-00005A610000}"/>
    <cellStyle name="Normal 2 3 2 3 2 2" xfId="24920" xr:uid="{00000000-0005-0000-0000-00005B610000}"/>
    <cellStyle name="Normal 2 3 2 3 2 2 2" xfId="24921" xr:uid="{00000000-0005-0000-0000-00005C610000}"/>
    <cellStyle name="Normal 2 3 2 3 2 2 2 2" xfId="24922" xr:uid="{00000000-0005-0000-0000-00005D610000}"/>
    <cellStyle name="Normal 2 3 2 3 2 2 2 3" xfId="24923" xr:uid="{00000000-0005-0000-0000-00005E610000}"/>
    <cellStyle name="Normal 2 3 2 3 2 2 3" xfId="24924" xr:uid="{00000000-0005-0000-0000-00005F610000}"/>
    <cellStyle name="Normal 2 3 2 3 2 2 4" xfId="24925" xr:uid="{00000000-0005-0000-0000-000060610000}"/>
    <cellStyle name="Normal 2 3 2 3 2 2 5" xfId="24926" xr:uid="{00000000-0005-0000-0000-000061610000}"/>
    <cellStyle name="Normal 2 3 2 3 2 2 6" xfId="24927" xr:uid="{00000000-0005-0000-0000-000062610000}"/>
    <cellStyle name="Normal 2 3 2 3 2 3" xfId="24928" xr:uid="{00000000-0005-0000-0000-000063610000}"/>
    <cellStyle name="Normal 2 3 2 3 2 3 2" xfId="24929" xr:uid="{00000000-0005-0000-0000-000064610000}"/>
    <cellStyle name="Normal 2 3 2 3 2 3 2 2" xfId="24930" xr:uid="{00000000-0005-0000-0000-000065610000}"/>
    <cellStyle name="Normal 2 3 2 3 2 3 3" xfId="24931" xr:uid="{00000000-0005-0000-0000-000066610000}"/>
    <cellStyle name="Normal 2 3 2 3 2 3 4" xfId="24932" xr:uid="{00000000-0005-0000-0000-000067610000}"/>
    <cellStyle name="Normal 2 3 2 3 2 3 5" xfId="24933" xr:uid="{00000000-0005-0000-0000-000068610000}"/>
    <cellStyle name="Normal 2 3 2 3 2 4" xfId="24934" xr:uid="{00000000-0005-0000-0000-000069610000}"/>
    <cellStyle name="Normal 2 3 2 3 2 4 2" xfId="24935" xr:uid="{00000000-0005-0000-0000-00006A610000}"/>
    <cellStyle name="Normal 2 3 2 3 2 4 3" xfId="24936" xr:uid="{00000000-0005-0000-0000-00006B610000}"/>
    <cellStyle name="Normal 2 3 2 3 2 4 4" xfId="24937" xr:uid="{00000000-0005-0000-0000-00006C610000}"/>
    <cellStyle name="Normal 2 3 2 3 2 5" xfId="24938" xr:uid="{00000000-0005-0000-0000-00006D610000}"/>
    <cellStyle name="Normal 2 3 2 3 2 5 2" xfId="24939" xr:uid="{00000000-0005-0000-0000-00006E610000}"/>
    <cellStyle name="Normal 2 3 2 3 2 6" xfId="24940" xr:uid="{00000000-0005-0000-0000-00006F610000}"/>
    <cellStyle name="Normal 2 3 2 3 2 7" xfId="24941" xr:uid="{00000000-0005-0000-0000-000070610000}"/>
    <cellStyle name="Normal 2 3 2 3 2 8" xfId="24942" xr:uid="{00000000-0005-0000-0000-000071610000}"/>
    <cellStyle name="Normal 2 3 2 3 2 9" xfId="24943" xr:uid="{00000000-0005-0000-0000-000072610000}"/>
    <cellStyle name="Normal 2 3 2 3 3" xfId="24944" xr:uid="{00000000-0005-0000-0000-000073610000}"/>
    <cellStyle name="Normal 2 3 2 3 3 2" xfId="24945" xr:uid="{00000000-0005-0000-0000-000074610000}"/>
    <cellStyle name="Normal 2 3 2 3 3 2 2" xfId="24946" xr:uid="{00000000-0005-0000-0000-000075610000}"/>
    <cellStyle name="Normal 2 3 2 3 3 2 2 2" xfId="24947" xr:uid="{00000000-0005-0000-0000-000076610000}"/>
    <cellStyle name="Normal 2 3 2 3 3 2 2 3" xfId="24948" xr:uid="{00000000-0005-0000-0000-000077610000}"/>
    <cellStyle name="Normal 2 3 2 3 3 2 3" xfId="24949" xr:uid="{00000000-0005-0000-0000-000078610000}"/>
    <cellStyle name="Normal 2 3 2 3 3 2 4" xfId="24950" xr:uid="{00000000-0005-0000-0000-000079610000}"/>
    <cellStyle name="Normal 2 3 2 3 3 2 5" xfId="24951" xr:uid="{00000000-0005-0000-0000-00007A610000}"/>
    <cellStyle name="Normal 2 3 2 3 3 2 6" xfId="24952" xr:uid="{00000000-0005-0000-0000-00007B610000}"/>
    <cellStyle name="Normal 2 3 2 3 3 3" xfId="24953" xr:uid="{00000000-0005-0000-0000-00007C610000}"/>
    <cellStyle name="Normal 2 3 2 3 3 3 2" xfId="24954" xr:uid="{00000000-0005-0000-0000-00007D610000}"/>
    <cellStyle name="Normal 2 3 2 3 3 3 2 2" xfId="24955" xr:uid="{00000000-0005-0000-0000-00007E610000}"/>
    <cellStyle name="Normal 2 3 2 3 3 3 3" xfId="24956" xr:uid="{00000000-0005-0000-0000-00007F610000}"/>
    <cellStyle name="Normal 2 3 2 3 3 3 4" xfId="24957" xr:uid="{00000000-0005-0000-0000-000080610000}"/>
    <cellStyle name="Normal 2 3 2 3 3 3 5" xfId="24958" xr:uid="{00000000-0005-0000-0000-000081610000}"/>
    <cellStyle name="Normal 2 3 2 3 3 4" xfId="24959" xr:uid="{00000000-0005-0000-0000-000082610000}"/>
    <cellStyle name="Normal 2 3 2 3 3 4 2" xfId="24960" xr:uid="{00000000-0005-0000-0000-000083610000}"/>
    <cellStyle name="Normal 2 3 2 3 3 4 3" xfId="24961" xr:uid="{00000000-0005-0000-0000-000084610000}"/>
    <cellStyle name="Normal 2 3 2 3 3 4 4" xfId="24962" xr:uid="{00000000-0005-0000-0000-000085610000}"/>
    <cellStyle name="Normal 2 3 2 3 3 5" xfId="24963" xr:uid="{00000000-0005-0000-0000-000086610000}"/>
    <cellStyle name="Normal 2 3 2 3 3 5 2" xfId="24964" xr:uid="{00000000-0005-0000-0000-000087610000}"/>
    <cellStyle name="Normal 2 3 2 3 3 6" xfId="24965" xr:uid="{00000000-0005-0000-0000-000088610000}"/>
    <cellStyle name="Normal 2 3 2 3 3 7" xfId="24966" xr:uid="{00000000-0005-0000-0000-000089610000}"/>
    <cellStyle name="Normal 2 3 2 3 3 8" xfId="24967" xr:uid="{00000000-0005-0000-0000-00008A610000}"/>
    <cellStyle name="Normal 2 3 2 3 3 9" xfId="24968" xr:uid="{00000000-0005-0000-0000-00008B610000}"/>
    <cellStyle name="Normal 2 3 2 3 4" xfId="24969" xr:uid="{00000000-0005-0000-0000-00008C610000}"/>
    <cellStyle name="Normal 2 3 2 3 4 2" xfId="24970" xr:uid="{00000000-0005-0000-0000-00008D610000}"/>
    <cellStyle name="Normal 2 3 2 3 4 2 2" xfId="24971" xr:uid="{00000000-0005-0000-0000-00008E610000}"/>
    <cellStyle name="Normal 2 3 2 3 4 2 3" xfId="24972" xr:uid="{00000000-0005-0000-0000-00008F610000}"/>
    <cellStyle name="Normal 2 3 2 3 4 3" xfId="24973" xr:uid="{00000000-0005-0000-0000-000090610000}"/>
    <cellStyle name="Normal 2 3 2 3 4 4" xfId="24974" xr:uid="{00000000-0005-0000-0000-000091610000}"/>
    <cellStyle name="Normal 2 3 2 3 4 5" xfId="24975" xr:uid="{00000000-0005-0000-0000-000092610000}"/>
    <cellStyle name="Normal 2 3 2 3 4 6" xfId="24976" xr:uid="{00000000-0005-0000-0000-000093610000}"/>
    <cellStyle name="Normal 2 3 2 3 5" xfId="24977" xr:uid="{00000000-0005-0000-0000-000094610000}"/>
    <cellStyle name="Normal 2 3 2 3 5 2" xfId="24978" xr:uid="{00000000-0005-0000-0000-000095610000}"/>
    <cellStyle name="Normal 2 3 2 3 5 2 2" xfId="24979" xr:uid="{00000000-0005-0000-0000-000096610000}"/>
    <cellStyle name="Normal 2 3 2 3 5 3" xfId="24980" xr:uid="{00000000-0005-0000-0000-000097610000}"/>
    <cellStyle name="Normal 2 3 2 3 5 4" xfId="24981" xr:uid="{00000000-0005-0000-0000-000098610000}"/>
    <cellStyle name="Normal 2 3 2 3 5 5" xfId="24982" xr:uid="{00000000-0005-0000-0000-000099610000}"/>
    <cellStyle name="Normal 2 3 2 3 6" xfId="24983" xr:uid="{00000000-0005-0000-0000-00009A610000}"/>
    <cellStyle name="Normal 2 3 2 3 6 2" xfId="24984" xr:uid="{00000000-0005-0000-0000-00009B610000}"/>
    <cellStyle name="Normal 2 3 2 3 6 3" xfId="24985" xr:uid="{00000000-0005-0000-0000-00009C610000}"/>
    <cellStyle name="Normal 2 3 2 3 6 4" xfId="24986" xr:uid="{00000000-0005-0000-0000-00009D610000}"/>
    <cellStyle name="Normal 2 3 2 3 7" xfId="24987" xr:uid="{00000000-0005-0000-0000-00009E610000}"/>
    <cellStyle name="Normal 2 3 2 3 7 2" xfId="24988" xr:uid="{00000000-0005-0000-0000-00009F610000}"/>
    <cellStyle name="Normal 2 3 2 3 8" xfId="24989" xr:uid="{00000000-0005-0000-0000-0000A0610000}"/>
    <cellStyle name="Normal 2 3 2 3 9" xfId="24990" xr:uid="{00000000-0005-0000-0000-0000A1610000}"/>
    <cellStyle name="Normal 2 3 2 4" xfId="24991" xr:uid="{00000000-0005-0000-0000-0000A2610000}"/>
    <cellStyle name="Normal 2 3 2 4 10" xfId="24992" xr:uid="{00000000-0005-0000-0000-0000A3610000}"/>
    <cellStyle name="Normal 2 3 2 4 11" xfId="24993" xr:uid="{00000000-0005-0000-0000-0000A4610000}"/>
    <cellStyle name="Normal 2 3 2 4 2" xfId="24994" xr:uid="{00000000-0005-0000-0000-0000A5610000}"/>
    <cellStyle name="Normal 2 3 2 4 2 2" xfId="24995" xr:uid="{00000000-0005-0000-0000-0000A6610000}"/>
    <cellStyle name="Normal 2 3 2 4 2 2 2" xfId="24996" xr:uid="{00000000-0005-0000-0000-0000A7610000}"/>
    <cellStyle name="Normal 2 3 2 4 2 2 2 2" xfId="24997" xr:uid="{00000000-0005-0000-0000-0000A8610000}"/>
    <cellStyle name="Normal 2 3 2 4 2 2 2 3" xfId="24998" xr:uid="{00000000-0005-0000-0000-0000A9610000}"/>
    <cellStyle name="Normal 2 3 2 4 2 2 3" xfId="24999" xr:uid="{00000000-0005-0000-0000-0000AA610000}"/>
    <cellStyle name="Normal 2 3 2 4 2 2 4" xfId="25000" xr:uid="{00000000-0005-0000-0000-0000AB610000}"/>
    <cellStyle name="Normal 2 3 2 4 2 2 5" xfId="25001" xr:uid="{00000000-0005-0000-0000-0000AC610000}"/>
    <cellStyle name="Normal 2 3 2 4 2 2 6" xfId="25002" xr:uid="{00000000-0005-0000-0000-0000AD610000}"/>
    <cellStyle name="Normal 2 3 2 4 2 3" xfId="25003" xr:uid="{00000000-0005-0000-0000-0000AE610000}"/>
    <cellStyle name="Normal 2 3 2 4 2 3 2" xfId="25004" xr:uid="{00000000-0005-0000-0000-0000AF610000}"/>
    <cellStyle name="Normal 2 3 2 4 2 3 2 2" xfId="25005" xr:uid="{00000000-0005-0000-0000-0000B0610000}"/>
    <cellStyle name="Normal 2 3 2 4 2 3 3" xfId="25006" xr:uid="{00000000-0005-0000-0000-0000B1610000}"/>
    <cellStyle name="Normal 2 3 2 4 2 3 4" xfId="25007" xr:uid="{00000000-0005-0000-0000-0000B2610000}"/>
    <cellStyle name="Normal 2 3 2 4 2 3 5" xfId="25008" xr:uid="{00000000-0005-0000-0000-0000B3610000}"/>
    <cellStyle name="Normal 2 3 2 4 2 4" xfId="25009" xr:uid="{00000000-0005-0000-0000-0000B4610000}"/>
    <cellStyle name="Normal 2 3 2 4 2 4 2" xfId="25010" xr:uid="{00000000-0005-0000-0000-0000B5610000}"/>
    <cellStyle name="Normal 2 3 2 4 2 4 3" xfId="25011" xr:uid="{00000000-0005-0000-0000-0000B6610000}"/>
    <cellStyle name="Normal 2 3 2 4 2 4 4" xfId="25012" xr:uid="{00000000-0005-0000-0000-0000B7610000}"/>
    <cellStyle name="Normal 2 3 2 4 2 5" xfId="25013" xr:uid="{00000000-0005-0000-0000-0000B8610000}"/>
    <cellStyle name="Normal 2 3 2 4 2 5 2" xfId="25014" xr:uid="{00000000-0005-0000-0000-0000B9610000}"/>
    <cellStyle name="Normal 2 3 2 4 2 6" xfId="25015" xr:uid="{00000000-0005-0000-0000-0000BA610000}"/>
    <cellStyle name="Normal 2 3 2 4 2 7" xfId="25016" xr:uid="{00000000-0005-0000-0000-0000BB610000}"/>
    <cellStyle name="Normal 2 3 2 4 2 8" xfId="25017" xr:uid="{00000000-0005-0000-0000-0000BC610000}"/>
    <cellStyle name="Normal 2 3 2 4 2 9" xfId="25018" xr:uid="{00000000-0005-0000-0000-0000BD610000}"/>
    <cellStyle name="Normal 2 3 2 4 3" xfId="25019" xr:uid="{00000000-0005-0000-0000-0000BE610000}"/>
    <cellStyle name="Normal 2 3 2 4 3 2" xfId="25020" xr:uid="{00000000-0005-0000-0000-0000BF610000}"/>
    <cellStyle name="Normal 2 3 2 4 3 2 2" xfId="25021" xr:uid="{00000000-0005-0000-0000-0000C0610000}"/>
    <cellStyle name="Normal 2 3 2 4 3 2 2 2" xfId="25022" xr:uid="{00000000-0005-0000-0000-0000C1610000}"/>
    <cellStyle name="Normal 2 3 2 4 3 2 2 3" xfId="25023" xr:uid="{00000000-0005-0000-0000-0000C2610000}"/>
    <cellStyle name="Normal 2 3 2 4 3 2 3" xfId="25024" xr:uid="{00000000-0005-0000-0000-0000C3610000}"/>
    <cellStyle name="Normal 2 3 2 4 3 2 4" xfId="25025" xr:uid="{00000000-0005-0000-0000-0000C4610000}"/>
    <cellStyle name="Normal 2 3 2 4 3 2 5" xfId="25026" xr:uid="{00000000-0005-0000-0000-0000C5610000}"/>
    <cellStyle name="Normal 2 3 2 4 3 2 6" xfId="25027" xr:uid="{00000000-0005-0000-0000-0000C6610000}"/>
    <cellStyle name="Normal 2 3 2 4 3 3" xfId="25028" xr:uid="{00000000-0005-0000-0000-0000C7610000}"/>
    <cellStyle name="Normal 2 3 2 4 3 3 2" xfId="25029" xr:uid="{00000000-0005-0000-0000-0000C8610000}"/>
    <cellStyle name="Normal 2 3 2 4 3 3 2 2" xfId="25030" xr:uid="{00000000-0005-0000-0000-0000C9610000}"/>
    <cellStyle name="Normal 2 3 2 4 3 3 3" xfId="25031" xr:uid="{00000000-0005-0000-0000-0000CA610000}"/>
    <cellStyle name="Normal 2 3 2 4 3 3 4" xfId="25032" xr:uid="{00000000-0005-0000-0000-0000CB610000}"/>
    <cellStyle name="Normal 2 3 2 4 3 3 5" xfId="25033" xr:uid="{00000000-0005-0000-0000-0000CC610000}"/>
    <cellStyle name="Normal 2 3 2 4 3 4" xfId="25034" xr:uid="{00000000-0005-0000-0000-0000CD610000}"/>
    <cellStyle name="Normal 2 3 2 4 3 4 2" xfId="25035" xr:uid="{00000000-0005-0000-0000-0000CE610000}"/>
    <cellStyle name="Normal 2 3 2 4 3 4 3" xfId="25036" xr:uid="{00000000-0005-0000-0000-0000CF610000}"/>
    <cellStyle name="Normal 2 3 2 4 3 4 4" xfId="25037" xr:uid="{00000000-0005-0000-0000-0000D0610000}"/>
    <cellStyle name="Normal 2 3 2 4 3 5" xfId="25038" xr:uid="{00000000-0005-0000-0000-0000D1610000}"/>
    <cellStyle name="Normal 2 3 2 4 3 5 2" xfId="25039" xr:uid="{00000000-0005-0000-0000-0000D2610000}"/>
    <cellStyle name="Normal 2 3 2 4 3 6" xfId="25040" xr:uid="{00000000-0005-0000-0000-0000D3610000}"/>
    <cellStyle name="Normal 2 3 2 4 3 7" xfId="25041" xr:uid="{00000000-0005-0000-0000-0000D4610000}"/>
    <cellStyle name="Normal 2 3 2 4 3 8" xfId="25042" xr:uid="{00000000-0005-0000-0000-0000D5610000}"/>
    <cellStyle name="Normal 2 3 2 4 3 9" xfId="25043" xr:uid="{00000000-0005-0000-0000-0000D6610000}"/>
    <cellStyle name="Normal 2 3 2 4 4" xfId="25044" xr:uid="{00000000-0005-0000-0000-0000D7610000}"/>
    <cellStyle name="Normal 2 3 2 4 4 2" xfId="25045" xr:uid="{00000000-0005-0000-0000-0000D8610000}"/>
    <cellStyle name="Normal 2 3 2 4 4 2 2" xfId="25046" xr:uid="{00000000-0005-0000-0000-0000D9610000}"/>
    <cellStyle name="Normal 2 3 2 4 4 2 3" xfId="25047" xr:uid="{00000000-0005-0000-0000-0000DA610000}"/>
    <cellStyle name="Normal 2 3 2 4 4 3" xfId="25048" xr:uid="{00000000-0005-0000-0000-0000DB610000}"/>
    <cellStyle name="Normal 2 3 2 4 4 4" xfId="25049" xr:uid="{00000000-0005-0000-0000-0000DC610000}"/>
    <cellStyle name="Normal 2 3 2 4 4 5" xfId="25050" xr:uid="{00000000-0005-0000-0000-0000DD610000}"/>
    <cellStyle name="Normal 2 3 2 4 4 6" xfId="25051" xr:uid="{00000000-0005-0000-0000-0000DE610000}"/>
    <cellStyle name="Normal 2 3 2 4 5" xfId="25052" xr:uid="{00000000-0005-0000-0000-0000DF610000}"/>
    <cellStyle name="Normal 2 3 2 4 5 2" xfId="25053" xr:uid="{00000000-0005-0000-0000-0000E0610000}"/>
    <cellStyle name="Normal 2 3 2 4 5 2 2" xfId="25054" xr:uid="{00000000-0005-0000-0000-0000E1610000}"/>
    <cellStyle name="Normal 2 3 2 4 5 3" xfId="25055" xr:uid="{00000000-0005-0000-0000-0000E2610000}"/>
    <cellStyle name="Normal 2 3 2 4 5 4" xfId="25056" xr:uid="{00000000-0005-0000-0000-0000E3610000}"/>
    <cellStyle name="Normal 2 3 2 4 5 5" xfId="25057" xr:uid="{00000000-0005-0000-0000-0000E4610000}"/>
    <cellStyle name="Normal 2 3 2 4 6" xfId="25058" xr:uid="{00000000-0005-0000-0000-0000E5610000}"/>
    <cellStyle name="Normal 2 3 2 4 6 2" xfId="25059" xr:uid="{00000000-0005-0000-0000-0000E6610000}"/>
    <cellStyle name="Normal 2 3 2 4 6 3" xfId="25060" xr:uid="{00000000-0005-0000-0000-0000E7610000}"/>
    <cellStyle name="Normal 2 3 2 4 6 4" xfId="25061" xr:uid="{00000000-0005-0000-0000-0000E8610000}"/>
    <cellStyle name="Normal 2 3 2 4 7" xfId="25062" xr:uid="{00000000-0005-0000-0000-0000E9610000}"/>
    <cellStyle name="Normal 2 3 2 4 7 2" xfId="25063" xr:uid="{00000000-0005-0000-0000-0000EA610000}"/>
    <cellStyle name="Normal 2 3 2 4 8" xfId="25064" xr:uid="{00000000-0005-0000-0000-0000EB610000}"/>
    <cellStyle name="Normal 2 3 2 4 9" xfId="25065" xr:uid="{00000000-0005-0000-0000-0000EC610000}"/>
    <cellStyle name="Normal 2 3 2 5" xfId="25066" xr:uid="{00000000-0005-0000-0000-0000ED610000}"/>
    <cellStyle name="Normal 2 3 2 5 10" xfId="25067" xr:uid="{00000000-0005-0000-0000-0000EE610000}"/>
    <cellStyle name="Normal 2 3 2 5 11" xfId="25068" xr:uid="{00000000-0005-0000-0000-0000EF610000}"/>
    <cellStyle name="Normal 2 3 2 5 2" xfId="25069" xr:uid="{00000000-0005-0000-0000-0000F0610000}"/>
    <cellStyle name="Normal 2 3 2 5 2 2" xfId="25070" xr:uid="{00000000-0005-0000-0000-0000F1610000}"/>
    <cellStyle name="Normal 2 3 2 5 2 2 2" xfId="25071" xr:uid="{00000000-0005-0000-0000-0000F2610000}"/>
    <cellStyle name="Normal 2 3 2 5 2 2 2 2" xfId="25072" xr:uid="{00000000-0005-0000-0000-0000F3610000}"/>
    <cellStyle name="Normal 2 3 2 5 2 2 2 3" xfId="25073" xr:uid="{00000000-0005-0000-0000-0000F4610000}"/>
    <cellStyle name="Normal 2 3 2 5 2 2 3" xfId="25074" xr:uid="{00000000-0005-0000-0000-0000F5610000}"/>
    <cellStyle name="Normal 2 3 2 5 2 2 4" xfId="25075" xr:uid="{00000000-0005-0000-0000-0000F6610000}"/>
    <cellStyle name="Normal 2 3 2 5 2 2 5" xfId="25076" xr:uid="{00000000-0005-0000-0000-0000F7610000}"/>
    <cellStyle name="Normal 2 3 2 5 2 2 6" xfId="25077" xr:uid="{00000000-0005-0000-0000-0000F8610000}"/>
    <cellStyle name="Normal 2 3 2 5 2 3" xfId="25078" xr:uid="{00000000-0005-0000-0000-0000F9610000}"/>
    <cellStyle name="Normal 2 3 2 5 2 3 2" xfId="25079" xr:uid="{00000000-0005-0000-0000-0000FA610000}"/>
    <cellStyle name="Normal 2 3 2 5 2 3 2 2" xfId="25080" xr:uid="{00000000-0005-0000-0000-0000FB610000}"/>
    <cellStyle name="Normal 2 3 2 5 2 3 3" xfId="25081" xr:uid="{00000000-0005-0000-0000-0000FC610000}"/>
    <cellStyle name="Normal 2 3 2 5 2 3 4" xfId="25082" xr:uid="{00000000-0005-0000-0000-0000FD610000}"/>
    <cellStyle name="Normal 2 3 2 5 2 3 5" xfId="25083" xr:uid="{00000000-0005-0000-0000-0000FE610000}"/>
    <cellStyle name="Normal 2 3 2 5 2 4" xfId="25084" xr:uid="{00000000-0005-0000-0000-0000FF610000}"/>
    <cellStyle name="Normal 2 3 2 5 2 4 2" xfId="25085" xr:uid="{00000000-0005-0000-0000-000000620000}"/>
    <cellStyle name="Normal 2 3 2 5 2 4 3" xfId="25086" xr:uid="{00000000-0005-0000-0000-000001620000}"/>
    <cellStyle name="Normal 2 3 2 5 2 4 4" xfId="25087" xr:uid="{00000000-0005-0000-0000-000002620000}"/>
    <cellStyle name="Normal 2 3 2 5 2 5" xfId="25088" xr:uid="{00000000-0005-0000-0000-000003620000}"/>
    <cellStyle name="Normal 2 3 2 5 2 5 2" xfId="25089" xr:uid="{00000000-0005-0000-0000-000004620000}"/>
    <cellStyle name="Normal 2 3 2 5 2 6" xfId="25090" xr:uid="{00000000-0005-0000-0000-000005620000}"/>
    <cellStyle name="Normal 2 3 2 5 2 7" xfId="25091" xr:uid="{00000000-0005-0000-0000-000006620000}"/>
    <cellStyle name="Normal 2 3 2 5 2 8" xfId="25092" xr:uid="{00000000-0005-0000-0000-000007620000}"/>
    <cellStyle name="Normal 2 3 2 5 2 9" xfId="25093" xr:uid="{00000000-0005-0000-0000-000008620000}"/>
    <cellStyle name="Normal 2 3 2 5 3" xfId="25094" xr:uid="{00000000-0005-0000-0000-000009620000}"/>
    <cellStyle name="Normal 2 3 2 5 3 2" xfId="25095" xr:uid="{00000000-0005-0000-0000-00000A620000}"/>
    <cellStyle name="Normal 2 3 2 5 3 2 2" xfId="25096" xr:uid="{00000000-0005-0000-0000-00000B620000}"/>
    <cellStyle name="Normal 2 3 2 5 3 2 2 2" xfId="25097" xr:uid="{00000000-0005-0000-0000-00000C620000}"/>
    <cellStyle name="Normal 2 3 2 5 3 2 2 3" xfId="25098" xr:uid="{00000000-0005-0000-0000-00000D620000}"/>
    <cellStyle name="Normal 2 3 2 5 3 2 3" xfId="25099" xr:uid="{00000000-0005-0000-0000-00000E620000}"/>
    <cellStyle name="Normal 2 3 2 5 3 2 4" xfId="25100" xr:uid="{00000000-0005-0000-0000-00000F620000}"/>
    <cellStyle name="Normal 2 3 2 5 3 2 5" xfId="25101" xr:uid="{00000000-0005-0000-0000-000010620000}"/>
    <cellStyle name="Normal 2 3 2 5 3 2 6" xfId="25102" xr:uid="{00000000-0005-0000-0000-000011620000}"/>
    <cellStyle name="Normal 2 3 2 5 3 3" xfId="25103" xr:uid="{00000000-0005-0000-0000-000012620000}"/>
    <cellStyle name="Normal 2 3 2 5 3 3 2" xfId="25104" xr:uid="{00000000-0005-0000-0000-000013620000}"/>
    <cellStyle name="Normal 2 3 2 5 3 3 2 2" xfId="25105" xr:uid="{00000000-0005-0000-0000-000014620000}"/>
    <cellStyle name="Normal 2 3 2 5 3 3 3" xfId="25106" xr:uid="{00000000-0005-0000-0000-000015620000}"/>
    <cellStyle name="Normal 2 3 2 5 3 3 4" xfId="25107" xr:uid="{00000000-0005-0000-0000-000016620000}"/>
    <cellStyle name="Normal 2 3 2 5 3 3 5" xfId="25108" xr:uid="{00000000-0005-0000-0000-000017620000}"/>
    <cellStyle name="Normal 2 3 2 5 3 4" xfId="25109" xr:uid="{00000000-0005-0000-0000-000018620000}"/>
    <cellStyle name="Normal 2 3 2 5 3 4 2" xfId="25110" xr:uid="{00000000-0005-0000-0000-000019620000}"/>
    <cellStyle name="Normal 2 3 2 5 3 4 3" xfId="25111" xr:uid="{00000000-0005-0000-0000-00001A620000}"/>
    <cellStyle name="Normal 2 3 2 5 3 4 4" xfId="25112" xr:uid="{00000000-0005-0000-0000-00001B620000}"/>
    <cellStyle name="Normal 2 3 2 5 3 5" xfId="25113" xr:uid="{00000000-0005-0000-0000-00001C620000}"/>
    <cellStyle name="Normal 2 3 2 5 3 5 2" xfId="25114" xr:uid="{00000000-0005-0000-0000-00001D620000}"/>
    <cellStyle name="Normal 2 3 2 5 3 6" xfId="25115" xr:uid="{00000000-0005-0000-0000-00001E620000}"/>
    <cellStyle name="Normal 2 3 2 5 3 7" xfId="25116" xr:uid="{00000000-0005-0000-0000-00001F620000}"/>
    <cellStyle name="Normal 2 3 2 5 3 8" xfId="25117" xr:uid="{00000000-0005-0000-0000-000020620000}"/>
    <cellStyle name="Normal 2 3 2 5 3 9" xfId="25118" xr:uid="{00000000-0005-0000-0000-000021620000}"/>
    <cellStyle name="Normal 2 3 2 5 4" xfId="25119" xr:uid="{00000000-0005-0000-0000-000022620000}"/>
    <cellStyle name="Normal 2 3 2 5 4 2" xfId="25120" xr:uid="{00000000-0005-0000-0000-000023620000}"/>
    <cellStyle name="Normal 2 3 2 5 4 2 2" xfId="25121" xr:uid="{00000000-0005-0000-0000-000024620000}"/>
    <cellStyle name="Normal 2 3 2 5 4 2 3" xfId="25122" xr:uid="{00000000-0005-0000-0000-000025620000}"/>
    <cellStyle name="Normal 2 3 2 5 4 3" xfId="25123" xr:uid="{00000000-0005-0000-0000-000026620000}"/>
    <cellStyle name="Normal 2 3 2 5 4 4" xfId="25124" xr:uid="{00000000-0005-0000-0000-000027620000}"/>
    <cellStyle name="Normal 2 3 2 5 4 5" xfId="25125" xr:uid="{00000000-0005-0000-0000-000028620000}"/>
    <cellStyle name="Normal 2 3 2 5 4 6" xfId="25126" xr:uid="{00000000-0005-0000-0000-000029620000}"/>
    <cellStyle name="Normal 2 3 2 5 5" xfId="25127" xr:uid="{00000000-0005-0000-0000-00002A620000}"/>
    <cellStyle name="Normal 2 3 2 5 5 2" xfId="25128" xr:uid="{00000000-0005-0000-0000-00002B620000}"/>
    <cellStyle name="Normal 2 3 2 5 5 2 2" xfId="25129" xr:uid="{00000000-0005-0000-0000-00002C620000}"/>
    <cellStyle name="Normal 2 3 2 5 5 3" xfId="25130" xr:uid="{00000000-0005-0000-0000-00002D620000}"/>
    <cellStyle name="Normal 2 3 2 5 5 4" xfId="25131" xr:uid="{00000000-0005-0000-0000-00002E620000}"/>
    <cellStyle name="Normal 2 3 2 5 5 5" xfId="25132" xr:uid="{00000000-0005-0000-0000-00002F620000}"/>
    <cellStyle name="Normal 2 3 2 5 6" xfId="25133" xr:uid="{00000000-0005-0000-0000-000030620000}"/>
    <cellStyle name="Normal 2 3 2 5 6 2" xfId="25134" xr:uid="{00000000-0005-0000-0000-000031620000}"/>
    <cellStyle name="Normal 2 3 2 5 6 3" xfId="25135" xr:uid="{00000000-0005-0000-0000-000032620000}"/>
    <cellStyle name="Normal 2 3 2 5 6 4" xfId="25136" xr:uid="{00000000-0005-0000-0000-000033620000}"/>
    <cellStyle name="Normal 2 3 2 5 7" xfId="25137" xr:uid="{00000000-0005-0000-0000-000034620000}"/>
    <cellStyle name="Normal 2 3 2 5 7 2" xfId="25138" xr:uid="{00000000-0005-0000-0000-000035620000}"/>
    <cellStyle name="Normal 2 3 2 5 8" xfId="25139" xr:uid="{00000000-0005-0000-0000-000036620000}"/>
    <cellStyle name="Normal 2 3 2 5 9" xfId="25140" xr:uid="{00000000-0005-0000-0000-000037620000}"/>
    <cellStyle name="Normal 2 3 2 6" xfId="25141" xr:uid="{00000000-0005-0000-0000-000038620000}"/>
    <cellStyle name="Normal 2 3 2 6 10" xfId="25142" xr:uid="{00000000-0005-0000-0000-000039620000}"/>
    <cellStyle name="Normal 2 3 2 6 11" xfId="25143" xr:uid="{00000000-0005-0000-0000-00003A620000}"/>
    <cellStyle name="Normal 2 3 2 6 2" xfId="25144" xr:uid="{00000000-0005-0000-0000-00003B620000}"/>
    <cellStyle name="Normal 2 3 2 6 2 2" xfId="25145" xr:uid="{00000000-0005-0000-0000-00003C620000}"/>
    <cellStyle name="Normal 2 3 2 6 2 2 2" xfId="25146" xr:uid="{00000000-0005-0000-0000-00003D620000}"/>
    <cellStyle name="Normal 2 3 2 6 2 2 2 2" xfId="25147" xr:uid="{00000000-0005-0000-0000-00003E620000}"/>
    <cellStyle name="Normal 2 3 2 6 2 2 2 3" xfId="25148" xr:uid="{00000000-0005-0000-0000-00003F620000}"/>
    <cellStyle name="Normal 2 3 2 6 2 2 3" xfId="25149" xr:uid="{00000000-0005-0000-0000-000040620000}"/>
    <cellStyle name="Normal 2 3 2 6 2 2 4" xfId="25150" xr:uid="{00000000-0005-0000-0000-000041620000}"/>
    <cellStyle name="Normal 2 3 2 6 2 2 5" xfId="25151" xr:uid="{00000000-0005-0000-0000-000042620000}"/>
    <cellStyle name="Normal 2 3 2 6 2 2 6" xfId="25152" xr:uid="{00000000-0005-0000-0000-000043620000}"/>
    <cellStyle name="Normal 2 3 2 6 2 3" xfId="25153" xr:uid="{00000000-0005-0000-0000-000044620000}"/>
    <cellStyle name="Normal 2 3 2 6 2 3 2" xfId="25154" xr:uid="{00000000-0005-0000-0000-000045620000}"/>
    <cellStyle name="Normal 2 3 2 6 2 3 2 2" xfId="25155" xr:uid="{00000000-0005-0000-0000-000046620000}"/>
    <cellStyle name="Normal 2 3 2 6 2 3 3" xfId="25156" xr:uid="{00000000-0005-0000-0000-000047620000}"/>
    <cellStyle name="Normal 2 3 2 6 2 3 4" xfId="25157" xr:uid="{00000000-0005-0000-0000-000048620000}"/>
    <cellStyle name="Normal 2 3 2 6 2 3 5" xfId="25158" xr:uid="{00000000-0005-0000-0000-000049620000}"/>
    <cellStyle name="Normal 2 3 2 6 2 4" xfId="25159" xr:uid="{00000000-0005-0000-0000-00004A620000}"/>
    <cellStyle name="Normal 2 3 2 6 2 4 2" xfId="25160" xr:uid="{00000000-0005-0000-0000-00004B620000}"/>
    <cellStyle name="Normal 2 3 2 6 2 4 3" xfId="25161" xr:uid="{00000000-0005-0000-0000-00004C620000}"/>
    <cellStyle name="Normal 2 3 2 6 2 4 4" xfId="25162" xr:uid="{00000000-0005-0000-0000-00004D620000}"/>
    <cellStyle name="Normal 2 3 2 6 2 5" xfId="25163" xr:uid="{00000000-0005-0000-0000-00004E620000}"/>
    <cellStyle name="Normal 2 3 2 6 2 5 2" xfId="25164" xr:uid="{00000000-0005-0000-0000-00004F620000}"/>
    <cellStyle name="Normal 2 3 2 6 2 6" xfId="25165" xr:uid="{00000000-0005-0000-0000-000050620000}"/>
    <cellStyle name="Normal 2 3 2 6 2 7" xfId="25166" xr:uid="{00000000-0005-0000-0000-000051620000}"/>
    <cellStyle name="Normal 2 3 2 6 2 8" xfId="25167" xr:uid="{00000000-0005-0000-0000-000052620000}"/>
    <cellStyle name="Normal 2 3 2 6 2 9" xfId="25168" xr:uid="{00000000-0005-0000-0000-000053620000}"/>
    <cellStyle name="Normal 2 3 2 6 3" xfId="25169" xr:uid="{00000000-0005-0000-0000-000054620000}"/>
    <cellStyle name="Normal 2 3 2 6 3 2" xfId="25170" xr:uid="{00000000-0005-0000-0000-000055620000}"/>
    <cellStyle name="Normal 2 3 2 6 3 2 2" xfId="25171" xr:uid="{00000000-0005-0000-0000-000056620000}"/>
    <cellStyle name="Normal 2 3 2 6 3 2 2 2" xfId="25172" xr:uid="{00000000-0005-0000-0000-000057620000}"/>
    <cellStyle name="Normal 2 3 2 6 3 2 2 3" xfId="25173" xr:uid="{00000000-0005-0000-0000-000058620000}"/>
    <cellStyle name="Normal 2 3 2 6 3 2 3" xfId="25174" xr:uid="{00000000-0005-0000-0000-000059620000}"/>
    <cellStyle name="Normal 2 3 2 6 3 2 4" xfId="25175" xr:uid="{00000000-0005-0000-0000-00005A620000}"/>
    <cellStyle name="Normal 2 3 2 6 3 2 5" xfId="25176" xr:uid="{00000000-0005-0000-0000-00005B620000}"/>
    <cellStyle name="Normal 2 3 2 6 3 2 6" xfId="25177" xr:uid="{00000000-0005-0000-0000-00005C620000}"/>
    <cellStyle name="Normal 2 3 2 6 3 3" xfId="25178" xr:uid="{00000000-0005-0000-0000-00005D620000}"/>
    <cellStyle name="Normal 2 3 2 6 3 3 2" xfId="25179" xr:uid="{00000000-0005-0000-0000-00005E620000}"/>
    <cellStyle name="Normal 2 3 2 6 3 3 2 2" xfId="25180" xr:uid="{00000000-0005-0000-0000-00005F620000}"/>
    <cellStyle name="Normal 2 3 2 6 3 3 3" xfId="25181" xr:uid="{00000000-0005-0000-0000-000060620000}"/>
    <cellStyle name="Normal 2 3 2 6 3 3 4" xfId="25182" xr:uid="{00000000-0005-0000-0000-000061620000}"/>
    <cellStyle name="Normal 2 3 2 6 3 3 5" xfId="25183" xr:uid="{00000000-0005-0000-0000-000062620000}"/>
    <cellStyle name="Normal 2 3 2 6 3 4" xfId="25184" xr:uid="{00000000-0005-0000-0000-000063620000}"/>
    <cellStyle name="Normal 2 3 2 6 3 4 2" xfId="25185" xr:uid="{00000000-0005-0000-0000-000064620000}"/>
    <cellStyle name="Normal 2 3 2 6 3 4 3" xfId="25186" xr:uid="{00000000-0005-0000-0000-000065620000}"/>
    <cellStyle name="Normal 2 3 2 6 3 4 4" xfId="25187" xr:uid="{00000000-0005-0000-0000-000066620000}"/>
    <cellStyle name="Normal 2 3 2 6 3 5" xfId="25188" xr:uid="{00000000-0005-0000-0000-000067620000}"/>
    <cellStyle name="Normal 2 3 2 6 3 5 2" xfId="25189" xr:uid="{00000000-0005-0000-0000-000068620000}"/>
    <cellStyle name="Normal 2 3 2 6 3 6" xfId="25190" xr:uid="{00000000-0005-0000-0000-000069620000}"/>
    <cellStyle name="Normal 2 3 2 6 3 7" xfId="25191" xr:uid="{00000000-0005-0000-0000-00006A620000}"/>
    <cellStyle name="Normal 2 3 2 6 3 8" xfId="25192" xr:uid="{00000000-0005-0000-0000-00006B620000}"/>
    <cellStyle name="Normal 2 3 2 6 3 9" xfId="25193" xr:uid="{00000000-0005-0000-0000-00006C620000}"/>
    <cellStyle name="Normal 2 3 2 6 4" xfId="25194" xr:uid="{00000000-0005-0000-0000-00006D620000}"/>
    <cellStyle name="Normal 2 3 2 6 4 2" xfId="25195" xr:uid="{00000000-0005-0000-0000-00006E620000}"/>
    <cellStyle name="Normal 2 3 2 6 4 2 2" xfId="25196" xr:uid="{00000000-0005-0000-0000-00006F620000}"/>
    <cellStyle name="Normal 2 3 2 6 4 2 3" xfId="25197" xr:uid="{00000000-0005-0000-0000-000070620000}"/>
    <cellStyle name="Normal 2 3 2 6 4 3" xfId="25198" xr:uid="{00000000-0005-0000-0000-000071620000}"/>
    <cellStyle name="Normal 2 3 2 6 4 4" xfId="25199" xr:uid="{00000000-0005-0000-0000-000072620000}"/>
    <cellStyle name="Normal 2 3 2 6 4 5" xfId="25200" xr:uid="{00000000-0005-0000-0000-000073620000}"/>
    <cellStyle name="Normal 2 3 2 6 4 6" xfId="25201" xr:uid="{00000000-0005-0000-0000-000074620000}"/>
    <cellStyle name="Normal 2 3 2 6 5" xfId="25202" xr:uid="{00000000-0005-0000-0000-000075620000}"/>
    <cellStyle name="Normal 2 3 2 6 5 2" xfId="25203" xr:uid="{00000000-0005-0000-0000-000076620000}"/>
    <cellStyle name="Normal 2 3 2 6 5 2 2" xfId="25204" xr:uid="{00000000-0005-0000-0000-000077620000}"/>
    <cellStyle name="Normal 2 3 2 6 5 3" xfId="25205" xr:uid="{00000000-0005-0000-0000-000078620000}"/>
    <cellStyle name="Normal 2 3 2 6 5 4" xfId="25206" xr:uid="{00000000-0005-0000-0000-000079620000}"/>
    <cellStyle name="Normal 2 3 2 6 5 5" xfId="25207" xr:uid="{00000000-0005-0000-0000-00007A620000}"/>
    <cellStyle name="Normal 2 3 2 6 6" xfId="25208" xr:uid="{00000000-0005-0000-0000-00007B620000}"/>
    <cellStyle name="Normal 2 3 2 6 6 2" xfId="25209" xr:uid="{00000000-0005-0000-0000-00007C620000}"/>
    <cellStyle name="Normal 2 3 2 6 6 3" xfId="25210" xr:uid="{00000000-0005-0000-0000-00007D620000}"/>
    <cellStyle name="Normal 2 3 2 6 6 4" xfId="25211" xr:uid="{00000000-0005-0000-0000-00007E620000}"/>
    <cellStyle name="Normal 2 3 2 6 7" xfId="25212" xr:uid="{00000000-0005-0000-0000-00007F620000}"/>
    <cellStyle name="Normal 2 3 2 6 7 2" xfId="25213" xr:uid="{00000000-0005-0000-0000-000080620000}"/>
    <cellStyle name="Normal 2 3 2 6 8" xfId="25214" xr:uid="{00000000-0005-0000-0000-000081620000}"/>
    <cellStyle name="Normal 2 3 2 6 9" xfId="25215" xr:uid="{00000000-0005-0000-0000-000082620000}"/>
    <cellStyle name="Normal 2 3 2 7" xfId="25216" xr:uid="{00000000-0005-0000-0000-000083620000}"/>
    <cellStyle name="Normal 2 3 2 7 10" xfId="25217" xr:uid="{00000000-0005-0000-0000-000084620000}"/>
    <cellStyle name="Normal 2 3 2 7 11" xfId="25218" xr:uid="{00000000-0005-0000-0000-000085620000}"/>
    <cellStyle name="Normal 2 3 2 7 2" xfId="25219" xr:uid="{00000000-0005-0000-0000-000086620000}"/>
    <cellStyle name="Normal 2 3 2 7 2 2" xfId="25220" xr:uid="{00000000-0005-0000-0000-000087620000}"/>
    <cellStyle name="Normal 2 3 2 7 2 2 2" xfId="25221" xr:uid="{00000000-0005-0000-0000-000088620000}"/>
    <cellStyle name="Normal 2 3 2 7 2 2 2 2" xfId="25222" xr:uid="{00000000-0005-0000-0000-000089620000}"/>
    <cellStyle name="Normal 2 3 2 7 2 2 2 3" xfId="25223" xr:uid="{00000000-0005-0000-0000-00008A620000}"/>
    <cellStyle name="Normal 2 3 2 7 2 2 3" xfId="25224" xr:uid="{00000000-0005-0000-0000-00008B620000}"/>
    <cellStyle name="Normal 2 3 2 7 2 2 4" xfId="25225" xr:uid="{00000000-0005-0000-0000-00008C620000}"/>
    <cellStyle name="Normal 2 3 2 7 2 2 5" xfId="25226" xr:uid="{00000000-0005-0000-0000-00008D620000}"/>
    <cellStyle name="Normal 2 3 2 7 2 2 6" xfId="25227" xr:uid="{00000000-0005-0000-0000-00008E620000}"/>
    <cellStyle name="Normal 2 3 2 7 2 3" xfId="25228" xr:uid="{00000000-0005-0000-0000-00008F620000}"/>
    <cellStyle name="Normal 2 3 2 7 2 3 2" xfId="25229" xr:uid="{00000000-0005-0000-0000-000090620000}"/>
    <cellStyle name="Normal 2 3 2 7 2 3 2 2" xfId="25230" xr:uid="{00000000-0005-0000-0000-000091620000}"/>
    <cellStyle name="Normal 2 3 2 7 2 3 3" xfId="25231" xr:uid="{00000000-0005-0000-0000-000092620000}"/>
    <cellStyle name="Normal 2 3 2 7 2 3 4" xfId="25232" xr:uid="{00000000-0005-0000-0000-000093620000}"/>
    <cellStyle name="Normal 2 3 2 7 2 3 5" xfId="25233" xr:uid="{00000000-0005-0000-0000-000094620000}"/>
    <cellStyle name="Normal 2 3 2 7 2 4" xfId="25234" xr:uid="{00000000-0005-0000-0000-000095620000}"/>
    <cellStyle name="Normal 2 3 2 7 2 4 2" xfId="25235" xr:uid="{00000000-0005-0000-0000-000096620000}"/>
    <cellStyle name="Normal 2 3 2 7 2 4 3" xfId="25236" xr:uid="{00000000-0005-0000-0000-000097620000}"/>
    <cellStyle name="Normal 2 3 2 7 2 4 4" xfId="25237" xr:uid="{00000000-0005-0000-0000-000098620000}"/>
    <cellStyle name="Normal 2 3 2 7 2 5" xfId="25238" xr:uid="{00000000-0005-0000-0000-000099620000}"/>
    <cellStyle name="Normal 2 3 2 7 2 5 2" xfId="25239" xr:uid="{00000000-0005-0000-0000-00009A620000}"/>
    <cellStyle name="Normal 2 3 2 7 2 6" xfId="25240" xr:uid="{00000000-0005-0000-0000-00009B620000}"/>
    <cellStyle name="Normal 2 3 2 7 2 7" xfId="25241" xr:uid="{00000000-0005-0000-0000-00009C620000}"/>
    <cellStyle name="Normal 2 3 2 7 2 8" xfId="25242" xr:uid="{00000000-0005-0000-0000-00009D620000}"/>
    <cellStyle name="Normal 2 3 2 7 2 9" xfId="25243" xr:uid="{00000000-0005-0000-0000-00009E620000}"/>
    <cellStyle name="Normal 2 3 2 7 3" xfId="25244" xr:uid="{00000000-0005-0000-0000-00009F620000}"/>
    <cellStyle name="Normal 2 3 2 7 3 2" xfId="25245" xr:uid="{00000000-0005-0000-0000-0000A0620000}"/>
    <cellStyle name="Normal 2 3 2 7 3 2 2" xfId="25246" xr:uid="{00000000-0005-0000-0000-0000A1620000}"/>
    <cellStyle name="Normal 2 3 2 7 3 2 2 2" xfId="25247" xr:uid="{00000000-0005-0000-0000-0000A2620000}"/>
    <cellStyle name="Normal 2 3 2 7 3 2 2 3" xfId="25248" xr:uid="{00000000-0005-0000-0000-0000A3620000}"/>
    <cellStyle name="Normal 2 3 2 7 3 2 3" xfId="25249" xr:uid="{00000000-0005-0000-0000-0000A4620000}"/>
    <cellStyle name="Normal 2 3 2 7 3 2 4" xfId="25250" xr:uid="{00000000-0005-0000-0000-0000A5620000}"/>
    <cellStyle name="Normal 2 3 2 7 3 2 5" xfId="25251" xr:uid="{00000000-0005-0000-0000-0000A6620000}"/>
    <cellStyle name="Normal 2 3 2 7 3 2 6" xfId="25252" xr:uid="{00000000-0005-0000-0000-0000A7620000}"/>
    <cellStyle name="Normal 2 3 2 7 3 3" xfId="25253" xr:uid="{00000000-0005-0000-0000-0000A8620000}"/>
    <cellStyle name="Normal 2 3 2 7 3 3 2" xfId="25254" xr:uid="{00000000-0005-0000-0000-0000A9620000}"/>
    <cellStyle name="Normal 2 3 2 7 3 3 2 2" xfId="25255" xr:uid="{00000000-0005-0000-0000-0000AA620000}"/>
    <cellStyle name="Normal 2 3 2 7 3 3 3" xfId="25256" xr:uid="{00000000-0005-0000-0000-0000AB620000}"/>
    <cellStyle name="Normal 2 3 2 7 3 3 4" xfId="25257" xr:uid="{00000000-0005-0000-0000-0000AC620000}"/>
    <cellStyle name="Normal 2 3 2 7 3 3 5" xfId="25258" xr:uid="{00000000-0005-0000-0000-0000AD620000}"/>
    <cellStyle name="Normal 2 3 2 7 3 4" xfId="25259" xr:uid="{00000000-0005-0000-0000-0000AE620000}"/>
    <cellStyle name="Normal 2 3 2 7 3 4 2" xfId="25260" xr:uid="{00000000-0005-0000-0000-0000AF620000}"/>
    <cellStyle name="Normal 2 3 2 7 3 4 3" xfId="25261" xr:uid="{00000000-0005-0000-0000-0000B0620000}"/>
    <cellStyle name="Normal 2 3 2 7 3 4 4" xfId="25262" xr:uid="{00000000-0005-0000-0000-0000B1620000}"/>
    <cellStyle name="Normal 2 3 2 7 3 5" xfId="25263" xr:uid="{00000000-0005-0000-0000-0000B2620000}"/>
    <cellStyle name="Normal 2 3 2 7 3 5 2" xfId="25264" xr:uid="{00000000-0005-0000-0000-0000B3620000}"/>
    <cellStyle name="Normal 2 3 2 7 3 6" xfId="25265" xr:uid="{00000000-0005-0000-0000-0000B4620000}"/>
    <cellStyle name="Normal 2 3 2 7 3 7" xfId="25266" xr:uid="{00000000-0005-0000-0000-0000B5620000}"/>
    <cellStyle name="Normal 2 3 2 7 3 8" xfId="25267" xr:uid="{00000000-0005-0000-0000-0000B6620000}"/>
    <cellStyle name="Normal 2 3 2 7 3 9" xfId="25268" xr:uid="{00000000-0005-0000-0000-0000B7620000}"/>
    <cellStyle name="Normal 2 3 2 7 4" xfId="25269" xr:uid="{00000000-0005-0000-0000-0000B8620000}"/>
    <cellStyle name="Normal 2 3 2 7 4 2" xfId="25270" xr:uid="{00000000-0005-0000-0000-0000B9620000}"/>
    <cellStyle name="Normal 2 3 2 7 4 2 2" xfId="25271" xr:uid="{00000000-0005-0000-0000-0000BA620000}"/>
    <cellStyle name="Normal 2 3 2 7 4 2 3" xfId="25272" xr:uid="{00000000-0005-0000-0000-0000BB620000}"/>
    <cellStyle name="Normal 2 3 2 7 4 3" xfId="25273" xr:uid="{00000000-0005-0000-0000-0000BC620000}"/>
    <cellStyle name="Normal 2 3 2 7 4 4" xfId="25274" xr:uid="{00000000-0005-0000-0000-0000BD620000}"/>
    <cellStyle name="Normal 2 3 2 7 4 5" xfId="25275" xr:uid="{00000000-0005-0000-0000-0000BE620000}"/>
    <cellStyle name="Normal 2 3 2 7 4 6" xfId="25276" xr:uid="{00000000-0005-0000-0000-0000BF620000}"/>
    <cellStyle name="Normal 2 3 2 7 5" xfId="25277" xr:uid="{00000000-0005-0000-0000-0000C0620000}"/>
    <cellStyle name="Normal 2 3 2 7 5 2" xfId="25278" xr:uid="{00000000-0005-0000-0000-0000C1620000}"/>
    <cellStyle name="Normal 2 3 2 7 5 2 2" xfId="25279" xr:uid="{00000000-0005-0000-0000-0000C2620000}"/>
    <cellStyle name="Normal 2 3 2 7 5 3" xfId="25280" xr:uid="{00000000-0005-0000-0000-0000C3620000}"/>
    <cellStyle name="Normal 2 3 2 7 5 4" xfId="25281" xr:uid="{00000000-0005-0000-0000-0000C4620000}"/>
    <cellStyle name="Normal 2 3 2 7 5 5" xfId="25282" xr:uid="{00000000-0005-0000-0000-0000C5620000}"/>
    <cellStyle name="Normal 2 3 2 7 6" xfId="25283" xr:uid="{00000000-0005-0000-0000-0000C6620000}"/>
    <cellStyle name="Normal 2 3 2 7 6 2" xfId="25284" xr:uid="{00000000-0005-0000-0000-0000C7620000}"/>
    <cellStyle name="Normal 2 3 2 7 6 3" xfId="25285" xr:uid="{00000000-0005-0000-0000-0000C8620000}"/>
    <cellStyle name="Normal 2 3 2 7 6 4" xfId="25286" xr:uid="{00000000-0005-0000-0000-0000C9620000}"/>
    <cellStyle name="Normal 2 3 2 7 7" xfId="25287" xr:uid="{00000000-0005-0000-0000-0000CA620000}"/>
    <cellStyle name="Normal 2 3 2 7 7 2" xfId="25288" xr:uid="{00000000-0005-0000-0000-0000CB620000}"/>
    <cellStyle name="Normal 2 3 2 7 8" xfId="25289" xr:uid="{00000000-0005-0000-0000-0000CC620000}"/>
    <cellStyle name="Normal 2 3 2 7 9" xfId="25290" xr:uid="{00000000-0005-0000-0000-0000CD620000}"/>
    <cellStyle name="Normal 2 3 2 8" xfId="25291" xr:uid="{00000000-0005-0000-0000-0000CE620000}"/>
    <cellStyle name="Normal 2 3 2 8 10" xfId="25292" xr:uid="{00000000-0005-0000-0000-0000CF620000}"/>
    <cellStyle name="Normal 2 3 2 8 2" xfId="25293" xr:uid="{00000000-0005-0000-0000-0000D0620000}"/>
    <cellStyle name="Normal 2 3 2 8 2 2" xfId="25294" xr:uid="{00000000-0005-0000-0000-0000D1620000}"/>
    <cellStyle name="Normal 2 3 2 8 2 2 2" xfId="25295" xr:uid="{00000000-0005-0000-0000-0000D2620000}"/>
    <cellStyle name="Normal 2 3 2 8 2 2 3" xfId="25296" xr:uid="{00000000-0005-0000-0000-0000D3620000}"/>
    <cellStyle name="Normal 2 3 2 8 2 3" xfId="25297" xr:uid="{00000000-0005-0000-0000-0000D4620000}"/>
    <cellStyle name="Normal 2 3 2 8 2 4" xfId="25298" xr:uid="{00000000-0005-0000-0000-0000D5620000}"/>
    <cellStyle name="Normal 2 3 2 8 2 5" xfId="25299" xr:uid="{00000000-0005-0000-0000-0000D6620000}"/>
    <cellStyle name="Normal 2 3 2 8 2 6" xfId="25300" xr:uid="{00000000-0005-0000-0000-0000D7620000}"/>
    <cellStyle name="Normal 2 3 2 8 3" xfId="25301" xr:uid="{00000000-0005-0000-0000-0000D8620000}"/>
    <cellStyle name="Normal 2 3 2 8 3 2" xfId="25302" xr:uid="{00000000-0005-0000-0000-0000D9620000}"/>
    <cellStyle name="Normal 2 3 2 8 3 2 2" xfId="25303" xr:uid="{00000000-0005-0000-0000-0000DA620000}"/>
    <cellStyle name="Normal 2 3 2 8 3 2 3" xfId="25304" xr:uid="{00000000-0005-0000-0000-0000DB620000}"/>
    <cellStyle name="Normal 2 3 2 8 3 3" xfId="25305" xr:uid="{00000000-0005-0000-0000-0000DC620000}"/>
    <cellStyle name="Normal 2 3 2 8 3 4" xfId="25306" xr:uid="{00000000-0005-0000-0000-0000DD620000}"/>
    <cellStyle name="Normal 2 3 2 8 3 5" xfId="25307" xr:uid="{00000000-0005-0000-0000-0000DE620000}"/>
    <cellStyle name="Normal 2 3 2 8 3 6" xfId="25308" xr:uid="{00000000-0005-0000-0000-0000DF620000}"/>
    <cellStyle name="Normal 2 3 2 8 4" xfId="25309" xr:uid="{00000000-0005-0000-0000-0000E0620000}"/>
    <cellStyle name="Normal 2 3 2 8 4 2" xfId="25310" xr:uid="{00000000-0005-0000-0000-0000E1620000}"/>
    <cellStyle name="Normal 2 3 2 8 4 2 2" xfId="25311" xr:uid="{00000000-0005-0000-0000-0000E2620000}"/>
    <cellStyle name="Normal 2 3 2 8 4 3" xfId="25312" xr:uid="{00000000-0005-0000-0000-0000E3620000}"/>
    <cellStyle name="Normal 2 3 2 8 4 4" xfId="25313" xr:uid="{00000000-0005-0000-0000-0000E4620000}"/>
    <cellStyle name="Normal 2 3 2 8 4 5" xfId="25314" xr:uid="{00000000-0005-0000-0000-0000E5620000}"/>
    <cellStyle name="Normal 2 3 2 8 5" xfId="25315" xr:uid="{00000000-0005-0000-0000-0000E6620000}"/>
    <cellStyle name="Normal 2 3 2 8 5 2" xfId="25316" xr:uid="{00000000-0005-0000-0000-0000E7620000}"/>
    <cellStyle name="Normal 2 3 2 8 5 3" xfId="25317" xr:uid="{00000000-0005-0000-0000-0000E8620000}"/>
    <cellStyle name="Normal 2 3 2 8 5 4" xfId="25318" xr:uid="{00000000-0005-0000-0000-0000E9620000}"/>
    <cellStyle name="Normal 2 3 2 8 6" xfId="25319" xr:uid="{00000000-0005-0000-0000-0000EA620000}"/>
    <cellStyle name="Normal 2 3 2 8 6 2" xfId="25320" xr:uid="{00000000-0005-0000-0000-0000EB620000}"/>
    <cellStyle name="Normal 2 3 2 8 7" xfId="25321" xr:uid="{00000000-0005-0000-0000-0000EC620000}"/>
    <cellStyle name="Normal 2 3 2 8 8" xfId="25322" xr:uid="{00000000-0005-0000-0000-0000ED620000}"/>
    <cellStyle name="Normal 2 3 2 8 9" xfId="25323" xr:uid="{00000000-0005-0000-0000-0000EE620000}"/>
    <cellStyle name="Normal 2 3 2 9" xfId="25324" xr:uid="{00000000-0005-0000-0000-0000EF620000}"/>
    <cellStyle name="Normal 2 3 2 9 10" xfId="25325" xr:uid="{00000000-0005-0000-0000-0000F0620000}"/>
    <cellStyle name="Normal 2 3 2 9 2" xfId="25326" xr:uid="{00000000-0005-0000-0000-0000F1620000}"/>
    <cellStyle name="Normal 2 3 2 9 2 2" xfId="25327" xr:uid="{00000000-0005-0000-0000-0000F2620000}"/>
    <cellStyle name="Normal 2 3 2 9 2 2 2" xfId="25328" xr:uid="{00000000-0005-0000-0000-0000F3620000}"/>
    <cellStyle name="Normal 2 3 2 9 2 2 3" xfId="25329" xr:uid="{00000000-0005-0000-0000-0000F4620000}"/>
    <cellStyle name="Normal 2 3 2 9 2 3" xfId="25330" xr:uid="{00000000-0005-0000-0000-0000F5620000}"/>
    <cellStyle name="Normal 2 3 2 9 2 4" xfId="25331" xr:uid="{00000000-0005-0000-0000-0000F6620000}"/>
    <cellStyle name="Normal 2 3 2 9 2 5" xfId="25332" xr:uid="{00000000-0005-0000-0000-0000F7620000}"/>
    <cellStyle name="Normal 2 3 2 9 2 6" xfId="25333" xr:uid="{00000000-0005-0000-0000-0000F8620000}"/>
    <cellStyle name="Normal 2 3 2 9 3" xfId="25334" xr:uid="{00000000-0005-0000-0000-0000F9620000}"/>
    <cellStyle name="Normal 2 3 2 9 3 2" xfId="25335" xr:uid="{00000000-0005-0000-0000-0000FA620000}"/>
    <cellStyle name="Normal 2 3 2 9 3 2 2" xfId="25336" xr:uid="{00000000-0005-0000-0000-0000FB620000}"/>
    <cellStyle name="Normal 2 3 2 9 3 2 3" xfId="25337" xr:uid="{00000000-0005-0000-0000-0000FC620000}"/>
    <cellStyle name="Normal 2 3 2 9 3 3" xfId="25338" xr:uid="{00000000-0005-0000-0000-0000FD620000}"/>
    <cellStyle name="Normal 2 3 2 9 3 4" xfId="25339" xr:uid="{00000000-0005-0000-0000-0000FE620000}"/>
    <cellStyle name="Normal 2 3 2 9 3 5" xfId="25340" xr:uid="{00000000-0005-0000-0000-0000FF620000}"/>
    <cellStyle name="Normal 2 3 2 9 3 6" xfId="25341" xr:uid="{00000000-0005-0000-0000-000000630000}"/>
    <cellStyle name="Normal 2 3 2 9 4" xfId="25342" xr:uid="{00000000-0005-0000-0000-000001630000}"/>
    <cellStyle name="Normal 2 3 2 9 4 2" xfId="25343" xr:uid="{00000000-0005-0000-0000-000002630000}"/>
    <cellStyle name="Normal 2 3 2 9 4 2 2" xfId="25344" xr:uid="{00000000-0005-0000-0000-000003630000}"/>
    <cellStyle name="Normal 2 3 2 9 4 3" xfId="25345" xr:uid="{00000000-0005-0000-0000-000004630000}"/>
    <cellStyle name="Normal 2 3 2 9 4 4" xfId="25346" xr:uid="{00000000-0005-0000-0000-000005630000}"/>
    <cellStyle name="Normal 2 3 2 9 4 5" xfId="25347" xr:uid="{00000000-0005-0000-0000-000006630000}"/>
    <cellStyle name="Normal 2 3 2 9 5" xfId="25348" xr:uid="{00000000-0005-0000-0000-000007630000}"/>
    <cellStyle name="Normal 2 3 2 9 5 2" xfId="25349" xr:uid="{00000000-0005-0000-0000-000008630000}"/>
    <cellStyle name="Normal 2 3 2 9 5 3" xfId="25350" xr:uid="{00000000-0005-0000-0000-000009630000}"/>
    <cellStyle name="Normal 2 3 2 9 5 4" xfId="25351" xr:uid="{00000000-0005-0000-0000-00000A630000}"/>
    <cellStyle name="Normal 2 3 2 9 6" xfId="25352" xr:uid="{00000000-0005-0000-0000-00000B630000}"/>
    <cellStyle name="Normal 2 3 2 9 6 2" xfId="25353" xr:uid="{00000000-0005-0000-0000-00000C630000}"/>
    <cellStyle name="Normal 2 3 2 9 7" xfId="25354" xr:uid="{00000000-0005-0000-0000-00000D630000}"/>
    <cellStyle name="Normal 2 3 2 9 8" xfId="25355" xr:uid="{00000000-0005-0000-0000-00000E630000}"/>
    <cellStyle name="Normal 2 3 2 9 9" xfId="25356" xr:uid="{00000000-0005-0000-0000-00000F630000}"/>
    <cellStyle name="Normal 2 3 3" xfId="25357" xr:uid="{00000000-0005-0000-0000-000010630000}"/>
    <cellStyle name="Normal 2 3 3 2" xfId="25358" xr:uid="{00000000-0005-0000-0000-000011630000}"/>
    <cellStyle name="Normal 2 3 4" xfId="25359" xr:uid="{00000000-0005-0000-0000-000012630000}"/>
    <cellStyle name="Normal 2 3 4 2" xfId="25360" xr:uid="{00000000-0005-0000-0000-000013630000}"/>
    <cellStyle name="Normal 2 3 5" xfId="25361" xr:uid="{00000000-0005-0000-0000-000014630000}"/>
    <cellStyle name="Normal 2 3 6" xfId="25362" xr:uid="{00000000-0005-0000-0000-000015630000}"/>
    <cellStyle name="Normal 2 3 7" xfId="25363" xr:uid="{00000000-0005-0000-0000-000016630000}"/>
    <cellStyle name="Normal 2 3 8" xfId="25364" xr:uid="{00000000-0005-0000-0000-000017630000}"/>
    <cellStyle name="Normal 2 3 9" xfId="25365" xr:uid="{00000000-0005-0000-0000-000018630000}"/>
    <cellStyle name="Normal 2 30" xfId="25366" xr:uid="{00000000-0005-0000-0000-000019630000}"/>
    <cellStyle name="Normal 2 30 2" xfId="25367" xr:uid="{00000000-0005-0000-0000-00001A630000}"/>
    <cellStyle name="Normal 2 30 2 2" xfId="25368" xr:uid="{00000000-0005-0000-0000-00001B630000}"/>
    <cellStyle name="Normal 2 30 2 2 2" xfId="25369" xr:uid="{00000000-0005-0000-0000-00001C630000}"/>
    <cellStyle name="Normal 2 30 2 3" xfId="25370" xr:uid="{00000000-0005-0000-0000-00001D630000}"/>
    <cellStyle name="Normal 2 30 3" xfId="25371" xr:uid="{00000000-0005-0000-0000-00001E630000}"/>
    <cellStyle name="Normal 2 30 3 2" xfId="25372" xr:uid="{00000000-0005-0000-0000-00001F630000}"/>
    <cellStyle name="Normal 2 30 3 2 2" xfId="25373" xr:uid="{00000000-0005-0000-0000-000020630000}"/>
    <cellStyle name="Normal 2 30 3 2 2 2" xfId="25374" xr:uid="{00000000-0005-0000-0000-000021630000}"/>
    <cellStyle name="Normal 2 30 3 2 2 3" xfId="25375" xr:uid="{00000000-0005-0000-0000-000022630000}"/>
    <cellStyle name="Normal 2 30 3 2 3" xfId="25376" xr:uid="{00000000-0005-0000-0000-000023630000}"/>
    <cellStyle name="Normal 2 30 3 2 4" xfId="25377" xr:uid="{00000000-0005-0000-0000-000024630000}"/>
    <cellStyle name="Normal 2 30 3 2 5" xfId="25378" xr:uid="{00000000-0005-0000-0000-000025630000}"/>
    <cellStyle name="Normal 2 30 3 2 6" xfId="25379" xr:uid="{00000000-0005-0000-0000-000026630000}"/>
    <cellStyle name="Normal 2 30 3 3" xfId="25380" xr:uid="{00000000-0005-0000-0000-000027630000}"/>
    <cellStyle name="Normal 2 30 3 3 2" xfId="25381" xr:uid="{00000000-0005-0000-0000-000028630000}"/>
    <cellStyle name="Normal 2 30 3 3 2 2" xfId="25382" xr:uid="{00000000-0005-0000-0000-000029630000}"/>
    <cellStyle name="Normal 2 30 3 3 3" xfId="25383" xr:uid="{00000000-0005-0000-0000-00002A630000}"/>
    <cellStyle name="Normal 2 30 3 3 4" xfId="25384" xr:uid="{00000000-0005-0000-0000-00002B630000}"/>
    <cellStyle name="Normal 2 30 3 3 5" xfId="25385" xr:uid="{00000000-0005-0000-0000-00002C630000}"/>
    <cellStyle name="Normal 2 30 3 4" xfId="25386" xr:uid="{00000000-0005-0000-0000-00002D630000}"/>
    <cellStyle name="Normal 2 30 3 4 2" xfId="25387" xr:uid="{00000000-0005-0000-0000-00002E630000}"/>
    <cellStyle name="Normal 2 30 3 4 3" xfId="25388" xr:uid="{00000000-0005-0000-0000-00002F630000}"/>
    <cellStyle name="Normal 2 30 3 4 4" xfId="25389" xr:uid="{00000000-0005-0000-0000-000030630000}"/>
    <cellStyle name="Normal 2 30 3 5" xfId="25390" xr:uid="{00000000-0005-0000-0000-000031630000}"/>
    <cellStyle name="Normal 2 30 3 5 2" xfId="25391" xr:uid="{00000000-0005-0000-0000-000032630000}"/>
    <cellStyle name="Normal 2 30 3 6" xfId="25392" xr:uid="{00000000-0005-0000-0000-000033630000}"/>
    <cellStyle name="Normal 2 30 3 7" xfId="25393" xr:uid="{00000000-0005-0000-0000-000034630000}"/>
    <cellStyle name="Normal 2 30 3 8" xfId="25394" xr:uid="{00000000-0005-0000-0000-000035630000}"/>
    <cellStyle name="Normal 2 30 3 9" xfId="25395" xr:uid="{00000000-0005-0000-0000-000036630000}"/>
    <cellStyle name="Normal 2 30 4" xfId="25396" xr:uid="{00000000-0005-0000-0000-000037630000}"/>
    <cellStyle name="Normal 2 30 4 2" xfId="25397" xr:uid="{00000000-0005-0000-0000-000038630000}"/>
    <cellStyle name="Normal 2 30 4 2 2" xfId="25398" xr:uid="{00000000-0005-0000-0000-000039630000}"/>
    <cellStyle name="Normal 2 30 4 3" xfId="25399" xr:uid="{00000000-0005-0000-0000-00003A630000}"/>
    <cellStyle name="Normal 2 30 4 4" xfId="25400" xr:uid="{00000000-0005-0000-0000-00003B630000}"/>
    <cellStyle name="Normal 2 30 4 5" xfId="25401" xr:uid="{00000000-0005-0000-0000-00003C630000}"/>
    <cellStyle name="Normal 2 30 4 6" xfId="25402" xr:uid="{00000000-0005-0000-0000-00003D630000}"/>
    <cellStyle name="Normal 2 30 5" xfId="25403" xr:uid="{00000000-0005-0000-0000-00003E630000}"/>
    <cellStyle name="Normal 2 30 5 2" xfId="25404" xr:uid="{00000000-0005-0000-0000-00003F630000}"/>
    <cellStyle name="Normal 2 30 5 3" xfId="25405" xr:uid="{00000000-0005-0000-0000-000040630000}"/>
    <cellStyle name="Normal 2 30 6" xfId="25406" xr:uid="{00000000-0005-0000-0000-000041630000}"/>
    <cellStyle name="Normal 2 30 6 2" xfId="25407" xr:uid="{00000000-0005-0000-0000-000042630000}"/>
    <cellStyle name="Normal 2 30 7" xfId="25408" xr:uid="{00000000-0005-0000-0000-000043630000}"/>
    <cellStyle name="Normal 2 30 8" xfId="25409" xr:uid="{00000000-0005-0000-0000-000044630000}"/>
    <cellStyle name="Normal 2 31" xfId="25410" xr:uid="{00000000-0005-0000-0000-000045630000}"/>
    <cellStyle name="Normal 2 31 2" xfId="25411" xr:uid="{00000000-0005-0000-0000-000046630000}"/>
    <cellStyle name="Normal 2 31 2 2" xfId="25412" xr:uid="{00000000-0005-0000-0000-000047630000}"/>
    <cellStyle name="Normal 2 31 2 2 2" xfId="25413" xr:uid="{00000000-0005-0000-0000-000048630000}"/>
    <cellStyle name="Normal 2 31 2 3" xfId="25414" xr:uid="{00000000-0005-0000-0000-000049630000}"/>
    <cellStyle name="Normal 2 31 3" xfId="25415" xr:uid="{00000000-0005-0000-0000-00004A630000}"/>
    <cellStyle name="Normal 2 31 3 2" xfId="25416" xr:uid="{00000000-0005-0000-0000-00004B630000}"/>
    <cellStyle name="Normal 2 31 3 2 2" xfId="25417" xr:uid="{00000000-0005-0000-0000-00004C630000}"/>
    <cellStyle name="Normal 2 31 3 2 2 2" xfId="25418" xr:uid="{00000000-0005-0000-0000-00004D630000}"/>
    <cellStyle name="Normal 2 31 3 2 2 3" xfId="25419" xr:uid="{00000000-0005-0000-0000-00004E630000}"/>
    <cellStyle name="Normal 2 31 3 2 3" xfId="25420" xr:uid="{00000000-0005-0000-0000-00004F630000}"/>
    <cellStyle name="Normal 2 31 3 2 4" xfId="25421" xr:uid="{00000000-0005-0000-0000-000050630000}"/>
    <cellStyle name="Normal 2 31 3 2 5" xfId="25422" xr:uid="{00000000-0005-0000-0000-000051630000}"/>
    <cellStyle name="Normal 2 31 3 2 6" xfId="25423" xr:uid="{00000000-0005-0000-0000-000052630000}"/>
    <cellStyle name="Normal 2 31 3 3" xfId="25424" xr:uid="{00000000-0005-0000-0000-000053630000}"/>
    <cellStyle name="Normal 2 31 3 3 2" xfId="25425" xr:uid="{00000000-0005-0000-0000-000054630000}"/>
    <cellStyle name="Normal 2 31 3 3 2 2" xfId="25426" xr:uid="{00000000-0005-0000-0000-000055630000}"/>
    <cellStyle name="Normal 2 31 3 3 3" xfId="25427" xr:uid="{00000000-0005-0000-0000-000056630000}"/>
    <cellStyle name="Normal 2 31 3 3 4" xfId="25428" xr:uid="{00000000-0005-0000-0000-000057630000}"/>
    <cellStyle name="Normal 2 31 3 3 5" xfId="25429" xr:uid="{00000000-0005-0000-0000-000058630000}"/>
    <cellStyle name="Normal 2 31 3 4" xfId="25430" xr:uid="{00000000-0005-0000-0000-000059630000}"/>
    <cellStyle name="Normal 2 31 3 4 2" xfId="25431" xr:uid="{00000000-0005-0000-0000-00005A630000}"/>
    <cellStyle name="Normal 2 31 3 4 3" xfId="25432" xr:uid="{00000000-0005-0000-0000-00005B630000}"/>
    <cellStyle name="Normal 2 31 3 4 4" xfId="25433" xr:uid="{00000000-0005-0000-0000-00005C630000}"/>
    <cellStyle name="Normal 2 31 3 5" xfId="25434" xr:uid="{00000000-0005-0000-0000-00005D630000}"/>
    <cellStyle name="Normal 2 31 3 5 2" xfId="25435" xr:uid="{00000000-0005-0000-0000-00005E630000}"/>
    <cellStyle name="Normal 2 31 3 6" xfId="25436" xr:uid="{00000000-0005-0000-0000-00005F630000}"/>
    <cellStyle name="Normal 2 31 3 7" xfId="25437" xr:uid="{00000000-0005-0000-0000-000060630000}"/>
    <cellStyle name="Normal 2 31 3 8" xfId="25438" xr:uid="{00000000-0005-0000-0000-000061630000}"/>
    <cellStyle name="Normal 2 31 3 9" xfId="25439" xr:uid="{00000000-0005-0000-0000-000062630000}"/>
    <cellStyle name="Normal 2 31 4" xfId="25440" xr:uid="{00000000-0005-0000-0000-000063630000}"/>
    <cellStyle name="Normal 2 31 4 2" xfId="25441" xr:uid="{00000000-0005-0000-0000-000064630000}"/>
    <cellStyle name="Normal 2 31 4 2 2" xfId="25442" xr:uid="{00000000-0005-0000-0000-000065630000}"/>
    <cellStyle name="Normal 2 31 4 3" xfId="25443" xr:uid="{00000000-0005-0000-0000-000066630000}"/>
    <cellStyle name="Normal 2 31 4 4" xfId="25444" xr:uid="{00000000-0005-0000-0000-000067630000}"/>
    <cellStyle name="Normal 2 31 4 5" xfId="25445" xr:uid="{00000000-0005-0000-0000-000068630000}"/>
    <cellStyle name="Normal 2 31 4 6" xfId="25446" xr:uid="{00000000-0005-0000-0000-000069630000}"/>
    <cellStyle name="Normal 2 31 5" xfId="25447" xr:uid="{00000000-0005-0000-0000-00006A630000}"/>
    <cellStyle name="Normal 2 31 5 2" xfId="25448" xr:uid="{00000000-0005-0000-0000-00006B630000}"/>
    <cellStyle name="Normal 2 31 5 3" xfId="25449" xr:uid="{00000000-0005-0000-0000-00006C630000}"/>
    <cellStyle name="Normal 2 31 6" xfId="25450" xr:uid="{00000000-0005-0000-0000-00006D630000}"/>
    <cellStyle name="Normal 2 31 6 2" xfId="25451" xr:uid="{00000000-0005-0000-0000-00006E630000}"/>
    <cellStyle name="Normal 2 31 7" xfId="25452" xr:uid="{00000000-0005-0000-0000-00006F630000}"/>
    <cellStyle name="Normal 2 31 8" xfId="25453" xr:uid="{00000000-0005-0000-0000-000070630000}"/>
    <cellStyle name="Normal 2 32" xfId="25454" xr:uid="{00000000-0005-0000-0000-000071630000}"/>
    <cellStyle name="Normal 2 32 2" xfId="25455" xr:uid="{00000000-0005-0000-0000-000072630000}"/>
    <cellStyle name="Normal 2 32 2 2" xfId="25456" xr:uid="{00000000-0005-0000-0000-000073630000}"/>
    <cellStyle name="Normal 2 32 2 2 2" xfId="25457" xr:uid="{00000000-0005-0000-0000-000074630000}"/>
    <cellStyle name="Normal 2 32 2 3" xfId="25458" xr:uid="{00000000-0005-0000-0000-000075630000}"/>
    <cellStyle name="Normal 2 32 3" xfId="25459" xr:uid="{00000000-0005-0000-0000-000076630000}"/>
    <cellStyle name="Normal 2 32 3 2" xfId="25460" xr:uid="{00000000-0005-0000-0000-000077630000}"/>
    <cellStyle name="Normal 2 32 3 2 2" xfId="25461" xr:uid="{00000000-0005-0000-0000-000078630000}"/>
    <cellStyle name="Normal 2 32 3 2 2 2" xfId="25462" xr:uid="{00000000-0005-0000-0000-000079630000}"/>
    <cellStyle name="Normal 2 32 3 2 2 3" xfId="25463" xr:uid="{00000000-0005-0000-0000-00007A630000}"/>
    <cellStyle name="Normal 2 32 3 2 3" xfId="25464" xr:uid="{00000000-0005-0000-0000-00007B630000}"/>
    <cellStyle name="Normal 2 32 3 2 4" xfId="25465" xr:uid="{00000000-0005-0000-0000-00007C630000}"/>
    <cellStyle name="Normal 2 32 3 2 5" xfId="25466" xr:uid="{00000000-0005-0000-0000-00007D630000}"/>
    <cellStyle name="Normal 2 32 3 2 6" xfId="25467" xr:uid="{00000000-0005-0000-0000-00007E630000}"/>
    <cellStyle name="Normal 2 32 3 3" xfId="25468" xr:uid="{00000000-0005-0000-0000-00007F630000}"/>
    <cellStyle name="Normal 2 32 3 3 2" xfId="25469" xr:uid="{00000000-0005-0000-0000-000080630000}"/>
    <cellStyle name="Normal 2 32 3 3 2 2" xfId="25470" xr:uid="{00000000-0005-0000-0000-000081630000}"/>
    <cellStyle name="Normal 2 32 3 3 3" xfId="25471" xr:uid="{00000000-0005-0000-0000-000082630000}"/>
    <cellStyle name="Normal 2 32 3 3 4" xfId="25472" xr:uid="{00000000-0005-0000-0000-000083630000}"/>
    <cellStyle name="Normal 2 32 3 3 5" xfId="25473" xr:uid="{00000000-0005-0000-0000-000084630000}"/>
    <cellStyle name="Normal 2 32 3 4" xfId="25474" xr:uid="{00000000-0005-0000-0000-000085630000}"/>
    <cellStyle name="Normal 2 32 3 4 2" xfId="25475" xr:uid="{00000000-0005-0000-0000-000086630000}"/>
    <cellStyle name="Normal 2 32 3 4 3" xfId="25476" xr:uid="{00000000-0005-0000-0000-000087630000}"/>
    <cellStyle name="Normal 2 32 3 4 4" xfId="25477" xr:uid="{00000000-0005-0000-0000-000088630000}"/>
    <cellStyle name="Normal 2 32 3 5" xfId="25478" xr:uid="{00000000-0005-0000-0000-000089630000}"/>
    <cellStyle name="Normal 2 32 3 5 2" xfId="25479" xr:uid="{00000000-0005-0000-0000-00008A630000}"/>
    <cellStyle name="Normal 2 32 3 6" xfId="25480" xr:uid="{00000000-0005-0000-0000-00008B630000}"/>
    <cellStyle name="Normal 2 32 3 7" xfId="25481" xr:uid="{00000000-0005-0000-0000-00008C630000}"/>
    <cellStyle name="Normal 2 32 3 8" xfId="25482" xr:uid="{00000000-0005-0000-0000-00008D630000}"/>
    <cellStyle name="Normal 2 32 3 9" xfId="25483" xr:uid="{00000000-0005-0000-0000-00008E630000}"/>
    <cellStyle name="Normal 2 32 4" xfId="25484" xr:uid="{00000000-0005-0000-0000-00008F630000}"/>
    <cellStyle name="Normal 2 32 4 2" xfId="25485" xr:uid="{00000000-0005-0000-0000-000090630000}"/>
    <cellStyle name="Normal 2 32 4 2 2" xfId="25486" xr:uid="{00000000-0005-0000-0000-000091630000}"/>
    <cellStyle name="Normal 2 32 4 3" xfId="25487" xr:uid="{00000000-0005-0000-0000-000092630000}"/>
    <cellStyle name="Normal 2 32 4 4" xfId="25488" xr:uid="{00000000-0005-0000-0000-000093630000}"/>
    <cellStyle name="Normal 2 32 4 5" xfId="25489" xr:uid="{00000000-0005-0000-0000-000094630000}"/>
    <cellStyle name="Normal 2 32 4 6" xfId="25490" xr:uid="{00000000-0005-0000-0000-000095630000}"/>
    <cellStyle name="Normal 2 32 5" xfId="25491" xr:uid="{00000000-0005-0000-0000-000096630000}"/>
    <cellStyle name="Normal 2 32 5 2" xfId="25492" xr:uid="{00000000-0005-0000-0000-000097630000}"/>
    <cellStyle name="Normal 2 32 5 3" xfId="25493" xr:uid="{00000000-0005-0000-0000-000098630000}"/>
    <cellStyle name="Normal 2 32 6" xfId="25494" xr:uid="{00000000-0005-0000-0000-000099630000}"/>
    <cellStyle name="Normal 2 32 6 2" xfId="25495" xr:uid="{00000000-0005-0000-0000-00009A630000}"/>
    <cellStyle name="Normal 2 32 7" xfId="25496" xr:uid="{00000000-0005-0000-0000-00009B630000}"/>
    <cellStyle name="Normal 2 32 8" xfId="25497" xr:uid="{00000000-0005-0000-0000-00009C630000}"/>
    <cellStyle name="Normal 2 33" xfId="25498" xr:uid="{00000000-0005-0000-0000-00009D630000}"/>
    <cellStyle name="Normal 2 33 2" xfId="25499" xr:uid="{00000000-0005-0000-0000-00009E630000}"/>
    <cellStyle name="Normal 2 33 2 2" xfId="25500" xr:uid="{00000000-0005-0000-0000-00009F630000}"/>
    <cellStyle name="Normal 2 33 2 2 2" xfId="25501" xr:uid="{00000000-0005-0000-0000-0000A0630000}"/>
    <cellStyle name="Normal 2 33 2 3" xfId="25502" xr:uid="{00000000-0005-0000-0000-0000A1630000}"/>
    <cellStyle name="Normal 2 33 3" xfId="25503" xr:uid="{00000000-0005-0000-0000-0000A2630000}"/>
    <cellStyle name="Normal 2 33 3 2" xfId="25504" xr:uid="{00000000-0005-0000-0000-0000A3630000}"/>
    <cellStyle name="Normal 2 33 3 2 2" xfId="25505" xr:uid="{00000000-0005-0000-0000-0000A4630000}"/>
    <cellStyle name="Normal 2 33 3 2 2 2" xfId="25506" xr:uid="{00000000-0005-0000-0000-0000A5630000}"/>
    <cellStyle name="Normal 2 33 3 2 2 3" xfId="25507" xr:uid="{00000000-0005-0000-0000-0000A6630000}"/>
    <cellStyle name="Normal 2 33 3 2 3" xfId="25508" xr:uid="{00000000-0005-0000-0000-0000A7630000}"/>
    <cellStyle name="Normal 2 33 3 2 4" xfId="25509" xr:uid="{00000000-0005-0000-0000-0000A8630000}"/>
    <cellStyle name="Normal 2 33 3 2 5" xfId="25510" xr:uid="{00000000-0005-0000-0000-0000A9630000}"/>
    <cellStyle name="Normal 2 33 3 2 6" xfId="25511" xr:uid="{00000000-0005-0000-0000-0000AA630000}"/>
    <cellStyle name="Normal 2 33 3 3" xfId="25512" xr:uid="{00000000-0005-0000-0000-0000AB630000}"/>
    <cellStyle name="Normal 2 33 3 3 2" xfId="25513" xr:uid="{00000000-0005-0000-0000-0000AC630000}"/>
    <cellStyle name="Normal 2 33 3 3 2 2" xfId="25514" xr:uid="{00000000-0005-0000-0000-0000AD630000}"/>
    <cellStyle name="Normal 2 33 3 3 3" xfId="25515" xr:uid="{00000000-0005-0000-0000-0000AE630000}"/>
    <cellStyle name="Normal 2 33 3 3 4" xfId="25516" xr:uid="{00000000-0005-0000-0000-0000AF630000}"/>
    <cellStyle name="Normal 2 33 3 3 5" xfId="25517" xr:uid="{00000000-0005-0000-0000-0000B0630000}"/>
    <cellStyle name="Normal 2 33 3 4" xfId="25518" xr:uid="{00000000-0005-0000-0000-0000B1630000}"/>
    <cellStyle name="Normal 2 33 3 4 2" xfId="25519" xr:uid="{00000000-0005-0000-0000-0000B2630000}"/>
    <cellStyle name="Normal 2 33 3 4 3" xfId="25520" xr:uid="{00000000-0005-0000-0000-0000B3630000}"/>
    <cellStyle name="Normal 2 33 3 4 4" xfId="25521" xr:uid="{00000000-0005-0000-0000-0000B4630000}"/>
    <cellStyle name="Normal 2 33 3 5" xfId="25522" xr:uid="{00000000-0005-0000-0000-0000B5630000}"/>
    <cellStyle name="Normal 2 33 3 5 2" xfId="25523" xr:uid="{00000000-0005-0000-0000-0000B6630000}"/>
    <cellStyle name="Normal 2 33 3 6" xfId="25524" xr:uid="{00000000-0005-0000-0000-0000B7630000}"/>
    <cellStyle name="Normal 2 33 3 7" xfId="25525" xr:uid="{00000000-0005-0000-0000-0000B8630000}"/>
    <cellStyle name="Normal 2 33 3 8" xfId="25526" xr:uid="{00000000-0005-0000-0000-0000B9630000}"/>
    <cellStyle name="Normal 2 33 3 9" xfId="25527" xr:uid="{00000000-0005-0000-0000-0000BA630000}"/>
    <cellStyle name="Normal 2 33 4" xfId="25528" xr:uid="{00000000-0005-0000-0000-0000BB630000}"/>
    <cellStyle name="Normal 2 33 4 2" xfId="25529" xr:uid="{00000000-0005-0000-0000-0000BC630000}"/>
    <cellStyle name="Normal 2 33 4 2 2" xfId="25530" xr:uid="{00000000-0005-0000-0000-0000BD630000}"/>
    <cellStyle name="Normal 2 33 4 3" xfId="25531" xr:uid="{00000000-0005-0000-0000-0000BE630000}"/>
    <cellStyle name="Normal 2 33 4 4" xfId="25532" xr:uid="{00000000-0005-0000-0000-0000BF630000}"/>
    <cellStyle name="Normal 2 33 4 5" xfId="25533" xr:uid="{00000000-0005-0000-0000-0000C0630000}"/>
    <cellStyle name="Normal 2 33 4 6" xfId="25534" xr:uid="{00000000-0005-0000-0000-0000C1630000}"/>
    <cellStyle name="Normal 2 33 5" xfId="25535" xr:uid="{00000000-0005-0000-0000-0000C2630000}"/>
    <cellStyle name="Normal 2 33 5 2" xfId="25536" xr:uid="{00000000-0005-0000-0000-0000C3630000}"/>
    <cellStyle name="Normal 2 33 5 3" xfId="25537" xr:uid="{00000000-0005-0000-0000-0000C4630000}"/>
    <cellStyle name="Normal 2 33 6" xfId="25538" xr:uid="{00000000-0005-0000-0000-0000C5630000}"/>
    <cellStyle name="Normal 2 33 6 2" xfId="25539" xr:uid="{00000000-0005-0000-0000-0000C6630000}"/>
    <cellStyle name="Normal 2 33 7" xfId="25540" xr:uid="{00000000-0005-0000-0000-0000C7630000}"/>
    <cellStyle name="Normal 2 33 8" xfId="25541" xr:uid="{00000000-0005-0000-0000-0000C8630000}"/>
    <cellStyle name="Normal 2 34" xfId="25542" xr:uid="{00000000-0005-0000-0000-0000C9630000}"/>
    <cellStyle name="Normal 2 34 2" xfId="25543" xr:uid="{00000000-0005-0000-0000-0000CA630000}"/>
    <cellStyle name="Normal 2 34 2 2" xfId="25544" xr:uid="{00000000-0005-0000-0000-0000CB630000}"/>
    <cellStyle name="Normal 2 34 2 2 2" xfId="25545" xr:uid="{00000000-0005-0000-0000-0000CC630000}"/>
    <cellStyle name="Normal 2 34 2 3" xfId="25546" xr:uid="{00000000-0005-0000-0000-0000CD630000}"/>
    <cellStyle name="Normal 2 34 3" xfId="25547" xr:uid="{00000000-0005-0000-0000-0000CE630000}"/>
    <cellStyle name="Normal 2 34 3 2" xfId="25548" xr:uid="{00000000-0005-0000-0000-0000CF630000}"/>
    <cellStyle name="Normal 2 34 3 2 2" xfId="25549" xr:uid="{00000000-0005-0000-0000-0000D0630000}"/>
    <cellStyle name="Normal 2 34 3 2 2 2" xfId="25550" xr:uid="{00000000-0005-0000-0000-0000D1630000}"/>
    <cellStyle name="Normal 2 34 3 2 2 3" xfId="25551" xr:uid="{00000000-0005-0000-0000-0000D2630000}"/>
    <cellStyle name="Normal 2 34 3 2 3" xfId="25552" xr:uid="{00000000-0005-0000-0000-0000D3630000}"/>
    <cellStyle name="Normal 2 34 3 2 4" xfId="25553" xr:uid="{00000000-0005-0000-0000-0000D4630000}"/>
    <cellStyle name="Normal 2 34 3 2 5" xfId="25554" xr:uid="{00000000-0005-0000-0000-0000D5630000}"/>
    <cellStyle name="Normal 2 34 3 2 6" xfId="25555" xr:uid="{00000000-0005-0000-0000-0000D6630000}"/>
    <cellStyle name="Normal 2 34 3 3" xfId="25556" xr:uid="{00000000-0005-0000-0000-0000D7630000}"/>
    <cellStyle name="Normal 2 34 3 3 2" xfId="25557" xr:uid="{00000000-0005-0000-0000-0000D8630000}"/>
    <cellStyle name="Normal 2 34 3 3 2 2" xfId="25558" xr:uid="{00000000-0005-0000-0000-0000D9630000}"/>
    <cellStyle name="Normal 2 34 3 3 3" xfId="25559" xr:uid="{00000000-0005-0000-0000-0000DA630000}"/>
    <cellStyle name="Normal 2 34 3 3 4" xfId="25560" xr:uid="{00000000-0005-0000-0000-0000DB630000}"/>
    <cellStyle name="Normal 2 34 3 3 5" xfId="25561" xr:uid="{00000000-0005-0000-0000-0000DC630000}"/>
    <cellStyle name="Normal 2 34 3 4" xfId="25562" xr:uid="{00000000-0005-0000-0000-0000DD630000}"/>
    <cellStyle name="Normal 2 34 3 4 2" xfId="25563" xr:uid="{00000000-0005-0000-0000-0000DE630000}"/>
    <cellStyle name="Normal 2 34 3 4 3" xfId="25564" xr:uid="{00000000-0005-0000-0000-0000DF630000}"/>
    <cellStyle name="Normal 2 34 3 4 4" xfId="25565" xr:uid="{00000000-0005-0000-0000-0000E0630000}"/>
    <cellStyle name="Normal 2 34 3 5" xfId="25566" xr:uid="{00000000-0005-0000-0000-0000E1630000}"/>
    <cellStyle name="Normal 2 34 3 5 2" xfId="25567" xr:uid="{00000000-0005-0000-0000-0000E2630000}"/>
    <cellStyle name="Normal 2 34 3 6" xfId="25568" xr:uid="{00000000-0005-0000-0000-0000E3630000}"/>
    <cellStyle name="Normal 2 34 3 7" xfId="25569" xr:uid="{00000000-0005-0000-0000-0000E4630000}"/>
    <cellStyle name="Normal 2 34 3 8" xfId="25570" xr:uid="{00000000-0005-0000-0000-0000E5630000}"/>
    <cellStyle name="Normal 2 34 3 9" xfId="25571" xr:uid="{00000000-0005-0000-0000-0000E6630000}"/>
    <cellStyle name="Normal 2 34 4" xfId="25572" xr:uid="{00000000-0005-0000-0000-0000E7630000}"/>
    <cellStyle name="Normal 2 34 4 2" xfId="25573" xr:uid="{00000000-0005-0000-0000-0000E8630000}"/>
    <cellStyle name="Normal 2 34 4 2 2" xfId="25574" xr:uid="{00000000-0005-0000-0000-0000E9630000}"/>
    <cellStyle name="Normal 2 34 4 3" xfId="25575" xr:uid="{00000000-0005-0000-0000-0000EA630000}"/>
    <cellStyle name="Normal 2 34 4 4" xfId="25576" xr:uid="{00000000-0005-0000-0000-0000EB630000}"/>
    <cellStyle name="Normal 2 34 4 5" xfId="25577" xr:uid="{00000000-0005-0000-0000-0000EC630000}"/>
    <cellStyle name="Normal 2 34 4 6" xfId="25578" xr:uid="{00000000-0005-0000-0000-0000ED630000}"/>
    <cellStyle name="Normal 2 34 5" xfId="25579" xr:uid="{00000000-0005-0000-0000-0000EE630000}"/>
    <cellStyle name="Normal 2 34 5 2" xfId="25580" xr:uid="{00000000-0005-0000-0000-0000EF630000}"/>
    <cellStyle name="Normal 2 34 5 3" xfId="25581" xr:uid="{00000000-0005-0000-0000-0000F0630000}"/>
    <cellStyle name="Normal 2 34 6" xfId="25582" xr:uid="{00000000-0005-0000-0000-0000F1630000}"/>
    <cellStyle name="Normal 2 34 6 2" xfId="25583" xr:uid="{00000000-0005-0000-0000-0000F2630000}"/>
    <cellStyle name="Normal 2 34 7" xfId="25584" xr:uid="{00000000-0005-0000-0000-0000F3630000}"/>
    <cellStyle name="Normal 2 34 8" xfId="25585" xr:uid="{00000000-0005-0000-0000-0000F4630000}"/>
    <cellStyle name="Normal 2 35" xfId="25586" xr:uid="{00000000-0005-0000-0000-0000F5630000}"/>
    <cellStyle name="Normal 2 35 2" xfId="25587" xr:uid="{00000000-0005-0000-0000-0000F6630000}"/>
    <cellStyle name="Normal 2 35 2 2" xfId="25588" xr:uid="{00000000-0005-0000-0000-0000F7630000}"/>
    <cellStyle name="Normal 2 35 2 2 2" xfId="25589" xr:uid="{00000000-0005-0000-0000-0000F8630000}"/>
    <cellStyle name="Normal 2 35 2 3" xfId="25590" xr:uid="{00000000-0005-0000-0000-0000F9630000}"/>
    <cellStyle name="Normal 2 35 3" xfId="25591" xr:uid="{00000000-0005-0000-0000-0000FA630000}"/>
    <cellStyle name="Normal 2 35 3 2" xfId="25592" xr:uid="{00000000-0005-0000-0000-0000FB630000}"/>
    <cellStyle name="Normal 2 35 3 2 2" xfId="25593" xr:uid="{00000000-0005-0000-0000-0000FC630000}"/>
    <cellStyle name="Normal 2 35 3 2 2 2" xfId="25594" xr:uid="{00000000-0005-0000-0000-0000FD630000}"/>
    <cellStyle name="Normal 2 35 3 2 2 3" xfId="25595" xr:uid="{00000000-0005-0000-0000-0000FE630000}"/>
    <cellStyle name="Normal 2 35 3 2 3" xfId="25596" xr:uid="{00000000-0005-0000-0000-0000FF630000}"/>
    <cellStyle name="Normal 2 35 3 2 4" xfId="25597" xr:uid="{00000000-0005-0000-0000-000000640000}"/>
    <cellStyle name="Normal 2 35 3 2 5" xfId="25598" xr:uid="{00000000-0005-0000-0000-000001640000}"/>
    <cellStyle name="Normal 2 35 3 2 6" xfId="25599" xr:uid="{00000000-0005-0000-0000-000002640000}"/>
    <cellStyle name="Normal 2 35 3 3" xfId="25600" xr:uid="{00000000-0005-0000-0000-000003640000}"/>
    <cellStyle name="Normal 2 35 3 3 2" xfId="25601" xr:uid="{00000000-0005-0000-0000-000004640000}"/>
    <cellStyle name="Normal 2 35 3 3 2 2" xfId="25602" xr:uid="{00000000-0005-0000-0000-000005640000}"/>
    <cellStyle name="Normal 2 35 3 3 3" xfId="25603" xr:uid="{00000000-0005-0000-0000-000006640000}"/>
    <cellStyle name="Normal 2 35 3 3 4" xfId="25604" xr:uid="{00000000-0005-0000-0000-000007640000}"/>
    <cellStyle name="Normal 2 35 3 3 5" xfId="25605" xr:uid="{00000000-0005-0000-0000-000008640000}"/>
    <cellStyle name="Normal 2 35 3 4" xfId="25606" xr:uid="{00000000-0005-0000-0000-000009640000}"/>
    <cellStyle name="Normal 2 35 3 4 2" xfId="25607" xr:uid="{00000000-0005-0000-0000-00000A640000}"/>
    <cellStyle name="Normal 2 35 3 4 3" xfId="25608" xr:uid="{00000000-0005-0000-0000-00000B640000}"/>
    <cellStyle name="Normal 2 35 3 4 4" xfId="25609" xr:uid="{00000000-0005-0000-0000-00000C640000}"/>
    <cellStyle name="Normal 2 35 3 5" xfId="25610" xr:uid="{00000000-0005-0000-0000-00000D640000}"/>
    <cellStyle name="Normal 2 35 3 5 2" xfId="25611" xr:uid="{00000000-0005-0000-0000-00000E640000}"/>
    <cellStyle name="Normal 2 35 3 6" xfId="25612" xr:uid="{00000000-0005-0000-0000-00000F640000}"/>
    <cellStyle name="Normal 2 35 3 7" xfId="25613" xr:uid="{00000000-0005-0000-0000-000010640000}"/>
    <cellStyle name="Normal 2 35 3 8" xfId="25614" xr:uid="{00000000-0005-0000-0000-000011640000}"/>
    <cellStyle name="Normal 2 35 3 9" xfId="25615" xr:uid="{00000000-0005-0000-0000-000012640000}"/>
    <cellStyle name="Normal 2 35 4" xfId="25616" xr:uid="{00000000-0005-0000-0000-000013640000}"/>
    <cellStyle name="Normal 2 35 4 2" xfId="25617" xr:uid="{00000000-0005-0000-0000-000014640000}"/>
    <cellStyle name="Normal 2 35 4 2 2" xfId="25618" xr:uid="{00000000-0005-0000-0000-000015640000}"/>
    <cellStyle name="Normal 2 35 4 3" xfId="25619" xr:uid="{00000000-0005-0000-0000-000016640000}"/>
    <cellStyle name="Normal 2 35 4 4" xfId="25620" xr:uid="{00000000-0005-0000-0000-000017640000}"/>
    <cellStyle name="Normal 2 35 4 5" xfId="25621" xr:uid="{00000000-0005-0000-0000-000018640000}"/>
    <cellStyle name="Normal 2 35 4 6" xfId="25622" xr:uid="{00000000-0005-0000-0000-000019640000}"/>
    <cellStyle name="Normal 2 35 5" xfId="25623" xr:uid="{00000000-0005-0000-0000-00001A640000}"/>
    <cellStyle name="Normal 2 35 5 2" xfId="25624" xr:uid="{00000000-0005-0000-0000-00001B640000}"/>
    <cellStyle name="Normal 2 35 5 3" xfId="25625" xr:uid="{00000000-0005-0000-0000-00001C640000}"/>
    <cellStyle name="Normal 2 35 6" xfId="25626" xr:uid="{00000000-0005-0000-0000-00001D640000}"/>
    <cellStyle name="Normal 2 35 6 2" xfId="25627" xr:uid="{00000000-0005-0000-0000-00001E640000}"/>
    <cellStyle name="Normal 2 35 7" xfId="25628" xr:uid="{00000000-0005-0000-0000-00001F640000}"/>
    <cellStyle name="Normal 2 35 8" xfId="25629" xr:uid="{00000000-0005-0000-0000-000020640000}"/>
    <cellStyle name="Normal 2 36" xfId="25630" xr:uid="{00000000-0005-0000-0000-000021640000}"/>
    <cellStyle name="Normal 2 36 2" xfId="25631" xr:uid="{00000000-0005-0000-0000-000022640000}"/>
    <cellStyle name="Normal 2 36 2 2" xfId="25632" xr:uid="{00000000-0005-0000-0000-000023640000}"/>
    <cellStyle name="Normal 2 36 2 2 2" xfId="25633" xr:uid="{00000000-0005-0000-0000-000024640000}"/>
    <cellStyle name="Normal 2 36 2 3" xfId="25634" xr:uid="{00000000-0005-0000-0000-000025640000}"/>
    <cellStyle name="Normal 2 36 3" xfId="25635" xr:uid="{00000000-0005-0000-0000-000026640000}"/>
    <cellStyle name="Normal 2 36 3 2" xfId="25636" xr:uid="{00000000-0005-0000-0000-000027640000}"/>
    <cellStyle name="Normal 2 36 3 2 2" xfId="25637" xr:uid="{00000000-0005-0000-0000-000028640000}"/>
    <cellStyle name="Normal 2 36 3 2 2 2" xfId="25638" xr:uid="{00000000-0005-0000-0000-000029640000}"/>
    <cellStyle name="Normal 2 36 3 2 2 3" xfId="25639" xr:uid="{00000000-0005-0000-0000-00002A640000}"/>
    <cellStyle name="Normal 2 36 3 2 3" xfId="25640" xr:uid="{00000000-0005-0000-0000-00002B640000}"/>
    <cellStyle name="Normal 2 36 3 2 4" xfId="25641" xr:uid="{00000000-0005-0000-0000-00002C640000}"/>
    <cellStyle name="Normal 2 36 3 2 5" xfId="25642" xr:uid="{00000000-0005-0000-0000-00002D640000}"/>
    <cellStyle name="Normal 2 36 3 2 6" xfId="25643" xr:uid="{00000000-0005-0000-0000-00002E640000}"/>
    <cellStyle name="Normal 2 36 3 3" xfId="25644" xr:uid="{00000000-0005-0000-0000-00002F640000}"/>
    <cellStyle name="Normal 2 36 3 3 2" xfId="25645" xr:uid="{00000000-0005-0000-0000-000030640000}"/>
    <cellStyle name="Normal 2 36 3 3 2 2" xfId="25646" xr:uid="{00000000-0005-0000-0000-000031640000}"/>
    <cellStyle name="Normal 2 36 3 3 3" xfId="25647" xr:uid="{00000000-0005-0000-0000-000032640000}"/>
    <cellStyle name="Normal 2 36 3 3 4" xfId="25648" xr:uid="{00000000-0005-0000-0000-000033640000}"/>
    <cellStyle name="Normal 2 36 3 3 5" xfId="25649" xr:uid="{00000000-0005-0000-0000-000034640000}"/>
    <cellStyle name="Normal 2 36 3 4" xfId="25650" xr:uid="{00000000-0005-0000-0000-000035640000}"/>
    <cellStyle name="Normal 2 36 3 4 2" xfId="25651" xr:uid="{00000000-0005-0000-0000-000036640000}"/>
    <cellStyle name="Normal 2 36 3 4 3" xfId="25652" xr:uid="{00000000-0005-0000-0000-000037640000}"/>
    <cellStyle name="Normal 2 36 3 4 4" xfId="25653" xr:uid="{00000000-0005-0000-0000-000038640000}"/>
    <cellStyle name="Normal 2 36 3 5" xfId="25654" xr:uid="{00000000-0005-0000-0000-000039640000}"/>
    <cellStyle name="Normal 2 36 3 5 2" xfId="25655" xr:uid="{00000000-0005-0000-0000-00003A640000}"/>
    <cellStyle name="Normal 2 36 3 6" xfId="25656" xr:uid="{00000000-0005-0000-0000-00003B640000}"/>
    <cellStyle name="Normal 2 36 3 7" xfId="25657" xr:uid="{00000000-0005-0000-0000-00003C640000}"/>
    <cellStyle name="Normal 2 36 3 8" xfId="25658" xr:uid="{00000000-0005-0000-0000-00003D640000}"/>
    <cellStyle name="Normal 2 36 3 9" xfId="25659" xr:uid="{00000000-0005-0000-0000-00003E640000}"/>
    <cellStyle name="Normal 2 36 4" xfId="25660" xr:uid="{00000000-0005-0000-0000-00003F640000}"/>
    <cellStyle name="Normal 2 36 4 2" xfId="25661" xr:uid="{00000000-0005-0000-0000-000040640000}"/>
    <cellStyle name="Normal 2 36 4 2 2" xfId="25662" xr:uid="{00000000-0005-0000-0000-000041640000}"/>
    <cellStyle name="Normal 2 36 4 3" xfId="25663" xr:uid="{00000000-0005-0000-0000-000042640000}"/>
    <cellStyle name="Normal 2 36 4 4" xfId="25664" xr:uid="{00000000-0005-0000-0000-000043640000}"/>
    <cellStyle name="Normal 2 36 4 5" xfId="25665" xr:uid="{00000000-0005-0000-0000-000044640000}"/>
    <cellStyle name="Normal 2 36 4 6" xfId="25666" xr:uid="{00000000-0005-0000-0000-000045640000}"/>
    <cellStyle name="Normal 2 36 5" xfId="25667" xr:uid="{00000000-0005-0000-0000-000046640000}"/>
    <cellStyle name="Normal 2 36 5 2" xfId="25668" xr:uid="{00000000-0005-0000-0000-000047640000}"/>
    <cellStyle name="Normal 2 36 5 3" xfId="25669" xr:uid="{00000000-0005-0000-0000-000048640000}"/>
    <cellStyle name="Normal 2 36 6" xfId="25670" xr:uid="{00000000-0005-0000-0000-000049640000}"/>
    <cellStyle name="Normal 2 36 6 2" xfId="25671" xr:uid="{00000000-0005-0000-0000-00004A640000}"/>
    <cellStyle name="Normal 2 36 7" xfId="25672" xr:uid="{00000000-0005-0000-0000-00004B640000}"/>
    <cellStyle name="Normal 2 36 8" xfId="25673" xr:uid="{00000000-0005-0000-0000-00004C640000}"/>
    <cellStyle name="Normal 2 37" xfId="25674" xr:uid="{00000000-0005-0000-0000-00004D640000}"/>
    <cellStyle name="Normal 2 37 2" xfId="25675" xr:uid="{00000000-0005-0000-0000-00004E640000}"/>
    <cellStyle name="Normal 2 37 2 2" xfId="25676" xr:uid="{00000000-0005-0000-0000-00004F640000}"/>
    <cellStyle name="Normal 2 37 2 2 2" xfId="25677" xr:uid="{00000000-0005-0000-0000-000050640000}"/>
    <cellStyle name="Normal 2 37 2 3" xfId="25678" xr:uid="{00000000-0005-0000-0000-000051640000}"/>
    <cellStyle name="Normal 2 37 3" xfId="25679" xr:uid="{00000000-0005-0000-0000-000052640000}"/>
    <cellStyle name="Normal 2 37 3 2" xfId="25680" xr:uid="{00000000-0005-0000-0000-000053640000}"/>
    <cellStyle name="Normal 2 37 3 2 2" xfId="25681" xr:uid="{00000000-0005-0000-0000-000054640000}"/>
    <cellStyle name="Normal 2 37 3 2 2 2" xfId="25682" xr:uid="{00000000-0005-0000-0000-000055640000}"/>
    <cellStyle name="Normal 2 37 3 2 2 3" xfId="25683" xr:uid="{00000000-0005-0000-0000-000056640000}"/>
    <cellStyle name="Normal 2 37 3 2 3" xfId="25684" xr:uid="{00000000-0005-0000-0000-000057640000}"/>
    <cellStyle name="Normal 2 37 3 2 4" xfId="25685" xr:uid="{00000000-0005-0000-0000-000058640000}"/>
    <cellStyle name="Normal 2 37 3 2 5" xfId="25686" xr:uid="{00000000-0005-0000-0000-000059640000}"/>
    <cellStyle name="Normal 2 37 3 2 6" xfId="25687" xr:uid="{00000000-0005-0000-0000-00005A640000}"/>
    <cellStyle name="Normal 2 37 3 3" xfId="25688" xr:uid="{00000000-0005-0000-0000-00005B640000}"/>
    <cellStyle name="Normal 2 37 3 3 2" xfId="25689" xr:uid="{00000000-0005-0000-0000-00005C640000}"/>
    <cellStyle name="Normal 2 37 3 3 2 2" xfId="25690" xr:uid="{00000000-0005-0000-0000-00005D640000}"/>
    <cellStyle name="Normal 2 37 3 3 3" xfId="25691" xr:uid="{00000000-0005-0000-0000-00005E640000}"/>
    <cellStyle name="Normal 2 37 3 3 4" xfId="25692" xr:uid="{00000000-0005-0000-0000-00005F640000}"/>
    <cellStyle name="Normal 2 37 3 3 5" xfId="25693" xr:uid="{00000000-0005-0000-0000-000060640000}"/>
    <cellStyle name="Normal 2 37 3 4" xfId="25694" xr:uid="{00000000-0005-0000-0000-000061640000}"/>
    <cellStyle name="Normal 2 37 3 4 2" xfId="25695" xr:uid="{00000000-0005-0000-0000-000062640000}"/>
    <cellStyle name="Normal 2 37 3 4 3" xfId="25696" xr:uid="{00000000-0005-0000-0000-000063640000}"/>
    <cellStyle name="Normal 2 37 3 4 4" xfId="25697" xr:uid="{00000000-0005-0000-0000-000064640000}"/>
    <cellStyle name="Normal 2 37 3 5" xfId="25698" xr:uid="{00000000-0005-0000-0000-000065640000}"/>
    <cellStyle name="Normal 2 37 3 5 2" xfId="25699" xr:uid="{00000000-0005-0000-0000-000066640000}"/>
    <cellStyle name="Normal 2 37 3 6" xfId="25700" xr:uid="{00000000-0005-0000-0000-000067640000}"/>
    <cellStyle name="Normal 2 37 3 7" xfId="25701" xr:uid="{00000000-0005-0000-0000-000068640000}"/>
    <cellStyle name="Normal 2 37 3 8" xfId="25702" xr:uid="{00000000-0005-0000-0000-000069640000}"/>
    <cellStyle name="Normal 2 37 3 9" xfId="25703" xr:uid="{00000000-0005-0000-0000-00006A640000}"/>
    <cellStyle name="Normal 2 37 4" xfId="25704" xr:uid="{00000000-0005-0000-0000-00006B640000}"/>
    <cellStyle name="Normal 2 37 4 2" xfId="25705" xr:uid="{00000000-0005-0000-0000-00006C640000}"/>
    <cellStyle name="Normal 2 37 4 2 2" xfId="25706" xr:uid="{00000000-0005-0000-0000-00006D640000}"/>
    <cellStyle name="Normal 2 37 4 3" xfId="25707" xr:uid="{00000000-0005-0000-0000-00006E640000}"/>
    <cellStyle name="Normal 2 37 4 4" xfId="25708" xr:uid="{00000000-0005-0000-0000-00006F640000}"/>
    <cellStyle name="Normal 2 37 4 5" xfId="25709" xr:uid="{00000000-0005-0000-0000-000070640000}"/>
    <cellStyle name="Normal 2 37 4 6" xfId="25710" xr:uid="{00000000-0005-0000-0000-000071640000}"/>
    <cellStyle name="Normal 2 37 5" xfId="25711" xr:uid="{00000000-0005-0000-0000-000072640000}"/>
    <cellStyle name="Normal 2 37 5 2" xfId="25712" xr:uid="{00000000-0005-0000-0000-000073640000}"/>
    <cellStyle name="Normal 2 37 5 3" xfId="25713" xr:uid="{00000000-0005-0000-0000-000074640000}"/>
    <cellStyle name="Normal 2 37 6" xfId="25714" xr:uid="{00000000-0005-0000-0000-000075640000}"/>
    <cellStyle name="Normal 2 37 6 2" xfId="25715" xr:uid="{00000000-0005-0000-0000-000076640000}"/>
    <cellStyle name="Normal 2 37 7" xfId="25716" xr:uid="{00000000-0005-0000-0000-000077640000}"/>
    <cellStyle name="Normal 2 37 8" xfId="25717" xr:uid="{00000000-0005-0000-0000-000078640000}"/>
    <cellStyle name="Normal 2 38" xfId="25718" xr:uid="{00000000-0005-0000-0000-000079640000}"/>
    <cellStyle name="Normal 2 38 10" xfId="25719" xr:uid="{00000000-0005-0000-0000-00007A640000}"/>
    <cellStyle name="Normal 2 38 11" xfId="25720" xr:uid="{00000000-0005-0000-0000-00007B640000}"/>
    <cellStyle name="Normal 2 38 2" xfId="25721" xr:uid="{00000000-0005-0000-0000-00007C640000}"/>
    <cellStyle name="Normal 2 38 2 2" xfId="25722" xr:uid="{00000000-0005-0000-0000-00007D640000}"/>
    <cellStyle name="Normal 2 38 2 2 2" xfId="25723" xr:uid="{00000000-0005-0000-0000-00007E640000}"/>
    <cellStyle name="Normal 2 38 2 2 2 2" xfId="25724" xr:uid="{00000000-0005-0000-0000-00007F640000}"/>
    <cellStyle name="Normal 2 38 2 2 2 3" xfId="25725" xr:uid="{00000000-0005-0000-0000-000080640000}"/>
    <cellStyle name="Normal 2 38 2 2 3" xfId="25726" xr:uid="{00000000-0005-0000-0000-000081640000}"/>
    <cellStyle name="Normal 2 38 2 2 4" xfId="25727" xr:uid="{00000000-0005-0000-0000-000082640000}"/>
    <cellStyle name="Normal 2 38 2 2 5" xfId="25728" xr:uid="{00000000-0005-0000-0000-000083640000}"/>
    <cellStyle name="Normal 2 38 2 2 6" xfId="25729" xr:uid="{00000000-0005-0000-0000-000084640000}"/>
    <cellStyle name="Normal 2 38 2 3" xfId="25730" xr:uid="{00000000-0005-0000-0000-000085640000}"/>
    <cellStyle name="Normal 2 38 2 3 2" xfId="25731" xr:uid="{00000000-0005-0000-0000-000086640000}"/>
    <cellStyle name="Normal 2 38 2 3 2 2" xfId="25732" xr:uid="{00000000-0005-0000-0000-000087640000}"/>
    <cellStyle name="Normal 2 38 2 3 3" xfId="25733" xr:uid="{00000000-0005-0000-0000-000088640000}"/>
    <cellStyle name="Normal 2 38 2 3 4" xfId="25734" xr:uid="{00000000-0005-0000-0000-000089640000}"/>
    <cellStyle name="Normal 2 38 2 3 5" xfId="25735" xr:uid="{00000000-0005-0000-0000-00008A640000}"/>
    <cellStyle name="Normal 2 38 2 4" xfId="25736" xr:uid="{00000000-0005-0000-0000-00008B640000}"/>
    <cellStyle name="Normal 2 38 2 4 2" xfId="25737" xr:uid="{00000000-0005-0000-0000-00008C640000}"/>
    <cellStyle name="Normal 2 38 2 4 3" xfId="25738" xr:uid="{00000000-0005-0000-0000-00008D640000}"/>
    <cellStyle name="Normal 2 38 2 4 4" xfId="25739" xr:uid="{00000000-0005-0000-0000-00008E640000}"/>
    <cellStyle name="Normal 2 38 2 5" xfId="25740" xr:uid="{00000000-0005-0000-0000-00008F640000}"/>
    <cellStyle name="Normal 2 38 2 5 2" xfId="25741" xr:uid="{00000000-0005-0000-0000-000090640000}"/>
    <cellStyle name="Normal 2 38 2 6" xfId="25742" xr:uid="{00000000-0005-0000-0000-000091640000}"/>
    <cellStyle name="Normal 2 38 2 7" xfId="25743" xr:uid="{00000000-0005-0000-0000-000092640000}"/>
    <cellStyle name="Normal 2 38 2 8" xfId="25744" xr:uid="{00000000-0005-0000-0000-000093640000}"/>
    <cellStyle name="Normal 2 38 2 9" xfId="25745" xr:uid="{00000000-0005-0000-0000-000094640000}"/>
    <cellStyle name="Normal 2 38 3" xfId="25746" xr:uid="{00000000-0005-0000-0000-000095640000}"/>
    <cellStyle name="Normal 2 38 3 2" xfId="25747" xr:uid="{00000000-0005-0000-0000-000096640000}"/>
    <cellStyle name="Normal 2 38 3 2 2" xfId="25748" xr:uid="{00000000-0005-0000-0000-000097640000}"/>
    <cellStyle name="Normal 2 38 3 2 2 2" xfId="25749" xr:uid="{00000000-0005-0000-0000-000098640000}"/>
    <cellStyle name="Normal 2 38 3 2 2 3" xfId="25750" xr:uid="{00000000-0005-0000-0000-000099640000}"/>
    <cellStyle name="Normal 2 38 3 2 3" xfId="25751" xr:uid="{00000000-0005-0000-0000-00009A640000}"/>
    <cellStyle name="Normal 2 38 3 2 4" xfId="25752" xr:uid="{00000000-0005-0000-0000-00009B640000}"/>
    <cellStyle name="Normal 2 38 3 2 5" xfId="25753" xr:uid="{00000000-0005-0000-0000-00009C640000}"/>
    <cellStyle name="Normal 2 38 3 2 6" xfId="25754" xr:uid="{00000000-0005-0000-0000-00009D640000}"/>
    <cellStyle name="Normal 2 38 3 3" xfId="25755" xr:uid="{00000000-0005-0000-0000-00009E640000}"/>
    <cellStyle name="Normal 2 38 3 3 2" xfId="25756" xr:uid="{00000000-0005-0000-0000-00009F640000}"/>
    <cellStyle name="Normal 2 38 3 3 2 2" xfId="25757" xr:uid="{00000000-0005-0000-0000-0000A0640000}"/>
    <cellStyle name="Normal 2 38 3 3 3" xfId="25758" xr:uid="{00000000-0005-0000-0000-0000A1640000}"/>
    <cellStyle name="Normal 2 38 3 3 4" xfId="25759" xr:uid="{00000000-0005-0000-0000-0000A2640000}"/>
    <cellStyle name="Normal 2 38 3 3 5" xfId="25760" xr:uid="{00000000-0005-0000-0000-0000A3640000}"/>
    <cellStyle name="Normal 2 38 3 4" xfId="25761" xr:uid="{00000000-0005-0000-0000-0000A4640000}"/>
    <cellStyle name="Normal 2 38 3 4 2" xfId="25762" xr:uid="{00000000-0005-0000-0000-0000A5640000}"/>
    <cellStyle name="Normal 2 38 3 4 3" xfId="25763" xr:uid="{00000000-0005-0000-0000-0000A6640000}"/>
    <cellStyle name="Normal 2 38 3 4 4" xfId="25764" xr:uid="{00000000-0005-0000-0000-0000A7640000}"/>
    <cellStyle name="Normal 2 38 3 5" xfId="25765" xr:uid="{00000000-0005-0000-0000-0000A8640000}"/>
    <cellStyle name="Normal 2 38 3 5 2" xfId="25766" xr:uid="{00000000-0005-0000-0000-0000A9640000}"/>
    <cellStyle name="Normal 2 38 3 6" xfId="25767" xr:uid="{00000000-0005-0000-0000-0000AA640000}"/>
    <cellStyle name="Normal 2 38 3 7" xfId="25768" xr:uid="{00000000-0005-0000-0000-0000AB640000}"/>
    <cellStyle name="Normal 2 38 3 8" xfId="25769" xr:uid="{00000000-0005-0000-0000-0000AC640000}"/>
    <cellStyle name="Normal 2 38 3 9" xfId="25770" xr:uid="{00000000-0005-0000-0000-0000AD640000}"/>
    <cellStyle name="Normal 2 38 4" xfId="25771" xr:uid="{00000000-0005-0000-0000-0000AE640000}"/>
    <cellStyle name="Normal 2 38 4 2" xfId="25772" xr:uid="{00000000-0005-0000-0000-0000AF640000}"/>
    <cellStyle name="Normal 2 38 4 2 2" xfId="25773" xr:uid="{00000000-0005-0000-0000-0000B0640000}"/>
    <cellStyle name="Normal 2 38 4 2 3" xfId="25774" xr:uid="{00000000-0005-0000-0000-0000B1640000}"/>
    <cellStyle name="Normal 2 38 4 3" xfId="25775" xr:uid="{00000000-0005-0000-0000-0000B2640000}"/>
    <cellStyle name="Normal 2 38 4 4" xfId="25776" xr:uid="{00000000-0005-0000-0000-0000B3640000}"/>
    <cellStyle name="Normal 2 38 4 5" xfId="25777" xr:uid="{00000000-0005-0000-0000-0000B4640000}"/>
    <cellStyle name="Normal 2 38 4 6" xfId="25778" xr:uid="{00000000-0005-0000-0000-0000B5640000}"/>
    <cellStyle name="Normal 2 38 5" xfId="25779" xr:uid="{00000000-0005-0000-0000-0000B6640000}"/>
    <cellStyle name="Normal 2 38 5 2" xfId="25780" xr:uid="{00000000-0005-0000-0000-0000B7640000}"/>
    <cellStyle name="Normal 2 38 5 2 2" xfId="25781" xr:uid="{00000000-0005-0000-0000-0000B8640000}"/>
    <cellStyle name="Normal 2 38 5 3" xfId="25782" xr:uid="{00000000-0005-0000-0000-0000B9640000}"/>
    <cellStyle name="Normal 2 38 5 4" xfId="25783" xr:uid="{00000000-0005-0000-0000-0000BA640000}"/>
    <cellStyle name="Normal 2 38 5 5" xfId="25784" xr:uid="{00000000-0005-0000-0000-0000BB640000}"/>
    <cellStyle name="Normal 2 38 5 6" xfId="25785" xr:uid="{00000000-0005-0000-0000-0000BC640000}"/>
    <cellStyle name="Normal 2 38 6" xfId="25786" xr:uid="{00000000-0005-0000-0000-0000BD640000}"/>
    <cellStyle name="Normal 2 38 6 2" xfId="25787" xr:uid="{00000000-0005-0000-0000-0000BE640000}"/>
    <cellStyle name="Normal 2 38 6 3" xfId="25788" xr:uid="{00000000-0005-0000-0000-0000BF640000}"/>
    <cellStyle name="Normal 2 38 6 4" xfId="25789" xr:uid="{00000000-0005-0000-0000-0000C0640000}"/>
    <cellStyle name="Normal 2 38 6 5" xfId="25790" xr:uid="{00000000-0005-0000-0000-0000C1640000}"/>
    <cellStyle name="Normal 2 38 7" xfId="25791" xr:uid="{00000000-0005-0000-0000-0000C2640000}"/>
    <cellStyle name="Normal 2 38 7 2" xfId="25792" xr:uid="{00000000-0005-0000-0000-0000C3640000}"/>
    <cellStyle name="Normal 2 38 7 3" xfId="25793" xr:uid="{00000000-0005-0000-0000-0000C4640000}"/>
    <cellStyle name="Normal 2 38 8" xfId="25794" xr:uid="{00000000-0005-0000-0000-0000C5640000}"/>
    <cellStyle name="Normal 2 38 9" xfId="25795" xr:uid="{00000000-0005-0000-0000-0000C6640000}"/>
    <cellStyle name="Normal 2 39" xfId="25796" xr:uid="{00000000-0005-0000-0000-0000C7640000}"/>
    <cellStyle name="Normal 2 39 10" xfId="25797" xr:uid="{00000000-0005-0000-0000-0000C8640000}"/>
    <cellStyle name="Normal 2 39 2" xfId="25798" xr:uid="{00000000-0005-0000-0000-0000C9640000}"/>
    <cellStyle name="Normal 2 39 2 2" xfId="25799" xr:uid="{00000000-0005-0000-0000-0000CA640000}"/>
    <cellStyle name="Normal 2 39 2 2 2" xfId="25800" xr:uid="{00000000-0005-0000-0000-0000CB640000}"/>
    <cellStyle name="Normal 2 39 2 2 3" xfId="25801" xr:uid="{00000000-0005-0000-0000-0000CC640000}"/>
    <cellStyle name="Normal 2 39 2 3" xfId="25802" xr:uid="{00000000-0005-0000-0000-0000CD640000}"/>
    <cellStyle name="Normal 2 39 2 4" xfId="25803" xr:uid="{00000000-0005-0000-0000-0000CE640000}"/>
    <cellStyle name="Normal 2 39 2 5" xfId="25804" xr:uid="{00000000-0005-0000-0000-0000CF640000}"/>
    <cellStyle name="Normal 2 39 2 6" xfId="25805" xr:uid="{00000000-0005-0000-0000-0000D0640000}"/>
    <cellStyle name="Normal 2 39 3" xfId="25806" xr:uid="{00000000-0005-0000-0000-0000D1640000}"/>
    <cellStyle name="Normal 2 39 3 2" xfId="25807" xr:uid="{00000000-0005-0000-0000-0000D2640000}"/>
    <cellStyle name="Normal 2 39 3 2 2" xfId="25808" xr:uid="{00000000-0005-0000-0000-0000D3640000}"/>
    <cellStyle name="Normal 2 39 3 2 3" xfId="25809" xr:uid="{00000000-0005-0000-0000-0000D4640000}"/>
    <cellStyle name="Normal 2 39 3 3" xfId="25810" xr:uid="{00000000-0005-0000-0000-0000D5640000}"/>
    <cellStyle name="Normal 2 39 3 4" xfId="25811" xr:uid="{00000000-0005-0000-0000-0000D6640000}"/>
    <cellStyle name="Normal 2 39 3 5" xfId="25812" xr:uid="{00000000-0005-0000-0000-0000D7640000}"/>
    <cellStyle name="Normal 2 39 3 6" xfId="25813" xr:uid="{00000000-0005-0000-0000-0000D8640000}"/>
    <cellStyle name="Normal 2 39 4" xfId="25814" xr:uid="{00000000-0005-0000-0000-0000D9640000}"/>
    <cellStyle name="Normal 2 39 4 2" xfId="25815" xr:uid="{00000000-0005-0000-0000-0000DA640000}"/>
    <cellStyle name="Normal 2 39 4 2 2" xfId="25816" xr:uid="{00000000-0005-0000-0000-0000DB640000}"/>
    <cellStyle name="Normal 2 39 4 3" xfId="25817" xr:uid="{00000000-0005-0000-0000-0000DC640000}"/>
    <cellStyle name="Normal 2 39 4 4" xfId="25818" xr:uid="{00000000-0005-0000-0000-0000DD640000}"/>
    <cellStyle name="Normal 2 39 4 5" xfId="25819" xr:uid="{00000000-0005-0000-0000-0000DE640000}"/>
    <cellStyle name="Normal 2 39 4 6" xfId="25820" xr:uid="{00000000-0005-0000-0000-0000DF640000}"/>
    <cellStyle name="Normal 2 39 5" xfId="25821" xr:uid="{00000000-0005-0000-0000-0000E0640000}"/>
    <cellStyle name="Normal 2 39 5 2" xfId="25822" xr:uid="{00000000-0005-0000-0000-0000E1640000}"/>
    <cellStyle name="Normal 2 39 5 3" xfId="25823" xr:uid="{00000000-0005-0000-0000-0000E2640000}"/>
    <cellStyle name="Normal 2 39 5 4" xfId="25824" xr:uid="{00000000-0005-0000-0000-0000E3640000}"/>
    <cellStyle name="Normal 2 39 5 5" xfId="25825" xr:uid="{00000000-0005-0000-0000-0000E4640000}"/>
    <cellStyle name="Normal 2 39 6" xfId="25826" xr:uid="{00000000-0005-0000-0000-0000E5640000}"/>
    <cellStyle name="Normal 2 39 6 2" xfId="25827" xr:uid="{00000000-0005-0000-0000-0000E6640000}"/>
    <cellStyle name="Normal 2 39 6 3" xfId="25828" xr:uid="{00000000-0005-0000-0000-0000E7640000}"/>
    <cellStyle name="Normal 2 39 7" xfId="25829" xr:uid="{00000000-0005-0000-0000-0000E8640000}"/>
    <cellStyle name="Normal 2 39 7 2" xfId="25830" xr:uid="{00000000-0005-0000-0000-0000E9640000}"/>
    <cellStyle name="Normal 2 39 8" xfId="25831" xr:uid="{00000000-0005-0000-0000-0000EA640000}"/>
    <cellStyle name="Normal 2 39 9" xfId="25832" xr:uid="{00000000-0005-0000-0000-0000EB640000}"/>
    <cellStyle name="Normal 2 4" xfId="25833" xr:uid="{00000000-0005-0000-0000-0000EC640000}"/>
    <cellStyle name="Normal 2 4 2" xfId="25834" xr:uid="{00000000-0005-0000-0000-0000ED640000}"/>
    <cellStyle name="Normal 2 4 2 10" xfId="25835" xr:uid="{00000000-0005-0000-0000-0000EE640000}"/>
    <cellStyle name="Normal 2 4 2 10 10" xfId="25836" xr:uid="{00000000-0005-0000-0000-0000EF640000}"/>
    <cellStyle name="Normal 2 4 2 10 2" xfId="25837" xr:uid="{00000000-0005-0000-0000-0000F0640000}"/>
    <cellStyle name="Normal 2 4 2 10 2 2" xfId="25838" xr:uid="{00000000-0005-0000-0000-0000F1640000}"/>
    <cellStyle name="Normal 2 4 2 10 2 2 2" xfId="25839" xr:uid="{00000000-0005-0000-0000-0000F2640000}"/>
    <cellStyle name="Normal 2 4 2 10 2 2 3" xfId="25840" xr:uid="{00000000-0005-0000-0000-0000F3640000}"/>
    <cellStyle name="Normal 2 4 2 10 2 3" xfId="25841" xr:uid="{00000000-0005-0000-0000-0000F4640000}"/>
    <cellStyle name="Normal 2 4 2 10 2 4" xfId="25842" xr:uid="{00000000-0005-0000-0000-0000F5640000}"/>
    <cellStyle name="Normal 2 4 2 10 2 5" xfId="25843" xr:uid="{00000000-0005-0000-0000-0000F6640000}"/>
    <cellStyle name="Normal 2 4 2 10 2 6" xfId="25844" xr:uid="{00000000-0005-0000-0000-0000F7640000}"/>
    <cellStyle name="Normal 2 4 2 10 3" xfId="25845" xr:uid="{00000000-0005-0000-0000-0000F8640000}"/>
    <cellStyle name="Normal 2 4 2 10 3 2" xfId="25846" xr:uid="{00000000-0005-0000-0000-0000F9640000}"/>
    <cellStyle name="Normal 2 4 2 10 3 2 2" xfId="25847" xr:uid="{00000000-0005-0000-0000-0000FA640000}"/>
    <cellStyle name="Normal 2 4 2 10 3 2 3" xfId="25848" xr:uid="{00000000-0005-0000-0000-0000FB640000}"/>
    <cellStyle name="Normal 2 4 2 10 3 3" xfId="25849" xr:uid="{00000000-0005-0000-0000-0000FC640000}"/>
    <cellStyle name="Normal 2 4 2 10 3 4" xfId="25850" xr:uid="{00000000-0005-0000-0000-0000FD640000}"/>
    <cellStyle name="Normal 2 4 2 10 3 5" xfId="25851" xr:uid="{00000000-0005-0000-0000-0000FE640000}"/>
    <cellStyle name="Normal 2 4 2 10 3 6" xfId="25852" xr:uid="{00000000-0005-0000-0000-0000FF640000}"/>
    <cellStyle name="Normal 2 4 2 10 4" xfId="25853" xr:uid="{00000000-0005-0000-0000-000000650000}"/>
    <cellStyle name="Normal 2 4 2 10 4 2" xfId="25854" xr:uid="{00000000-0005-0000-0000-000001650000}"/>
    <cellStyle name="Normal 2 4 2 10 4 2 2" xfId="25855" xr:uid="{00000000-0005-0000-0000-000002650000}"/>
    <cellStyle name="Normal 2 4 2 10 4 3" xfId="25856" xr:uid="{00000000-0005-0000-0000-000003650000}"/>
    <cellStyle name="Normal 2 4 2 10 4 4" xfId="25857" xr:uid="{00000000-0005-0000-0000-000004650000}"/>
    <cellStyle name="Normal 2 4 2 10 4 5" xfId="25858" xr:uid="{00000000-0005-0000-0000-000005650000}"/>
    <cellStyle name="Normal 2 4 2 10 5" xfId="25859" xr:uid="{00000000-0005-0000-0000-000006650000}"/>
    <cellStyle name="Normal 2 4 2 10 5 2" xfId="25860" xr:uid="{00000000-0005-0000-0000-000007650000}"/>
    <cellStyle name="Normal 2 4 2 10 5 3" xfId="25861" xr:uid="{00000000-0005-0000-0000-000008650000}"/>
    <cellStyle name="Normal 2 4 2 10 5 4" xfId="25862" xr:uid="{00000000-0005-0000-0000-000009650000}"/>
    <cellStyle name="Normal 2 4 2 10 6" xfId="25863" xr:uid="{00000000-0005-0000-0000-00000A650000}"/>
    <cellStyle name="Normal 2 4 2 10 6 2" xfId="25864" xr:uid="{00000000-0005-0000-0000-00000B650000}"/>
    <cellStyle name="Normal 2 4 2 10 7" xfId="25865" xr:uid="{00000000-0005-0000-0000-00000C650000}"/>
    <cellStyle name="Normal 2 4 2 10 8" xfId="25866" xr:uid="{00000000-0005-0000-0000-00000D650000}"/>
    <cellStyle name="Normal 2 4 2 10 9" xfId="25867" xr:uid="{00000000-0005-0000-0000-00000E650000}"/>
    <cellStyle name="Normal 2 4 2 11" xfId="25868" xr:uid="{00000000-0005-0000-0000-00000F650000}"/>
    <cellStyle name="Normal 2 4 2 11 10" xfId="25869" xr:uid="{00000000-0005-0000-0000-000010650000}"/>
    <cellStyle name="Normal 2 4 2 11 2" xfId="25870" xr:uid="{00000000-0005-0000-0000-000011650000}"/>
    <cellStyle name="Normal 2 4 2 11 2 2" xfId="25871" xr:uid="{00000000-0005-0000-0000-000012650000}"/>
    <cellStyle name="Normal 2 4 2 11 2 2 2" xfId="25872" xr:uid="{00000000-0005-0000-0000-000013650000}"/>
    <cellStyle name="Normal 2 4 2 11 2 2 3" xfId="25873" xr:uid="{00000000-0005-0000-0000-000014650000}"/>
    <cellStyle name="Normal 2 4 2 11 2 3" xfId="25874" xr:uid="{00000000-0005-0000-0000-000015650000}"/>
    <cellStyle name="Normal 2 4 2 11 2 4" xfId="25875" xr:uid="{00000000-0005-0000-0000-000016650000}"/>
    <cellStyle name="Normal 2 4 2 11 2 5" xfId="25876" xr:uid="{00000000-0005-0000-0000-000017650000}"/>
    <cellStyle name="Normal 2 4 2 11 2 6" xfId="25877" xr:uid="{00000000-0005-0000-0000-000018650000}"/>
    <cellStyle name="Normal 2 4 2 11 3" xfId="25878" xr:uid="{00000000-0005-0000-0000-000019650000}"/>
    <cellStyle name="Normal 2 4 2 11 3 2" xfId="25879" xr:uid="{00000000-0005-0000-0000-00001A650000}"/>
    <cellStyle name="Normal 2 4 2 11 3 2 2" xfId="25880" xr:uid="{00000000-0005-0000-0000-00001B650000}"/>
    <cellStyle name="Normal 2 4 2 11 3 2 3" xfId="25881" xr:uid="{00000000-0005-0000-0000-00001C650000}"/>
    <cellStyle name="Normal 2 4 2 11 3 3" xfId="25882" xr:uid="{00000000-0005-0000-0000-00001D650000}"/>
    <cellStyle name="Normal 2 4 2 11 3 4" xfId="25883" xr:uid="{00000000-0005-0000-0000-00001E650000}"/>
    <cellStyle name="Normal 2 4 2 11 3 5" xfId="25884" xr:uid="{00000000-0005-0000-0000-00001F650000}"/>
    <cellStyle name="Normal 2 4 2 11 3 6" xfId="25885" xr:uid="{00000000-0005-0000-0000-000020650000}"/>
    <cellStyle name="Normal 2 4 2 11 4" xfId="25886" xr:uid="{00000000-0005-0000-0000-000021650000}"/>
    <cellStyle name="Normal 2 4 2 11 4 2" xfId="25887" xr:uid="{00000000-0005-0000-0000-000022650000}"/>
    <cellStyle name="Normal 2 4 2 11 4 2 2" xfId="25888" xr:uid="{00000000-0005-0000-0000-000023650000}"/>
    <cellStyle name="Normal 2 4 2 11 4 3" xfId="25889" xr:uid="{00000000-0005-0000-0000-000024650000}"/>
    <cellStyle name="Normal 2 4 2 11 4 4" xfId="25890" xr:uid="{00000000-0005-0000-0000-000025650000}"/>
    <cellStyle name="Normal 2 4 2 11 4 5" xfId="25891" xr:uid="{00000000-0005-0000-0000-000026650000}"/>
    <cellStyle name="Normal 2 4 2 11 5" xfId="25892" xr:uid="{00000000-0005-0000-0000-000027650000}"/>
    <cellStyle name="Normal 2 4 2 11 5 2" xfId="25893" xr:uid="{00000000-0005-0000-0000-000028650000}"/>
    <cellStyle name="Normal 2 4 2 11 5 3" xfId="25894" xr:uid="{00000000-0005-0000-0000-000029650000}"/>
    <cellStyle name="Normal 2 4 2 11 5 4" xfId="25895" xr:uid="{00000000-0005-0000-0000-00002A650000}"/>
    <cellStyle name="Normal 2 4 2 11 6" xfId="25896" xr:uid="{00000000-0005-0000-0000-00002B650000}"/>
    <cellStyle name="Normal 2 4 2 11 6 2" xfId="25897" xr:uid="{00000000-0005-0000-0000-00002C650000}"/>
    <cellStyle name="Normal 2 4 2 11 7" xfId="25898" xr:uid="{00000000-0005-0000-0000-00002D650000}"/>
    <cellStyle name="Normal 2 4 2 11 8" xfId="25899" xr:uid="{00000000-0005-0000-0000-00002E650000}"/>
    <cellStyle name="Normal 2 4 2 11 9" xfId="25900" xr:uid="{00000000-0005-0000-0000-00002F650000}"/>
    <cellStyle name="Normal 2 4 2 12" xfId="25901" xr:uid="{00000000-0005-0000-0000-000030650000}"/>
    <cellStyle name="Normal 2 4 2 12 10" xfId="25902" xr:uid="{00000000-0005-0000-0000-000031650000}"/>
    <cellStyle name="Normal 2 4 2 12 2" xfId="25903" xr:uid="{00000000-0005-0000-0000-000032650000}"/>
    <cellStyle name="Normal 2 4 2 12 2 2" xfId="25904" xr:uid="{00000000-0005-0000-0000-000033650000}"/>
    <cellStyle name="Normal 2 4 2 12 2 2 2" xfId="25905" xr:uid="{00000000-0005-0000-0000-000034650000}"/>
    <cellStyle name="Normal 2 4 2 12 2 2 3" xfId="25906" xr:uid="{00000000-0005-0000-0000-000035650000}"/>
    <cellStyle name="Normal 2 4 2 12 2 3" xfId="25907" xr:uid="{00000000-0005-0000-0000-000036650000}"/>
    <cellStyle name="Normal 2 4 2 12 2 4" xfId="25908" xr:uid="{00000000-0005-0000-0000-000037650000}"/>
    <cellStyle name="Normal 2 4 2 12 2 5" xfId="25909" xr:uid="{00000000-0005-0000-0000-000038650000}"/>
    <cellStyle name="Normal 2 4 2 12 2 6" xfId="25910" xr:uid="{00000000-0005-0000-0000-000039650000}"/>
    <cellStyle name="Normal 2 4 2 12 3" xfId="25911" xr:uid="{00000000-0005-0000-0000-00003A650000}"/>
    <cellStyle name="Normal 2 4 2 12 3 2" xfId="25912" xr:uid="{00000000-0005-0000-0000-00003B650000}"/>
    <cellStyle name="Normal 2 4 2 12 3 2 2" xfId="25913" xr:uid="{00000000-0005-0000-0000-00003C650000}"/>
    <cellStyle name="Normal 2 4 2 12 3 2 3" xfId="25914" xr:uid="{00000000-0005-0000-0000-00003D650000}"/>
    <cellStyle name="Normal 2 4 2 12 3 3" xfId="25915" xr:uid="{00000000-0005-0000-0000-00003E650000}"/>
    <cellStyle name="Normal 2 4 2 12 3 4" xfId="25916" xr:uid="{00000000-0005-0000-0000-00003F650000}"/>
    <cellStyle name="Normal 2 4 2 12 3 5" xfId="25917" xr:uid="{00000000-0005-0000-0000-000040650000}"/>
    <cellStyle name="Normal 2 4 2 12 3 6" xfId="25918" xr:uid="{00000000-0005-0000-0000-000041650000}"/>
    <cellStyle name="Normal 2 4 2 12 4" xfId="25919" xr:uid="{00000000-0005-0000-0000-000042650000}"/>
    <cellStyle name="Normal 2 4 2 12 4 2" xfId="25920" xr:uid="{00000000-0005-0000-0000-000043650000}"/>
    <cellStyle name="Normal 2 4 2 12 4 2 2" xfId="25921" xr:uid="{00000000-0005-0000-0000-000044650000}"/>
    <cellStyle name="Normal 2 4 2 12 4 3" xfId="25922" xr:uid="{00000000-0005-0000-0000-000045650000}"/>
    <cellStyle name="Normal 2 4 2 12 4 4" xfId="25923" xr:uid="{00000000-0005-0000-0000-000046650000}"/>
    <cellStyle name="Normal 2 4 2 12 4 5" xfId="25924" xr:uid="{00000000-0005-0000-0000-000047650000}"/>
    <cellStyle name="Normal 2 4 2 12 5" xfId="25925" xr:uid="{00000000-0005-0000-0000-000048650000}"/>
    <cellStyle name="Normal 2 4 2 12 5 2" xfId="25926" xr:uid="{00000000-0005-0000-0000-000049650000}"/>
    <cellStyle name="Normal 2 4 2 12 5 3" xfId="25927" xr:uid="{00000000-0005-0000-0000-00004A650000}"/>
    <cellStyle name="Normal 2 4 2 12 5 4" xfId="25928" xr:uid="{00000000-0005-0000-0000-00004B650000}"/>
    <cellStyle name="Normal 2 4 2 12 6" xfId="25929" xr:uid="{00000000-0005-0000-0000-00004C650000}"/>
    <cellStyle name="Normal 2 4 2 12 6 2" xfId="25930" xr:uid="{00000000-0005-0000-0000-00004D650000}"/>
    <cellStyle name="Normal 2 4 2 12 7" xfId="25931" xr:uid="{00000000-0005-0000-0000-00004E650000}"/>
    <cellStyle name="Normal 2 4 2 12 8" xfId="25932" xr:uid="{00000000-0005-0000-0000-00004F650000}"/>
    <cellStyle name="Normal 2 4 2 12 9" xfId="25933" xr:uid="{00000000-0005-0000-0000-000050650000}"/>
    <cellStyle name="Normal 2 4 2 13" xfId="25934" xr:uid="{00000000-0005-0000-0000-000051650000}"/>
    <cellStyle name="Normal 2 4 2 13 2" xfId="25935" xr:uid="{00000000-0005-0000-0000-000052650000}"/>
    <cellStyle name="Normal 2 4 2 13 2 2" xfId="25936" xr:uid="{00000000-0005-0000-0000-000053650000}"/>
    <cellStyle name="Normal 2 4 2 13 2 2 2" xfId="25937" xr:uid="{00000000-0005-0000-0000-000054650000}"/>
    <cellStyle name="Normal 2 4 2 13 2 2 3" xfId="25938" xr:uid="{00000000-0005-0000-0000-000055650000}"/>
    <cellStyle name="Normal 2 4 2 13 2 3" xfId="25939" xr:uid="{00000000-0005-0000-0000-000056650000}"/>
    <cellStyle name="Normal 2 4 2 13 2 4" xfId="25940" xr:uid="{00000000-0005-0000-0000-000057650000}"/>
    <cellStyle name="Normal 2 4 2 13 2 5" xfId="25941" xr:uid="{00000000-0005-0000-0000-000058650000}"/>
    <cellStyle name="Normal 2 4 2 13 2 6" xfId="25942" xr:uid="{00000000-0005-0000-0000-000059650000}"/>
    <cellStyle name="Normal 2 4 2 13 3" xfId="25943" xr:uid="{00000000-0005-0000-0000-00005A650000}"/>
    <cellStyle name="Normal 2 4 2 13 3 2" xfId="25944" xr:uid="{00000000-0005-0000-0000-00005B650000}"/>
    <cellStyle name="Normal 2 4 2 13 3 2 2" xfId="25945" xr:uid="{00000000-0005-0000-0000-00005C650000}"/>
    <cellStyle name="Normal 2 4 2 13 3 3" xfId="25946" xr:uid="{00000000-0005-0000-0000-00005D650000}"/>
    <cellStyle name="Normal 2 4 2 13 3 4" xfId="25947" xr:uid="{00000000-0005-0000-0000-00005E650000}"/>
    <cellStyle name="Normal 2 4 2 13 3 5" xfId="25948" xr:uid="{00000000-0005-0000-0000-00005F650000}"/>
    <cellStyle name="Normal 2 4 2 13 4" xfId="25949" xr:uid="{00000000-0005-0000-0000-000060650000}"/>
    <cellStyle name="Normal 2 4 2 13 4 2" xfId="25950" xr:uid="{00000000-0005-0000-0000-000061650000}"/>
    <cellStyle name="Normal 2 4 2 13 4 3" xfId="25951" xr:uid="{00000000-0005-0000-0000-000062650000}"/>
    <cellStyle name="Normal 2 4 2 13 4 4" xfId="25952" xr:uid="{00000000-0005-0000-0000-000063650000}"/>
    <cellStyle name="Normal 2 4 2 13 5" xfId="25953" xr:uid="{00000000-0005-0000-0000-000064650000}"/>
    <cellStyle name="Normal 2 4 2 13 5 2" xfId="25954" xr:uid="{00000000-0005-0000-0000-000065650000}"/>
    <cellStyle name="Normal 2 4 2 13 6" xfId="25955" xr:uid="{00000000-0005-0000-0000-000066650000}"/>
    <cellStyle name="Normal 2 4 2 13 7" xfId="25956" xr:uid="{00000000-0005-0000-0000-000067650000}"/>
    <cellStyle name="Normal 2 4 2 13 8" xfId="25957" xr:uid="{00000000-0005-0000-0000-000068650000}"/>
    <cellStyle name="Normal 2 4 2 13 9" xfId="25958" xr:uid="{00000000-0005-0000-0000-000069650000}"/>
    <cellStyle name="Normal 2 4 2 14" xfId="25959" xr:uid="{00000000-0005-0000-0000-00006A650000}"/>
    <cellStyle name="Normal 2 4 2 14 2" xfId="25960" xr:uid="{00000000-0005-0000-0000-00006B650000}"/>
    <cellStyle name="Normal 2 4 2 14 2 2" xfId="25961" xr:uid="{00000000-0005-0000-0000-00006C650000}"/>
    <cellStyle name="Normal 2 4 2 14 2 2 2" xfId="25962" xr:uid="{00000000-0005-0000-0000-00006D650000}"/>
    <cellStyle name="Normal 2 4 2 14 2 2 3" xfId="25963" xr:uid="{00000000-0005-0000-0000-00006E650000}"/>
    <cellStyle name="Normal 2 4 2 14 2 3" xfId="25964" xr:uid="{00000000-0005-0000-0000-00006F650000}"/>
    <cellStyle name="Normal 2 4 2 14 2 4" xfId="25965" xr:uid="{00000000-0005-0000-0000-000070650000}"/>
    <cellStyle name="Normal 2 4 2 14 2 5" xfId="25966" xr:uid="{00000000-0005-0000-0000-000071650000}"/>
    <cellStyle name="Normal 2 4 2 14 2 6" xfId="25967" xr:uid="{00000000-0005-0000-0000-000072650000}"/>
    <cellStyle name="Normal 2 4 2 14 3" xfId="25968" xr:uid="{00000000-0005-0000-0000-000073650000}"/>
    <cellStyle name="Normal 2 4 2 14 3 2" xfId="25969" xr:uid="{00000000-0005-0000-0000-000074650000}"/>
    <cellStyle name="Normal 2 4 2 14 3 2 2" xfId="25970" xr:uid="{00000000-0005-0000-0000-000075650000}"/>
    <cellStyle name="Normal 2 4 2 14 3 3" xfId="25971" xr:uid="{00000000-0005-0000-0000-000076650000}"/>
    <cellStyle name="Normal 2 4 2 14 3 4" xfId="25972" xr:uid="{00000000-0005-0000-0000-000077650000}"/>
    <cellStyle name="Normal 2 4 2 14 3 5" xfId="25973" xr:uid="{00000000-0005-0000-0000-000078650000}"/>
    <cellStyle name="Normal 2 4 2 14 4" xfId="25974" xr:uid="{00000000-0005-0000-0000-000079650000}"/>
    <cellStyle name="Normal 2 4 2 14 4 2" xfId="25975" xr:uid="{00000000-0005-0000-0000-00007A650000}"/>
    <cellStyle name="Normal 2 4 2 14 4 3" xfId="25976" xr:uid="{00000000-0005-0000-0000-00007B650000}"/>
    <cellStyle name="Normal 2 4 2 14 4 4" xfId="25977" xr:uid="{00000000-0005-0000-0000-00007C650000}"/>
    <cellStyle name="Normal 2 4 2 14 5" xfId="25978" xr:uid="{00000000-0005-0000-0000-00007D650000}"/>
    <cellStyle name="Normal 2 4 2 14 5 2" xfId="25979" xr:uid="{00000000-0005-0000-0000-00007E650000}"/>
    <cellStyle name="Normal 2 4 2 14 6" xfId="25980" xr:uid="{00000000-0005-0000-0000-00007F650000}"/>
    <cellStyle name="Normal 2 4 2 14 7" xfId="25981" xr:uid="{00000000-0005-0000-0000-000080650000}"/>
    <cellStyle name="Normal 2 4 2 14 8" xfId="25982" xr:uid="{00000000-0005-0000-0000-000081650000}"/>
    <cellStyle name="Normal 2 4 2 14 9" xfId="25983" xr:uid="{00000000-0005-0000-0000-000082650000}"/>
    <cellStyle name="Normal 2 4 2 15" xfId="25984" xr:uid="{00000000-0005-0000-0000-000083650000}"/>
    <cellStyle name="Normal 2 4 2 15 2" xfId="25985" xr:uid="{00000000-0005-0000-0000-000084650000}"/>
    <cellStyle name="Normal 2 4 2 15 2 2" xfId="25986" xr:uid="{00000000-0005-0000-0000-000085650000}"/>
    <cellStyle name="Normal 2 4 2 15 2 3" xfId="25987" xr:uid="{00000000-0005-0000-0000-000086650000}"/>
    <cellStyle name="Normal 2 4 2 15 3" xfId="25988" xr:uid="{00000000-0005-0000-0000-000087650000}"/>
    <cellStyle name="Normal 2 4 2 15 4" xfId="25989" xr:uid="{00000000-0005-0000-0000-000088650000}"/>
    <cellStyle name="Normal 2 4 2 15 5" xfId="25990" xr:uid="{00000000-0005-0000-0000-000089650000}"/>
    <cellStyle name="Normal 2 4 2 15 6" xfId="25991" xr:uid="{00000000-0005-0000-0000-00008A650000}"/>
    <cellStyle name="Normal 2 4 2 16" xfId="25992" xr:uid="{00000000-0005-0000-0000-00008B650000}"/>
    <cellStyle name="Normal 2 4 2 16 2" xfId="25993" xr:uid="{00000000-0005-0000-0000-00008C650000}"/>
    <cellStyle name="Normal 2 4 2 16 2 2" xfId="25994" xr:uid="{00000000-0005-0000-0000-00008D650000}"/>
    <cellStyle name="Normal 2 4 2 16 3" xfId="25995" xr:uid="{00000000-0005-0000-0000-00008E650000}"/>
    <cellStyle name="Normal 2 4 2 16 4" xfId="25996" xr:uid="{00000000-0005-0000-0000-00008F650000}"/>
    <cellStyle name="Normal 2 4 2 16 5" xfId="25997" xr:uid="{00000000-0005-0000-0000-000090650000}"/>
    <cellStyle name="Normal 2 4 2 17" xfId="25998" xr:uid="{00000000-0005-0000-0000-000091650000}"/>
    <cellStyle name="Normal 2 4 2 17 2" xfId="25999" xr:uid="{00000000-0005-0000-0000-000092650000}"/>
    <cellStyle name="Normal 2 4 2 17 2 2" xfId="26000" xr:uid="{00000000-0005-0000-0000-000093650000}"/>
    <cellStyle name="Normal 2 4 2 17 3" xfId="26001" xr:uid="{00000000-0005-0000-0000-000094650000}"/>
    <cellStyle name="Normal 2 4 2 17 4" xfId="26002" xr:uid="{00000000-0005-0000-0000-000095650000}"/>
    <cellStyle name="Normal 2 4 2 17 5" xfId="26003" xr:uid="{00000000-0005-0000-0000-000096650000}"/>
    <cellStyle name="Normal 2 4 2 18" xfId="26004" xr:uid="{00000000-0005-0000-0000-000097650000}"/>
    <cellStyle name="Normal 2 4 2 18 2" xfId="26005" xr:uid="{00000000-0005-0000-0000-000098650000}"/>
    <cellStyle name="Normal 2 4 2 19" xfId="26006" xr:uid="{00000000-0005-0000-0000-000099650000}"/>
    <cellStyle name="Normal 2 4 2 2" xfId="26007" xr:uid="{00000000-0005-0000-0000-00009A650000}"/>
    <cellStyle name="Normal 2 4 2 2 10" xfId="26008" xr:uid="{00000000-0005-0000-0000-00009B650000}"/>
    <cellStyle name="Normal 2 4 2 2 11" xfId="26009" xr:uid="{00000000-0005-0000-0000-00009C650000}"/>
    <cellStyle name="Normal 2 4 2 2 2" xfId="26010" xr:uid="{00000000-0005-0000-0000-00009D650000}"/>
    <cellStyle name="Normal 2 4 2 2 2 2" xfId="26011" xr:uid="{00000000-0005-0000-0000-00009E650000}"/>
    <cellStyle name="Normal 2 4 2 2 2 2 2" xfId="26012" xr:uid="{00000000-0005-0000-0000-00009F650000}"/>
    <cellStyle name="Normal 2 4 2 2 2 2 2 2" xfId="26013" xr:uid="{00000000-0005-0000-0000-0000A0650000}"/>
    <cellStyle name="Normal 2 4 2 2 2 2 2 3" xfId="26014" xr:uid="{00000000-0005-0000-0000-0000A1650000}"/>
    <cellStyle name="Normal 2 4 2 2 2 2 3" xfId="26015" xr:uid="{00000000-0005-0000-0000-0000A2650000}"/>
    <cellStyle name="Normal 2 4 2 2 2 2 4" xfId="26016" xr:uid="{00000000-0005-0000-0000-0000A3650000}"/>
    <cellStyle name="Normal 2 4 2 2 2 2 5" xfId="26017" xr:uid="{00000000-0005-0000-0000-0000A4650000}"/>
    <cellStyle name="Normal 2 4 2 2 2 2 6" xfId="26018" xr:uid="{00000000-0005-0000-0000-0000A5650000}"/>
    <cellStyle name="Normal 2 4 2 2 2 3" xfId="26019" xr:uid="{00000000-0005-0000-0000-0000A6650000}"/>
    <cellStyle name="Normal 2 4 2 2 2 3 2" xfId="26020" xr:uid="{00000000-0005-0000-0000-0000A7650000}"/>
    <cellStyle name="Normal 2 4 2 2 2 3 2 2" xfId="26021" xr:uid="{00000000-0005-0000-0000-0000A8650000}"/>
    <cellStyle name="Normal 2 4 2 2 2 3 3" xfId="26022" xr:uid="{00000000-0005-0000-0000-0000A9650000}"/>
    <cellStyle name="Normal 2 4 2 2 2 3 4" xfId="26023" xr:uid="{00000000-0005-0000-0000-0000AA650000}"/>
    <cellStyle name="Normal 2 4 2 2 2 3 5" xfId="26024" xr:uid="{00000000-0005-0000-0000-0000AB650000}"/>
    <cellStyle name="Normal 2 4 2 2 2 4" xfId="26025" xr:uid="{00000000-0005-0000-0000-0000AC650000}"/>
    <cellStyle name="Normal 2 4 2 2 2 4 2" xfId="26026" xr:uid="{00000000-0005-0000-0000-0000AD650000}"/>
    <cellStyle name="Normal 2 4 2 2 2 4 3" xfId="26027" xr:uid="{00000000-0005-0000-0000-0000AE650000}"/>
    <cellStyle name="Normal 2 4 2 2 2 4 4" xfId="26028" xr:uid="{00000000-0005-0000-0000-0000AF650000}"/>
    <cellStyle name="Normal 2 4 2 2 2 5" xfId="26029" xr:uid="{00000000-0005-0000-0000-0000B0650000}"/>
    <cellStyle name="Normal 2 4 2 2 2 5 2" xfId="26030" xr:uid="{00000000-0005-0000-0000-0000B1650000}"/>
    <cellStyle name="Normal 2 4 2 2 2 6" xfId="26031" xr:uid="{00000000-0005-0000-0000-0000B2650000}"/>
    <cellStyle name="Normal 2 4 2 2 2 7" xfId="26032" xr:uid="{00000000-0005-0000-0000-0000B3650000}"/>
    <cellStyle name="Normal 2 4 2 2 2 8" xfId="26033" xr:uid="{00000000-0005-0000-0000-0000B4650000}"/>
    <cellStyle name="Normal 2 4 2 2 2 9" xfId="26034" xr:uid="{00000000-0005-0000-0000-0000B5650000}"/>
    <cellStyle name="Normal 2 4 2 2 3" xfId="26035" xr:uid="{00000000-0005-0000-0000-0000B6650000}"/>
    <cellStyle name="Normal 2 4 2 2 3 2" xfId="26036" xr:uid="{00000000-0005-0000-0000-0000B7650000}"/>
    <cellStyle name="Normal 2 4 2 2 3 2 2" xfId="26037" xr:uid="{00000000-0005-0000-0000-0000B8650000}"/>
    <cellStyle name="Normal 2 4 2 2 3 2 2 2" xfId="26038" xr:uid="{00000000-0005-0000-0000-0000B9650000}"/>
    <cellStyle name="Normal 2 4 2 2 3 2 2 3" xfId="26039" xr:uid="{00000000-0005-0000-0000-0000BA650000}"/>
    <cellStyle name="Normal 2 4 2 2 3 2 3" xfId="26040" xr:uid="{00000000-0005-0000-0000-0000BB650000}"/>
    <cellStyle name="Normal 2 4 2 2 3 2 4" xfId="26041" xr:uid="{00000000-0005-0000-0000-0000BC650000}"/>
    <cellStyle name="Normal 2 4 2 2 3 2 5" xfId="26042" xr:uid="{00000000-0005-0000-0000-0000BD650000}"/>
    <cellStyle name="Normal 2 4 2 2 3 2 6" xfId="26043" xr:uid="{00000000-0005-0000-0000-0000BE650000}"/>
    <cellStyle name="Normal 2 4 2 2 3 3" xfId="26044" xr:uid="{00000000-0005-0000-0000-0000BF650000}"/>
    <cellStyle name="Normal 2 4 2 2 3 3 2" xfId="26045" xr:uid="{00000000-0005-0000-0000-0000C0650000}"/>
    <cellStyle name="Normal 2 4 2 2 3 3 2 2" xfId="26046" xr:uid="{00000000-0005-0000-0000-0000C1650000}"/>
    <cellStyle name="Normal 2 4 2 2 3 3 3" xfId="26047" xr:uid="{00000000-0005-0000-0000-0000C2650000}"/>
    <cellStyle name="Normal 2 4 2 2 3 3 4" xfId="26048" xr:uid="{00000000-0005-0000-0000-0000C3650000}"/>
    <cellStyle name="Normal 2 4 2 2 3 3 5" xfId="26049" xr:uid="{00000000-0005-0000-0000-0000C4650000}"/>
    <cellStyle name="Normal 2 4 2 2 3 4" xfId="26050" xr:uid="{00000000-0005-0000-0000-0000C5650000}"/>
    <cellStyle name="Normal 2 4 2 2 3 4 2" xfId="26051" xr:uid="{00000000-0005-0000-0000-0000C6650000}"/>
    <cellStyle name="Normal 2 4 2 2 3 4 3" xfId="26052" xr:uid="{00000000-0005-0000-0000-0000C7650000}"/>
    <cellStyle name="Normal 2 4 2 2 3 4 4" xfId="26053" xr:uid="{00000000-0005-0000-0000-0000C8650000}"/>
    <cellStyle name="Normal 2 4 2 2 3 5" xfId="26054" xr:uid="{00000000-0005-0000-0000-0000C9650000}"/>
    <cellStyle name="Normal 2 4 2 2 3 5 2" xfId="26055" xr:uid="{00000000-0005-0000-0000-0000CA650000}"/>
    <cellStyle name="Normal 2 4 2 2 3 6" xfId="26056" xr:uid="{00000000-0005-0000-0000-0000CB650000}"/>
    <cellStyle name="Normal 2 4 2 2 3 7" xfId="26057" xr:uid="{00000000-0005-0000-0000-0000CC650000}"/>
    <cellStyle name="Normal 2 4 2 2 3 8" xfId="26058" xr:uid="{00000000-0005-0000-0000-0000CD650000}"/>
    <cellStyle name="Normal 2 4 2 2 3 9" xfId="26059" xr:uid="{00000000-0005-0000-0000-0000CE650000}"/>
    <cellStyle name="Normal 2 4 2 2 4" xfId="26060" xr:uid="{00000000-0005-0000-0000-0000CF650000}"/>
    <cellStyle name="Normal 2 4 2 2 4 2" xfId="26061" xr:uid="{00000000-0005-0000-0000-0000D0650000}"/>
    <cellStyle name="Normal 2 4 2 2 4 2 2" xfId="26062" xr:uid="{00000000-0005-0000-0000-0000D1650000}"/>
    <cellStyle name="Normal 2 4 2 2 4 2 3" xfId="26063" xr:uid="{00000000-0005-0000-0000-0000D2650000}"/>
    <cellStyle name="Normal 2 4 2 2 4 3" xfId="26064" xr:uid="{00000000-0005-0000-0000-0000D3650000}"/>
    <cellStyle name="Normal 2 4 2 2 4 4" xfId="26065" xr:uid="{00000000-0005-0000-0000-0000D4650000}"/>
    <cellStyle name="Normal 2 4 2 2 4 5" xfId="26066" xr:uid="{00000000-0005-0000-0000-0000D5650000}"/>
    <cellStyle name="Normal 2 4 2 2 4 6" xfId="26067" xr:uid="{00000000-0005-0000-0000-0000D6650000}"/>
    <cellStyle name="Normal 2 4 2 2 5" xfId="26068" xr:uid="{00000000-0005-0000-0000-0000D7650000}"/>
    <cellStyle name="Normal 2 4 2 2 5 2" xfId="26069" xr:uid="{00000000-0005-0000-0000-0000D8650000}"/>
    <cellStyle name="Normal 2 4 2 2 5 2 2" xfId="26070" xr:uid="{00000000-0005-0000-0000-0000D9650000}"/>
    <cellStyle name="Normal 2 4 2 2 5 3" xfId="26071" xr:uid="{00000000-0005-0000-0000-0000DA650000}"/>
    <cellStyle name="Normal 2 4 2 2 5 4" xfId="26072" xr:uid="{00000000-0005-0000-0000-0000DB650000}"/>
    <cellStyle name="Normal 2 4 2 2 5 5" xfId="26073" xr:uid="{00000000-0005-0000-0000-0000DC650000}"/>
    <cellStyle name="Normal 2 4 2 2 6" xfId="26074" xr:uid="{00000000-0005-0000-0000-0000DD650000}"/>
    <cellStyle name="Normal 2 4 2 2 6 2" xfId="26075" xr:uid="{00000000-0005-0000-0000-0000DE650000}"/>
    <cellStyle name="Normal 2 4 2 2 6 3" xfId="26076" xr:uid="{00000000-0005-0000-0000-0000DF650000}"/>
    <cellStyle name="Normal 2 4 2 2 6 4" xfId="26077" xr:uid="{00000000-0005-0000-0000-0000E0650000}"/>
    <cellStyle name="Normal 2 4 2 2 7" xfId="26078" xr:uid="{00000000-0005-0000-0000-0000E1650000}"/>
    <cellStyle name="Normal 2 4 2 2 7 2" xfId="26079" xr:uid="{00000000-0005-0000-0000-0000E2650000}"/>
    <cellStyle name="Normal 2 4 2 2 8" xfId="26080" xr:uid="{00000000-0005-0000-0000-0000E3650000}"/>
    <cellStyle name="Normal 2 4 2 2 9" xfId="26081" xr:uid="{00000000-0005-0000-0000-0000E4650000}"/>
    <cellStyle name="Normal 2 4 2 20" xfId="26082" xr:uid="{00000000-0005-0000-0000-0000E5650000}"/>
    <cellStyle name="Normal 2 4 2 21" xfId="26083" xr:uid="{00000000-0005-0000-0000-0000E6650000}"/>
    <cellStyle name="Normal 2 4 2 22" xfId="26084" xr:uid="{00000000-0005-0000-0000-0000E7650000}"/>
    <cellStyle name="Normal 2 4 2 3" xfId="26085" xr:uid="{00000000-0005-0000-0000-0000E8650000}"/>
    <cellStyle name="Normal 2 4 2 3 10" xfId="26086" xr:uid="{00000000-0005-0000-0000-0000E9650000}"/>
    <cellStyle name="Normal 2 4 2 3 11" xfId="26087" xr:uid="{00000000-0005-0000-0000-0000EA650000}"/>
    <cellStyle name="Normal 2 4 2 3 2" xfId="26088" xr:uid="{00000000-0005-0000-0000-0000EB650000}"/>
    <cellStyle name="Normal 2 4 2 3 2 2" xfId="26089" xr:uid="{00000000-0005-0000-0000-0000EC650000}"/>
    <cellStyle name="Normal 2 4 2 3 2 2 2" xfId="26090" xr:uid="{00000000-0005-0000-0000-0000ED650000}"/>
    <cellStyle name="Normal 2 4 2 3 2 2 2 2" xfId="26091" xr:uid="{00000000-0005-0000-0000-0000EE650000}"/>
    <cellStyle name="Normal 2 4 2 3 2 2 2 3" xfId="26092" xr:uid="{00000000-0005-0000-0000-0000EF650000}"/>
    <cellStyle name="Normal 2 4 2 3 2 2 3" xfId="26093" xr:uid="{00000000-0005-0000-0000-0000F0650000}"/>
    <cellStyle name="Normal 2 4 2 3 2 2 4" xfId="26094" xr:uid="{00000000-0005-0000-0000-0000F1650000}"/>
    <cellStyle name="Normal 2 4 2 3 2 2 5" xfId="26095" xr:uid="{00000000-0005-0000-0000-0000F2650000}"/>
    <cellStyle name="Normal 2 4 2 3 2 2 6" xfId="26096" xr:uid="{00000000-0005-0000-0000-0000F3650000}"/>
    <cellStyle name="Normal 2 4 2 3 2 3" xfId="26097" xr:uid="{00000000-0005-0000-0000-0000F4650000}"/>
    <cellStyle name="Normal 2 4 2 3 2 3 2" xfId="26098" xr:uid="{00000000-0005-0000-0000-0000F5650000}"/>
    <cellStyle name="Normal 2 4 2 3 2 3 2 2" xfId="26099" xr:uid="{00000000-0005-0000-0000-0000F6650000}"/>
    <cellStyle name="Normal 2 4 2 3 2 3 3" xfId="26100" xr:uid="{00000000-0005-0000-0000-0000F7650000}"/>
    <cellStyle name="Normal 2 4 2 3 2 3 4" xfId="26101" xr:uid="{00000000-0005-0000-0000-0000F8650000}"/>
    <cellStyle name="Normal 2 4 2 3 2 3 5" xfId="26102" xr:uid="{00000000-0005-0000-0000-0000F9650000}"/>
    <cellStyle name="Normal 2 4 2 3 2 4" xfId="26103" xr:uid="{00000000-0005-0000-0000-0000FA650000}"/>
    <cellStyle name="Normal 2 4 2 3 2 4 2" xfId="26104" xr:uid="{00000000-0005-0000-0000-0000FB650000}"/>
    <cellStyle name="Normal 2 4 2 3 2 4 3" xfId="26105" xr:uid="{00000000-0005-0000-0000-0000FC650000}"/>
    <cellStyle name="Normal 2 4 2 3 2 4 4" xfId="26106" xr:uid="{00000000-0005-0000-0000-0000FD650000}"/>
    <cellStyle name="Normal 2 4 2 3 2 5" xfId="26107" xr:uid="{00000000-0005-0000-0000-0000FE650000}"/>
    <cellStyle name="Normal 2 4 2 3 2 5 2" xfId="26108" xr:uid="{00000000-0005-0000-0000-0000FF650000}"/>
    <cellStyle name="Normal 2 4 2 3 2 6" xfId="26109" xr:uid="{00000000-0005-0000-0000-000000660000}"/>
    <cellStyle name="Normal 2 4 2 3 2 7" xfId="26110" xr:uid="{00000000-0005-0000-0000-000001660000}"/>
    <cellStyle name="Normal 2 4 2 3 2 8" xfId="26111" xr:uid="{00000000-0005-0000-0000-000002660000}"/>
    <cellStyle name="Normal 2 4 2 3 2 9" xfId="26112" xr:uid="{00000000-0005-0000-0000-000003660000}"/>
    <cellStyle name="Normal 2 4 2 3 3" xfId="26113" xr:uid="{00000000-0005-0000-0000-000004660000}"/>
    <cellStyle name="Normal 2 4 2 3 3 2" xfId="26114" xr:uid="{00000000-0005-0000-0000-000005660000}"/>
    <cellStyle name="Normal 2 4 2 3 3 2 2" xfId="26115" xr:uid="{00000000-0005-0000-0000-000006660000}"/>
    <cellStyle name="Normal 2 4 2 3 3 2 2 2" xfId="26116" xr:uid="{00000000-0005-0000-0000-000007660000}"/>
    <cellStyle name="Normal 2 4 2 3 3 2 2 3" xfId="26117" xr:uid="{00000000-0005-0000-0000-000008660000}"/>
    <cellStyle name="Normal 2 4 2 3 3 2 3" xfId="26118" xr:uid="{00000000-0005-0000-0000-000009660000}"/>
    <cellStyle name="Normal 2 4 2 3 3 2 4" xfId="26119" xr:uid="{00000000-0005-0000-0000-00000A660000}"/>
    <cellStyle name="Normal 2 4 2 3 3 2 5" xfId="26120" xr:uid="{00000000-0005-0000-0000-00000B660000}"/>
    <cellStyle name="Normal 2 4 2 3 3 2 6" xfId="26121" xr:uid="{00000000-0005-0000-0000-00000C660000}"/>
    <cellStyle name="Normal 2 4 2 3 3 3" xfId="26122" xr:uid="{00000000-0005-0000-0000-00000D660000}"/>
    <cellStyle name="Normal 2 4 2 3 3 3 2" xfId="26123" xr:uid="{00000000-0005-0000-0000-00000E660000}"/>
    <cellStyle name="Normal 2 4 2 3 3 3 2 2" xfId="26124" xr:uid="{00000000-0005-0000-0000-00000F660000}"/>
    <cellStyle name="Normal 2 4 2 3 3 3 3" xfId="26125" xr:uid="{00000000-0005-0000-0000-000010660000}"/>
    <cellStyle name="Normal 2 4 2 3 3 3 4" xfId="26126" xr:uid="{00000000-0005-0000-0000-000011660000}"/>
    <cellStyle name="Normal 2 4 2 3 3 3 5" xfId="26127" xr:uid="{00000000-0005-0000-0000-000012660000}"/>
    <cellStyle name="Normal 2 4 2 3 3 4" xfId="26128" xr:uid="{00000000-0005-0000-0000-000013660000}"/>
    <cellStyle name="Normal 2 4 2 3 3 4 2" xfId="26129" xr:uid="{00000000-0005-0000-0000-000014660000}"/>
    <cellStyle name="Normal 2 4 2 3 3 4 3" xfId="26130" xr:uid="{00000000-0005-0000-0000-000015660000}"/>
    <cellStyle name="Normal 2 4 2 3 3 4 4" xfId="26131" xr:uid="{00000000-0005-0000-0000-000016660000}"/>
    <cellStyle name="Normal 2 4 2 3 3 5" xfId="26132" xr:uid="{00000000-0005-0000-0000-000017660000}"/>
    <cellStyle name="Normal 2 4 2 3 3 5 2" xfId="26133" xr:uid="{00000000-0005-0000-0000-000018660000}"/>
    <cellStyle name="Normal 2 4 2 3 3 6" xfId="26134" xr:uid="{00000000-0005-0000-0000-000019660000}"/>
    <cellStyle name="Normal 2 4 2 3 3 7" xfId="26135" xr:uid="{00000000-0005-0000-0000-00001A660000}"/>
    <cellStyle name="Normal 2 4 2 3 3 8" xfId="26136" xr:uid="{00000000-0005-0000-0000-00001B660000}"/>
    <cellStyle name="Normal 2 4 2 3 3 9" xfId="26137" xr:uid="{00000000-0005-0000-0000-00001C660000}"/>
    <cellStyle name="Normal 2 4 2 3 4" xfId="26138" xr:uid="{00000000-0005-0000-0000-00001D660000}"/>
    <cellStyle name="Normal 2 4 2 3 4 2" xfId="26139" xr:uid="{00000000-0005-0000-0000-00001E660000}"/>
    <cellStyle name="Normal 2 4 2 3 4 2 2" xfId="26140" xr:uid="{00000000-0005-0000-0000-00001F660000}"/>
    <cellStyle name="Normal 2 4 2 3 4 2 3" xfId="26141" xr:uid="{00000000-0005-0000-0000-000020660000}"/>
    <cellStyle name="Normal 2 4 2 3 4 3" xfId="26142" xr:uid="{00000000-0005-0000-0000-000021660000}"/>
    <cellStyle name="Normal 2 4 2 3 4 4" xfId="26143" xr:uid="{00000000-0005-0000-0000-000022660000}"/>
    <cellStyle name="Normal 2 4 2 3 4 5" xfId="26144" xr:uid="{00000000-0005-0000-0000-000023660000}"/>
    <cellStyle name="Normal 2 4 2 3 4 6" xfId="26145" xr:uid="{00000000-0005-0000-0000-000024660000}"/>
    <cellStyle name="Normal 2 4 2 3 5" xfId="26146" xr:uid="{00000000-0005-0000-0000-000025660000}"/>
    <cellStyle name="Normal 2 4 2 3 5 2" xfId="26147" xr:uid="{00000000-0005-0000-0000-000026660000}"/>
    <cellStyle name="Normal 2 4 2 3 5 2 2" xfId="26148" xr:uid="{00000000-0005-0000-0000-000027660000}"/>
    <cellStyle name="Normal 2 4 2 3 5 3" xfId="26149" xr:uid="{00000000-0005-0000-0000-000028660000}"/>
    <cellStyle name="Normal 2 4 2 3 5 4" xfId="26150" xr:uid="{00000000-0005-0000-0000-000029660000}"/>
    <cellStyle name="Normal 2 4 2 3 5 5" xfId="26151" xr:uid="{00000000-0005-0000-0000-00002A660000}"/>
    <cellStyle name="Normal 2 4 2 3 6" xfId="26152" xr:uid="{00000000-0005-0000-0000-00002B660000}"/>
    <cellStyle name="Normal 2 4 2 3 6 2" xfId="26153" xr:uid="{00000000-0005-0000-0000-00002C660000}"/>
    <cellStyle name="Normal 2 4 2 3 6 3" xfId="26154" xr:uid="{00000000-0005-0000-0000-00002D660000}"/>
    <cellStyle name="Normal 2 4 2 3 6 4" xfId="26155" xr:uid="{00000000-0005-0000-0000-00002E660000}"/>
    <cellStyle name="Normal 2 4 2 3 7" xfId="26156" xr:uid="{00000000-0005-0000-0000-00002F660000}"/>
    <cellStyle name="Normal 2 4 2 3 7 2" xfId="26157" xr:uid="{00000000-0005-0000-0000-000030660000}"/>
    <cellStyle name="Normal 2 4 2 3 8" xfId="26158" xr:uid="{00000000-0005-0000-0000-000031660000}"/>
    <cellStyle name="Normal 2 4 2 3 9" xfId="26159" xr:uid="{00000000-0005-0000-0000-000032660000}"/>
    <cellStyle name="Normal 2 4 2 4" xfId="26160" xr:uid="{00000000-0005-0000-0000-000033660000}"/>
    <cellStyle name="Normal 2 4 2 4 10" xfId="26161" xr:uid="{00000000-0005-0000-0000-000034660000}"/>
    <cellStyle name="Normal 2 4 2 4 11" xfId="26162" xr:uid="{00000000-0005-0000-0000-000035660000}"/>
    <cellStyle name="Normal 2 4 2 4 2" xfId="26163" xr:uid="{00000000-0005-0000-0000-000036660000}"/>
    <cellStyle name="Normal 2 4 2 4 2 2" xfId="26164" xr:uid="{00000000-0005-0000-0000-000037660000}"/>
    <cellStyle name="Normal 2 4 2 4 2 2 2" xfId="26165" xr:uid="{00000000-0005-0000-0000-000038660000}"/>
    <cellStyle name="Normal 2 4 2 4 2 2 2 2" xfId="26166" xr:uid="{00000000-0005-0000-0000-000039660000}"/>
    <cellStyle name="Normal 2 4 2 4 2 2 2 3" xfId="26167" xr:uid="{00000000-0005-0000-0000-00003A660000}"/>
    <cellStyle name="Normal 2 4 2 4 2 2 3" xfId="26168" xr:uid="{00000000-0005-0000-0000-00003B660000}"/>
    <cellStyle name="Normal 2 4 2 4 2 2 4" xfId="26169" xr:uid="{00000000-0005-0000-0000-00003C660000}"/>
    <cellStyle name="Normal 2 4 2 4 2 2 5" xfId="26170" xr:uid="{00000000-0005-0000-0000-00003D660000}"/>
    <cellStyle name="Normal 2 4 2 4 2 2 6" xfId="26171" xr:uid="{00000000-0005-0000-0000-00003E660000}"/>
    <cellStyle name="Normal 2 4 2 4 2 3" xfId="26172" xr:uid="{00000000-0005-0000-0000-00003F660000}"/>
    <cellStyle name="Normal 2 4 2 4 2 3 2" xfId="26173" xr:uid="{00000000-0005-0000-0000-000040660000}"/>
    <cellStyle name="Normal 2 4 2 4 2 3 2 2" xfId="26174" xr:uid="{00000000-0005-0000-0000-000041660000}"/>
    <cellStyle name="Normal 2 4 2 4 2 3 3" xfId="26175" xr:uid="{00000000-0005-0000-0000-000042660000}"/>
    <cellStyle name="Normal 2 4 2 4 2 3 4" xfId="26176" xr:uid="{00000000-0005-0000-0000-000043660000}"/>
    <cellStyle name="Normal 2 4 2 4 2 3 5" xfId="26177" xr:uid="{00000000-0005-0000-0000-000044660000}"/>
    <cellStyle name="Normal 2 4 2 4 2 4" xfId="26178" xr:uid="{00000000-0005-0000-0000-000045660000}"/>
    <cellStyle name="Normal 2 4 2 4 2 4 2" xfId="26179" xr:uid="{00000000-0005-0000-0000-000046660000}"/>
    <cellStyle name="Normal 2 4 2 4 2 4 3" xfId="26180" xr:uid="{00000000-0005-0000-0000-000047660000}"/>
    <cellStyle name="Normal 2 4 2 4 2 4 4" xfId="26181" xr:uid="{00000000-0005-0000-0000-000048660000}"/>
    <cellStyle name="Normal 2 4 2 4 2 5" xfId="26182" xr:uid="{00000000-0005-0000-0000-000049660000}"/>
    <cellStyle name="Normal 2 4 2 4 2 5 2" xfId="26183" xr:uid="{00000000-0005-0000-0000-00004A660000}"/>
    <cellStyle name="Normal 2 4 2 4 2 6" xfId="26184" xr:uid="{00000000-0005-0000-0000-00004B660000}"/>
    <cellStyle name="Normal 2 4 2 4 2 7" xfId="26185" xr:uid="{00000000-0005-0000-0000-00004C660000}"/>
    <cellStyle name="Normal 2 4 2 4 2 8" xfId="26186" xr:uid="{00000000-0005-0000-0000-00004D660000}"/>
    <cellStyle name="Normal 2 4 2 4 2 9" xfId="26187" xr:uid="{00000000-0005-0000-0000-00004E660000}"/>
    <cellStyle name="Normal 2 4 2 4 3" xfId="26188" xr:uid="{00000000-0005-0000-0000-00004F660000}"/>
    <cellStyle name="Normal 2 4 2 4 3 2" xfId="26189" xr:uid="{00000000-0005-0000-0000-000050660000}"/>
    <cellStyle name="Normal 2 4 2 4 3 2 2" xfId="26190" xr:uid="{00000000-0005-0000-0000-000051660000}"/>
    <cellStyle name="Normal 2 4 2 4 3 2 2 2" xfId="26191" xr:uid="{00000000-0005-0000-0000-000052660000}"/>
    <cellStyle name="Normal 2 4 2 4 3 2 2 3" xfId="26192" xr:uid="{00000000-0005-0000-0000-000053660000}"/>
    <cellStyle name="Normal 2 4 2 4 3 2 3" xfId="26193" xr:uid="{00000000-0005-0000-0000-000054660000}"/>
    <cellStyle name="Normal 2 4 2 4 3 2 4" xfId="26194" xr:uid="{00000000-0005-0000-0000-000055660000}"/>
    <cellStyle name="Normal 2 4 2 4 3 2 5" xfId="26195" xr:uid="{00000000-0005-0000-0000-000056660000}"/>
    <cellStyle name="Normal 2 4 2 4 3 2 6" xfId="26196" xr:uid="{00000000-0005-0000-0000-000057660000}"/>
    <cellStyle name="Normal 2 4 2 4 3 3" xfId="26197" xr:uid="{00000000-0005-0000-0000-000058660000}"/>
    <cellStyle name="Normal 2 4 2 4 3 3 2" xfId="26198" xr:uid="{00000000-0005-0000-0000-000059660000}"/>
    <cellStyle name="Normal 2 4 2 4 3 3 2 2" xfId="26199" xr:uid="{00000000-0005-0000-0000-00005A660000}"/>
    <cellStyle name="Normal 2 4 2 4 3 3 3" xfId="26200" xr:uid="{00000000-0005-0000-0000-00005B660000}"/>
    <cellStyle name="Normal 2 4 2 4 3 3 4" xfId="26201" xr:uid="{00000000-0005-0000-0000-00005C660000}"/>
    <cellStyle name="Normal 2 4 2 4 3 3 5" xfId="26202" xr:uid="{00000000-0005-0000-0000-00005D660000}"/>
    <cellStyle name="Normal 2 4 2 4 3 4" xfId="26203" xr:uid="{00000000-0005-0000-0000-00005E660000}"/>
    <cellStyle name="Normal 2 4 2 4 3 4 2" xfId="26204" xr:uid="{00000000-0005-0000-0000-00005F660000}"/>
    <cellStyle name="Normal 2 4 2 4 3 4 3" xfId="26205" xr:uid="{00000000-0005-0000-0000-000060660000}"/>
    <cellStyle name="Normal 2 4 2 4 3 4 4" xfId="26206" xr:uid="{00000000-0005-0000-0000-000061660000}"/>
    <cellStyle name="Normal 2 4 2 4 3 5" xfId="26207" xr:uid="{00000000-0005-0000-0000-000062660000}"/>
    <cellStyle name="Normal 2 4 2 4 3 5 2" xfId="26208" xr:uid="{00000000-0005-0000-0000-000063660000}"/>
    <cellStyle name="Normal 2 4 2 4 3 6" xfId="26209" xr:uid="{00000000-0005-0000-0000-000064660000}"/>
    <cellStyle name="Normal 2 4 2 4 3 7" xfId="26210" xr:uid="{00000000-0005-0000-0000-000065660000}"/>
    <cellStyle name="Normal 2 4 2 4 3 8" xfId="26211" xr:uid="{00000000-0005-0000-0000-000066660000}"/>
    <cellStyle name="Normal 2 4 2 4 3 9" xfId="26212" xr:uid="{00000000-0005-0000-0000-000067660000}"/>
    <cellStyle name="Normal 2 4 2 4 4" xfId="26213" xr:uid="{00000000-0005-0000-0000-000068660000}"/>
    <cellStyle name="Normal 2 4 2 4 4 2" xfId="26214" xr:uid="{00000000-0005-0000-0000-000069660000}"/>
    <cellStyle name="Normal 2 4 2 4 4 2 2" xfId="26215" xr:uid="{00000000-0005-0000-0000-00006A660000}"/>
    <cellStyle name="Normal 2 4 2 4 4 2 3" xfId="26216" xr:uid="{00000000-0005-0000-0000-00006B660000}"/>
    <cellStyle name="Normal 2 4 2 4 4 3" xfId="26217" xr:uid="{00000000-0005-0000-0000-00006C660000}"/>
    <cellStyle name="Normal 2 4 2 4 4 4" xfId="26218" xr:uid="{00000000-0005-0000-0000-00006D660000}"/>
    <cellStyle name="Normal 2 4 2 4 4 5" xfId="26219" xr:uid="{00000000-0005-0000-0000-00006E660000}"/>
    <cellStyle name="Normal 2 4 2 4 4 6" xfId="26220" xr:uid="{00000000-0005-0000-0000-00006F660000}"/>
    <cellStyle name="Normal 2 4 2 4 5" xfId="26221" xr:uid="{00000000-0005-0000-0000-000070660000}"/>
    <cellStyle name="Normal 2 4 2 4 5 2" xfId="26222" xr:uid="{00000000-0005-0000-0000-000071660000}"/>
    <cellStyle name="Normal 2 4 2 4 5 2 2" xfId="26223" xr:uid="{00000000-0005-0000-0000-000072660000}"/>
    <cellStyle name="Normal 2 4 2 4 5 3" xfId="26224" xr:uid="{00000000-0005-0000-0000-000073660000}"/>
    <cellStyle name="Normal 2 4 2 4 5 4" xfId="26225" xr:uid="{00000000-0005-0000-0000-000074660000}"/>
    <cellStyle name="Normal 2 4 2 4 5 5" xfId="26226" xr:uid="{00000000-0005-0000-0000-000075660000}"/>
    <cellStyle name="Normal 2 4 2 4 6" xfId="26227" xr:uid="{00000000-0005-0000-0000-000076660000}"/>
    <cellStyle name="Normal 2 4 2 4 6 2" xfId="26228" xr:uid="{00000000-0005-0000-0000-000077660000}"/>
    <cellStyle name="Normal 2 4 2 4 6 3" xfId="26229" xr:uid="{00000000-0005-0000-0000-000078660000}"/>
    <cellStyle name="Normal 2 4 2 4 6 4" xfId="26230" xr:uid="{00000000-0005-0000-0000-000079660000}"/>
    <cellStyle name="Normal 2 4 2 4 7" xfId="26231" xr:uid="{00000000-0005-0000-0000-00007A660000}"/>
    <cellStyle name="Normal 2 4 2 4 7 2" xfId="26232" xr:uid="{00000000-0005-0000-0000-00007B660000}"/>
    <cellStyle name="Normal 2 4 2 4 8" xfId="26233" xr:uid="{00000000-0005-0000-0000-00007C660000}"/>
    <cellStyle name="Normal 2 4 2 4 9" xfId="26234" xr:uid="{00000000-0005-0000-0000-00007D660000}"/>
    <cellStyle name="Normal 2 4 2 5" xfId="26235" xr:uid="{00000000-0005-0000-0000-00007E660000}"/>
    <cellStyle name="Normal 2 4 2 5 10" xfId="26236" xr:uid="{00000000-0005-0000-0000-00007F660000}"/>
    <cellStyle name="Normal 2 4 2 5 11" xfId="26237" xr:uid="{00000000-0005-0000-0000-000080660000}"/>
    <cellStyle name="Normal 2 4 2 5 2" xfId="26238" xr:uid="{00000000-0005-0000-0000-000081660000}"/>
    <cellStyle name="Normal 2 4 2 5 2 2" xfId="26239" xr:uid="{00000000-0005-0000-0000-000082660000}"/>
    <cellStyle name="Normal 2 4 2 5 2 2 2" xfId="26240" xr:uid="{00000000-0005-0000-0000-000083660000}"/>
    <cellStyle name="Normal 2 4 2 5 2 2 2 2" xfId="26241" xr:uid="{00000000-0005-0000-0000-000084660000}"/>
    <cellStyle name="Normal 2 4 2 5 2 2 2 3" xfId="26242" xr:uid="{00000000-0005-0000-0000-000085660000}"/>
    <cellStyle name="Normal 2 4 2 5 2 2 3" xfId="26243" xr:uid="{00000000-0005-0000-0000-000086660000}"/>
    <cellStyle name="Normal 2 4 2 5 2 2 4" xfId="26244" xr:uid="{00000000-0005-0000-0000-000087660000}"/>
    <cellStyle name="Normal 2 4 2 5 2 2 5" xfId="26245" xr:uid="{00000000-0005-0000-0000-000088660000}"/>
    <cellStyle name="Normal 2 4 2 5 2 2 6" xfId="26246" xr:uid="{00000000-0005-0000-0000-000089660000}"/>
    <cellStyle name="Normal 2 4 2 5 2 3" xfId="26247" xr:uid="{00000000-0005-0000-0000-00008A660000}"/>
    <cellStyle name="Normal 2 4 2 5 2 3 2" xfId="26248" xr:uid="{00000000-0005-0000-0000-00008B660000}"/>
    <cellStyle name="Normal 2 4 2 5 2 3 2 2" xfId="26249" xr:uid="{00000000-0005-0000-0000-00008C660000}"/>
    <cellStyle name="Normal 2 4 2 5 2 3 3" xfId="26250" xr:uid="{00000000-0005-0000-0000-00008D660000}"/>
    <cellStyle name="Normal 2 4 2 5 2 3 4" xfId="26251" xr:uid="{00000000-0005-0000-0000-00008E660000}"/>
    <cellStyle name="Normal 2 4 2 5 2 3 5" xfId="26252" xr:uid="{00000000-0005-0000-0000-00008F660000}"/>
    <cellStyle name="Normal 2 4 2 5 2 4" xfId="26253" xr:uid="{00000000-0005-0000-0000-000090660000}"/>
    <cellStyle name="Normal 2 4 2 5 2 4 2" xfId="26254" xr:uid="{00000000-0005-0000-0000-000091660000}"/>
    <cellStyle name="Normal 2 4 2 5 2 4 3" xfId="26255" xr:uid="{00000000-0005-0000-0000-000092660000}"/>
    <cellStyle name="Normal 2 4 2 5 2 4 4" xfId="26256" xr:uid="{00000000-0005-0000-0000-000093660000}"/>
    <cellStyle name="Normal 2 4 2 5 2 5" xfId="26257" xr:uid="{00000000-0005-0000-0000-000094660000}"/>
    <cellStyle name="Normal 2 4 2 5 2 5 2" xfId="26258" xr:uid="{00000000-0005-0000-0000-000095660000}"/>
    <cellStyle name="Normal 2 4 2 5 2 6" xfId="26259" xr:uid="{00000000-0005-0000-0000-000096660000}"/>
    <cellStyle name="Normal 2 4 2 5 2 7" xfId="26260" xr:uid="{00000000-0005-0000-0000-000097660000}"/>
    <cellStyle name="Normal 2 4 2 5 2 8" xfId="26261" xr:uid="{00000000-0005-0000-0000-000098660000}"/>
    <cellStyle name="Normal 2 4 2 5 2 9" xfId="26262" xr:uid="{00000000-0005-0000-0000-000099660000}"/>
    <cellStyle name="Normal 2 4 2 5 3" xfId="26263" xr:uid="{00000000-0005-0000-0000-00009A660000}"/>
    <cellStyle name="Normal 2 4 2 5 3 2" xfId="26264" xr:uid="{00000000-0005-0000-0000-00009B660000}"/>
    <cellStyle name="Normal 2 4 2 5 3 2 2" xfId="26265" xr:uid="{00000000-0005-0000-0000-00009C660000}"/>
    <cellStyle name="Normal 2 4 2 5 3 2 2 2" xfId="26266" xr:uid="{00000000-0005-0000-0000-00009D660000}"/>
    <cellStyle name="Normal 2 4 2 5 3 2 2 3" xfId="26267" xr:uid="{00000000-0005-0000-0000-00009E660000}"/>
    <cellStyle name="Normal 2 4 2 5 3 2 3" xfId="26268" xr:uid="{00000000-0005-0000-0000-00009F660000}"/>
    <cellStyle name="Normal 2 4 2 5 3 2 4" xfId="26269" xr:uid="{00000000-0005-0000-0000-0000A0660000}"/>
    <cellStyle name="Normal 2 4 2 5 3 2 5" xfId="26270" xr:uid="{00000000-0005-0000-0000-0000A1660000}"/>
    <cellStyle name="Normal 2 4 2 5 3 2 6" xfId="26271" xr:uid="{00000000-0005-0000-0000-0000A2660000}"/>
    <cellStyle name="Normal 2 4 2 5 3 3" xfId="26272" xr:uid="{00000000-0005-0000-0000-0000A3660000}"/>
    <cellStyle name="Normal 2 4 2 5 3 3 2" xfId="26273" xr:uid="{00000000-0005-0000-0000-0000A4660000}"/>
    <cellStyle name="Normal 2 4 2 5 3 3 2 2" xfId="26274" xr:uid="{00000000-0005-0000-0000-0000A5660000}"/>
    <cellStyle name="Normal 2 4 2 5 3 3 3" xfId="26275" xr:uid="{00000000-0005-0000-0000-0000A6660000}"/>
    <cellStyle name="Normal 2 4 2 5 3 3 4" xfId="26276" xr:uid="{00000000-0005-0000-0000-0000A7660000}"/>
    <cellStyle name="Normal 2 4 2 5 3 3 5" xfId="26277" xr:uid="{00000000-0005-0000-0000-0000A8660000}"/>
    <cellStyle name="Normal 2 4 2 5 3 4" xfId="26278" xr:uid="{00000000-0005-0000-0000-0000A9660000}"/>
    <cellStyle name="Normal 2 4 2 5 3 4 2" xfId="26279" xr:uid="{00000000-0005-0000-0000-0000AA660000}"/>
    <cellStyle name="Normal 2 4 2 5 3 4 3" xfId="26280" xr:uid="{00000000-0005-0000-0000-0000AB660000}"/>
    <cellStyle name="Normal 2 4 2 5 3 4 4" xfId="26281" xr:uid="{00000000-0005-0000-0000-0000AC660000}"/>
    <cellStyle name="Normal 2 4 2 5 3 5" xfId="26282" xr:uid="{00000000-0005-0000-0000-0000AD660000}"/>
    <cellStyle name="Normal 2 4 2 5 3 5 2" xfId="26283" xr:uid="{00000000-0005-0000-0000-0000AE660000}"/>
    <cellStyle name="Normal 2 4 2 5 3 6" xfId="26284" xr:uid="{00000000-0005-0000-0000-0000AF660000}"/>
    <cellStyle name="Normal 2 4 2 5 3 7" xfId="26285" xr:uid="{00000000-0005-0000-0000-0000B0660000}"/>
    <cellStyle name="Normal 2 4 2 5 3 8" xfId="26286" xr:uid="{00000000-0005-0000-0000-0000B1660000}"/>
    <cellStyle name="Normal 2 4 2 5 3 9" xfId="26287" xr:uid="{00000000-0005-0000-0000-0000B2660000}"/>
    <cellStyle name="Normal 2 4 2 5 4" xfId="26288" xr:uid="{00000000-0005-0000-0000-0000B3660000}"/>
    <cellStyle name="Normal 2 4 2 5 4 2" xfId="26289" xr:uid="{00000000-0005-0000-0000-0000B4660000}"/>
    <cellStyle name="Normal 2 4 2 5 4 2 2" xfId="26290" xr:uid="{00000000-0005-0000-0000-0000B5660000}"/>
    <cellStyle name="Normal 2 4 2 5 4 2 3" xfId="26291" xr:uid="{00000000-0005-0000-0000-0000B6660000}"/>
    <cellStyle name="Normal 2 4 2 5 4 3" xfId="26292" xr:uid="{00000000-0005-0000-0000-0000B7660000}"/>
    <cellStyle name="Normal 2 4 2 5 4 4" xfId="26293" xr:uid="{00000000-0005-0000-0000-0000B8660000}"/>
    <cellStyle name="Normal 2 4 2 5 4 5" xfId="26294" xr:uid="{00000000-0005-0000-0000-0000B9660000}"/>
    <cellStyle name="Normal 2 4 2 5 4 6" xfId="26295" xr:uid="{00000000-0005-0000-0000-0000BA660000}"/>
    <cellStyle name="Normal 2 4 2 5 5" xfId="26296" xr:uid="{00000000-0005-0000-0000-0000BB660000}"/>
    <cellStyle name="Normal 2 4 2 5 5 2" xfId="26297" xr:uid="{00000000-0005-0000-0000-0000BC660000}"/>
    <cellStyle name="Normal 2 4 2 5 5 2 2" xfId="26298" xr:uid="{00000000-0005-0000-0000-0000BD660000}"/>
    <cellStyle name="Normal 2 4 2 5 5 3" xfId="26299" xr:uid="{00000000-0005-0000-0000-0000BE660000}"/>
    <cellStyle name="Normal 2 4 2 5 5 4" xfId="26300" xr:uid="{00000000-0005-0000-0000-0000BF660000}"/>
    <cellStyle name="Normal 2 4 2 5 5 5" xfId="26301" xr:uid="{00000000-0005-0000-0000-0000C0660000}"/>
    <cellStyle name="Normal 2 4 2 5 6" xfId="26302" xr:uid="{00000000-0005-0000-0000-0000C1660000}"/>
    <cellStyle name="Normal 2 4 2 5 6 2" xfId="26303" xr:uid="{00000000-0005-0000-0000-0000C2660000}"/>
    <cellStyle name="Normal 2 4 2 5 6 3" xfId="26304" xr:uid="{00000000-0005-0000-0000-0000C3660000}"/>
    <cellStyle name="Normal 2 4 2 5 6 4" xfId="26305" xr:uid="{00000000-0005-0000-0000-0000C4660000}"/>
    <cellStyle name="Normal 2 4 2 5 7" xfId="26306" xr:uid="{00000000-0005-0000-0000-0000C5660000}"/>
    <cellStyle name="Normal 2 4 2 5 7 2" xfId="26307" xr:uid="{00000000-0005-0000-0000-0000C6660000}"/>
    <cellStyle name="Normal 2 4 2 5 8" xfId="26308" xr:uid="{00000000-0005-0000-0000-0000C7660000}"/>
    <cellStyle name="Normal 2 4 2 5 9" xfId="26309" xr:uid="{00000000-0005-0000-0000-0000C8660000}"/>
    <cellStyle name="Normal 2 4 2 6" xfId="26310" xr:uid="{00000000-0005-0000-0000-0000C9660000}"/>
    <cellStyle name="Normal 2 4 2 6 10" xfId="26311" xr:uid="{00000000-0005-0000-0000-0000CA660000}"/>
    <cellStyle name="Normal 2 4 2 6 11" xfId="26312" xr:uid="{00000000-0005-0000-0000-0000CB660000}"/>
    <cellStyle name="Normal 2 4 2 6 2" xfId="26313" xr:uid="{00000000-0005-0000-0000-0000CC660000}"/>
    <cellStyle name="Normal 2 4 2 6 2 2" xfId="26314" xr:uid="{00000000-0005-0000-0000-0000CD660000}"/>
    <cellStyle name="Normal 2 4 2 6 2 2 2" xfId="26315" xr:uid="{00000000-0005-0000-0000-0000CE660000}"/>
    <cellStyle name="Normal 2 4 2 6 2 2 2 2" xfId="26316" xr:uid="{00000000-0005-0000-0000-0000CF660000}"/>
    <cellStyle name="Normal 2 4 2 6 2 2 2 3" xfId="26317" xr:uid="{00000000-0005-0000-0000-0000D0660000}"/>
    <cellStyle name="Normal 2 4 2 6 2 2 3" xfId="26318" xr:uid="{00000000-0005-0000-0000-0000D1660000}"/>
    <cellStyle name="Normal 2 4 2 6 2 2 4" xfId="26319" xr:uid="{00000000-0005-0000-0000-0000D2660000}"/>
    <cellStyle name="Normal 2 4 2 6 2 2 5" xfId="26320" xr:uid="{00000000-0005-0000-0000-0000D3660000}"/>
    <cellStyle name="Normal 2 4 2 6 2 2 6" xfId="26321" xr:uid="{00000000-0005-0000-0000-0000D4660000}"/>
    <cellStyle name="Normal 2 4 2 6 2 3" xfId="26322" xr:uid="{00000000-0005-0000-0000-0000D5660000}"/>
    <cellStyle name="Normal 2 4 2 6 2 3 2" xfId="26323" xr:uid="{00000000-0005-0000-0000-0000D6660000}"/>
    <cellStyle name="Normal 2 4 2 6 2 3 2 2" xfId="26324" xr:uid="{00000000-0005-0000-0000-0000D7660000}"/>
    <cellStyle name="Normal 2 4 2 6 2 3 3" xfId="26325" xr:uid="{00000000-0005-0000-0000-0000D8660000}"/>
    <cellStyle name="Normal 2 4 2 6 2 3 4" xfId="26326" xr:uid="{00000000-0005-0000-0000-0000D9660000}"/>
    <cellStyle name="Normal 2 4 2 6 2 3 5" xfId="26327" xr:uid="{00000000-0005-0000-0000-0000DA660000}"/>
    <cellStyle name="Normal 2 4 2 6 2 4" xfId="26328" xr:uid="{00000000-0005-0000-0000-0000DB660000}"/>
    <cellStyle name="Normal 2 4 2 6 2 4 2" xfId="26329" xr:uid="{00000000-0005-0000-0000-0000DC660000}"/>
    <cellStyle name="Normal 2 4 2 6 2 4 3" xfId="26330" xr:uid="{00000000-0005-0000-0000-0000DD660000}"/>
    <cellStyle name="Normal 2 4 2 6 2 4 4" xfId="26331" xr:uid="{00000000-0005-0000-0000-0000DE660000}"/>
    <cellStyle name="Normal 2 4 2 6 2 5" xfId="26332" xr:uid="{00000000-0005-0000-0000-0000DF660000}"/>
    <cellStyle name="Normal 2 4 2 6 2 5 2" xfId="26333" xr:uid="{00000000-0005-0000-0000-0000E0660000}"/>
    <cellStyle name="Normal 2 4 2 6 2 6" xfId="26334" xr:uid="{00000000-0005-0000-0000-0000E1660000}"/>
    <cellStyle name="Normal 2 4 2 6 2 7" xfId="26335" xr:uid="{00000000-0005-0000-0000-0000E2660000}"/>
    <cellStyle name="Normal 2 4 2 6 2 8" xfId="26336" xr:uid="{00000000-0005-0000-0000-0000E3660000}"/>
    <cellStyle name="Normal 2 4 2 6 2 9" xfId="26337" xr:uid="{00000000-0005-0000-0000-0000E4660000}"/>
    <cellStyle name="Normal 2 4 2 6 3" xfId="26338" xr:uid="{00000000-0005-0000-0000-0000E5660000}"/>
    <cellStyle name="Normal 2 4 2 6 3 2" xfId="26339" xr:uid="{00000000-0005-0000-0000-0000E6660000}"/>
    <cellStyle name="Normal 2 4 2 6 3 2 2" xfId="26340" xr:uid="{00000000-0005-0000-0000-0000E7660000}"/>
    <cellStyle name="Normal 2 4 2 6 3 2 2 2" xfId="26341" xr:uid="{00000000-0005-0000-0000-0000E8660000}"/>
    <cellStyle name="Normal 2 4 2 6 3 2 2 3" xfId="26342" xr:uid="{00000000-0005-0000-0000-0000E9660000}"/>
    <cellStyle name="Normal 2 4 2 6 3 2 3" xfId="26343" xr:uid="{00000000-0005-0000-0000-0000EA660000}"/>
    <cellStyle name="Normal 2 4 2 6 3 2 4" xfId="26344" xr:uid="{00000000-0005-0000-0000-0000EB660000}"/>
    <cellStyle name="Normal 2 4 2 6 3 2 5" xfId="26345" xr:uid="{00000000-0005-0000-0000-0000EC660000}"/>
    <cellStyle name="Normal 2 4 2 6 3 2 6" xfId="26346" xr:uid="{00000000-0005-0000-0000-0000ED660000}"/>
    <cellStyle name="Normal 2 4 2 6 3 3" xfId="26347" xr:uid="{00000000-0005-0000-0000-0000EE660000}"/>
    <cellStyle name="Normal 2 4 2 6 3 3 2" xfId="26348" xr:uid="{00000000-0005-0000-0000-0000EF660000}"/>
    <cellStyle name="Normal 2 4 2 6 3 3 2 2" xfId="26349" xr:uid="{00000000-0005-0000-0000-0000F0660000}"/>
    <cellStyle name="Normal 2 4 2 6 3 3 3" xfId="26350" xr:uid="{00000000-0005-0000-0000-0000F1660000}"/>
    <cellStyle name="Normal 2 4 2 6 3 3 4" xfId="26351" xr:uid="{00000000-0005-0000-0000-0000F2660000}"/>
    <cellStyle name="Normal 2 4 2 6 3 3 5" xfId="26352" xr:uid="{00000000-0005-0000-0000-0000F3660000}"/>
    <cellStyle name="Normal 2 4 2 6 3 4" xfId="26353" xr:uid="{00000000-0005-0000-0000-0000F4660000}"/>
    <cellStyle name="Normal 2 4 2 6 3 4 2" xfId="26354" xr:uid="{00000000-0005-0000-0000-0000F5660000}"/>
    <cellStyle name="Normal 2 4 2 6 3 4 3" xfId="26355" xr:uid="{00000000-0005-0000-0000-0000F6660000}"/>
    <cellStyle name="Normal 2 4 2 6 3 4 4" xfId="26356" xr:uid="{00000000-0005-0000-0000-0000F7660000}"/>
    <cellStyle name="Normal 2 4 2 6 3 5" xfId="26357" xr:uid="{00000000-0005-0000-0000-0000F8660000}"/>
    <cellStyle name="Normal 2 4 2 6 3 5 2" xfId="26358" xr:uid="{00000000-0005-0000-0000-0000F9660000}"/>
    <cellStyle name="Normal 2 4 2 6 3 6" xfId="26359" xr:uid="{00000000-0005-0000-0000-0000FA660000}"/>
    <cellStyle name="Normal 2 4 2 6 3 7" xfId="26360" xr:uid="{00000000-0005-0000-0000-0000FB660000}"/>
    <cellStyle name="Normal 2 4 2 6 3 8" xfId="26361" xr:uid="{00000000-0005-0000-0000-0000FC660000}"/>
    <cellStyle name="Normal 2 4 2 6 3 9" xfId="26362" xr:uid="{00000000-0005-0000-0000-0000FD660000}"/>
    <cellStyle name="Normal 2 4 2 6 4" xfId="26363" xr:uid="{00000000-0005-0000-0000-0000FE660000}"/>
    <cellStyle name="Normal 2 4 2 6 4 2" xfId="26364" xr:uid="{00000000-0005-0000-0000-0000FF660000}"/>
    <cellStyle name="Normal 2 4 2 6 4 2 2" xfId="26365" xr:uid="{00000000-0005-0000-0000-000000670000}"/>
    <cellStyle name="Normal 2 4 2 6 4 2 3" xfId="26366" xr:uid="{00000000-0005-0000-0000-000001670000}"/>
    <cellStyle name="Normal 2 4 2 6 4 3" xfId="26367" xr:uid="{00000000-0005-0000-0000-000002670000}"/>
    <cellStyle name="Normal 2 4 2 6 4 4" xfId="26368" xr:uid="{00000000-0005-0000-0000-000003670000}"/>
    <cellStyle name="Normal 2 4 2 6 4 5" xfId="26369" xr:uid="{00000000-0005-0000-0000-000004670000}"/>
    <cellStyle name="Normal 2 4 2 6 4 6" xfId="26370" xr:uid="{00000000-0005-0000-0000-000005670000}"/>
    <cellStyle name="Normal 2 4 2 6 5" xfId="26371" xr:uid="{00000000-0005-0000-0000-000006670000}"/>
    <cellStyle name="Normal 2 4 2 6 5 2" xfId="26372" xr:uid="{00000000-0005-0000-0000-000007670000}"/>
    <cellStyle name="Normal 2 4 2 6 5 2 2" xfId="26373" xr:uid="{00000000-0005-0000-0000-000008670000}"/>
    <cellStyle name="Normal 2 4 2 6 5 3" xfId="26374" xr:uid="{00000000-0005-0000-0000-000009670000}"/>
    <cellStyle name="Normal 2 4 2 6 5 4" xfId="26375" xr:uid="{00000000-0005-0000-0000-00000A670000}"/>
    <cellStyle name="Normal 2 4 2 6 5 5" xfId="26376" xr:uid="{00000000-0005-0000-0000-00000B670000}"/>
    <cellStyle name="Normal 2 4 2 6 6" xfId="26377" xr:uid="{00000000-0005-0000-0000-00000C670000}"/>
    <cellStyle name="Normal 2 4 2 6 6 2" xfId="26378" xr:uid="{00000000-0005-0000-0000-00000D670000}"/>
    <cellStyle name="Normal 2 4 2 6 6 3" xfId="26379" xr:uid="{00000000-0005-0000-0000-00000E670000}"/>
    <cellStyle name="Normal 2 4 2 6 6 4" xfId="26380" xr:uid="{00000000-0005-0000-0000-00000F670000}"/>
    <cellStyle name="Normal 2 4 2 6 7" xfId="26381" xr:uid="{00000000-0005-0000-0000-000010670000}"/>
    <cellStyle name="Normal 2 4 2 6 7 2" xfId="26382" xr:uid="{00000000-0005-0000-0000-000011670000}"/>
    <cellStyle name="Normal 2 4 2 6 8" xfId="26383" xr:uid="{00000000-0005-0000-0000-000012670000}"/>
    <cellStyle name="Normal 2 4 2 6 9" xfId="26384" xr:uid="{00000000-0005-0000-0000-000013670000}"/>
    <cellStyle name="Normal 2 4 2 7" xfId="26385" xr:uid="{00000000-0005-0000-0000-000014670000}"/>
    <cellStyle name="Normal 2 4 2 7 10" xfId="26386" xr:uid="{00000000-0005-0000-0000-000015670000}"/>
    <cellStyle name="Normal 2 4 2 7 11" xfId="26387" xr:uid="{00000000-0005-0000-0000-000016670000}"/>
    <cellStyle name="Normal 2 4 2 7 2" xfId="26388" xr:uid="{00000000-0005-0000-0000-000017670000}"/>
    <cellStyle name="Normal 2 4 2 7 2 2" xfId="26389" xr:uid="{00000000-0005-0000-0000-000018670000}"/>
    <cellStyle name="Normal 2 4 2 7 2 2 2" xfId="26390" xr:uid="{00000000-0005-0000-0000-000019670000}"/>
    <cellStyle name="Normal 2 4 2 7 2 2 2 2" xfId="26391" xr:uid="{00000000-0005-0000-0000-00001A670000}"/>
    <cellStyle name="Normal 2 4 2 7 2 2 2 3" xfId="26392" xr:uid="{00000000-0005-0000-0000-00001B670000}"/>
    <cellStyle name="Normal 2 4 2 7 2 2 3" xfId="26393" xr:uid="{00000000-0005-0000-0000-00001C670000}"/>
    <cellStyle name="Normal 2 4 2 7 2 2 4" xfId="26394" xr:uid="{00000000-0005-0000-0000-00001D670000}"/>
    <cellStyle name="Normal 2 4 2 7 2 2 5" xfId="26395" xr:uid="{00000000-0005-0000-0000-00001E670000}"/>
    <cellStyle name="Normal 2 4 2 7 2 2 6" xfId="26396" xr:uid="{00000000-0005-0000-0000-00001F670000}"/>
    <cellStyle name="Normal 2 4 2 7 2 3" xfId="26397" xr:uid="{00000000-0005-0000-0000-000020670000}"/>
    <cellStyle name="Normal 2 4 2 7 2 3 2" xfId="26398" xr:uid="{00000000-0005-0000-0000-000021670000}"/>
    <cellStyle name="Normal 2 4 2 7 2 3 2 2" xfId="26399" xr:uid="{00000000-0005-0000-0000-000022670000}"/>
    <cellStyle name="Normal 2 4 2 7 2 3 3" xfId="26400" xr:uid="{00000000-0005-0000-0000-000023670000}"/>
    <cellStyle name="Normal 2 4 2 7 2 3 4" xfId="26401" xr:uid="{00000000-0005-0000-0000-000024670000}"/>
    <cellStyle name="Normal 2 4 2 7 2 3 5" xfId="26402" xr:uid="{00000000-0005-0000-0000-000025670000}"/>
    <cellStyle name="Normal 2 4 2 7 2 4" xfId="26403" xr:uid="{00000000-0005-0000-0000-000026670000}"/>
    <cellStyle name="Normal 2 4 2 7 2 4 2" xfId="26404" xr:uid="{00000000-0005-0000-0000-000027670000}"/>
    <cellStyle name="Normal 2 4 2 7 2 4 3" xfId="26405" xr:uid="{00000000-0005-0000-0000-000028670000}"/>
    <cellStyle name="Normal 2 4 2 7 2 4 4" xfId="26406" xr:uid="{00000000-0005-0000-0000-000029670000}"/>
    <cellStyle name="Normal 2 4 2 7 2 5" xfId="26407" xr:uid="{00000000-0005-0000-0000-00002A670000}"/>
    <cellStyle name="Normal 2 4 2 7 2 5 2" xfId="26408" xr:uid="{00000000-0005-0000-0000-00002B670000}"/>
    <cellStyle name="Normal 2 4 2 7 2 6" xfId="26409" xr:uid="{00000000-0005-0000-0000-00002C670000}"/>
    <cellStyle name="Normal 2 4 2 7 2 7" xfId="26410" xr:uid="{00000000-0005-0000-0000-00002D670000}"/>
    <cellStyle name="Normal 2 4 2 7 2 8" xfId="26411" xr:uid="{00000000-0005-0000-0000-00002E670000}"/>
    <cellStyle name="Normal 2 4 2 7 2 9" xfId="26412" xr:uid="{00000000-0005-0000-0000-00002F670000}"/>
    <cellStyle name="Normal 2 4 2 7 3" xfId="26413" xr:uid="{00000000-0005-0000-0000-000030670000}"/>
    <cellStyle name="Normal 2 4 2 7 3 2" xfId="26414" xr:uid="{00000000-0005-0000-0000-000031670000}"/>
    <cellStyle name="Normal 2 4 2 7 3 2 2" xfId="26415" xr:uid="{00000000-0005-0000-0000-000032670000}"/>
    <cellStyle name="Normal 2 4 2 7 3 2 2 2" xfId="26416" xr:uid="{00000000-0005-0000-0000-000033670000}"/>
    <cellStyle name="Normal 2 4 2 7 3 2 2 3" xfId="26417" xr:uid="{00000000-0005-0000-0000-000034670000}"/>
    <cellStyle name="Normal 2 4 2 7 3 2 3" xfId="26418" xr:uid="{00000000-0005-0000-0000-000035670000}"/>
    <cellStyle name="Normal 2 4 2 7 3 2 4" xfId="26419" xr:uid="{00000000-0005-0000-0000-000036670000}"/>
    <cellStyle name="Normal 2 4 2 7 3 2 5" xfId="26420" xr:uid="{00000000-0005-0000-0000-000037670000}"/>
    <cellStyle name="Normal 2 4 2 7 3 2 6" xfId="26421" xr:uid="{00000000-0005-0000-0000-000038670000}"/>
    <cellStyle name="Normal 2 4 2 7 3 3" xfId="26422" xr:uid="{00000000-0005-0000-0000-000039670000}"/>
    <cellStyle name="Normal 2 4 2 7 3 3 2" xfId="26423" xr:uid="{00000000-0005-0000-0000-00003A670000}"/>
    <cellStyle name="Normal 2 4 2 7 3 3 2 2" xfId="26424" xr:uid="{00000000-0005-0000-0000-00003B670000}"/>
    <cellStyle name="Normal 2 4 2 7 3 3 3" xfId="26425" xr:uid="{00000000-0005-0000-0000-00003C670000}"/>
    <cellStyle name="Normal 2 4 2 7 3 3 4" xfId="26426" xr:uid="{00000000-0005-0000-0000-00003D670000}"/>
    <cellStyle name="Normal 2 4 2 7 3 3 5" xfId="26427" xr:uid="{00000000-0005-0000-0000-00003E670000}"/>
    <cellStyle name="Normal 2 4 2 7 3 4" xfId="26428" xr:uid="{00000000-0005-0000-0000-00003F670000}"/>
    <cellStyle name="Normal 2 4 2 7 3 4 2" xfId="26429" xr:uid="{00000000-0005-0000-0000-000040670000}"/>
    <cellStyle name="Normal 2 4 2 7 3 4 3" xfId="26430" xr:uid="{00000000-0005-0000-0000-000041670000}"/>
    <cellStyle name="Normal 2 4 2 7 3 4 4" xfId="26431" xr:uid="{00000000-0005-0000-0000-000042670000}"/>
    <cellStyle name="Normal 2 4 2 7 3 5" xfId="26432" xr:uid="{00000000-0005-0000-0000-000043670000}"/>
    <cellStyle name="Normal 2 4 2 7 3 5 2" xfId="26433" xr:uid="{00000000-0005-0000-0000-000044670000}"/>
    <cellStyle name="Normal 2 4 2 7 3 6" xfId="26434" xr:uid="{00000000-0005-0000-0000-000045670000}"/>
    <cellStyle name="Normal 2 4 2 7 3 7" xfId="26435" xr:uid="{00000000-0005-0000-0000-000046670000}"/>
    <cellStyle name="Normal 2 4 2 7 3 8" xfId="26436" xr:uid="{00000000-0005-0000-0000-000047670000}"/>
    <cellStyle name="Normal 2 4 2 7 3 9" xfId="26437" xr:uid="{00000000-0005-0000-0000-000048670000}"/>
    <cellStyle name="Normal 2 4 2 7 4" xfId="26438" xr:uid="{00000000-0005-0000-0000-000049670000}"/>
    <cellStyle name="Normal 2 4 2 7 4 2" xfId="26439" xr:uid="{00000000-0005-0000-0000-00004A670000}"/>
    <cellStyle name="Normal 2 4 2 7 4 2 2" xfId="26440" xr:uid="{00000000-0005-0000-0000-00004B670000}"/>
    <cellStyle name="Normal 2 4 2 7 4 2 3" xfId="26441" xr:uid="{00000000-0005-0000-0000-00004C670000}"/>
    <cellStyle name="Normal 2 4 2 7 4 3" xfId="26442" xr:uid="{00000000-0005-0000-0000-00004D670000}"/>
    <cellStyle name="Normal 2 4 2 7 4 4" xfId="26443" xr:uid="{00000000-0005-0000-0000-00004E670000}"/>
    <cellStyle name="Normal 2 4 2 7 4 5" xfId="26444" xr:uid="{00000000-0005-0000-0000-00004F670000}"/>
    <cellStyle name="Normal 2 4 2 7 4 6" xfId="26445" xr:uid="{00000000-0005-0000-0000-000050670000}"/>
    <cellStyle name="Normal 2 4 2 7 5" xfId="26446" xr:uid="{00000000-0005-0000-0000-000051670000}"/>
    <cellStyle name="Normal 2 4 2 7 5 2" xfId="26447" xr:uid="{00000000-0005-0000-0000-000052670000}"/>
    <cellStyle name="Normal 2 4 2 7 5 2 2" xfId="26448" xr:uid="{00000000-0005-0000-0000-000053670000}"/>
    <cellStyle name="Normal 2 4 2 7 5 3" xfId="26449" xr:uid="{00000000-0005-0000-0000-000054670000}"/>
    <cellStyle name="Normal 2 4 2 7 5 4" xfId="26450" xr:uid="{00000000-0005-0000-0000-000055670000}"/>
    <cellStyle name="Normal 2 4 2 7 5 5" xfId="26451" xr:uid="{00000000-0005-0000-0000-000056670000}"/>
    <cellStyle name="Normal 2 4 2 7 6" xfId="26452" xr:uid="{00000000-0005-0000-0000-000057670000}"/>
    <cellStyle name="Normal 2 4 2 7 6 2" xfId="26453" xr:uid="{00000000-0005-0000-0000-000058670000}"/>
    <cellStyle name="Normal 2 4 2 7 6 3" xfId="26454" xr:uid="{00000000-0005-0000-0000-000059670000}"/>
    <cellStyle name="Normal 2 4 2 7 6 4" xfId="26455" xr:uid="{00000000-0005-0000-0000-00005A670000}"/>
    <cellStyle name="Normal 2 4 2 7 7" xfId="26456" xr:uid="{00000000-0005-0000-0000-00005B670000}"/>
    <cellStyle name="Normal 2 4 2 7 7 2" xfId="26457" xr:uid="{00000000-0005-0000-0000-00005C670000}"/>
    <cellStyle name="Normal 2 4 2 7 8" xfId="26458" xr:uid="{00000000-0005-0000-0000-00005D670000}"/>
    <cellStyle name="Normal 2 4 2 7 9" xfId="26459" xr:uid="{00000000-0005-0000-0000-00005E670000}"/>
    <cellStyle name="Normal 2 4 2 8" xfId="26460" xr:uid="{00000000-0005-0000-0000-00005F670000}"/>
    <cellStyle name="Normal 2 4 2 8 10" xfId="26461" xr:uid="{00000000-0005-0000-0000-000060670000}"/>
    <cellStyle name="Normal 2 4 2 8 2" xfId="26462" xr:uid="{00000000-0005-0000-0000-000061670000}"/>
    <cellStyle name="Normal 2 4 2 8 2 2" xfId="26463" xr:uid="{00000000-0005-0000-0000-000062670000}"/>
    <cellStyle name="Normal 2 4 2 8 2 2 2" xfId="26464" xr:uid="{00000000-0005-0000-0000-000063670000}"/>
    <cellStyle name="Normal 2 4 2 8 2 2 3" xfId="26465" xr:uid="{00000000-0005-0000-0000-000064670000}"/>
    <cellStyle name="Normal 2 4 2 8 2 3" xfId="26466" xr:uid="{00000000-0005-0000-0000-000065670000}"/>
    <cellStyle name="Normal 2 4 2 8 2 4" xfId="26467" xr:uid="{00000000-0005-0000-0000-000066670000}"/>
    <cellStyle name="Normal 2 4 2 8 2 5" xfId="26468" xr:uid="{00000000-0005-0000-0000-000067670000}"/>
    <cellStyle name="Normal 2 4 2 8 2 6" xfId="26469" xr:uid="{00000000-0005-0000-0000-000068670000}"/>
    <cellStyle name="Normal 2 4 2 8 3" xfId="26470" xr:uid="{00000000-0005-0000-0000-000069670000}"/>
    <cellStyle name="Normal 2 4 2 8 3 2" xfId="26471" xr:uid="{00000000-0005-0000-0000-00006A670000}"/>
    <cellStyle name="Normal 2 4 2 8 3 2 2" xfId="26472" xr:uid="{00000000-0005-0000-0000-00006B670000}"/>
    <cellStyle name="Normal 2 4 2 8 3 2 3" xfId="26473" xr:uid="{00000000-0005-0000-0000-00006C670000}"/>
    <cellStyle name="Normal 2 4 2 8 3 3" xfId="26474" xr:uid="{00000000-0005-0000-0000-00006D670000}"/>
    <cellStyle name="Normal 2 4 2 8 3 4" xfId="26475" xr:uid="{00000000-0005-0000-0000-00006E670000}"/>
    <cellStyle name="Normal 2 4 2 8 3 5" xfId="26476" xr:uid="{00000000-0005-0000-0000-00006F670000}"/>
    <cellStyle name="Normal 2 4 2 8 3 6" xfId="26477" xr:uid="{00000000-0005-0000-0000-000070670000}"/>
    <cellStyle name="Normal 2 4 2 8 4" xfId="26478" xr:uid="{00000000-0005-0000-0000-000071670000}"/>
    <cellStyle name="Normal 2 4 2 8 4 2" xfId="26479" xr:uid="{00000000-0005-0000-0000-000072670000}"/>
    <cellStyle name="Normal 2 4 2 8 4 2 2" xfId="26480" xr:uid="{00000000-0005-0000-0000-000073670000}"/>
    <cellStyle name="Normal 2 4 2 8 4 3" xfId="26481" xr:uid="{00000000-0005-0000-0000-000074670000}"/>
    <cellStyle name="Normal 2 4 2 8 4 4" xfId="26482" xr:uid="{00000000-0005-0000-0000-000075670000}"/>
    <cellStyle name="Normal 2 4 2 8 4 5" xfId="26483" xr:uid="{00000000-0005-0000-0000-000076670000}"/>
    <cellStyle name="Normal 2 4 2 8 5" xfId="26484" xr:uid="{00000000-0005-0000-0000-000077670000}"/>
    <cellStyle name="Normal 2 4 2 8 5 2" xfId="26485" xr:uid="{00000000-0005-0000-0000-000078670000}"/>
    <cellStyle name="Normal 2 4 2 8 5 3" xfId="26486" xr:uid="{00000000-0005-0000-0000-000079670000}"/>
    <cellStyle name="Normal 2 4 2 8 5 4" xfId="26487" xr:uid="{00000000-0005-0000-0000-00007A670000}"/>
    <cellStyle name="Normal 2 4 2 8 6" xfId="26488" xr:uid="{00000000-0005-0000-0000-00007B670000}"/>
    <cellStyle name="Normal 2 4 2 8 6 2" xfId="26489" xr:uid="{00000000-0005-0000-0000-00007C670000}"/>
    <cellStyle name="Normal 2 4 2 8 7" xfId="26490" xr:uid="{00000000-0005-0000-0000-00007D670000}"/>
    <cellStyle name="Normal 2 4 2 8 8" xfId="26491" xr:uid="{00000000-0005-0000-0000-00007E670000}"/>
    <cellStyle name="Normal 2 4 2 8 9" xfId="26492" xr:uid="{00000000-0005-0000-0000-00007F670000}"/>
    <cellStyle name="Normal 2 4 2 9" xfId="26493" xr:uid="{00000000-0005-0000-0000-000080670000}"/>
    <cellStyle name="Normal 2 4 2 9 10" xfId="26494" xr:uid="{00000000-0005-0000-0000-000081670000}"/>
    <cellStyle name="Normal 2 4 2 9 2" xfId="26495" xr:uid="{00000000-0005-0000-0000-000082670000}"/>
    <cellStyle name="Normal 2 4 2 9 2 2" xfId="26496" xr:uid="{00000000-0005-0000-0000-000083670000}"/>
    <cellStyle name="Normal 2 4 2 9 2 2 2" xfId="26497" xr:uid="{00000000-0005-0000-0000-000084670000}"/>
    <cellStyle name="Normal 2 4 2 9 2 2 3" xfId="26498" xr:uid="{00000000-0005-0000-0000-000085670000}"/>
    <cellStyle name="Normal 2 4 2 9 2 3" xfId="26499" xr:uid="{00000000-0005-0000-0000-000086670000}"/>
    <cellStyle name="Normal 2 4 2 9 2 4" xfId="26500" xr:uid="{00000000-0005-0000-0000-000087670000}"/>
    <cellStyle name="Normal 2 4 2 9 2 5" xfId="26501" xr:uid="{00000000-0005-0000-0000-000088670000}"/>
    <cellStyle name="Normal 2 4 2 9 2 6" xfId="26502" xr:uid="{00000000-0005-0000-0000-000089670000}"/>
    <cellStyle name="Normal 2 4 2 9 3" xfId="26503" xr:uid="{00000000-0005-0000-0000-00008A670000}"/>
    <cellStyle name="Normal 2 4 2 9 3 2" xfId="26504" xr:uid="{00000000-0005-0000-0000-00008B670000}"/>
    <cellStyle name="Normal 2 4 2 9 3 2 2" xfId="26505" xr:uid="{00000000-0005-0000-0000-00008C670000}"/>
    <cellStyle name="Normal 2 4 2 9 3 2 3" xfId="26506" xr:uid="{00000000-0005-0000-0000-00008D670000}"/>
    <cellStyle name="Normal 2 4 2 9 3 3" xfId="26507" xr:uid="{00000000-0005-0000-0000-00008E670000}"/>
    <cellStyle name="Normal 2 4 2 9 3 4" xfId="26508" xr:uid="{00000000-0005-0000-0000-00008F670000}"/>
    <cellStyle name="Normal 2 4 2 9 3 5" xfId="26509" xr:uid="{00000000-0005-0000-0000-000090670000}"/>
    <cellStyle name="Normal 2 4 2 9 3 6" xfId="26510" xr:uid="{00000000-0005-0000-0000-000091670000}"/>
    <cellStyle name="Normal 2 4 2 9 4" xfId="26511" xr:uid="{00000000-0005-0000-0000-000092670000}"/>
    <cellStyle name="Normal 2 4 2 9 4 2" xfId="26512" xr:uid="{00000000-0005-0000-0000-000093670000}"/>
    <cellStyle name="Normal 2 4 2 9 4 2 2" xfId="26513" xr:uid="{00000000-0005-0000-0000-000094670000}"/>
    <cellStyle name="Normal 2 4 2 9 4 3" xfId="26514" xr:uid="{00000000-0005-0000-0000-000095670000}"/>
    <cellStyle name="Normal 2 4 2 9 4 4" xfId="26515" xr:uid="{00000000-0005-0000-0000-000096670000}"/>
    <cellStyle name="Normal 2 4 2 9 4 5" xfId="26516" xr:uid="{00000000-0005-0000-0000-000097670000}"/>
    <cellStyle name="Normal 2 4 2 9 5" xfId="26517" xr:uid="{00000000-0005-0000-0000-000098670000}"/>
    <cellStyle name="Normal 2 4 2 9 5 2" xfId="26518" xr:uid="{00000000-0005-0000-0000-000099670000}"/>
    <cellStyle name="Normal 2 4 2 9 5 3" xfId="26519" xr:uid="{00000000-0005-0000-0000-00009A670000}"/>
    <cellStyle name="Normal 2 4 2 9 5 4" xfId="26520" xr:uid="{00000000-0005-0000-0000-00009B670000}"/>
    <cellStyle name="Normal 2 4 2 9 6" xfId="26521" xr:uid="{00000000-0005-0000-0000-00009C670000}"/>
    <cellStyle name="Normal 2 4 2 9 6 2" xfId="26522" xr:uid="{00000000-0005-0000-0000-00009D670000}"/>
    <cellStyle name="Normal 2 4 2 9 7" xfId="26523" xr:uid="{00000000-0005-0000-0000-00009E670000}"/>
    <cellStyle name="Normal 2 4 2 9 8" xfId="26524" xr:uid="{00000000-0005-0000-0000-00009F670000}"/>
    <cellStyle name="Normal 2 4 2 9 9" xfId="26525" xr:uid="{00000000-0005-0000-0000-0000A0670000}"/>
    <cellStyle name="Normal 2 4 3" xfId="26526" xr:uid="{00000000-0005-0000-0000-0000A1670000}"/>
    <cellStyle name="Normal 2 4 3 2" xfId="26527" xr:uid="{00000000-0005-0000-0000-0000A2670000}"/>
    <cellStyle name="Normal 2 4 4" xfId="26528" xr:uid="{00000000-0005-0000-0000-0000A3670000}"/>
    <cellStyle name="Normal 2 4 4 2" xfId="26529" xr:uid="{00000000-0005-0000-0000-0000A4670000}"/>
    <cellStyle name="Normal 2 4 5" xfId="26530" xr:uid="{00000000-0005-0000-0000-0000A5670000}"/>
    <cellStyle name="Normal 2 4 6" xfId="26531" xr:uid="{00000000-0005-0000-0000-0000A6670000}"/>
    <cellStyle name="Normal 2 4 7" xfId="26532" xr:uid="{00000000-0005-0000-0000-0000A7670000}"/>
    <cellStyle name="Normal 2 4 8" xfId="26533" xr:uid="{00000000-0005-0000-0000-0000A8670000}"/>
    <cellStyle name="Normal 2 4 9" xfId="26534" xr:uid="{00000000-0005-0000-0000-0000A9670000}"/>
    <cellStyle name="Normal 2 40" xfId="26535" xr:uid="{00000000-0005-0000-0000-0000AA670000}"/>
    <cellStyle name="Normal 2 40 10" xfId="26536" xr:uid="{00000000-0005-0000-0000-0000AB670000}"/>
    <cellStyle name="Normal 2 40 2" xfId="26537" xr:uid="{00000000-0005-0000-0000-0000AC670000}"/>
    <cellStyle name="Normal 2 40 2 2" xfId="26538" xr:uid="{00000000-0005-0000-0000-0000AD670000}"/>
    <cellStyle name="Normal 2 40 2 2 2" xfId="26539" xr:uid="{00000000-0005-0000-0000-0000AE670000}"/>
    <cellStyle name="Normal 2 40 2 2 3" xfId="26540" xr:uid="{00000000-0005-0000-0000-0000AF670000}"/>
    <cellStyle name="Normal 2 40 2 3" xfId="26541" xr:uid="{00000000-0005-0000-0000-0000B0670000}"/>
    <cellStyle name="Normal 2 40 2 4" xfId="26542" xr:uid="{00000000-0005-0000-0000-0000B1670000}"/>
    <cellStyle name="Normal 2 40 2 5" xfId="26543" xr:uid="{00000000-0005-0000-0000-0000B2670000}"/>
    <cellStyle name="Normal 2 40 2 6" xfId="26544" xr:uid="{00000000-0005-0000-0000-0000B3670000}"/>
    <cellStyle name="Normal 2 40 3" xfId="26545" xr:uid="{00000000-0005-0000-0000-0000B4670000}"/>
    <cellStyle name="Normal 2 40 3 2" xfId="26546" xr:uid="{00000000-0005-0000-0000-0000B5670000}"/>
    <cellStyle name="Normal 2 40 3 2 2" xfId="26547" xr:uid="{00000000-0005-0000-0000-0000B6670000}"/>
    <cellStyle name="Normal 2 40 3 2 3" xfId="26548" xr:uid="{00000000-0005-0000-0000-0000B7670000}"/>
    <cellStyle name="Normal 2 40 3 3" xfId="26549" xr:uid="{00000000-0005-0000-0000-0000B8670000}"/>
    <cellStyle name="Normal 2 40 3 4" xfId="26550" xr:uid="{00000000-0005-0000-0000-0000B9670000}"/>
    <cellStyle name="Normal 2 40 3 5" xfId="26551" xr:uid="{00000000-0005-0000-0000-0000BA670000}"/>
    <cellStyle name="Normal 2 40 3 6" xfId="26552" xr:uid="{00000000-0005-0000-0000-0000BB670000}"/>
    <cellStyle name="Normal 2 40 4" xfId="26553" xr:uid="{00000000-0005-0000-0000-0000BC670000}"/>
    <cellStyle name="Normal 2 40 4 2" xfId="26554" xr:uid="{00000000-0005-0000-0000-0000BD670000}"/>
    <cellStyle name="Normal 2 40 4 2 2" xfId="26555" xr:uid="{00000000-0005-0000-0000-0000BE670000}"/>
    <cellStyle name="Normal 2 40 4 3" xfId="26556" xr:uid="{00000000-0005-0000-0000-0000BF670000}"/>
    <cellStyle name="Normal 2 40 4 4" xfId="26557" xr:uid="{00000000-0005-0000-0000-0000C0670000}"/>
    <cellStyle name="Normal 2 40 4 5" xfId="26558" xr:uid="{00000000-0005-0000-0000-0000C1670000}"/>
    <cellStyle name="Normal 2 40 4 6" xfId="26559" xr:uid="{00000000-0005-0000-0000-0000C2670000}"/>
    <cellStyle name="Normal 2 40 5" xfId="26560" xr:uid="{00000000-0005-0000-0000-0000C3670000}"/>
    <cellStyle name="Normal 2 40 5 2" xfId="26561" xr:uid="{00000000-0005-0000-0000-0000C4670000}"/>
    <cellStyle name="Normal 2 40 5 3" xfId="26562" xr:uid="{00000000-0005-0000-0000-0000C5670000}"/>
    <cellStyle name="Normal 2 40 5 4" xfId="26563" xr:uid="{00000000-0005-0000-0000-0000C6670000}"/>
    <cellStyle name="Normal 2 40 5 5" xfId="26564" xr:uid="{00000000-0005-0000-0000-0000C7670000}"/>
    <cellStyle name="Normal 2 40 6" xfId="26565" xr:uid="{00000000-0005-0000-0000-0000C8670000}"/>
    <cellStyle name="Normal 2 40 6 2" xfId="26566" xr:uid="{00000000-0005-0000-0000-0000C9670000}"/>
    <cellStyle name="Normal 2 40 6 3" xfId="26567" xr:uid="{00000000-0005-0000-0000-0000CA670000}"/>
    <cellStyle name="Normal 2 40 7" xfId="26568" xr:uid="{00000000-0005-0000-0000-0000CB670000}"/>
    <cellStyle name="Normal 2 40 7 2" xfId="26569" xr:uid="{00000000-0005-0000-0000-0000CC670000}"/>
    <cellStyle name="Normal 2 40 8" xfId="26570" xr:uid="{00000000-0005-0000-0000-0000CD670000}"/>
    <cellStyle name="Normal 2 40 9" xfId="26571" xr:uid="{00000000-0005-0000-0000-0000CE670000}"/>
    <cellStyle name="Normal 2 41" xfId="26572" xr:uid="{00000000-0005-0000-0000-0000CF670000}"/>
    <cellStyle name="Normal 2 41 10" xfId="26573" xr:uid="{00000000-0005-0000-0000-0000D0670000}"/>
    <cellStyle name="Normal 2 41 2" xfId="26574" xr:uid="{00000000-0005-0000-0000-0000D1670000}"/>
    <cellStyle name="Normal 2 41 2 2" xfId="26575" xr:uid="{00000000-0005-0000-0000-0000D2670000}"/>
    <cellStyle name="Normal 2 41 2 2 2" xfId="26576" xr:uid="{00000000-0005-0000-0000-0000D3670000}"/>
    <cellStyle name="Normal 2 41 2 2 3" xfId="26577" xr:uid="{00000000-0005-0000-0000-0000D4670000}"/>
    <cellStyle name="Normal 2 41 2 3" xfId="26578" xr:uid="{00000000-0005-0000-0000-0000D5670000}"/>
    <cellStyle name="Normal 2 41 2 4" xfId="26579" xr:uid="{00000000-0005-0000-0000-0000D6670000}"/>
    <cellStyle name="Normal 2 41 2 5" xfId="26580" xr:uid="{00000000-0005-0000-0000-0000D7670000}"/>
    <cellStyle name="Normal 2 41 2 6" xfId="26581" xr:uid="{00000000-0005-0000-0000-0000D8670000}"/>
    <cellStyle name="Normal 2 41 3" xfId="26582" xr:uid="{00000000-0005-0000-0000-0000D9670000}"/>
    <cellStyle name="Normal 2 41 3 2" xfId="26583" xr:uid="{00000000-0005-0000-0000-0000DA670000}"/>
    <cellStyle name="Normal 2 41 3 2 2" xfId="26584" xr:uid="{00000000-0005-0000-0000-0000DB670000}"/>
    <cellStyle name="Normal 2 41 3 2 3" xfId="26585" xr:uid="{00000000-0005-0000-0000-0000DC670000}"/>
    <cellStyle name="Normal 2 41 3 3" xfId="26586" xr:uid="{00000000-0005-0000-0000-0000DD670000}"/>
    <cellStyle name="Normal 2 41 3 4" xfId="26587" xr:uid="{00000000-0005-0000-0000-0000DE670000}"/>
    <cellStyle name="Normal 2 41 3 5" xfId="26588" xr:uid="{00000000-0005-0000-0000-0000DF670000}"/>
    <cellStyle name="Normal 2 41 3 6" xfId="26589" xr:uid="{00000000-0005-0000-0000-0000E0670000}"/>
    <cellStyle name="Normal 2 41 4" xfId="26590" xr:uid="{00000000-0005-0000-0000-0000E1670000}"/>
    <cellStyle name="Normal 2 41 4 2" xfId="26591" xr:uid="{00000000-0005-0000-0000-0000E2670000}"/>
    <cellStyle name="Normal 2 41 4 2 2" xfId="26592" xr:uid="{00000000-0005-0000-0000-0000E3670000}"/>
    <cellStyle name="Normal 2 41 4 3" xfId="26593" xr:uid="{00000000-0005-0000-0000-0000E4670000}"/>
    <cellStyle name="Normal 2 41 4 4" xfId="26594" xr:uid="{00000000-0005-0000-0000-0000E5670000}"/>
    <cellStyle name="Normal 2 41 4 5" xfId="26595" xr:uid="{00000000-0005-0000-0000-0000E6670000}"/>
    <cellStyle name="Normal 2 41 4 6" xfId="26596" xr:uid="{00000000-0005-0000-0000-0000E7670000}"/>
    <cellStyle name="Normal 2 41 5" xfId="26597" xr:uid="{00000000-0005-0000-0000-0000E8670000}"/>
    <cellStyle name="Normal 2 41 5 2" xfId="26598" xr:uid="{00000000-0005-0000-0000-0000E9670000}"/>
    <cellStyle name="Normal 2 41 5 3" xfId="26599" xr:uid="{00000000-0005-0000-0000-0000EA670000}"/>
    <cellStyle name="Normal 2 41 5 4" xfId="26600" xr:uid="{00000000-0005-0000-0000-0000EB670000}"/>
    <cellStyle name="Normal 2 41 5 5" xfId="26601" xr:uid="{00000000-0005-0000-0000-0000EC670000}"/>
    <cellStyle name="Normal 2 41 6" xfId="26602" xr:uid="{00000000-0005-0000-0000-0000ED670000}"/>
    <cellStyle name="Normal 2 41 6 2" xfId="26603" xr:uid="{00000000-0005-0000-0000-0000EE670000}"/>
    <cellStyle name="Normal 2 41 6 3" xfId="26604" xr:uid="{00000000-0005-0000-0000-0000EF670000}"/>
    <cellStyle name="Normal 2 41 7" xfId="26605" xr:uid="{00000000-0005-0000-0000-0000F0670000}"/>
    <cellStyle name="Normal 2 41 7 2" xfId="26606" xr:uid="{00000000-0005-0000-0000-0000F1670000}"/>
    <cellStyle name="Normal 2 41 8" xfId="26607" xr:uid="{00000000-0005-0000-0000-0000F2670000}"/>
    <cellStyle name="Normal 2 41 9" xfId="26608" xr:uid="{00000000-0005-0000-0000-0000F3670000}"/>
    <cellStyle name="Normal 2 42" xfId="26609" xr:uid="{00000000-0005-0000-0000-0000F4670000}"/>
    <cellStyle name="Normal 2 42 10" xfId="26610" xr:uid="{00000000-0005-0000-0000-0000F5670000}"/>
    <cellStyle name="Normal 2 42 2" xfId="26611" xr:uid="{00000000-0005-0000-0000-0000F6670000}"/>
    <cellStyle name="Normal 2 42 2 2" xfId="26612" xr:uid="{00000000-0005-0000-0000-0000F7670000}"/>
    <cellStyle name="Normal 2 42 2 2 2" xfId="26613" xr:uid="{00000000-0005-0000-0000-0000F8670000}"/>
    <cellStyle name="Normal 2 42 2 2 3" xfId="26614" xr:uid="{00000000-0005-0000-0000-0000F9670000}"/>
    <cellStyle name="Normal 2 42 2 3" xfId="26615" xr:uid="{00000000-0005-0000-0000-0000FA670000}"/>
    <cellStyle name="Normal 2 42 2 4" xfId="26616" xr:uid="{00000000-0005-0000-0000-0000FB670000}"/>
    <cellStyle name="Normal 2 42 2 5" xfId="26617" xr:uid="{00000000-0005-0000-0000-0000FC670000}"/>
    <cellStyle name="Normal 2 42 2 6" xfId="26618" xr:uid="{00000000-0005-0000-0000-0000FD670000}"/>
    <cellStyle name="Normal 2 42 3" xfId="26619" xr:uid="{00000000-0005-0000-0000-0000FE670000}"/>
    <cellStyle name="Normal 2 42 3 2" xfId="26620" xr:uid="{00000000-0005-0000-0000-0000FF670000}"/>
    <cellStyle name="Normal 2 42 3 2 2" xfId="26621" xr:uid="{00000000-0005-0000-0000-000000680000}"/>
    <cellStyle name="Normal 2 42 3 2 3" xfId="26622" xr:uid="{00000000-0005-0000-0000-000001680000}"/>
    <cellStyle name="Normal 2 42 3 3" xfId="26623" xr:uid="{00000000-0005-0000-0000-000002680000}"/>
    <cellStyle name="Normal 2 42 3 4" xfId="26624" xr:uid="{00000000-0005-0000-0000-000003680000}"/>
    <cellStyle name="Normal 2 42 3 5" xfId="26625" xr:uid="{00000000-0005-0000-0000-000004680000}"/>
    <cellStyle name="Normal 2 42 3 6" xfId="26626" xr:uid="{00000000-0005-0000-0000-000005680000}"/>
    <cellStyle name="Normal 2 42 4" xfId="26627" xr:uid="{00000000-0005-0000-0000-000006680000}"/>
    <cellStyle name="Normal 2 42 4 2" xfId="26628" xr:uid="{00000000-0005-0000-0000-000007680000}"/>
    <cellStyle name="Normal 2 42 4 2 2" xfId="26629" xr:uid="{00000000-0005-0000-0000-000008680000}"/>
    <cellStyle name="Normal 2 42 4 3" xfId="26630" xr:uid="{00000000-0005-0000-0000-000009680000}"/>
    <cellStyle name="Normal 2 42 4 4" xfId="26631" xr:uid="{00000000-0005-0000-0000-00000A680000}"/>
    <cellStyle name="Normal 2 42 4 5" xfId="26632" xr:uid="{00000000-0005-0000-0000-00000B680000}"/>
    <cellStyle name="Normal 2 42 4 6" xfId="26633" xr:uid="{00000000-0005-0000-0000-00000C680000}"/>
    <cellStyle name="Normal 2 42 5" xfId="26634" xr:uid="{00000000-0005-0000-0000-00000D680000}"/>
    <cellStyle name="Normal 2 42 5 2" xfId="26635" xr:uid="{00000000-0005-0000-0000-00000E680000}"/>
    <cellStyle name="Normal 2 42 5 3" xfId="26636" xr:uid="{00000000-0005-0000-0000-00000F680000}"/>
    <cellStyle name="Normal 2 42 5 4" xfId="26637" xr:uid="{00000000-0005-0000-0000-000010680000}"/>
    <cellStyle name="Normal 2 42 5 5" xfId="26638" xr:uid="{00000000-0005-0000-0000-000011680000}"/>
    <cellStyle name="Normal 2 42 6" xfId="26639" xr:uid="{00000000-0005-0000-0000-000012680000}"/>
    <cellStyle name="Normal 2 42 6 2" xfId="26640" xr:uid="{00000000-0005-0000-0000-000013680000}"/>
    <cellStyle name="Normal 2 42 6 3" xfId="26641" xr:uid="{00000000-0005-0000-0000-000014680000}"/>
    <cellStyle name="Normal 2 42 7" xfId="26642" xr:uid="{00000000-0005-0000-0000-000015680000}"/>
    <cellStyle name="Normal 2 42 7 2" xfId="26643" xr:uid="{00000000-0005-0000-0000-000016680000}"/>
    <cellStyle name="Normal 2 42 8" xfId="26644" xr:uid="{00000000-0005-0000-0000-000017680000}"/>
    <cellStyle name="Normal 2 42 9" xfId="26645" xr:uid="{00000000-0005-0000-0000-000018680000}"/>
    <cellStyle name="Normal 2 43" xfId="26646" xr:uid="{00000000-0005-0000-0000-000019680000}"/>
    <cellStyle name="Normal 2 43 10" xfId="26647" xr:uid="{00000000-0005-0000-0000-00001A680000}"/>
    <cellStyle name="Normal 2 43 2" xfId="26648" xr:uid="{00000000-0005-0000-0000-00001B680000}"/>
    <cellStyle name="Normal 2 43 2 2" xfId="26649" xr:uid="{00000000-0005-0000-0000-00001C680000}"/>
    <cellStyle name="Normal 2 43 2 2 2" xfId="26650" xr:uid="{00000000-0005-0000-0000-00001D680000}"/>
    <cellStyle name="Normal 2 43 2 2 3" xfId="26651" xr:uid="{00000000-0005-0000-0000-00001E680000}"/>
    <cellStyle name="Normal 2 43 2 3" xfId="26652" xr:uid="{00000000-0005-0000-0000-00001F680000}"/>
    <cellStyle name="Normal 2 43 2 4" xfId="26653" xr:uid="{00000000-0005-0000-0000-000020680000}"/>
    <cellStyle name="Normal 2 43 2 5" xfId="26654" xr:uid="{00000000-0005-0000-0000-000021680000}"/>
    <cellStyle name="Normal 2 43 2 6" xfId="26655" xr:uid="{00000000-0005-0000-0000-000022680000}"/>
    <cellStyle name="Normal 2 43 3" xfId="26656" xr:uid="{00000000-0005-0000-0000-000023680000}"/>
    <cellStyle name="Normal 2 43 3 2" xfId="26657" xr:uid="{00000000-0005-0000-0000-000024680000}"/>
    <cellStyle name="Normal 2 43 3 2 2" xfId="26658" xr:uid="{00000000-0005-0000-0000-000025680000}"/>
    <cellStyle name="Normal 2 43 3 2 3" xfId="26659" xr:uid="{00000000-0005-0000-0000-000026680000}"/>
    <cellStyle name="Normal 2 43 3 3" xfId="26660" xr:uid="{00000000-0005-0000-0000-000027680000}"/>
    <cellStyle name="Normal 2 43 3 4" xfId="26661" xr:uid="{00000000-0005-0000-0000-000028680000}"/>
    <cellStyle name="Normal 2 43 3 5" xfId="26662" xr:uid="{00000000-0005-0000-0000-000029680000}"/>
    <cellStyle name="Normal 2 43 3 6" xfId="26663" xr:uid="{00000000-0005-0000-0000-00002A680000}"/>
    <cellStyle name="Normal 2 43 4" xfId="26664" xr:uid="{00000000-0005-0000-0000-00002B680000}"/>
    <cellStyle name="Normal 2 43 4 2" xfId="26665" xr:uid="{00000000-0005-0000-0000-00002C680000}"/>
    <cellStyle name="Normal 2 43 4 2 2" xfId="26666" xr:uid="{00000000-0005-0000-0000-00002D680000}"/>
    <cellStyle name="Normal 2 43 4 3" xfId="26667" xr:uid="{00000000-0005-0000-0000-00002E680000}"/>
    <cellStyle name="Normal 2 43 4 4" xfId="26668" xr:uid="{00000000-0005-0000-0000-00002F680000}"/>
    <cellStyle name="Normal 2 43 4 5" xfId="26669" xr:uid="{00000000-0005-0000-0000-000030680000}"/>
    <cellStyle name="Normal 2 43 4 6" xfId="26670" xr:uid="{00000000-0005-0000-0000-000031680000}"/>
    <cellStyle name="Normal 2 43 5" xfId="26671" xr:uid="{00000000-0005-0000-0000-000032680000}"/>
    <cellStyle name="Normal 2 43 5 2" xfId="26672" xr:uid="{00000000-0005-0000-0000-000033680000}"/>
    <cellStyle name="Normal 2 43 5 3" xfId="26673" xr:uid="{00000000-0005-0000-0000-000034680000}"/>
    <cellStyle name="Normal 2 43 5 4" xfId="26674" xr:uid="{00000000-0005-0000-0000-000035680000}"/>
    <cellStyle name="Normal 2 43 5 5" xfId="26675" xr:uid="{00000000-0005-0000-0000-000036680000}"/>
    <cellStyle name="Normal 2 43 6" xfId="26676" xr:uid="{00000000-0005-0000-0000-000037680000}"/>
    <cellStyle name="Normal 2 43 6 2" xfId="26677" xr:uid="{00000000-0005-0000-0000-000038680000}"/>
    <cellStyle name="Normal 2 43 6 3" xfId="26678" xr:uid="{00000000-0005-0000-0000-000039680000}"/>
    <cellStyle name="Normal 2 43 7" xfId="26679" xr:uid="{00000000-0005-0000-0000-00003A680000}"/>
    <cellStyle name="Normal 2 43 7 2" xfId="26680" xr:uid="{00000000-0005-0000-0000-00003B680000}"/>
    <cellStyle name="Normal 2 43 8" xfId="26681" xr:uid="{00000000-0005-0000-0000-00003C680000}"/>
    <cellStyle name="Normal 2 43 9" xfId="26682" xr:uid="{00000000-0005-0000-0000-00003D680000}"/>
    <cellStyle name="Normal 2 44" xfId="26683" xr:uid="{00000000-0005-0000-0000-00003E680000}"/>
    <cellStyle name="Normal 2 44 10" xfId="26684" xr:uid="{00000000-0005-0000-0000-00003F680000}"/>
    <cellStyle name="Normal 2 44 2" xfId="26685" xr:uid="{00000000-0005-0000-0000-000040680000}"/>
    <cellStyle name="Normal 2 44 2 2" xfId="26686" xr:uid="{00000000-0005-0000-0000-000041680000}"/>
    <cellStyle name="Normal 2 44 2 2 2" xfId="26687" xr:uid="{00000000-0005-0000-0000-000042680000}"/>
    <cellStyle name="Normal 2 44 2 2 3" xfId="26688" xr:uid="{00000000-0005-0000-0000-000043680000}"/>
    <cellStyle name="Normal 2 44 2 3" xfId="26689" xr:uid="{00000000-0005-0000-0000-000044680000}"/>
    <cellStyle name="Normal 2 44 2 4" xfId="26690" xr:uid="{00000000-0005-0000-0000-000045680000}"/>
    <cellStyle name="Normal 2 44 2 5" xfId="26691" xr:uid="{00000000-0005-0000-0000-000046680000}"/>
    <cellStyle name="Normal 2 44 2 6" xfId="26692" xr:uid="{00000000-0005-0000-0000-000047680000}"/>
    <cellStyle name="Normal 2 44 3" xfId="26693" xr:uid="{00000000-0005-0000-0000-000048680000}"/>
    <cellStyle name="Normal 2 44 3 2" xfId="26694" xr:uid="{00000000-0005-0000-0000-000049680000}"/>
    <cellStyle name="Normal 2 44 3 2 2" xfId="26695" xr:uid="{00000000-0005-0000-0000-00004A680000}"/>
    <cellStyle name="Normal 2 44 3 2 3" xfId="26696" xr:uid="{00000000-0005-0000-0000-00004B680000}"/>
    <cellStyle name="Normal 2 44 3 3" xfId="26697" xr:uid="{00000000-0005-0000-0000-00004C680000}"/>
    <cellStyle name="Normal 2 44 3 4" xfId="26698" xr:uid="{00000000-0005-0000-0000-00004D680000}"/>
    <cellStyle name="Normal 2 44 3 5" xfId="26699" xr:uid="{00000000-0005-0000-0000-00004E680000}"/>
    <cellStyle name="Normal 2 44 3 6" xfId="26700" xr:uid="{00000000-0005-0000-0000-00004F680000}"/>
    <cellStyle name="Normal 2 44 4" xfId="26701" xr:uid="{00000000-0005-0000-0000-000050680000}"/>
    <cellStyle name="Normal 2 44 4 2" xfId="26702" xr:uid="{00000000-0005-0000-0000-000051680000}"/>
    <cellStyle name="Normal 2 44 4 2 2" xfId="26703" xr:uid="{00000000-0005-0000-0000-000052680000}"/>
    <cellStyle name="Normal 2 44 4 3" xfId="26704" xr:uid="{00000000-0005-0000-0000-000053680000}"/>
    <cellStyle name="Normal 2 44 4 4" xfId="26705" xr:uid="{00000000-0005-0000-0000-000054680000}"/>
    <cellStyle name="Normal 2 44 4 5" xfId="26706" xr:uid="{00000000-0005-0000-0000-000055680000}"/>
    <cellStyle name="Normal 2 44 4 6" xfId="26707" xr:uid="{00000000-0005-0000-0000-000056680000}"/>
    <cellStyle name="Normal 2 44 5" xfId="26708" xr:uid="{00000000-0005-0000-0000-000057680000}"/>
    <cellStyle name="Normal 2 44 5 2" xfId="26709" xr:uid="{00000000-0005-0000-0000-000058680000}"/>
    <cellStyle name="Normal 2 44 5 3" xfId="26710" xr:uid="{00000000-0005-0000-0000-000059680000}"/>
    <cellStyle name="Normal 2 44 5 4" xfId="26711" xr:uid="{00000000-0005-0000-0000-00005A680000}"/>
    <cellStyle name="Normal 2 44 5 5" xfId="26712" xr:uid="{00000000-0005-0000-0000-00005B680000}"/>
    <cellStyle name="Normal 2 44 6" xfId="26713" xr:uid="{00000000-0005-0000-0000-00005C680000}"/>
    <cellStyle name="Normal 2 44 6 2" xfId="26714" xr:uid="{00000000-0005-0000-0000-00005D680000}"/>
    <cellStyle name="Normal 2 44 6 3" xfId="26715" xr:uid="{00000000-0005-0000-0000-00005E680000}"/>
    <cellStyle name="Normal 2 44 7" xfId="26716" xr:uid="{00000000-0005-0000-0000-00005F680000}"/>
    <cellStyle name="Normal 2 44 7 2" xfId="26717" xr:uid="{00000000-0005-0000-0000-000060680000}"/>
    <cellStyle name="Normal 2 44 8" xfId="26718" xr:uid="{00000000-0005-0000-0000-000061680000}"/>
    <cellStyle name="Normal 2 44 9" xfId="26719" xr:uid="{00000000-0005-0000-0000-000062680000}"/>
    <cellStyle name="Normal 2 45" xfId="26720" xr:uid="{00000000-0005-0000-0000-000063680000}"/>
    <cellStyle name="Normal 2 45 10" xfId="26721" xr:uid="{00000000-0005-0000-0000-000064680000}"/>
    <cellStyle name="Normal 2 45 2" xfId="26722" xr:uid="{00000000-0005-0000-0000-000065680000}"/>
    <cellStyle name="Normal 2 45 2 2" xfId="26723" xr:uid="{00000000-0005-0000-0000-000066680000}"/>
    <cellStyle name="Normal 2 45 2 2 2" xfId="26724" xr:uid="{00000000-0005-0000-0000-000067680000}"/>
    <cellStyle name="Normal 2 45 2 2 3" xfId="26725" xr:uid="{00000000-0005-0000-0000-000068680000}"/>
    <cellStyle name="Normal 2 45 2 3" xfId="26726" xr:uid="{00000000-0005-0000-0000-000069680000}"/>
    <cellStyle name="Normal 2 45 2 4" xfId="26727" xr:uid="{00000000-0005-0000-0000-00006A680000}"/>
    <cellStyle name="Normal 2 45 2 5" xfId="26728" xr:uid="{00000000-0005-0000-0000-00006B680000}"/>
    <cellStyle name="Normal 2 45 2 6" xfId="26729" xr:uid="{00000000-0005-0000-0000-00006C680000}"/>
    <cellStyle name="Normal 2 45 3" xfId="26730" xr:uid="{00000000-0005-0000-0000-00006D680000}"/>
    <cellStyle name="Normal 2 45 3 2" xfId="26731" xr:uid="{00000000-0005-0000-0000-00006E680000}"/>
    <cellStyle name="Normal 2 45 3 2 2" xfId="26732" xr:uid="{00000000-0005-0000-0000-00006F680000}"/>
    <cellStyle name="Normal 2 45 3 2 3" xfId="26733" xr:uid="{00000000-0005-0000-0000-000070680000}"/>
    <cellStyle name="Normal 2 45 3 3" xfId="26734" xr:uid="{00000000-0005-0000-0000-000071680000}"/>
    <cellStyle name="Normal 2 45 3 4" xfId="26735" xr:uid="{00000000-0005-0000-0000-000072680000}"/>
    <cellStyle name="Normal 2 45 3 5" xfId="26736" xr:uid="{00000000-0005-0000-0000-000073680000}"/>
    <cellStyle name="Normal 2 45 3 6" xfId="26737" xr:uid="{00000000-0005-0000-0000-000074680000}"/>
    <cellStyle name="Normal 2 45 4" xfId="26738" xr:uid="{00000000-0005-0000-0000-000075680000}"/>
    <cellStyle name="Normal 2 45 4 2" xfId="26739" xr:uid="{00000000-0005-0000-0000-000076680000}"/>
    <cellStyle name="Normal 2 45 4 2 2" xfId="26740" xr:uid="{00000000-0005-0000-0000-000077680000}"/>
    <cellStyle name="Normal 2 45 4 3" xfId="26741" xr:uid="{00000000-0005-0000-0000-000078680000}"/>
    <cellStyle name="Normal 2 45 4 4" xfId="26742" xr:uid="{00000000-0005-0000-0000-000079680000}"/>
    <cellStyle name="Normal 2 45 4 5" xfId="26743" xr:uid="{00000000-0005-0000-0000-00007A680000}"/>
    <cellStyle name="Normal 2 45 4 6" xfId="26744" xr:uid="{00000000-0005-0000-0000-00007B680000}"/>
    <cellStyle name="Normal 2 45 5" xfId="26745" xr:uid="{00000000-0005-0000-0000-00007C680000}"/>
    <cellStyle name="Normal 2 45 5 2" xfId="26746" xr:uid="{00000000-0005-0000-0000-00007D680000}"/>
    <cellStyle name="Normal 2 45 5 3" xfId="26747" xr:uid="{00000000-0005-0000-0000-00007E680000}"/>
    <cellStyle name="Normal 2 45 5 4" xfId="26748" xr:uid="{00000000-0005-0000-0000-00007F680000}"/>
    <cellStyle name="Normal 2 45 5 5" xfId="26749" xr:uid="{00000000-0005-0000-0000-000080680000}"/>
    <cellStyle name="Normal 2 45 6" xfId="26750" xr:uid="{00000000-0005-0000-0000-000081680000}"/>
    <cellStyle name="Normal 2 45 6 2" xfId="26751" xr:uid="{00000000-0005-0000-0000-000082680000}"/>
    <cellStyle name="Normal 2 45 6 3" xfId="26752" xr:uid="{00000000-0005-0000-0000-000083680000}"/>
    <cellStyle name="Normal 2 45 7" xfId="26753" xr:uid="{00000000-0005-0000-0000-000084680000}"/>
    <cellStyle name="Normal 2 45 7 2" xfId="26754" xr:uid="{00000000-0005-0000-0000-000085680000}"/>
    <cellStyle name="Normal 2 45 8" xfId="26755" xr:uid="{00000000-0005-0000-0000-000086680000}"/>
    <cellStyle name="Normal 2 45 9" xfId="26756" xr:uid="{00000000-0005-0000-0000-000087680000}"/>
    <cellStyle name="Normal 2 46" xfId="26757" xr:uid="{00000000-0005-0000-0000-000088680000}"/>
    <cellStyle name="Normal 2 46 10" xfId="26758" xr:uid="{00000000-0005-0000-0000-000089680000}"/>
    <cellStyle name="Normal 2 46 2" xfId="26759" xr:uid="{00000000-0005-0000-0000-00008A680000}"/>
    <cellStyle name="Normal 2 46 2 2" xfId="26760" xr:uid="{00000000-0005-0000-0000-00008B680000}"/>
    <cellStyle name="Normal 2 46 2 2 2" xfId="26761" xr:uid="{00000000-0005-0000-0000-00008C680000}"/>
    <cellStyle name="Normal 2 46 2 2 3" xfId="26762" xr:uid="{00000000-0005-0000-0000-00008D680000}"/>
    <cellStyle name="Normal 2 46 2 3" xfId="26763" xr:uid="{00000000-0005-0000-0000-00008E680000}"/>
    <cellStyle name="Normal 2 46 2 4" xfId="26764" xr:uid="{00000000-0005-0000-0000-00008F680000}"/>
    <cellStyle name="Normal 2 46 2 5" xfId="26765" xr:uid="{00000000-0005-0000-0000-000090680000}"/>
    <cellStyle name="Normal 2 46 2 6" xfId="26766" xr:uid="{00000000-0005-0000-0000-000091680000}"/>
    <cellStyle name="Normal 2 46 3" xfId="26767" xr:uid="{00000000-0005-0000-0000-000092680000}"/>
    <cellStyle name="Normal 2 46 3 2" xfId="26768" xr:uid="{00000000-0005-0000-0000-000093680000}"/>
    <cellStyle name="Normal 2 46 3 2 2" xfId="26769" xr:uid="{00000000-0005-0000-0000-000094680000}"/>
    <cellStyle name="Normal 2 46 3 2 3" xfId="26770" xr:uid="{00000000-0005-0000-0000-000095680000}"/>
    <cellStyle name="Normal 2 46 3 3" xfId="26771" xr:uid="{00000000-0005-0000-0000-000096680000}"/>
    <cellStyle name="Normal 2 46 3 4" xfId="26772" xr:uid="{00000000-0005-0000-0000-000097680000}"/>
    <cellStyle name="Normal 2 46 3 5" xfId="26773" xr:uid="{00000000-0005-0000-0000-000098680000}"/>
    <cellStyle name="Normal 2 46 3 6" xfId="26774" xr:uid="{00000000-0005-0000-0000-000099680000}"/>
    <cellStyle name="Normal 2 46 4" xfId="26775" xr:uid="{00000000-0005-0000-0000-00009A680000}"/>
    <cellStyle name="Normal 2 46 4 2" xfId="26776" xr:uid="{00000000-0005-0000-0000-00009B680000}"/>
    <cellStyle name="Normal 2 46 4 2 2" xfId="26777" xr:uid="{00000000-0005-0000-0000-00009C680000}"/>
    <cellStyle name="Normal 2 46 4 3" xfId="26778" xr:uid="{00000000-0005-0000-0000-00009D680000}"/>
    <cellStyle name="Normal 2 46 4 4" xfId="26779" xr:uid="{00000000-0005-0000-0000-00009E680000}"/>
    <cellStyle name="Normal 2 46 4 5" xfId="26780" xr:uid="{00000000-0005-0000-0000-00009F680000}"/>
    <cellStyle name="Normal 2 46 4 6" xfId="26781" xr:uid="{00000000-0005-0000-0000-0000A0680000}"/>
    <cellStyle name="Normal 2 46 5" xfId="26782" xr:uid="{00000000-0005-0000-0000-0000A1680000}"/>
    <cellStyle name="Normal 2 46 5 2" xfId="26783" xr:uid="{00000000-0005-0000-0000-0000A2680000}"/>
    <cellStyle name="Normal 2 46 5 3" xfId="26784" xr:uid="{00000000-0005-0000-0000-0000A3680000}"/>
    <cellStyle name="Normal 2 46 5 4" xfId="26785" xr:uid="{00000000-0005-0000-0000-0000A4680000}"/>
    <cellStyle name="Normal 2 46 5 5" xfId="26786" xr:uid="{00000000-0005-0000-0000-0000A5680000}"/>
    <cellStyle name="Normal 2 46 6" xfId="26787" xr:uid="{00000000-0005-0000-0000-0000A6680000}"/>
    <cellStyle name="Normal 2 46 6 2" xfId="26788" xr:uid="{00000000-0005-0000-0000-0000A7680000}"/>
    <cellStyle name="Normal 2 46 6 3" xfId="26789" xr:uid="{00000000-0005-0000-0000-0000A8680000}"/>
    <cellStyle name="Normal 2 46 7" xfId="26790" xr:uid="{00000000-0005-0000-0000-0000A9680000}"/>
    <cellStyle name="Normal 2 46 7 2" xfId="26791" xr:uid="{00000000-0005-0000-0000-0000AA680000}"/>
    <cellStyle name="Normal 2 46 8" xfId="26792" xr:uid="{00000000-0005-0000-0000-0000AB680000}"/>
    <cellStyle name="Normal 2 46 9" xfId="26793" xr:uid="{00000000-0005-0000-0000-0000AC680000}"/>
    <cellStyle name="Normal 2 47" xfId="26794" xr:uid="{00000000-0005-0000-0000-0000AD680000}"/>
    <cellStyle name="Normal 2 47 10" xfId="26795" xr:uid="{00000000-0005-0000-0000-0000AE680000}"/>
    <cellStyle name="Normal 2 47 2" xfId="26796" xr:uid="{00000000-0005-0000-0000-0000AF680000}"/>
    <cellStyle name="Normal 2 47 2 2" xfId="26797" xr:uid="{00000000-0005-0000-0000-0000B0680000}"/>
    <cellStyle name="Normal 2 47 2 2 2" xfId="26798" xr:uid="{00000000-0005-0000-0000-0000B1680000}"/>
    <cellStyle name="Normal 2 47 2 2 3" xfId="26799" xr:uid="{00000000-0005-0000-0000-0000B2680000}"/>
    <cellStyle name="Normal 2 47 2 3" xfId="26800" xr:uid="{00000000-0005-0000-0000-0000B3680000}"/>
    <cellStyle name="Normal 2 47 2 4" xfId="26801" xr:uid="{00000000-0005-0000-0000-0000B4680000}"/>
    <cellStyle name="Normal 2 47 2 5" xfId="26802" xr:uid="{00000000-0005-0000-0000-0000B5680000}"/>
    <cellStyle name="Normal 2 47 2 6" xfId="26803" xr:uid="{00000000-0005-0000-0000-0000B6680000}"/>
    <cellStyle name="Normal 2 47 3" xfId="26804" xr:uid="{00000000-0005-0000-0000-0000B7680000}"/>
    <cellStyle name="Normal 2 47 3 2" xfId="26805" xr:uid="{00000000-0005-0000-0000-0000B8680000}"/>
    <cellStyle name="Normal 2 47 3 2 2" xfId="26806" xr:uid="{00000000-0005-0000-0000-0000B9680000}"/>
    <cellStyle name="Normal 2 47 3 2 3" xfId="26807" xr:uid="{00000000-0005-0000-0000-0000BA680000}"/>
    <cellStyle name="Normal 2 47 3 3" xfId="26808" xr:uid="{00000000-0005-0000-0000-0000BB680000}"/>
    <cellStyle name="Normal 2 47 3 4" xfId="26809" xr:uid="{00000000-0005-0000-0000-0000BC680000}"/>
    <cellStyle name="Normal 2 47 3 5" xfId="26810" xr:uid="{00000000-0005-0000-0000-0000BD680000}"/>
    <cellStyle name="Normal 2 47 3 6" xfId="26811" xr:uid="{00000000-0005-0000-0000-0000BE680000}"/>
    <cellStyle name="Normal 2 47 4" xfId="26812" xr:uid="{00000000-0005-0000-0000-0000BF680000}"/>
    <cellStyle name="Normal 2 47 4 2" xfId="26813" xr:uid="{00000000-0005-0000-0000-0000C0680000}"/>
    <cellStyle name="Normal 2 47 4 2 2" xfId="26814" xr:uid="{00000000-0005-0000-0000-0000C1680000}"/>
    <cellStyle name="Normal 2 47 4 3" xfId="26815" xr:uid="{00000000-0005-0000-0000-0000C2680000}"/>
    <cellStyle name="Normal 2 47 4 4" xfId="26816" xr:uid="{00000000-0005-0000-0000-0000C3680000}"/>
    <cellStyle name="Normal 2 47 4 5" xfId="26817" xr:uid="{00000000-0005-0000-0000-0000C4680000}"/>
    <cellStyle name="Normal 2 47 4 6" xfId="26818" xr:uid="{00000000-0005-0000-0000-0000C5680000}"/>
    <cellStyle name="Normal 2 47 5" xfId="26819" xr:uid="{00000000-0005-0000-0000-0000C6680000}"/>
    <cellStyle name="Normal 2 47 5 2" xfId="26820" xr:uid="{00000000-0005-0000-0000-0000C7680000}"/>
    <cellStyle name="Normal 2 47 5 3" xfId="26821" xr:uid="{00000000-0005-0000-0000-0000C8680000}"/>
    <cellStyle name="Normal 2 47 5 4" xfId="26822" xr:uid="{00000000-0005-0000-0000-0000C9680000}"/>
    <cellStyle name="Normal 2 47 5 5" xfId="26823" xr:uid="{00000000-0005-0000-0000-0000CA680000}"/>
    <cellStyle name="Normal 2 47 6" xfId="26824" xr:uid="{00000000-0005-0000-0000-0000CB680000}"/>
    <cellStyle name="Normal 2 47 6 2" xfId="26825" xr:uid="{00000000-0005-0000-0000-0000CC680000}"/>
    <cellStyle name="Normal 2 47 6 3" xfId="26826" xr:uid="{00000000-0005-0000-0000-0000CD680000}"/>
    <cellStyle name="Normal 2 47 7" xfId="26827" xr:uid="{00000000-0005-0000-0000-0000CE680000}"/>
    <cellStyle name="Normal 2 47 7 2" xfId="26828" xr:uid="{00000000-0005-0000-0000-0000CF680000}"/>
    <cellStyle name="Normal 2 47 8" xfId="26829" xr:uid="{00000000-0005-0000-0000-0000D0680000}"/>
    <cellStyle name="Normal 2 47 9" xfId="26830" xr:uid="{00000000-0005-0000-0000-0000D1680000}"/>
    <cellStyle name="Normal 2 48" xfId="26831" xr:uid="{00000000-0005-0000-0000-0000D2680000}"/>
    <cellStyle name="Normal 2 48 10" xfId="26832" xr:uid="{00000000-0005-0000-0000-0000D3680000}"/>
    <cellStyle name="Normal 2 48 2" xfId="26833" xr:uid="{00000000-0005-0000-0000-0000D4680000}"/>
    <cellStyle name="Normal 2 48 2 2" xfId="26834" xr:uid="{00000000-0005-0000-0000-0000D5680000}"/>
    <cellStyle name="Normal 2 48 2 2 2" xfId="26835" xr:uid="{00000000-0005-0000-0000-0000D6680000}"/>
    <cellStyle name="Normal 2 48 2 2 3" xfId="26836" xr:uid="{00000000-0005-0000-0000-0000D7680000}"/>
    <cellStyle name="Normal 2 48 2 3" xfId="26837" xr:uid="{00000000-0005-0000-0000-0000D8680000}"/>
    <cellStyle name="Normal 2 48 2 4" xfId="26838" xr:uid="{00000000-0005-0000-0000-0000D9680000}"/>
    <cellStyle name="Normal 2 48 2 5" xfId="26839" xr:uid="{00000000-0005-0000-0000-0000DA680000}"/>
    <cellStyle name="Normal 2 48 2 6" xfId="26840" xr:uid="{00000000-0005-0000-0000-0000DB680000}"/>
    <cellStyle name="Normal 2 48 3" xfId="26841" xr:uid="{00000000-0005-0000-0000-0000DC680000}"/>
    <cellStyle name="Normal 2 48 3 2" xfId="26842" xr:uid="{00000000-0005-0000-0000-0000DD680000}"/>
    <cellStyle name="Normal 2 48 3 2 2" xfId="26843" xr:uid="{00000000-0005-0000-0000-0000DE680000}"/>
    <cellStyle name="Normal 2 48 3 2 3" xfId="26844" xr:uid="{00000000-0005-0000-0000-0000DF680000}"/>
    <cellStyle name="Normal 2 48 3 3" xfId="26845" xr:uid="{00000000-0005-0000-0000-0000E0680000}"/>
    <cellStyle name="Normal 2 48 3 4" xfId="26846" xr:uid="{00000000-0005-0000-0000-0000E1680000}"/>
    <cellStyle name="Normal 2 48 3 5" xfId="26847" xr:uid="{00000000-0005-0000-0000-0000E2680000}"/>
    <cellStyle name="Normal 2 48 3 6" xfId="26848" xr:uid="{00000000-0005-0000-0000-0000E3680000}"/>
    <cellStyle name="Normal 2 48 4" xfId="26849" xr:uid="{00000000-0005-0000-0000-0000E4680000}"/>
    <cellStyle name="Normal 2 48 4 2" xfId="26850" xr:uid="{00000000-0005-0000-0000-0000E5680000}"/>
    <cellStyle name="Normal 2 48 4 2 2" xfId="26851" xr:uid="{00000000-0005-0000-0000-0000E6680000}"/>
    <cellStyle name="Normal 2 48 4 3" xfId="26852" xr:uid="{00000000-0005-0000-0000-0000E7680000}"/>
    <cellStyle name="Normal 2 48 4 4" xfId="26853" xr:uid="{00000000-0005-0000-0000-0000E8680000}"/>
    <cellStyle name="Normal 2 48 4 5" xfId="26854" xr:uid="{00000000-0005-0000-0000-0000E9680000}"/>
    <cellStyle name="Normal 2 48 4 6" xfId="26855" xr:uid="{00000000-0005-0000-0000-0000EA680000}"/>
    <cellStyle name="Normal 2 48 5" xfId="26856" xr:uid="{00000000-0005-0000-0000-0000EB680000}"/>
    <cellStyle name="Normal 2 48 5 2" xfId="26857" xr:uid="{00000000-0005-0000-0000-0000EC680000}"/>
    <cellStyle name="Normal 2 48 5 3" xfId="26858" xr:uid="{00000000-0005-0000-0000-0000ED680000}"/>
    <cellStyle name="Normal 2 48 5 4" xfId="26859" xr:uid="{00000000-0005-0000-0000-0000EE680000}"/>
    <cellStyle name="Normal 2 48 5 5" xfId="26860" xr:uid="{00000000-0005-0000-0000-0000EF680000}"/>
    <cellStyle name="Normal 2 48 6" xfId="26861" xr:uid="{00000000-0005-0000-0000-0000F0680000}"/>
    <cellStyle name="Normal 2 48 6 2" xfId="26862" xr:uid="{00000000-0005-0000-0000-0000F1680000}"/>
    <cellStyle name="Normal 2 48 6 3" xfId="26863" xr:uid="{00000000-0005-0000-0000-0000F2680000}"/>
    <cellStyle name="Normal 2 48 7" xfId="26864" xr:uid="{00000000-0005-0000-0000-0000F3680000}"/>
    <cellStyle name="Normal 2 48 7 2" xfId="26865" xr:uid="{00000000-0005-0000-0000-0000F4680000}"/>
    <cellStyle name="Normal 2 48 8" xfId="26866" xr:uid="{00000000-0005-0000-0000-0000F5680000}"/>
    <cellStyle name="Normal 2 48 9" xfId="26867" xr:uid="{00000000-0005-0000-0000-0000F6680000}"/>
    <cellStyle name="Normal 2 49" xfId="26868" xr:uid="{00000000-0005-0000-0000-0000F7680000}"/>
    <cellStyle name="Normal 2 49 10" xfId="26869" xr:uid="{00000000-0005-0000-0000-0000F8680000}"/>
    <cellStyle name="Normal 2 49 2" xfId="26870" xr:uid="{00000000-0005-0000-0000-0000F9680000}"/>
    <cellStyle name="Normal 2 49 2 2" xfId="26871" xr:uid="{00000000-0005-0000-0000-0000FA680000}"/>
    <cellStyle name="Normal 2 49 2 2 2" xfId="26872" xr:uid="{00000000-0005-0000-0000-0000FB680000}"/>
    <cellStyle name="Normal 2 49 2 2 3" xfId="26873" xr:uid="{00000000-0005-0000-0000-0000FC680000}"/>
    <cellStyle name="Normal 2 49 2 3" xfId="26874" xr:uid="{00000000-0005-0000-0000-0000FD680000}"/>
    <cellStyle name="Normal 2 49 2 4" xfId="26875" xr:uid="{00000000-0005-0000-0000-0000FE680000}"/>
    <cellStyle name="Normal 2 49 2 5" xfId="26876" xr:uid="{00000000-0005-0000-0000-0000FF680000}"/>
    <cellStyle name="Normal 2 49 2 6" xfId="26877" xr:uid="{00000000-0005-0000-0000-000000690000}"/>
    <cellStyle name="Normal 2 49 3" xfId="26878" xr:uid="{00000000-0005-0000-0000-000001690000}"/>
    <cellStyle name="Normal 2 49 3 2" xfId="26879" xr:uid="{00000000-0005-0000-0000-000002690000}"/>
    <cellStyle name="Normal 2 49 3 2 2" xfId="26880" xr:uid="{00000000-0005-0000-0000-000003690000}"/>
    <cellStyle name="Normal 2 49 3 2 3" xfId="26881" xr:uid="{00000000-0005-0000-0000-000004690000}"/>
    <cellStyle name="Normal 2 49 3 3" xfId="26882" xr:uid="{00000000-0005-0000-0000-000005690000}"/>
    <cellStyle name="Normal 2 49 3 4" xfId="26883" xr:uid="{00000000-0005-0000-0000-000006690000}"/>
    <cellStyle name="Normal 2 49 3 5" xfId="26884" xr:uid="{00000000-0005-0000-0000-000007690000}"/>
    <cellStyle name="Normal 2 49 3 6" xfId="26885" xr:uid="{00000000-0005-0000-0000-000008690000}"/>
    <cellStyle name="Normal 2 49 4" xfId="26886" xr:uid="{00000000-0005-0000-0000-000009690000}"/>
    <cellStyle name="Normal 2 49 4 2" xfId="26887" xr:uid="{00000000-0005-0000-0000-00000A690000}"/>
    <cellStyle name="Normal 2 49 4 2 2" xfId="26888" xr:uid="{00000000-0005-0000-0000-00000B690000}"/>
    <cellStyle name="Normal 2 49 4 3" xfId="26889" xr:uid="{00000000-0005-0000-0000-00000C690000}"/>
    <cellStyle name="Normal 2 49 4 4" xfId="26890" xr:uid="{00000000-0005-0000-0000-00000D690000}"/>
    <cellStyle name="Normal 2 49 4 5" xfId="26891" xr:uid="{00000000-0005-0000-0000-00000E690000}"/>
    <cellStyle name="Normal 2 49 4 6" xfId="26892" xr:uid="{00000000-0005-0000-0000-00000F690000}"/>
    <cellStyle name="Normal 2 49 5" xfId="26893" xr:uid="{00000000-0005-0000-0000-000010690000}"/>
    <cellStyle name="Normal 2 49 5 2" xfId="26894" xr:uid="{00000000-0005-0000-0000-000011690000}"/>
    <cellStyle name="Normal 2 49 5 3" xfId="26895" xr:uid="{00000000-0005-0000-0000-000012690000}"/>
    <cellStyle name="Normal 2 49 5 4" xfId="26896" xr:uid="{00000000-0005-0000-0000-000013690000}"/>
    <cellStyle name="Normal 2 49 5 5" xfId="26897" xr:uid="{00000000-0005-0000-0000-000014690000}"/>
    <cellStyle name="Normal 2 49 6" xfId="26898" xr:uid="{00000000-0005-0000-0000-000015690000}"/>
    <cellStyle name="Normal 2 49 6 2" xfId="26899" xr:uid="{00000000-0005-0000-0000-000016690000}"/>
    <cellStyle name="Normal 2 49 6 3" xfId="26900" xr:uid="{00000000-0005-0000-0000-000017690000}"/>
    <cellStyle name="Normal 2 49 7" xfId="26901" xr:uid="{00000000-0005-0000-0000-000018690000}"/>
    <cellStyle name="Normal 2 49 7 2" xfId="26902" xr:uid="{00000000-0005-0000-0000-000019690000}"/>
    <cellStyle name="Normal 2 49 8" xfId="26903" xr:uid="{00000000-0005-0000-0000-00001A690000}"/>
    <cellStyle name="Normal 2 49 9" xfId="26904" xr:uid="{00000000-0005-0000-0000-00001B690000}"/>
    <cellStyle name="Normal 2 5" xfId="26905" xr:uid="{00000000-0005-0000-0000-00001C690000}"/>
    <cellStyle name="Normal 2 5 2" xfId="26906" xr:uid="{00000000-0005-0000-0000-00001D690000}"/>
    <cellStyle name="Normal 2 5 2 10" xfId="26907" xr:uid="{00000000-0005-0000-0000-00001E690000}"/>
    <cellStyle name="Normal 2 5 2 10 10" xfId="26908" xr:uid="{00000000-0005-0000-0000-00001F690000}"/>
    <cellStyle name="Normal 2 5 2 10 2" xfId="26909" xr:uid="{00000000-0005-0000-0000-000020690000}"/>
    <cellStyle name="Normal 2 5 2 10 2 2" xfId="26910" xr:uid="{00000000-0005-0000-0000-000021690000}"/>
    <cellStyle name="Normal 2 5 2 10 2 2 2" xfId="26911" xr:uid="{00000000-0005-0000-0000-000022690000}"/>
    <cellStyle name="Normal 2 5 2 10 2 2 3" xfId="26912" xr:uid="{00000000-0005-0000-0000-000023690000}"/>
    <cellStyle name="Normal 2 5 2 10 2 3" xfId="26913" xr:uid="{00000000-0005-0000-0000-000024690000}"/>
    <cellStyle name="Normal 2 5 2 10 2 4" xfId="26914" xr:uid="{00000000-0005-0000-0000-000025690000}"/>
    <cellStyle name="Normal 2 5 2 10 2 5" xfId="26915" xr:uid="{00000000-0005-0000-0000-000026690000}"/>
    <cellStyle name="Normal 2 5 2 10 2 6" xfId="26916" xr:uid="{00000000-0005-0000-0000-000027690000}"/>
    <cellStyle name="Normal 2 5 2 10 3" xfId="26917" xr:uid="{00000000-0005-0000-0000-000028690000}"/>
    <cellStyle name="Normal 2 5 2 10 3 2" xfId="26918" xr:uid="{00000000-0005-0000-0000-000029690000}"/>
    <cellStyle name="Normal 2 5 2 10 3 2 2" xfId="26919" xr:uid="{00000000-0005-0000-0000-00002A690000}"/>
    <cellStyle name="Normal 2 5 2 10 3 2 3" xfId="26920" xr:uid="{00000000-0005-0000-0000-00002B690000}"/>
    <cellStyle name="Normal 2 5 2 10 3 3" xfId="26921" xr:uid="{00000000-0005-0000-0000-00002C690000}"/>
    <cellStyle name="Normal 2 5 2 10 3 4" xfId="26922" xr:uid="{00000000-0005-0000-0000-00002D690000}"/>
    <cellStyle name="Normal 2 5 2 10 3 5" xfId="26923" xr:uid="{00000000-0005-0000-0000-00002E690000}"/>
    <cellStyle name="Normal 2 5 2 10 3 6" xfId="26924" xr:uid="{00000000-0005-0000-0000-00002F690000}"/>
    <cellStyle name="Normal 2 5 2 10 4" xfId="26925" xr:uid="{00000000-0005-0000-0000-000030690000}"/>
    <cellStyle name="Normal 2 5 2 10 4 2" xfId="26926" xr:uid="{00000000-0005-0000-0000-000031690000}"/>
    <cellStyle name="Normal 2 5 2 10 4 2 2" xfId="26927" xr:uid="{00000000-0005-0000-0000-000032690000}"/>
    <cellStyle name="Normal 2 5 2 10 4 3" xfId="26928" xr:uid="{00000000-0005-0000-0000-000033690000}"/>
    <cellStyle name="Normal 2 5 2 10 4 4" xfId="26929" xr:uid="{00000000-0005-0000-0000-000034690000}"/>
    <cellStyle name="Normal 2 5 2 10 4 5" xfId="26930" xr:uid="{00000000-0005-0000-0000-000035690000}"/>
    <cellStyle name="Normal 2 5 2 10 5" xfId="26931" xr:uid="{00000000-0005-0000-0000-000036690000}"/>
    <cellStyle name="Normal 2 5 2 10 5 2" xfId="26932" xr:uid="{00000000-0005-0000-0000-000037690000}"/>
    <cellStyle name="Normal 2 5 2 10 5 3" xfId="26933" xr:uid="{00000000-0005-0000-0000-000038690000}"/>
    <cellStyle name="Normal 2 5 2 10 5 4" xfId="26934" xr:uid="{00000000-0005-0000-0000-000039690000}"/>
    <cellStyle name="Normal 2 5 2 10 6" xfId="26935" xr:uid="{00000000-0005-0000-0000-00003A690000}"/>
    <cellStyle name="Normal 2 5 2 10 6 2" xfId="26936" xr:uid="{00000000-0005-0000-0000-00003B690000}"/>
    <cellStyle name="Normal 2 5 2 10 7" xfId="26937" xr:uid="{00000000-0005-0000-0000-00003C690000}"/>
    <cellStyle name="Normal 2 5 2 10 8" xfId="26938" xr:uid="{00000000-0005-0000-0000-00003D690000}"/>
    <cellStyle name="Normal 2 5 2 10 9" xfId="26939" xr:uid="{00000000-0005-0000-0000-00003E690000}"/>
    <cellStyle name="Normal 2 5 2 11" xfId="26940" xr:uid="{00000000-0005-0000-0000-00003F690000}"/>
    <cellStyle name="Normal 2 5 2 11 10" xfId="26941" xr:uid="{00000000-0005-0000-0000-000040690000}"/>
    <cellStyle name="Normal 2 5 2 11 2" xfId="26942" xr:uid="{00000000-0005-0000-0000-000041690000}"/>
    <cellStyle name="Normal 2 5 2 11 2 2" xfId="26943" xr:uid="{00000000-0005-0000-0000-000042690000}"/>
    <cellStyle name="Normal 2 5 2 11 2 2 2" xfId="26944" xr:uid="{00000000-0005-0000-0000-000043690000}"/>
    <cellStyle name="Normal 2 5 2 11 2 2 3" xfId="26945" xr:uid="{00000000-0005-0000-0000-000044690000}"/>
    <cellStyle name="Normal 2 5 2 11 2 3" xfId="26946" xr:uid="{00000000-0005-0000-0000-000045690000}"/>
    <cellStyle name="Normal 2 5 2 11 2 4" xfId="26947" xr:uid="{00000000-0005-0000-0000-000046690000}"/>
    <cellStyle name="Normal 2 5 2 11 2 5" xfId="26948" xr:uid="{00000000-0005-0000-0000-000047690000}"/>
    <cellStyle name="Normal 2 5 2 11 2 6" xfId="26949" xr:uid="{00000000-0005-0000-0000-000048690000}"/>
    <cellStyle name="Normal 2 5 2 11 3" xfId="26950" xr:uid="{00000000-0005-0000-0000-000049690000}"/>
    <cellStyle name="Normal 2 5 2 11 3 2" xfId="26951" xr:uid="{00000000-0005-0000-0000-00004A690000}"/>
    <cellStyle name="Normal 2 5 2 11 3 2 2" xfId="26952" xr:uid="{00000000-0005-0000-0000-00004B690000}"/>
    <cellStyle name="Normal 2 5 2 11 3 2 3" xfId="26953" xr:uid="{00000000-0005-0000-0000-00004C690000}"/>
    <cellStyle name="Normal 2 5 2 11 3 3" xfId="26954" xr:uid="{00000000-0005-0000-0000-00004D690000}"/>
    <cellStyle name="Normal 2 5 2 11 3 4" xfId="26955" xr:uid="{00000000-0005-0000-0000-00004E690000}"/>
    <cellStyle name="Normal 2 5 2 11 3 5" xfId="26956" xr:uid="{00000000-0005-0000-0000-00004F690000}"/>
    <cellStyle name="Normal 2 5 2 11 3 6" xfId="26957" xr:uid="{00000000-0005-0000-0000-000050690000}"/>
    <cellStyle name="Normal 2 5 2 11 4" xfId="26958" xr:uid="{00000000-0005-0000-0000-000051690000}"/>
    <cellStyle name="Normal 2 5 2 11 4 2" xfId="26959" xr:uid="{00000000-0005-0000-0000-000052690000}"/>
    <cellStyle name="Normal 2 5 2 11 4 2 2" xfId="26960" xr:uid="{00000000-0005-0000-0000-000053690000}"/>
    <cellStyle name="Normal 2 5 2 11 4 3" xfId="26961" xr:uid="{00000000-0005-0000-0000-000054690000}"/>
    <cellStyle name="Normal 2 5 2 11 4 4" xfId="26962" xr:uid="{00000000-0005-0000-0000-000055690000}"/>
    <cellStyle name="Normal 2 5 2 11 4 5" xfId="26963" xr:uid="{00000000-0005-0000-0000-000056690000}"/>
    <cellStyle name="Normal 2 5 2 11 5" xfId="26964" xr:uid="{00000000-0005-0000-0000-000057690000}"/>
    <cellStyle name="Normal 2 5 2 11 5 2" xfId="26965" xr:uid="{00000000-0005-0000-0000-000058690000}"/>
    <cellStyle name="Normal 2 5 2 11 5 3" xfId="26966" xr:uid="{00000000-0005-0000-0000-000059690000}"/>
    <cellStyle name="Normal 2 5 2 11 5 4" xfId="26967" xr:uid="{00000000-0005-0000-0000-00005A690000}"/>
    <cellStyle name="Normal 2 5 2 11 6" xfId="26968" xr:uid="{00000000-0005-0000-0000-00005B690000}"/>
    <cellStyle name="Normal 2 5 2 11 6 2" xfId="26969" xr:uid="{00000000-0005-0000-0000-00005C690000}"/>
    <cellStyle name="Normal 2 5 2 11 7" xfId="26970" xr:uid="{00000000-0005-0000-0000-00005D690000}"/>
    <cellStyle name="Normal 2 5 2 11 8" xfId="26971" xr:uid="{00000000-0005-0000-0000-00005E690000}"/>
    <cellStyle name="Normal 2 5 2 11 9" xfId="26972" xr:uid="{00000000-0005-0000-0000-00005F690000}"/>
    <cellStyle name="Normal 2 5 2 12" xfId="26973" xr:uid="{00000000-0005-0000-0000-000060690000}"/>
    <cellStyle name="Normal 2 5 2 12 10" xfId="26974" xr:uid="{00000000-0005-0000-0000-000061690000}"/>
    <cellStyle name="Normal 2 5 2 12 2" xfId="26975" xr:uid="{00000000-0005-0000-0000-000062690000}"/>
    <cellStyle name="Normal 2 5 2 12 2 2" xfId="26976" xr:uid="{00000000-0005-0000-0000-000063690000}"/>
    <cellStyle name="Normal 2 5 2 12 2 2 2" xfId="26977" xr:uid="{00000000-0005-0000-0000-000064690000}"/>
    <cellStyle name="Normal 2 5 2 12 2 2 3" xfId="26978" xr:uid="{00000000-0005-0000-0000-000065690000}"/>
    <cellStyle name="Normal 2 5 2 12 2 3" xfId="26979" xr:uid="{00000000-0005-0000-0000-000066690000}"/>
    <cellStyle name="Normal 2 5 2 12 2 4" xfId="26980" xr:uid="{00000000-0005-0000-0000-000067690000}"/>
    <cellStyle name="Normal 2 5 2 12 2 5" xfId="26981" xr:uid="{00000000-0005-0000-0000-000068690000}"/>
    <cellStyle name="Normal 2 5 2 12 2 6" xfId="26982" xr:uid="{00000000-0005-0000-0000-000069690000}"/>
    <cellStyle name="Normal 2 5 2 12 3" xfId="26983" xr:uid="{00000000-0005-0000-0000-00006A690000}"/>
    <cellStyle name="Normal 2 5 2 12 3 2" xfId="26984" xr:uid="{00000000-0005-0000-0000-00006B690000}"/>
    <cellStyle name="Normal 2 5 2 12 3 2 2" xfId="26985" xr:uid="{00000000-0005-0000-0000-00006C690000}"/>
    <cellStyle name="Normal 2 5 2 12 3 2 3" xfId="26986" xr:uid="{00000000-0005-0000-0000-00006D690000}"/>
    <cellStyle name="Normal 2 5 2 12 3 3" xfId="26987" xr:uid="{00000000-0005-0000-0000-00006E690000}"/>
    <cellStyle name="Normal 2 5 2 12 3 4" xfId="26988" xr:uid="{00000000-0005-0000-0000-00006F690000}"/>
    <cellStyle name="Normal 2 5 2 12 3 5" xfId="26989" xr:uid="{00000000-0005-0000-0000-000070690000}"/>
    <cellStyle name="Normal 2 5 2 12 3 6" xfId="26990" xr:uid="{00000000-0005-0000-0000-000071690000}"/>
    <cellStyle name="Normal 2 5 2 12 4" xfId="26991" xr:uid="{00000000-0005-0000-0000-000072690000}"/>
    <cellStyle name="Normal 2 5 2 12 4 2" xfId="26992" xr:uid="{00000000-0005-0000-0000-000073690000}"/>
    <cellStyle name="Normal 2 5 2 12 4 2 2" xfId="26993" xr:uid="{00000000-0005-0000-0000-000074690000}"/>
    <cellStyle name="Normal 2 5 2 12 4 3" xfId="26994" xr:uid="{00000000-0005-0000-0000-000075690000}"/>
    <cellStyle name="Normal 2 5 2 12 4 4" xfId="26995" xr:uid="{00000000-0005-0000-0000-000076690000}"/>
    <cellStyle name="Normal 2 5 2 12 4 5" xfId="26996" xr:uid="{00000000-0005-0000-0000-000077690000}"/>
    <cellStyle name="Normal 2 5 2 12 5" xfId="26997" xr:uid="{00000000-0005-0000-0000-000078690000}"/>
    <cellStyle name="Normal 2 5 2 12 5 2" xfId="26998" xr:uid="{00000000-0005-0000-0000-000079690000}"/>
    <cellStyle name="Normal 2 5 2 12 5 3" xfId="26999" xr:uid="{00000000-0005-0000-0000-00007A690000}"/>
    <cellStyle name="Normal 2 5 2 12 5 4" xfId="27000" xr:uid="{00000000-0005-0000-0000-00007B690000}"/>
    <cellStyle name="Normal 2 5 2 12 6" xfId="27001" xr:uid="{00000000-0005-0000-0000-00007C690000}"/>
    <cellStyle name="Normal 2 5 2 12 6 2" xfId="27002" xr:uid="{00000000-0005-0000-0000-00007D690000}"/>
    <cellStyle name="Normal 2 5 2 12 7" xfId="27003" xr:uid="{00000000-0005-0000-0000-00007E690000}"/>
    <cellStyle name="Normal 2 5 2 12 8" xfId="27004" xr:uid="{00000000-0005-0000-0000-00007F690000}"/>
    <cellStyle name="Normal 2 5 2 12 9" xfId="27005" xr:uid="{00000000-0005-0000-0000-000080690000}"/>
    <cellStyle name="Normal 2 5 2 13" xfId="27006" xr:uid="{00000000-0005-0000-0000-000081690000}"/>
    <cellStyle name="Normal 2 5 2 13 2" xfId="27007" xr:uid="{00000000-0005-0000-0000-000082690000}"/>
    <cellStyle name="Normal 2 5 2 13 2 2" xfId="27008" xr:uid="{00000000-0005-0000-0000-000083690000}"/>
    <cellStyle name="Normal 2 5 2 13 2 2 2" xfId="27009" xr:uid="{00000000-0005-0000-0000-000084690000}"/>
    <cellStyle name="Normal 2 5 2 13 2 2 3" xfId="27010" xr:uid="{00000000-0005-0000-0000-000085690000}"/>
    <cellStyle name="Normal 2 5 2 13 2 3" xfId="27011" xr:uid="{00000000-0005-0000-0000-000086690000}"/>
    <cellStyle name="Normal 2 5 2 13 2 4" xfId="27012" xr:uid="{00000000-0005-0000-0000-000087690000}"/>
    <cellStyle name="Normal 2 5 2 13 2 5" xfId="27013" xr:uid="{00000000-0005-0000-0000-000088690000}"/>
    <cellStyle name="Normal 2 5 2 13 2 6" xfId="27014" xr:uid="{00000000-0005-0000-0000-000089690000}"/>
    <cellStyle name="Normal 2 5 2 13 3" xfId="27015" xr:uid="{00000000-0005-0000-0000-00008A690000}"/>
    <cellStyle name="Normal 2 5 2 13 3 2" xfId="27016" xr:uid="{00000000-0005-0000-0000-00008B690000}"/>
    <cellStyle name="Normal 2 5 2 13 3 2 2" xfId="27017" xr:uid="{00000000-0005-0000-0000-00008C690000}"/>
    <cellStyle name="Normal 2 5 2 13 3 3" xfId="27018" xr:uid="{00000000-0005-0000-0000-00008D690000}"/>
    <cellStyle name="Normal 2 5 2 13 3 4" xfId="27019" xr:uid="{00000000-0005-0000-0000-00008E690000}"/>
    <cellStyle name="Normal 2 5 2 13 3 5" xfId="27020" xr:uid="{00000000-0005-0000-0000-00008F690000}"/>
    <cellStyle name="Normal 2 5 2 13 4" xfId="27021" xr:uid="{00000000-0005-0000-0000-000090690000}"/>
    <cellStyle name="Normal 2 5 2 13 4 2" xfId="27022" xr:uid="{00000000-0005-0000-0000-000091690000}"/>
    <cellStyle name="Normal 2 5 2 13 4 3" xfId="27023" xr:uid="{00000000-0005-0000-0000-000092690000}"/>
    <cellStyle name="Normal 2 5 2 13 4 4" xfId="27024" xr:uid="{00000000-0005-0000-0000-000093690000}"/>
    <cellStyle name="Normal 2 5 2 13 5" xfId="27025" xr:uid="{00000000-0005-0000-0000-000094690000}"/>
    <cellStyle name="Normal 2 5 2 13 5 2" xfId="27026" xr:uid="{00000000-0005-0000-0000-000095690000}"/>
    <cellStyle name="Normal 2 5 2 13 6" xfId="27027" xr:uid="{00000000-0005-0000-0000-000096690000}"/>
    <cellStyle name="Normal 2 5 2 13 7" xfId="27028" xr:uid="{00000000-0005-0000-0000-000097690000}"/>
    <cellStyle name="Normal 2 5 2 13 8" xfId="27029" xr:uid="{00000000-0005-0000-0000-000098690000}"/>
    <cellStyle name="Normal 2 5 2 13 9" xfId="27030" xr:uid="{00000000-0005-0000-0000-000099690000}"/>
    <cellStyle name="Normal 2 5 2 14" xfId="27031" xr:uid="{00000000-0005-0000-0000-00009A690000}"/>
    <cellStyle name="Normal 2 5 2 14 2" xfId="27032" xr:uid="{00000000-0005-0000-0000-00009B690000}"/>
    <cellStyle name="Normal 2 5 2 14 2 2" xfId="27033" xr:uid="{00000000-0005-0000-0000-00009C690000}"/>
    <cellStyle name="Normal 2 5 2 14 2 2 2" xfId="27034" xr:uid="{00000000-0005-0000-0000-00009D690000}"/>
    <cellStyle name="Normal 2 5 2 14 2 2 3" xfId="27035" xr:uid="{00000000-0005-0000-0000-00009E690000}"/>
    <cellStyle name="Normal 2 5 2 14 2 3" xfId="27036" xr:uid="{00000000-0005-0000-0000-00009F690000}"/>
    <cellStyle name="Normal 2 5 2 14 2 4" xfId="27037" xr:uid="{00000000-0005-0000-0000-0000A0690000}"/>
    <cellStyle name="Normal 2 5 2 14 2 5" xfId="27038" xr:uid="{00000000-0005-0000-0000-0000A1690000}"/>
    <cellStyle name="Normal 2 5 2 14 2 6" xfId="27039" xr:uid="{00000000-0005-0000-0000-0000A2690000}"/>
    <cellStyle name="Normal 2 5 2 14 3" xfId="27040" xr:uid="{00000000-0005-0000-0000-0000A3690000}"/>
    <cellStyle name="Normal 2 5 2 14 3 2" xfId="27041" xr:uid="{00000000-0005-0000-0000-0000A4690000}"/>
    <cellStyle name="Normal 2 5 2 14 3 2 2" xfId="27042" xr:uid="{00000000-0005-0000-0000-0000A5690000}"/>
    <cellStyle name="Normal 2 5 2 14 3 3" xfId="27043" xr:uid="{00000000-0005-0000-0000-0000A6690000}"/>
    <cellStyle name="Normal 2 5 2 14 3 4" xfId="27044" xr:uid="{00000000-0005-0000-0000-0000A7690000}"/>
    <cellStyle name="Normal 2 5 2 14 3 5" xfId="27045" xr:uid="{00000000-0005-0000-0000-0000A8690000}"/>
    <cellStyle name="Normal 2 5 2 14 4" xfId="27046" xr:uid="{00000000-0005-0000-0000-0000A9690000}"/>
    <cellStyle name="Normal 2 5 2 14 4 2" xfId="27047" xr:uid="{00000000-0005-0000-0000-0000AA690000}"/>
    <cellStyle name="Normal 2 5 2 14 4 3" xfId="27048" xr:uid="{00000000-0005-0000-0000-0000AB690000}"/>
    <cellStyle name="Normal 2 5 2 14 4 4" xfId="27049" xr:uid="{00000000-0005-0000-0000-0000AC690000}"/>
    <cellStyle name="Normal 2 5 2 14 5" xfId="27050" xr:uid="{00000000-0005-0000-0000-0000AD690000}"/>
    <cellStyle name="Normal 2 5 2 14 5 2" xfId="27051" xr:uid="{00000000-0005-0000-0000-0000AE690000}"/>
    <cellStyle name="Normal 2 5 2 14 6" xfId="27052" xr:uid="{00000000-0005-0000-0000-0000AF690000}"/>
    <cellStyle name="Normal 2 5 2 14 7" xfId="27053" xr:uid="{00000000-0005-0000-0000-0000B0690000}"/>
    <cellStyle name="Normal 2 5 2 14 8" xfId="27054" xr:uid="{00000000-0005-0000-0000-0000B1690000}"/>
    <cellStyle name="Normal 2 5 2 14 9" xfId="27055" xr:uid="{00000000-0005-0000-0000-0000B2690000}"/>
    <cellStyle name="Normal 2 5 2 15" xfId="27056" xr:uid="{00000000-0005-0000-0000-0000B3690000}"/>
    <cellStyle name="Normal 2 5 2 15 2" xfId="27057" xr:uid="{00000000-0005-0000-0000-0000B4690000}"/>
    <cellStyle name="Normal 2 5 2 15 2 2" xfId="27058" xr:uid="{00000000-0005-0000-0000-0000B5690000}"/>
    <cellStyle name="Normal 2 5 2 15 2 3" xfId="27059" xr:uid="{00000000-0005-0000-0000-0000B6690000}"/>
    <cellStyle name="Normal 2 5 2 15 3" xfId="27060" xr:uid="{00000000-0005-0000-0000-0000B7690000}"/>
    <cellStyle name="Normal 2 5 2 15 4" xfId="27061" xr:uid="{00000000-0005-0000-0000-0000B8690000}"/>
    <cellStyle name="Normal 2 5 2 15 5" xfId="27062" xr:uid="{00000000-0005-0000-0000-0000B9690000}"/>
    <cellStyle name="Normal 2 5 2 15 6" xfId="27063" xr:uid="{00000000-0005-0000-0000-0000BA690000}"/>
    <cellStyle name="Normal 2 5 2 16" xfId="27064" xr:uid="{00000000-0005-0000-0000-0000BB690000}"/>
    <cellStyle name="Normal 2 5 2 16 2" xfId="27065" xr:uid="{00000000-0005-0000-0000-0000BC690000}"/>
    <cellStyle name="Normal 2 5 2 16 2 2" xfId="27066" xr:uid="{00000000-0005-0000-0000-0000BD690000}"/>
    <cellStyle name="Normal 2 5 2 16 3" xfId="27067" xr:uid="{00000000-0005-0000-0000-0000BE690000}"/>
    <cellStyle name="Normal 2 5 2 16 4" xfId="27068" xr:uid="{00000000-0005-0000-0000-0000BF690000}"/>
    <cellStyle name="Normal 2 5 2 16 5" xfId="27069" xr:uid="{00000000-0005-0000-0000-0000C0690000}"/>
    <cellStyle name="Normal 2 5 2 17" xfId="27070" xr:uid="{00000000-0005-0000-0000-0000C1690000}"/>
    <cellStyle name="Normal 2 5 2 17 2" xfId="27071" xr:uid="{00000000-0005-0000-0000-0000C2690000}"/>
    <cellStyle name="Normal 2 5 2 17 2 2" xfId="27072" xr:uid="{00000000-0005-0000-0000-0000C3690000}"/>
    <cellStyle name="Normal 2 5 2 17 3" xfId="27073" xr:uid="{00000000-0005-0000-0000-0000C4690000}"/>
    <cellStyle name="Normal 2 5 2 17 4" xfId="27074" xr:uid="{00000000-0005-0000-0000-0000C5690000}"/>
    <cellStyle name="Normal 2 5 2 17 5" xfId="27075" xr:uid="{00000000-0005-0000-0000-0000C6690000}"/>
    <cellStyle name="Normal 2 5 2 18" xfId="27076" xr:uid="{00000000-0005-0000-0000-0000C7690000}"/>
    <cellStyle name="Normal 2 5 2 18 2" xfId="27077" xr:uid="{00000000-0005-0000-0000-0000C8690000}"/>
    <cellStyle name="Normal 2 5 2 19" xfId="27078" xr:uid="{00000000-0005-0000-0000-0000C9690000}"/>
    <cellStyle name="Normal 2 5 2 2" xfId="27079" xr:uid="{00000000-0005-0000-0000-0000CA690000}"/>
    <cellStyle name="Normal 2 5 2 2 10" xfId="27080" xr:uid="{00000000-0005-0000-0000-0000CB690000}"/>
    <cellStyle name="Normal 2 5 2 2 11" xfId="27081" xr:uid="{00000000-0005-0000-0000-0000CC690000}"/>
    <cellStyle name="Normal 2 5 2 2 2" xfId="27082" xr:uid="{00000000-0005-0000-0000-0000CD690000}"/>
    <cellStyle name="Normal 2 5 2 2 2 2" xfId="27083" xr:uid="{00000000-0005-0000-0000-0000CE690000}"/>
    <cellStyle name="Normal 2 5 2 2 2 2 2" xfId="27084" xr:uid="{00000000-0005-0000-0000-0000CF690000}"/>
    <cellStyle name="Normal 2 5 2 2 2 2 2 2" xfId="27085" xr:uid="{00000000-0005-0000-0000-0000D0690000}"/>
    <cellStyle name="Normal 2 5 2 2 2 2 2 3" xfId="27086" xr:uid="{00000000-0005-0000-0000-0000D1690000}"/>
    <cellStyle name="Normal 2 5 2 2 2 2 3" xfId="27087" xr:uid="{00000000-0005-0000-0000-0000D2690000}"/>
    <cellStyle name="Normal 2 5 2 2 2 2 4" xfId="27088" xr:uid="{00000000-0005-0000-0000-0000D3690000}"/>
    <cellStyle name="Normal 2 5 2 2 2 2 5" xfId="27089" xr:uid="{00000000-0005-0000-0000-0000D4690000}"/>
    <cellStyle name="Normal 2 5 2 2 2 2 6" xfId="27090" xr:uid="{00000000-0005-0000-0000-0000D5690000}"/>
    <cellStyle name="Normal 2 5 2 2 2 3" xfId="27091" xr:uid="{00000000-0005-0000-0000-0000D6690000}"/>
    <cellStyle name="Normal 2 5 2 2 2 3 2" xfId="27092" xr:uid="{00000000-0005-0000-0000-0000D7690000}"/>
    <cellStyle name="Normal 2 5 2 2 2 3 2 2" xfId="27093" xr:uid="{00000000-0005-0000-0000-0000D8690000}"/>
    <cellStyle name="Normal 2 5 2 2 2 3 3" xfId="27094" xr:uid="{00000000-0005-0000-0000-0000D9690000}"/>
    <cellStyle name="Normal 2 5 2 2 2 3 4" xfId="27095" xr:uid="{00000000-0005-0000-0000-0000DA690000}"/>
    <cellStyle name="Normal 2 5 2 2 2 3 5" xfId="27096" xr:uid="{00000000-0005-0000-0000-0000DB690000}"/>
    <cellStyle name="Normal 2 5 2 2 2 4" xfId="27097" xr:uid="{00000000-0005-0000-0000-0000DC690000}"/>
    <cellStyle name="Normal 2 5 2 2 2 4 2" xfId="27098" xr:uid="{00000000-0005-0000-0000-0000DD690000}"/>
    <cellStyle name="Normal 2 5 2 2 2 4 3" xfId="27099" xr:uid="{00000000-0005-0000-0000-0000DE690000}"/>
    <cellStyle name="Normal 2 5 2 2 2 4 4" xfId="27100" xr:uid="{00000000-0005-0000-0000-0000DF690000}"/>
    <cellStyle name="Normal 2 5 2 2 2 5" xfId="27101" xr:uid="{00000000-0005-0000-0000-0000E0690000}"/>
    <cellStyle name="Normal 2 5 2 2 2 5 2" xfId="27102" xr:uid="{00000000-0005-0000-0000-0000E1690000}"/>
    <cellStyle name="Normal 2 5 2 2 2 6" xfId="27103" xr:uid="{00000000-0005-0000-0000-0000E2690000}"/>
    <cellStyle name="Normal 2 5 2 2 2 7" xfId="27104" xr:uid="{00000000-0005-0000-0000-0000E3690000}"/>
    <cellStyle name="Normal 2 5 2 2 2 8" xfId="27105" xr:uid="{00000000-0005-0000-0000-0000E4690000}"/>
    <cellStyle name="Normal 2 5 2 2 2 9" xfId="27106" xr:uid="{00000000-0005-0000-0000-0000E5690000}"/>
    <cellStyle name="Normal 2 5 2 2 3" xfId="27107" xr:uid="{00000000-0005-0000-0000-0000E6690000}"/>
    <cellStyle name="Normal 2 5 2 2 3 2" xfId="27108" xr:uid="{00000000-0005-0000-0000-0000E7690000}"/>
    <cellStyle name="Normal 2 5 2 2 3 2 2" xfId="27109" xr:uid="{00000000-0005-0000-0000-0000E8690000}"/>
    <cellStyle name="Normal 2 5 2 2 3 2 2 2" xfId="27110" xr:uid="{00000000-0005-0000-0000-0000E9690000}"/>
    <cellStyle name="Normal 2 5 2 2 3 2 2 3" xfId="27111" xr:uid="{00000000-0005-0000-0000-0000EA690000}"/>
    <cellStyle name="Normal 2 5 2 2 3 2 3" xfId="27112" xr:uid="{00000000-0005-0000-0000-0000EB690000}"/>
    <cellStyle name="Normal 2 5 2 2 3 2 4" xfId="27113" xr:uid="{00000000-0005-0000-0000-0000EC690000}"/>
    <cellStyle name="Normal 2 5 2 2 3 2 5" xfId="27114" xr:uid="{00000000-0005-0000-0000-0000ED690000}"/>
    <cellStyle name="Normal 2 5 2 2 3 2 6" xfId="27115" xr:uid="{00000000-0005-0000-0000-0000EE690000}"/>
    <cellStyle name="Normal 2 5 2 2 3 3" xfId="27116" xr:uid="{00000000-0005-0000-0000-0000EF690000}"/>
    <cellStyle name="Normal 2 5 2 2 3 3 2" xfId="27117" xr:uid="{00000000-0005-0000-0000-0000F0690000}"/>
    <cellStyle name="Normal 2 5 2 2 3 3 2 2" xfId="27118" xr:uid="{00000000-0005-0000-0000-0000F1690000}"/>
    <cellStyle name="Normal 2 5 2 2 3 3 3" xfId="27119" xr:uid="{00000000-0005-0000-0000-0000F2690000}"/>
    <cellStyle name="Normal 2 5 2 2 3 3 4" xfId="27120" xr:uid="{00000000-0005-0000-0000-0000F3690000}"/>
    <cellStyle name="Normal 2 5 2 2 3 3 5" xfId="27121" xr:uid="{00000000-0005-0000-0000-0000F4690000}"/>
    <cellStyle name="Normal 2 5 2 2 3 4" xfId="27122" xr:uid="{00000000-0005-0000-0000-0000F5690000}"/>
    <cellStyle name="Normal 2 5 2 2 3 4 2" xfId="27123" xr:uid="{00000000-0005-0000-0000-0000F6690000}"/>
    <cellStyle name="Normal 2 5 2 2 3 4 3" xfId="27124" xr:uid="{00000000-0005-0000-0000-0000F7690000}"/>
    <cellStyle name="Normal 2 5 2 2 3 4 4" xfId="27125" xr:uid="{00000000-0005-0000-0000-0000F8690000}"/>
    <cellStyle name="Normal 2 5 2 2 3 5" xfId="27126" xr:uid="{00000000-0005-0000-0000-0000F9690000}"/>
    <cellStyle name="Normal 2 5 2 2 3 5 2" xfId="27127" xr:uid="{00000000-0005-0000-0000-0000FA690000}"/>
    <cellStyle name="Normal 2 5 2 2 3 6" xfId="27128" xr:uid="{00000000-0005-0000-0000-0000FB690000}"/>
    <cellStyle name="Normal 2 5 2 2 3 7" xfId="27129" xr:uid="{00000000-0005-0000-0000-0000FC690000}"/>
    <cellStyle name="Normal 2 5 2 2 3 8" xfId="27130" xr:uid="{00000000-0005-0000-0000-0000FD690000}"/>
    <cellStyle name="Normal 2 5 2 2 3 9" xfId="27131" xr:uid="{00000000-0005-0000-0000-0000FE690000}"/>
    <cellStyle name="Normal 2 5 2 2 4" xfId="27132" xr:uid="{00000000-0005-0000-0000-0000FF690000}"/>
    <cellStyle name="Normal 2 5 2 2 4 2" xfId="27133" xr:uid="{00000000-0005-0000-0000-0000006A0000}"/>
    <cellStyle name="Normal 2 5 2 2 4 2 2" xfId="27134" xr:uid="{00000000-0005-0000-0000-0000016A0000}"/>
    <cellStyle name="Normal 2 5 2 2 4 2 3" xfId="27135" xr:uid="{00000000-0005-0000-0000-0000026A0000}"/>
    <cellStyle name="Normal 2 5 2 2 4 3" xfId="27136" xr:uid="{00000000-0005-0000-0000-0000036A0000}"/>
    <cellStyle name="Normal 2 5 2 2 4 4" xfId="27137" xr:uid="{00000000-0005-0000-0000-0000046A0000}"/>
    <cellStyle name="Normal 2 5 2 2 4 5" xfId="27138" xr:uid="{00000000-0005-0000-0000-0000056A0000}"/>
    <cellStyle name="Normal 2 5 2 2 4 6" xfId="27139" xr:uid="{00000000-0005-0000-0000-0000066A0000}"/>
    <cellStyle name="Normal 2 5 2 2 5" xfId="27140" xr:uid="{00000000-0005-0000-0000-0000076A0000}"/>
    <cellStyle name="Normal 2 5 2 2 5 2" xfId="27141" xr:uid="{00000000-0005-0000-0000-0000086A0000}"/>
    <cellStyle name="Normal 2 5 2 2 5 2 2" xfId="27142" xr:uid="{00000000-0005-0000-0000-0000096A0000}"/>
    <cellStyle name="Normal 2 5 2 2 5 3" xfId="27143" xr:uid="{00000000-0005-0000-0000-00000A6A0000}"/>
    <cellStyle name="Normal 2 5 2 2 5 4" xfId="27144" xr:uid="{00000000-0005-0000-0000-00000B6A0000}"/>
    <cellStyle name="Normal 2 5 2 2 5 5" xfId="27145" xr:uid="{00000000-0005-0000-0000-00000C6A0000}"/>
    <cellStyle name="Normal 2 5 2 2 6" xfId="27146" xr:uid="{00000000-0005-0000-0000-00000D6A0000}"/>
    <cellStyle name="Normal 2 5 2 2 6 2" xfId="27147" xr:uid="{00000000-0005-0000-0000-00000E6A0000}"/>
    <cellStyle name="Normal 2 5 2 2 6 3" xfId="27148" xr:uid="{00000000-0005-0000-0000-00000F6A0000}"/>
    <cellStyle name="Normal 2 5 2 2 6 4" xfId="27149" xr:uid="{00000000-0005-0000-0000-0000106A0000}"/>
    <cellStyle name="Normal 2 5 2 2 7" xfId="27150" xr:uid="{00000000-0005-0000-0000-0000116A0000}"/>
    <cellStyle name="Normal 2 5 2 2 7 2" xfId="27151" xr:uid="{00000000-0005-0000-0000-0000126A0000}"/>
    <cellStyle name="Normal 2 5 2 2 8" xfId="27152" xr:uid="{00000000-0005-0000-0000-0000136A0000}"/>
    <cellStyle name="Normal 2 5 2 2 9" xfId="27153" xr:uid="{00000000-0005-0000-0000-0000146A0000}"/>
    <cellStyle name="Normal 2 5 2 20" xfId="27154" xr:uid="{00000000-0005-0000-0000-0000156A0000}"/>
    <cellStyle name="Normal 2 5 2 21" xfId="27155" xr:uid="{00000000-0005-0000-0000-0000166A0000}"/>
    <cellStyle name="Normal 2 5 2 22" xfId="27156" xr:uid="{00000000-0005-0000-0000-0000176A0000}"/>
    <cellStyle name="Normal 2 5 2 3" xfId="27157" xr:uid="{00000000-0005-0000-0000-0000186A0000}"/>
    <cellStyle name="Normal 2 5 2 3 10" xfId="27158" xr:uid="{00000000-0005-0000-0000-0000196A0000}"/>
    <cellStyle name="Normal 2 5 2 3 11" xfId="27159" xr:uid="{00000000-0005-0000-0000-00001A6A0000}"/>
    <cellStyle name="Normal 2 5 2 3 2" xfId="27160" xr:uid="{00000000-0005-0000-0000-00001B6A0000}"/>
    <cellStyle name="Normal 2 5 2 3 2 2" xfId="27161" xr:uid="{00000000-0005-0000-0000-00001C6A0000}"/>
    <cellStyle name="Normal 2 5 2 3 2 2 2" xfId="27162" xr:uid="{00000000-0005-0000-0000-00001D6A0000}"/>
    <cellStyle name="Normal 2 5 2 3 2 2 2 2" xfId="27163" xr:uid="{00000000-0005-0000-0000-00001E6A0000}"/>
    <cellStyle name="Normal 2 5 2 3 2 2 2 3" xfId="27164" xr:uid="{00000000-0005-0000-0000-00001F6A0000}"/>
    <cellStyle name="Normal 2 5 2 3 2 2 3" xfId="27165" xr:uid="{00000000-0005-0000-0000-0000206A0000}"/>
    <cellStyle name="Normal 2 5 2 3 2 2 4" xfId="27166" xr:uid="{00000000-0005-0000-0000-0000216A0000}"/>
    <cellStyle name="Normal 2 5 2 3 2 2 5" xfId="27167" xr:uid="{00000000-0005-0000-0000-0000226A0000}"/>
    <cellStyle name="Normal 2 5 2 3 2 2 6" xfId="27168" xr:uid="{00000000-0005-0000-0000-0000236A0000}"/>
    <cellStyle name="Normal 2 5 2 3 2 3" xfId="27169" xr:uid="{00000000-0005-0000-0000-0000246A0000}"/>
    <cellStyle name="Normal 2 5 2 3 2 3 2" xfId="27170" xr:uid="{00000000-0005-0000-0000-0000256A0000}"/>
    <cellStyle name="Normal 2 5 2 3 2 3 2 2" xfId="27171" xr:uid="{00000000-0005-0000-0000-0000266A0000}"/>
    <cellStyle name="Normal 2 5 2 3 2 3 3" xfId="27172" xr:uid="{00000000-0005-0000-0000-0000276A0000}"/>
    <cellStyle name="Normal 2 5 2 3 2 3 4" xfId="27173" xr:uid="{00000000-0005-0000-0000-0000286A0000}"/>
    <cellStyle name="Normal 2 5 2 3 2 3 5" xfId="27174" xr:uid="{00000000-0005-0000-0000-0000296A0000}"/>
    <cellStyle name="Normal 2 5 2 3 2 4" xfId="27175" xr:uid="{00000000-0005-0000-0000-00002A6A0000}"/>
    <cellStyle name="Normal 2 5 2 3 2 4 2" xfId="27176" xr:uid="{00000000-0005-0000-0000-00002B6A0000}"/>
    <cellStyle name="Normal 2 5 2 3 2 4 3" xfId="27177" xr:uid="{00000000-0005-0000-0000-00002C6A0000}"/>
    <cellStyle name="Normal 2 5 2 3 2 4 4" xfId="27178" xr:uid="{00000000-0005-0000-0000-00002D6A0000}"/>
    <cellStyle name="Normal 2 5 2 3 2 5" xfId="27179" xr:uid="{00000000-0005-0000-0000-00002E6A0000}"/>
    <cellStyle name="Normal 2 5 2 3 2 5 2" xfId="27180" xr:uid="{00000000-0005-0000-0000-00002F6A0000}"/>
    <cellStyle name="Normal 2 5 2 3 2 6" xfId="27181" xr:uid="{00000000-0005-0000-0000-0000306A0000}"/>
    <cellStyle name="Normal 2 5 2 3 2 7" xfId="27182" xr:uid="{00000000-0005-0000-0000-0000316A0000}"/>
    <cellStyle name="Normal 2 5 2 3 2 8" xfId="27183" xr:uid="{00000000-0005-0000-0000-0000326A0000}"/>
    <cellStyle name="Normal 2 5 2 3 2 9" xfId="27184" xr:uid="{00000000-0005-0000-0000-0000336A0000}"/>
    <cellStyle name="Normal 2 5 2 3 3" xfId="27185" xr:uid="{00000000-0005-0000-0000-0000346A0000}"/>
    <cellStyle name="Normal 2 5 2 3 3 2" xfId="27186" xr:uid="{00000000-0005-0000-0000-0000356A0000}"/>
    <cellStyle name="Normal 2 5 2 3 3 2 2" xfId="27187" xr:uid="{00000000-0005-0000-0000-0000366A0000}"/>
    <cellStyle name="Normal 2 5 2 3 3 2 2 2" xfId="27188" xr:uid="{00000000-0005-0000-0000-0000376A0000}"/>
    <cellStyle name="Normal 2 5 2 3 3 2 2 3" xfId="27189" xr:uid="{00000000-0005-0000-0000-0000386A0000}"/>
    <cellStyle name="Normal 2 5 2 3 3 2 3" xfId="27190" xr:uid="{00000000-0005-0000-0000-0000396A0000}"/>
    <cellStyle name="Normal 2 5 2 3 3 2 4" xfId="27191" xr:uid="{00000000-0005-0000-0000-00003A6A0000}"/>
    <cellStyle name="Normal 2 5 2 3 3 2 5" xfId="27192" xr:uid="{00000000-0005-0000-0000-00003B6A0000}"/>
    <cellStyle name="Normal 2 5 2 3 3 2 6" xfId="27193" xr:uid="{00000000-0005-0000-0000-00003C6A0000}"/>
    <cellStyle name="Normal 2 5 2 3 3 3" xfId="27194" xr:uid="{00000000-0005-0000-0000-00003D6A0000}"/>
    <cellStyle name="Normal 2 5 2 3 3 3 2" xfId="27195" xr:uid="{00000000-0005-0000-0000-00003E6A0000}"/>
    <cellStyle name="Normal 2 5 2 3 3 3 2 2" xfId="27196" xr:uid="{00000000-0005-0000-0000-00003F6A0000}"/>
    <cellStyle name="Normal 2 5 2 3 3 3 3" xfId="27197" xr:uid="{00000000-0005-0000-0000-0000406A0000}"/>
    <cellStyle name="Normal 2 5 2 3 3 3 4" xfId="27198" xr:uid="{00000000-0005-0000-0000-0000416A0000}"/>
    <cellStyle name="Normal 2 5 2 3 3 3 5" xfId="27199" xr:uid="{00000000-0005-0000-0000-0000426A0000}"/>
    <cellStyle name="Normal 2 5 2 3 3 4" xfId="27200" xr:uid="{00000000-0005-0000-0000-0000436A0000}"/>
    <cellStyle name="Normal 2 5 2 3 3 4 2" xfId="27201" xr:uid="{00000000-0005-0000-0000-0000446A0000}"/>
    <cellStyle name="Normal 2 5 2 3 3 4 3" xfId="27202" xr:uid="{00000000-0005-0000-0000-0000456A0000}"/>
    <cellStyle name="Normal 2 5 2 3 3 4 4" xfId="27203" xr:uid="{00000000-0005-0000-0000-0000466A0000}"/>
    <cellStyle name="Normal 2 5 2 3 3 5" xfId="27204" xr:uid="{00000000-0005-0000-0000-0000476A0000}"/>
    <cellStyle name="Normal 2 5 2 3 3 5 2" xfId="27205" xr:uid="{00000000-0005-0000-0000-0000486A0000}"/>
    <cellStyle name="Normal 2 5 2 3 3 6" xfId="27206" xr:uid="{00000000-0005-0000-0000-0000496A0000}"/>
    <cellStyle name="Normal 2 5 2 3 3 7" xfId="27207" xr:uid="{00000000-0005-0000-0000-00004A6A0000}"/>
    <cellStyle name="Normal 2 5 2 3 3 8" xfId="27208" xr:uid="{00000000-0005-0000-0000-00004B6A0000}"/>
    <cellStyle name="Normal 2 5 2 3 3 9" xfId="27209" xr:uid="{00000000-0005-0000-0000-00004C6A0000}"/>
    <cellStyle name="Normal 2 5 2 3 4" xfId="27210" xr:uid="{00000000-0005-0000-0000-00004D6A0000}"/>
    <cellStyle name="Normal 2 5 2 3 4 2" xfId="27211" xr:uid="{00000000-0005-0000-0000-00004E6A0000}"/>
    <cellStyle name="Normal 2 5 2 3 4 2 2" xfId="27212" xr:uid="{00000000-0005-0000-0000-00004F6A0000}"/>
    <cellStyle name="Normal 2 5 2 3 4 2 3" xfId="27213" xr:uid="{00000000-0005-0000-0000-0000506A0000}"/>
    <cellStyle name="Normal 2 5 2 3 4 3" xfId="27214" xr:uid="{00000000-0005-0000-0000-0000516A0000}"/>
    <cellStyle name="Normal 2 5 2 3 4 4" xfId="27215" xr:uid="{00000000-0005-0000-0000-0000526A0000}"/>
    <cellStyle name="Normal 2 5 2 3 4 5" xfId="27216" xr:uid="{00000000-0005-0000-0000-0000536A0000}"/>
    <cellStyle name="Normal 2 5 2 3 4 6" xfId="27217" xr:uid="{00000000-0005-0000-0000-0000546A0000}"/>
    <cellStyle name="Normal 2 5 2 3 5" xfId="27218" xr:uid="{00000000-0005-0000-0000-0000556A0000}"/>
    <cellStyle name="Normal 2 5 2 3 5 2" xfId="27219" xr:uid="{00000000-0005-0000-0000-0000566A0000}"/>
    <cellStyle name="Normal 2 5 2 3 5 2 2" xfId="27220" xr:uid="{00000000-0005-0000-0000-0000576A0000}"/>
    <cellStyle name="Normal 2 5 2 3 5 3" xfId="27221" xr:uid="{00000000-0005-0000-0000-0000586A0000}"/>
    <cellStyle name="Normal 2 5 2 3 5 4" xfId="27222" xr:uid="{00000000-0005-0000-0000-0000596A0000}"/>
    <cellStyle name="Normal 2 5 2 3 5 5" xfId="27223" xr:uid="{00000000-0005-0000-0000-00005A6A0000}"/>
    <cellStyle name="Normal 2 5 2 3 6" xfId="27224" xr:uid="{00000000-0005-0000-0000-00005B6A0000}"/>
    <cellStyle name="Normal 2 5 2 3 6 2" xfId="27225" xr:uid="{00000000-0005-0000-0000-00005C6A0000}"/>
    <cellStyle name="Normal 2 5 2 3 6 3" xfId="27226" xr:uid="{00000000-0005-0000-0000-00005D6A0000}"/>
    <cellStyle name="Normal 2 5 2 3 6 4" xfId="27227" xr:uid="{00000000-0005-0000-0000-00005E6A0000}"/>
    <cellStyle name="Normal 2 5 2 3 7" xfId="27228" xr:uid="{00000000-0005-0000-0000-00005F6A0000}"/>
    <cellStyle name="Normal 2 5 2 3 7 2" xfId="27229" xr:uid="{00000000-0005-0000-0000-0000606A0000}"/>
    <cellStyle name="Normal 2 5 2 3 8" xfId="27230" xr:uid="{00000000-0005-0000-0000-0000616A0000}"/>
    <cellStyle name="Normal 2 5 2 3 9" xfId="27231" xr:uid="{00000000-0005-0000-0000-0000626A0000}"/>
    <cellStyle name="Normal 2 5 2 4" xfId="27232" xr:uid="{00000000-0005-0000-0000-0000636A0000}"/>
    <cellStyle name="Normal 2 5 2 4 10" xfId="27233" xr:uid="{00000000-0005-0000-0000-0000646A0000}"/>
    <cellStyle name="Normal 2 5 2 4 11" xfId="27234" xr:uid="{00000000-0005-0000-0000-0000656A0000}"/>
    <cellStyle name="Normal 2 5 2 4 2" xfId="27235" xr:uid="{00000000-0005-0000-0000-0000666A0000}"/>
    <cellStyle name="Normal 2 5 2 4 2 2" xfId="27236" xr:uid="{00000000-0005-0000-0000-0000676A0000}"/>
    <cellStyle name="Normal 2 5 2 4 2 2 2" xfId="27237" xr:uid="{00000000-0005-0000-0000-0000686A0000}"/>
    <cellStyle name="Normal 2 5 2 4 2 2 2 2" xfId="27238" xr:uid="{00000000-0005-0000-0000-0000696A0000}"/>
    <cellStyle name="Normal 2 5 2 4 2 2 2 3" xfId="27239" xr:uid="{00000000-0005-0000-0000-00006A6A0000}"/>
    <cellStyle name="Normal 2 5 2 4 2 2 3" xfId="27240" xr:uid="{00000000-0005-0000-0000-00006B6A0000}"/>
    <cellStyle name="Normal 2 5 2 4 2 2 4" xfId="27241" xr:uid="{00000000-0005-0000-0000-00006C6A0000}"/>
    <cellStyle name="Normal 2 5 2 4 2 2 5" xfId="27242" xr:uid="{00000000-0005-0000-0000-00006D6A0000}"/>
    <cellStyle name="Normal 2 5 2 4 2 2 6" xfId="27243" xr:uid="{00000000-0005-0000-0000-00006E6A0000}"/>
    <cellStyle name="Normal 2 5 2 4 2 3" xfId="27244" xr:uid="{00000000-0005-0000-0000-00006F6A0000}"/>
    <cellStyle name="Normal 2 5 2 4 2 3 2" xfId="27245" xr:uid="{00000000-0005-0000-0000-0000706A0000}"/>
    <cellStyle name="Normal 2 5 2 4 2 3 2 2" xfId="27246" xr:uid="{00000000-0005-0000-0000-0000716A0000}"/>
    <cellStyle name="Normal 2 5 2 4 2 3 3" xfId="27247" xr:uid="{00000000-0005-0000-0000-0000726A0000}"/>
    <cellStyle name="Normal 2 5 2 4 2 3 4" xfId="27248" xr:uid="{00000000-0005-0000-0000-0000736A0000}"/>
    <cellStyle name="Normal 2 5 2 4 2 3 5" xfId="27249" xr:uid="{00000000-0005-0000-0000-0000746A0000}"/>
    <cellStyle name="Normal 2 5 2 4 2 4" xfId="27250" xr:uid="{00000000-0005-0000-0000-0000756A0000}"/>
    <cellStyle name="Normal 2 5 2 4 2 4 2" xfId="27251" xr:uid="{00000000-0005-0000-0000-0000766A0000}"/>
    <cellStyle name="Normal 2 5 2 4 2 4 3" xfId="27252" xr:uid="{00000000-0005-0000-0000-0000776A0000}"/>
    <cellStyle name="Normal 2 5 2 4 2 4 4" xfId="27253" xr:uid="{00000000-0005-0000-0000-0000786A0000}"/>
    <cellStyle name="Normal 2 5 2 4 2 5" xfId="27254" xr:uid="{00000000-0005-0000-0000-0000796A0000}"/>
    <cellStyle name="Normal 2 5 2 4 2 5 2" xfId="27255" xr:uid="{00000000-0005-0000-0000-00007A6A0000}"/>
    <cellStyle name="Normal 2 5 2 4 2 6" xfId="27256" xr:uid="{00000000-0005-0000-0000-00007B6A0000}"/>
    <cellStyle name="Normal 2 5 2 4 2 7" xfId="27257" xr:uid="{00000000-0005-0000-0000-00007C6A0000}"/>
    <cellStyle name="Normal 2 5 2 4 2 8" xfId="27258" xr:uid="{00000000-0005-0000-0000-00007D6A0000}"/>
    <cellStyle name="Normal 2 5 2 4 2 9" xfId="27259" xr:uid="{00000000-0005-0000-0000-00007E6A0000}"/>
    <cellStyle name="Normal 2 5 2 4 3" xfId="27260" xr:uid="{00000000-0005-0000-0000-00007F6A0000}"/>
    <cellStyle name="Normal 2 5 2 4 3 2" xfId="27261" xr:uid="{00000000-0005-0000-0000-0000806A0000}"/>
    <cellStyle name="Normal 2 5 2 4 3 2 2" xfId="27262" xr:uid="{00000000-0005-0000-0000-0000816A0000}"/>
    <cellStyle name="Normal 2 5 2 4 3 2 2 2" xfId="27263" xr:uid="{00000000-0005-0000-0000-0000826A0000}"/>
    <cellStyle name="Normal 2 5 2 4 3 2 2 3" xfId="27264" xr:uid="{00000000-0005-0000-0000-0000836A0000}"/>
    <cellStyle name="Normal 2 5 2 4 3 2 3" xfId="27265" xr:uid="{00000000-0005-0000-0000-0000846A0000}"/>
    <cellStyle name="Normal 2 5 2 4 3 2 4" xfId="27266" xr:uid="{00000000-0005-0000-0000-0000856A0000}"/>
    <cellStyle name="Normal 2 5 2 4 3 2 5" xfId="27267" xr:uid="{00000000-0005-0000-0000-0000866A0000}"/>
    <cellStyle name="Normal 2 5 2 4 3 2 6" xfId="27268" xr:uid="{00000000-0005-0000-0000-0000876A0000}"/>
    <cellStyle name="Normal 2 5 2 4 3 3" xfId="27269" xr:uid="{00000000-0005-0000-0000-0000886A0000}"/>
    <cellStyle name="Normal 2 5 2 4 3 3 2" xfId="27270" xr:uid="{00000000-0005-0000-0000-0000896A0000}"/>
    <cellStyle name="Normal 2 5 2 4 3 3 2 2" xfId="27271" xr:uid="{00000000-0005-0000-0000-00008A6A0000}"/>
    <cellStyle name="Normal 2 5 2 4 3 3 3" xfId="27272" xr:uid="{00000000-0005-0000-0000-00008B6A0000}"/>
    <cellStyle name="Normal 2 5 2 4 3 3 4" xfId="27273" xr:uid="{00000000-0005-0000-0000-00008C6A0000}"/>
    <cellStyle name="Normal 2 5 2 4 3 3 5" xfId="27274" xr:uid="{00000000-0005-0000-0000-00008D6A0000}"/>
    <cellStyle name="Normal 2 5 2 4 3 4" xfId="27275" xr:uid="{00000000-0005-0000-0000-00008E6A0000}"/>
    <cellStyle name="Normal 2 5 2 4 3 4 2" xfId="27276" xr:uid="{00000000-0005-0000-0000-00008F6A0000}"/>
    <cellStyle name="Normal 2 5 2 4 3 4 3" xfId="27277" xr:uid="{00000000-0005-0000-0000-0000906A0000}"/>
    <cellStyle name="Normal 2 5 2 4 3 4 4" xfId="27278" xr:uid="{00000000-0005-0000-0000-0000916A0000}"/>
    <cellStyle name="Normal 2 5 2 4 3 5" xfId="27279" xr:uid="{00000000-0005-0000-0000-0000926A0000}"/>
    <cellStyle name="Normal 2 5 2 4 3 5 2" xfId="27280" xr:uid="{00000000-0005-0000-0000-0000936A0000}"/>
    <cellStyle name="Normal 2 5 2 4 3 6" xfId="27281" xr:uid="{00000000-0005-0000-0000-0000946A0000}"/>
    <cellStyle name="Normal 2 5 2 4 3 7" xfId="27282" xr:uid="{00000000-0005-0000-0000-0000956A0000}"/>
    <cellStyle name="Normal 2 5 2 4 3 8" xfId="27283" xr:uid="{00000000-0005-0000-0000-0000966A0000}"/>
    <cellStyle name="Normal 2 5 2 4 3 9" xfId="27284" xr:uid="{00000000-0005-0000-0000-0000976A0000}"/>
    <cellStyle name="Normal 2 5 2 4 4" xfId="27285" xr:uid="{00000000-0005-0000-0000-0000986A0000}"/>
    <cellStyle name="Normal 2 5 2 4 4 2" xfId="27286" xr:uid="{00000000-0005-0000-0000-0000996A0000}"/>
    <cellStyle name="Normal 2 5 2 4 4 2 2" xfId="27287" xr:uid="{00000000-0005-0000-0000-00009A6A0000}"/>
    <cellStyle name="Normal 2 5 2 4 4 2 3" xfId="27288" xr:uid="{00000000-0005-0000-0000-00009B6A0000}"/>
    <cellStyle name="Normal 2 5 2 4 4 3" xfId="27289" xr:uid="{00000000-0005-0000-0000-00009C6A0000}"/>
    <cellStyle name="Normal 2 5 2 4 4 4" xfId="27290" xr:uid="{00000000-0005-0000-0000-00009D6A0000}"/>
    <cellStyle name="Normal 2 5 2 4 4 5" xfId="27291" xr:uid="{00000000-0005-0000-0000-00009E6A0000}"/>
    <cellStyle name="Normal 2 5 2 4 4 6" xfId="27292" xr:uid="{00000000-0005-0000-0000-00009F6A0000}"/>
    <cellStyle name="Normal 2 5 2 4 5" xfId="27293" xr:uid="{00000000-0005-0000-0000-0000A06A0000}"/>
    <cellStyle name="Normal 2 5 2 4 5 2" xfId="27294" xr:uid="{00000000-0005-0000-0000-0000A16A0000}"/>
    <cellStyle name="Normal 2 5 2 4 5 2 2" xfId="27295" xr:uid="{00000000-0005-0000-0000-0000A26A0000}"/>
    <cellStyle name="Normal 2 5 2 4 5 3" xfId="27296" xr:uid="{00000000-0005-0000-0000-0000A36A0000}"/>
    <cellStyle name="Normal 2 5 2 4 5 4" xfId="27297" xr:uid="{00000000-0005-0000-0000-0000A46A0000}"/>
    <cellStyle name="Normal 2 5 2 4 5 5" xfId="27298" xr:uid="{00000000-0005-0000-0000-0000A56A0000}"/>
    <cellStyle name="Normal 2 5 2 4 6" xfId="27299" xr:uid="{00000000-0005-0000-0000-0000A66A0000}"/>
    <cellStyle name="Normal 2 5 2 4 6 2" xfId="27300" xr:uid="{00000000-0005-0000-0000-0000A76A0000}"/>
    <cellStyle name="Normal 2 5 2 4 6 3" xfId="27301" xr:uid="{00000000-0005-0000-0000-0000A86A0000}"/>
    <cellStyle name="Normal 2 5 2 4 6 4" xfId="27302" xr:uid="{00000000-0005-0000-0000-0000A96A0000}"/>
    <cellStyle name="Normal 2 5 2 4 7" xfId="27303" xr:uid="{00000000-0005-0000-0000-0000AA6A0000}"/>
    <cellStyle name="Normal 2 5 2 4 7 2" xfId="27304" xr:uid="{00000000-0005-0000-0000-0000AB6A0000}"/>
    <cellStyle name="Normal 2 5 2 4 8" xfId="27305" xr:uid="{00000000-0005-0000-0000-0000AC6A0000}"/>
    <cellStyle name="Normal 2 5 2 4 9" xfId="27306" xr:uid="{00000000-0005-0000-0000-0000AD6A0000}"/>
    <cellStyle name="Normal 2 5 2 5" xfId="27307" xr:uid="{00000000-0005-0000-0000-0000AE6A0000}"/>
    <cellStyle name="Normal 2 5 2 5 10" xfId="27308" xr:uid="{00000000-0005-0000-0000-0000AF6A0000}"/>
    <cellStyle name="Normal 2 5 2 5 11" xfId="27309" xr:uid="{00000000-0005-0000-0000-0000B06A0000}"/>
    <cellStyle name="Normal 2 5 2 5 2" xfId="27310" xr:uid="{00000000-0005-0000-0000-0000B16A0000}"/>
    <cellStyle name="Normal 2 5 2 5 2 2" xfId="27311" xr:uid="{00000000-0005-0000-0000-0000B26A0000}"/>
    <cellStyle name="Normal 2 5 2 5 2 2 2" xfId="27312" xr:uid="{00000000-0005-0000-0000-0000B36A0000}"/>
    <cellStyle name="Normal 2 5 2 5 2 2 2 2" xfId="27313" xr:uid="{00000000-0005-0000-0000-0000B46A0000}"/>
    <cellStyle name="Normal 2 5 2 5 2 2 2 3" xfId="27314" xr:uid="{00000000-0005-0000-0000-0000B56A0000}"/>
    <cellStyle name="Normal 2 5 2 5 2 2 3" xfId="27315" xr:uid="{00000000-0005-0000-0000-0000B66A0000}"/>
    <cellStyle name="Normal 2 5 2 5 2 2 4" xfId="27316" xr:uid="{00000000-0005-0000-0000-0000B76A0000}"/>
    <cellStyle name="Normal 2 5 2 5 2 2 5" xfId="27317" xr:uid="{00000000-0005-0000-0000-0000B86A0000}"/>
    <cellStyle name="Normal 2 5 2 5 2 2 6" xfId="27318" xr:uid="{00000000-0005-0000-0000-0000B96A0000}"/>
    <cellStyle name="Normal 2 5 2 5 2 3" xfId="27319" xr:uid="{00000000-0005-0000-0000-0000BA6A0000}"/>
    <cellStyle name="Normal 2 5 2 5 2 3 2" xfId="27320" xr:uid="{00000000-0005-0000-0000-0000BB6A0000}"/>
    <cellStyle name="Normal 2 5 2 5 2 3 2 2" xfId="27321" xr:uid="{00000000-0005-0000-0000-0000BC6A0000}"/>
    <cellStyle name="Normal 2 5 2 5 2 3 3" xfId="27322" xr:uid="{00000000-0005-0000-0000-0000BD6A0000}"/>
    <cellStyle name="Normal 2 5 2 5 2 3 4" xfId="27323" xr:uid="{00000000-0005-0000-0000-0000BE6A0000}"/>
    <cellStyle name="Normal 2 5 2 5 2 3 5" xfId="27324" xr:uid="{00000000-0005-0000-0000-0000BF6A0000}"/>
    <cellStyle name="Normal 2 5 2 5 2 4" xfId="27325" xr:uid="{00000000-0005-0000-0000-0000C06A0000}"/>
    <cellStyle name="Normal 2 5 2 5 2 4 2" xfId="27326" xr:uid="{00000000-0005-0000-0000-0000C16A0000}"/>
    <cellStyle name="Normal 2 5 2 5 2 4 3" xfId="27327" xr:uid="{00000000-0005-0000-0000-0000C26A0000}"/>
    <cellStyle name="Normal 2 5 2 5 2 4 4" xfId="27328" xr:uid="{00000000-0005-0000-0000-0000C36A0000}"/>
    <cellStyle name="Normal 2 5 2 5 2 5" xfId="27329" xr:uid="{00000000-0005-0000-0000-0000C46A0000}"/>
    <cellStyle name="Normal 2 5 2 5 2 5 2" xfId="27330" xr:uid="{00000000-0005-0000-0000-0000C56A0000}"/>
    <cellStyle name="Normal 2 5 2 5 2 6" xfId="27331" xr:uid="{00000000-0005-0000-0000-0000C66A0000}"/>
    <cellStyle name="Normal 2 5 2 5 2 7" xfId="27332" xr:uid="{00000000-0005-0000-0000-0000C76A0000}"/>
    <cellStyle name="Normal 2 5 2 5 2 8" xfId="27333" xr:uid="{00000000-0005-0000-0000-0000C86A0000}"/>
    <cellStyle name="Normal 2 5 2 5 2 9" xfId="27334" xr:uid="{00000000-0005-0000-0000-0000C96A0000}"/>
    <cellStyle name="Normal 2 5 2 5 3" xfId="27335" xr:uid="{00000000-0005-0000-0000-0000CA6A0000}"/>
    <cellStyle name="Normal 2 5 2 5 3 2" xfId="27336" xr:uid="{00000000-0005-0000-0000-0000CB6A0000}"/>
    <cellStyle name="Normal 2 5 2 5 3 2 2" xfId="27337" xr:uid="{00000000-0005-0000-0000-0000CC6A0000}"/>
    <cellStyle name="Normal 2 5 2 5 3 2 2 2" xfId="27338" xr:uid="{00000000-0005-0000-0000-0000CD6A0000}"/>
    <cellStyle name="Normal 2 5 2 5 3 2 2 3" xfId="27339" xr:uid="{00000000-0005-0000-0000-0000CE6A0000}"/>
    <cellStyle name="Normal 2 5 2 5 3 2 3" xfId="27340" xr:uid="{00000000-0005-0000-0000-0000CF6A0000}"/>
    <cellStyle name="Normal 2 5 2 5 3 2 4" xfId="27341" xr:uid="{00000000-0005-0000-0000-0000D06A0000}"/>
    <cellStyle name="Normal 2 5 2 5 3 2 5" xfId="27342" xr:uid="{00000000-0005-0000-0000-0000D16A0000}"/>
    <cellStyle name="Normal 2 5 2 5 3 2 6" xfId="27343" xr:uid="{00000000-0005-0000-0000-0000D26A0000}"/>
    <cellStyle name="Normal 2 5 2 5 3 3" xfId="27344" xr:uid="{00000000-0005-0000-0000-0000D36A0000}"/>
    <cellStyle name="Normal 2 5 2 5 3 3 2" xfId="27345" xr:uid="{00000000-0005-0000-0000-0000D46A0000}"/>
    <cellStyle name="Normal 2 5 2 5 3 3 2 2" xfId="27346" xr:uid="{00000000-0005-0000-0000-0000D56A0000}"/>
    <cellStyle name="Normal 2 5 2 5 3 3 3" xfId="27347" xr:uid="{00000000-0005-0000-0000-0000D66A0000}"/>
    <cellStyle name="Normal 2 5 2 5 3 3 4" xfId="27348" xr:uid="{00000000-0005-0000-0000-0000D76A0000}"/>
    <cellStyle name="Normal 2 5 2 5 3 3 5" xfId="27349" xr:uid="{00000000-0005-0000-0000-0000D86A0000}"/>
    <cellStyle name="Normal 2 5 2 5 3 4" xfId="27350" xr:uid="{00000000-0005-0000-0000-0000D96A0000}"/>
    <cellStyle name="Normal 2 5 2 5 3 4 2" xfId="27351" xr:uid="{00000000-0005-0000-0000-0000DA6A0000}"/>
    <cellStyle name="Normal 2 5 2 5 3 4 3" xfId="27352" xr:uid="{00000000-0005-0000-0000-0000DB6A0000}"/>
    <cellStyle name="Normal 2 5 2 5 3 4 4" xfId="27353" xr:uid="{00000000-0005-0000-0000-0000DC6A0000}"/>
    <cellStyle name="Normal 2 5 2 5 3 5" xfId="27354" xr:uid="{00000000-0005-0000-0000-0000DD6A0000}"/>
    <cellStyle name="Normal 2 5 2 5 3 5 2" xfId="27355" xr:uid="{00000000-0005-0000-0000-0000DE6A0000}"/>
    <cellStyle name="Normal 2 5 2 5 3 6" xfId="27356" xr:uid="{00000000-0005-0000-0000-0000DF6A0000}"/>
    <cellStyle name="Normal 2 5 2 5 3 7" xfId="27357" xr:uid="{00000000-0005-0000-0000-0000E06A0000}"/>
    <cellStyle name="Normal 2 5 2 5 3 8" xfId="27358" xr:uid="{00000000-0005-0000-0000-0000E16A0000}"/>
    <cellStyle name="Normal 2 5 2 5 3 9" xfId="27359" xr:uid="{00000000-0005-0000-0000-0000E26A0000}"/>
    <cellStyle name="Normal 2 5 2 5 4" xfId="27360" xr:uid="{00000000-0005-0000-0000-0000E36A0000}"/>
    <cellStyle name="Normal 2 5 2 5 4 2" xfId="27361" xr:uid="{00000000-0005-0000-0000-0000E46A0000}"/>
    <cellStyle name="Normal 2 5 2 5 4 2 2" xfId="27362" xr:uid="{00000000-0005-0000-0000-0000E56A0000}"/>
    <cellStyle name="Normal 2 5 2 5 4 2 3" xfId="27363" xr:uid="{00000000-0005-0000-0000-0000E66A0000}"/>
    <cellStyle name="Normal 2 5 2 5 4 3" xfId="27364" xr:uid="{00000000-0005-0000-0000-0000E76A0000}"/>
    <cellStyle name="Normal 2 5 2 5 4 4" xfId="27365" xr:uid="{00000000-0005-0000-0000-0000E86A0000}"/>
    <cellStyle name="Normal 2 5 2 5 4 5" xfId="27366" xr:uid="{00000000-0005-0000-0000-0000E96A0000}"/>
    <cellStyle name="Normal 2 5 2 5 4 6" xfId="27367" xr:uid="{00000000-0005-0000-0000-0000EA6A0000}"/>
    <cellStyle name="Normal 2 5 2 5 5" xfId="27368" xr:uid="{00000000-0005-0000-0000-0000EB6A0000}"/>
    <cellStyle name="Normal 2 5 2 5 5 2" xfId="27369" xr:uid="{00000000-0005-0000-0000-0000EC6A0000}"/>
    <cellStyle name="Normal 2 5 2 5 5 2 2" xfId="27370" xr:uid="{00000000-0005-0000-0000-0000ED6A0000}"/>
    <cellStyle name="Normal 2 5 2 5 5 3" xfId="27371" xr:uid="{00000000-0005-0000-0000-0000EE6A0000}"/>
    <cellStyle name="Normal 2 5 2 5 5 4" xfId="27372" xr:uid="{00000000-0005-0000-0000-0000EF6A0000}"/>
    <cellStyle name="Normal 2 5 2 5 5 5" xfId="27373" xr:uid="{00000000-0005-0000-0000-0000F06A0000}"/>
    <cellStyle name="Normal 2 5 2 5 6" xfId="27374" xr:uid="{00000000-0005-0000-0000-0000F16A0000}"/>
    <cellStyle name="Normal 2 5 2 5 6 2" xfId="27375" xr:uid="{00000000-0005-0000-0000-0000F26A0000}"/>
    <cellStyle name="Normal 2 5 2 5 6 3" xfId="27376" xr:uid="{00000000-0005-0000-0000-0000F36A0000}"/>
    <cellStyle name="Normal 2 5 2 5 6 4" xfId="27377" xr:uid="{00000000-0005-0000-0000-0000F46A0000}"/>
    <cellStyle name="Normal 2 5 2 5 7" xfId="27378" xr:uid="{00000000-0005-0000-0000-0000F56A0000}"/>
    <cellStyle name="Normal 2 5 2 5 7 2" xfId="27379" xr:uid="{00000000-0005-0000-0000-0000F66A0000}"/>
    <cellStyle name="Normal 2 5 2 5 8" xfId="27380" xr:uid="{00000000-0005-0000-0000-0000F76A0000}"/>
    <cellStyle name="Normal 2 5 2 5 9" xfId="27381" xr:uid="{00000000-0005-0000-0000-0000F86A0000}"/>
    <cellStyle name="Normal 2 5 2 6" xfId="27382" xr:uid="{00000000-0005-0000-0000-0000F96A0000}"/>
    <cellStyle name="Normal 2 5 2 6 10" xfId="27383" xr:uid="{00000000-0005-0000-0000-0000FA6A0000}"/>
    <cellStyle name="Normal 2 5 2 6 11" xfId="27384" xr:uid="{00000000-0005-0000-0000-0000FB6A0000}"/>
    <cellStyle name="Normal 2 5 2 6 2" xfId="27385" xr:uid="{00000000-0005-0000-0000-0000FC6A0000}"/>
    <cellStyle name="Normal 2 5 2 6 2 2" xfId="27386" xr:uid="{00000000-0005-0000-0000-0000FD6A0000}"/>
    <cellStyle name="Normal 2 5 2 6 2 2 2" xfId="27387" xr:uid="{00000000-0005-0000-0000-0000FE6A0000}"/>
    <cellStyle name="Normal 2 5 2 6 2 2 2 2" xfId="27388" xr:uid="{00000000-0005-0000-0000-0000FF6A0000}"/>
    <cellStyle name="Normal 2 5 2 6 2 2 2 3" xfId="27389" xr:uid="{00000000-0005-0000-0000-0000006B0000}"/>
    <cellStyle name="Normal 2 5 2 6 2 2 3" xfId="27390" xr:uid="{00000000-0005-0000-0000-0000016B0000}"/>
    <cellStyle name="Normal 2 5 2 6 2 2 4" xfId="27391" xr:uid="{00000000-0005-0000-0000-0000026B0000}"/>
    <cellStyle name="Normal 2 5 2 6 2 2 5" xfId="27392" xr:uid="{00000000-0005-0000-0000-0000036B0000}"/>
    <cellStyle name="Normal 2 5 2 6 2 2 6" xfId="27393" xr:uid="{00000000-0005-0000-0000-0000046B0000}"/>
    <cellStyle name="Normal 2 5 2 6 2 3" xfId="27394" xr:uid="{00000000-0005-0000-0000-0000056B0000}"/>
    <cellStyle name="Normal 2 5 2 6 2 3 2" xfId="27395" xr:uid="{00000000-0005-0000-0000-0000066B0000}"/>
    <cellStyle name="Normal 2 5 2 6 2 3 2 2" xfId="27396" xr:uid="{00000000-0005-0000-0000-0000076B0000}"/>
    <cellStyle name="Normal 2 5 2 6 2 3 3" xfId="27397" xr:uid="{00000000-0005-0000-0000-0000086B0000}"/>
    <cellStyle name="Normal 2 5 2 6 2 3 4" xfId="27398" xr:uid="{00000000-0005-0000-0000-0000096B0000}"/>
    <cellStyle name="Normal 2 5 2 6 2 3 5" xfId="27399" xr:uid="{00000000-0005-0000-0000-00000A6B0000}"/>
    <cellStyle name="Normal 2 5 2 6 2 4" xfId="27400" xr:uid="{00000000-0005-0000-0000-00000B6B0000}"/>
    <cellStyle name="Normal 2 5 2 6 2 4 2" xfId="27401" xr:uid="{00000000-0005-0000-0000-00000C6B0000}"/>
    <cellStyle name="Normal 2 5 2 6 2 4 3" xfId="27402" xr:uid="{00000000-0005-0000-0000-00000D6B0000}"/>
    <cellStyle name="Normal 2 5 2 6 2 4 4" xfId="27403" xr:uid="{00000000-0005-0000-0000-00000E6B0000}"/>
    <cellStyle name="Normal 2 5 2 6 2 5" xfId="27404" xr:uid="{00000000-0005-0000-0000-00000F6B0000}"/>
    <cellStyle name="Normal 2 5 2 6 2 5 2" xfId="27405" xr:uid="{00000000-0005-0000-0000-0000106B0000}"/>
    <cellStyle name="Normal 2 5 2 6 2 6" xfId="27406" xr:uid="{00000000-0005-0000-0000-0000116B0000}"/>
    <cellStyle name="Normal 2 5 2 6 2 7" xfId="27407" xr:uid="{00000000-0005-0000-0000-0000126B0000}"/>
    <cellStyle name="Normal 2 5 2 6 2 8" xfId="27408" xr:uid="{00000000-0005-0000-0000-0000136B0000}"/>
    <cellStyle name="Normal 2 5 2 6 2 9" xfId="27409" xr:uid="{00000000-0005-0000-0000-0000146B0000}"/>
    <cellStyle name="Normal 2 5 2 6 3" xfId="27410" xr:uid="{00000000-0005-0000-0000-0000156B0000}"/>
    <cellStyle name="Normal 2 5 2 6 3 2" xfId="27411" xr:uid="{00000000-0005-0000-0000-0000166B0000}"/>
    <cellStyle name="Normal 2 5 2 6 3 2 2" xfId="27412" xr:uid="{00000000-0005-0000-0000-0000176B0000}"/>
    <cellStyle name="Normal 2 5 2 6 3 2 2 2" xfId="27413" xr:uid="{00000000-0005-0000-0000-0000186B0000}"/>
    <cellStyle name="Normal 2 5 2 6 3 2 2 3" xfId="27414" xr:uid="{00000000-0005-0000-0000-0000196B0000}"/>
    <cellStyle name="Normal 2 5 2 6 3 2 3" xfId="27415" xr:uid="{00000000-0005-0000-0000-00001A6B0000}"/>
    <cellStyle name="Normal 2 5 2 6 3 2 4" xfId="27416" xr:uid="{00000000-0005-0000-0000-00001B6B0000}"/>
    <cellStyle name="Normal 2 5 2 6 3 2 5" xfId="27417" xr:uid="{00000000-0005-0000-0000-00001C6B0000}"/>
    <cellStyle name="Normal 2 5 2 6 3 2 6" xfId="27418" xr:uid="{00000000-0005-0000-0000-00001D6B0000}"/>
    <cellStyle name="Normal 2 5 2 6 3 3" xfId="27419" xr:uid="{00000000-0005-0000-0000-00001E6B0000}"/>
    <cellStyle name="Normal 2 5 2 6 3 3 2" xfId="27420" xr:uid="{00000000-0005-0000-0000-00001F6B0000}"/>
    <cellStyle name="Normal 2 5 2 6 3 3 2 2" xfId="27421" xr:uid="{00000000-0005-0000-0000-0000206B0000}"/>
    <cellStyle name="Normal 2 5 2 6 3 3 3" xfId="27422" xr:uid="{00000000-0005-0000-0000-0000216B0000}"/>
    <cellStyle name="Normal 2 5 2 6 3 3 4" xfId="27423" xr:uid="{00000000-0005-0000-0000-0000226B0000}"/>
    <cellStyle name="Normal 2 5 2 6 3 3 5" xfId="27424" xr:uid="{00000000-0005-0000-0000-0000236B0000}"/>
    <cellStyle name="Normal 2 5 2 6 3 4" xfId="27425" xr:uid="{00000000-0005-0000-0000-0000246B0000}"/>
    <cellStyle name="Normal 2 5 2 6 3 4 2" xfId="27426" xr:uid="{00000000-0005-0000-0000-0000256B0000}"/>
    <cellStyle name="Normal 2 5 2 6 3 4 3" xfId="27427" xr:uid="{00000000-0005-0000-0000-0000266B0000}"/>
    <cellStyle name="Normal 2 5 2 6 3 4 4" xfId="27428" xr:uid="{00000000-0005-0000-0000-0000276B0000}"/>
    <cellStyle name="Normal 2 5 2 6 3 5" xfId="27429" xr:uid="{00000000-0005-0000-0000-0000286B0000}"/>
    <cellStyle name="Normal 2 5 2 6 3 5 2" xfId="27430" xr:uid="{00000000-0005-0000-0000-0000296B0000}"/>
    <cellStyle name="Normal 2 5 2 6 3 6" xfId="27431" xr:uid="{00000000-0005-0000-0000-00002A6B0000}"/>
    <cellStyle name="Normal 2 5 2 6 3 7" xfId="27432" xr:uid="{00000000-0005-0000-0000-00002B6B0000}"/>
    <cellStyle name="Normal 2 5 2 6 3 8" xfId="27433" xr:uid="{00000000-0005-0000-0000-00002C6B0000}"/>
    <cellStyle name="Normal 2 5 2 6 3 9" xfId="27434" xr:uid="{00000000-0005-0000-0000-00002D6B0000}"/>
    <cellStyle name="Normal 2 5 2 6 4" xfId="27435" xr:uid="{00000000-0005-0000-0000-00002E6B0000}"/>
    <cellStyle name="Normal 2 5 2 6 4 2" xfId="27436" xr:uid="{00000000-0005-0000-0000-00002F6B0000}"/>
    <cellStyle name="Normal 2 5 2 6 4 2 2" xfId="27437" xr:uid="{00000000-0005-0000-0000-0000306B0000}"/>
    <cellStyle name="Normal 2 5 2 6 4 2 3" xfId="27438" xr:uid="{00000000-0005-0000-0000-0000316B0000}"/>
    <cellStyle name="Normal 2 5 2 6 4 3" xfId="27439" xr:uid="{00000000-0005-0000-0000-0000326B0000}"/>
    <cellStyle name="Normal 2 5 2 6 4 4" xfId="27440" xr:uid="{00000000-0005-0000-0000-0000336B0000}"/>
    <cellStyle name="Normal 2 5 2 6 4 5" xfId="27441" xr:uid="{00000000-0005-0000-0000-0000346B0000}"/>
    <cellStyle name="Normal 2 5 2 6 4 6" xfId="27442" xr:uid="{00000000-0005-0000-0000-0000356B0000}"/>
    <cellStyle name="Normal 2 5 2 6 5" xfId="27443" xr:uid="{00000000-0005-0000-0000-0000366B0000}"/>
    <cellStyle name="Normal 2 5 2 6 5 2" xfId="27444" xr:uid="{00000000-0005-0000-0000-0000376B0000}"/>
    <cellStyle name="Normal 2 5 2 6 5 2 2" xfId="27445" xr:uid="{00000000-0005-0000-0000-0000386B0000}"/>
    <cellStyle name="Normal 2 5 2 6 5 3" xfId="27446" xr:uid="{00000000-0005-0000-0000-0000396B0000}"/>
    <cellStyle name="Normal 2 5 2 6 5 4" xfId="27447" xr:uid="{00000000-0005-0000-0000-00003A6B0000}"/>
    <cellStyle name="Normal 2 5 2 6 5 5" xfId="27448" xr:uid="{00000000-0005-0000-0000-00003B6B0000}"/>
    <cellStyle name="Normal 2 5 2 6 6" xfId="27449" xr:uid="{00000000-0005-0000-0000-00003C6B0000}"/>
    <cellStyle name="Normal 2 5 2 6 6 2" xfId="27450" xr:uid="{00000000-0005-0000-0000-00003D6B0000}"/>
    <cellStyle name="Normal 2 5 2 6 6 3" xfId="27451" xr:uid="{00000000-0005-0000-0000-00003E6B0000}"/>
    <cellStyle name="Normal 2 5 2 6 6 4" xfId="27452" xr:uid="{00000000-0005-0000-0000-00003F6B0000}"/>
    <cellStyle name="Normal 2 5 2 6 7" xfId="27453" xr:uid="{00000000-0005-0000-0000-0000406B0000}"/>
    <cellStyle name="Normal 2 5 2 6 7 2" xfId="27454" xr:uid="{00000000-0005-0000-0000-0000416B0000}"/>
    <cellStyle name="Normal 2 5 2 6 8" xfId="27455" xr:uid="{00000000-0005-0000-0000-0000426B0000}"/>
    <cellStyle name="Normal 2 5 2 6 9" xfId="27456" xr:uid="{00000000-0005-0000-0000-0000436B0000}"/>
    <cellStyle name="Normal 2 5 2 7" xfId="27457" xr:uid="{00000000-0005-0000-0000-0000446B0000}"/>
    <cellStyle name="Normal 2 5 2 7 10" xfId="27458" xr:uid="{00000000-0005-0000-0000-0000456B0000}"/>
    <cellStyle name="Normal 2 5 2 7 11" xfId="27459" xr:uid="{00000000-0005-0000-0000-0000466B0000}"/>
    <cellStyle name="Normal 2 5 2 7 2" xfId="27460" xr:uid="{00000000-0005-0000-0000-0000476B0000}"/>
    <cellStyle name="Normal 2 5 2 7 2 2" xfId="27461" xr:uid="{00000000-0005-0000-0000-0000486B0000}"/>
    <cellStyle name="Normal 2 5 2 7 2 2 2" xfId="27462" xr:uid="{00000000-0005-0000-0000-0000496B0000}"/>
    <cellStyle name="Normal 2 5 2 7 2 2 2 2" xfId="27463" xr:uid="{00000000-0005-0000-0000-00004A6B0000}"/>
    <cellStyle name="Normal 2 5 2 7 2 2 2 3" xfId="27464" xr:uid="{00000000-0005-0000-0000-00004B6B0000}"/>
    <cellStyle name="Normal 2 5 2 7 2 2 3" xfId="27465" xr:uid="{00000000-0005-0000-0000-00004C6B0000}"/>
    <cellStyle name="Normal 2 5 2 7 2 2 4" xfId="27466" xr:uid="{00000000-0005-0000-0000-00004D6B0000}"/>
    <cellStyle name="Normal 2 5 2 7 2 2 5" xfId="27467" xr:uid="{00000000-0005-0000-0000-00004E6B0000}"/>
    <cellStyle name="Normal 2 5 2 7 2 2 6" xfId="27468" xr:uid="{00000000-0005-0000-0000-00004F6B0000}"/>
    <cellStyle name="Normal 2 5 2 7 2 3" xfId="27469" xr:uid="{00000000-0005-0000-0000-0000506B0000}"/>
    <cellStyle name="Normal 2 5 2 7 2 3 2" xfId="27470" xr:uid="{00000000-0005-0000-0000-0000516B0000}"/>
    <cellStyle name="Normal 2 5 2 7 2 3 2 2" xfId="27471" xr:uid="{00000000-0005-0000-0000-0000526B0000}"/>
    <cellStyle name="Normal 2 5 2 7 2 3 3" xfId="27472" xr:uid="{00000000-0005-0000-0000-0000536B0000}"/>
    <cellStyle name="Normal 2 5 2 7 2 3 4" xfId="27473" xr:uid="{00000000-0005-0000-0000-0000546B0000}"/>
    <cellStyle name="Normal 2 5 2 7 2 3 5" xfId="27474" xr:uid="{00000000-0005-0000-0000-0000556B0000}"/>
    <cellStyle name="Normal 2 5 2 7 2 4" xfId="27475" xr:uid="{00000000-0005-0000-0000-0000566B0000}"/>
    <cellStyle name="Normal 2 5 2 7 2 4 2" xfId="27476" xr:uid="{00000000-0005-0000-0000-0000576B0000}"/>
    <cellStyle name="Normal 2 5 2 7 2 4 3" xfId="27477" xr:uid="{00000000-0005-0000-0000-0000586B0000}"/>
    <cellStyle name="Normal 2 5 2 7 2 4 4" xfId="27478" xr:uid="{00000000-0005-0000-0000-0000596B0000}"/>
    <cellStyle name="Normal 2 5 2 7 2 5" xfId="27479" xr:uid="{00000000-0005-0000-0000-00005A6B0000}"/>
    <cellStyle name="Normal 2 5 2 7 2 5 2" xfId="27480" xr:uid="{00000000-0005-0000-0000-00005B6B0000}"/>
    <cellStyle name="Normal 2 5 2 7 2 6" xfId="27481" xr:uid="{00000000-0005-0000-0000-00005C6B0000}"/>
    <cellStyle name="Normal 2 5 2 7 2 7" xfId="27482" xr:uid="{00000000-0005-0000-0000-00005D6B0000}"/>
    <cellStyle name="Normal 2 5 2 7 2 8" xfId="27483" xr:uid="{00000000-0005-0000-0000-00005E6B0000}"/>
    <cellStyle name="Normal 2 5 2 7 2 9" xfId="27484" xr:uid="{00000000-0005-0000-0000-00005F6B0000}"/>
    <cellStyle name="Normal 2 5 2 7 3" xfId="27485" xr:uid="{00000000-0005-0000-0000-0000606B0000}"/>
    <cellStyle name="Normal 2 5 2 7 3 2" xfId="27486" xr:uid="{00000000-0005-0000-0000-0000616B0000}"/>
    <cellStyle name="Normal 2 5 2 7 3 2 2" xfId="27487" xr:uid="{00000000-0005-0000-0000-0000626B0000}"/>
    <cellStyle name="Normal 2 5 2 7 3 2 2 2" xfId="27488" xr:uid="{00000000-0005-0000-0000-0000636B0000}"/>
    <cellStyle name="Normal 2 5 2 7 3 2 2 3" xfId="27489" xr:uid="{00000000-0005-0000-0000-0000646B0000}"/>
    <cellStyle name="Normal 2 5 2 7 3 2 3" xfId="27490" xr:uid="{00000000-0005-0000-0000-0000656B0000}"/>
    <cellStyle name="Normal 2 5 2 7 3 2 4" xfId="27491" xr:uid="{00000000-0005-0000-0000-0000666B0000}"/>
    <cellStyle name="Normal 2 5 2 7 3 2 5" xfId="27492" xr:uid="{00000000-0005-0000-0000-0000676B0000}"/>
    <cellStyle name="Normal 2 5 2 7 3 2 6" xfId="27493" xr:uid="{00000000-0005-0000-0000-0000686B0000}"/>
    <cellStyle name="Normal 2 5 2 7 3 3" xfId="27494" xr:uid="{00000000-0005-0000-0000-0000696B0000}"/>
    <cellStyle name="Normal 2 5 2 7 3 3 2" xfId="27495" xr:uid="{00000000-0005-0000-0000-00006A6B0000}"/>
    <cellStyle name="Normal 2 5 2 7 3 3 2 2" xfId="27496" xr:uid="{00000000-0005-0000-0000-00006B6B0000}"/>
    <cellStyle name="Normal 2 5 2 7 3 3 3" xfId="27497" xr:uid="{00000000-0005-0000-0000-00006C6B0000}"/>
    <cellStyle name="Normal 2 5 2 7 3 3 4" xfId="27498" xr:uid="{00000000-0005-0000-0000-00006D6B0000}"/>
    <cellStyle name="Normal 2 5 2 7 3 3 5" xfId="27499" xr:uid="{00000000-0005-0000-0000-00006E6B0000}"/>
    <cellStyle name="Normal 2 5 2 7 3 4" xfId="27500" xr:uid="{00000000-0005-0000-0000-00006F6B0000}"/>
    <cellStyle name="Normal 2 5 2 7 3 4 2" xfId="27501" xr:uid="{00000000-0005-0000-0000-0000706B0000}"/>
    <cellStyle name="Normal 2 5 2 7 3 4 3" xfId="27502" xr:uid="{00000000-0005-0000-0000-0000716B0000}"/>
    <cellStyle name="Normal 2 5 2 7 3 4 4" xfId="27503" xr:uid="{00000000-0005-0000-0000-0000726B0000}"/>
    <cellStyle name="Normal 2 5 2 7 3 5" xfId="27504" xr:uid="{00000000-0005-0000-0000-0000736B0000}"/>
    <cellStyle name="Normal 2 5 2 7 3 5 2" xfId="27505" xr:uid="{00000000-0005-0000-0000-0000746B0000}"/>
    <cellStyle name="Normal 2 5 2 7 3 6" xfId="27506" xr:uid="{00000000-0005-0000-0000-0000756B0000}"/>
    <cellStyle name="Normal 2 5 2 7 3 7" xfId="27507" xr:uid="{00000000-0005-0000-0000-0000766B0000}"/>
    <cellStyle name="Normal 2 5 2 7 3 8" xfId="27508" xr:uid="{00000000-0005-0000-0000-0000776B0000}"/>
    <cellStyle name="Normal 2 5 2 7 3 9" xfId="27509" xr:uid="{00000000-0005-0000-0000-0000786B0000}"/>
    <cellStyle name="Normal 2 5 2 7 4" xfId="27510" xr:uid="{00000000-0005-0000-0000-0000796B0000}"/>
    <cellStyle name="Normal 2 5 2 7 4 2" xfId="27511" xr:uid="{00000000-0005-0000-0000-00007A6B0000}"/>
    <cellStyle name="Normal 2 5 2 7 4 2 2" xfId="27512" xr:uid="{00000000-0005-0000-0000-00007B6B0000}"/>
    <cellStyle name="Normal 2 5 2 7 4 2 3" xfId="27513" xr:uid="{00000000-0005-0000-0000-00007C6B0000}"/>
    <cellStyle name="Normal 2 5 2 7 4 3" xfId="27514" xr:uid="{00000000-0005-0000-0000-00007D6B0000}"/>
    <cellStyle name="Normal 2 5 2 7 4 4" xfId="27515" xr:uid="{00000000-0005-0000-0000-00007E6B0000}"/>
    <cellStyle name="Normal 2 5 2 7 4 5" xfId="27516" xr:uid="{00000000-0005-0000-0000-00007F6B0000}"/>
    <cellStyle name="Normal 2 5 2 7 4 6" xfId="27517" xr:uid="{00000000-0005-0000-0000-0000806B0000}"/>
    <cellStyle name="Normal 2 5 2 7 5" xfId="27518" xr:uid="{00000000-0005-0000-0000-0000816B0000}"/>
    <cellStyle name="Normal 2 5 2 7 5 2" xfId="27519" xr:uid="{00000000-0005-0000-0000-0000826B0000}"/>
    <cellStyle name="Normal 2 5 2 7 5 2 2" xfId="27520" xr:uid="{00000000-0005-0000-0000-0000836B0000}"/>
    <cellStyle name="Normal 2 5 2 7 5 3" xfId="27521" xr:uid="{00000000-0005-0000-0000-0000846B0000}"/>
    <cellStyle name="Normal 2 5 2 7 5 4" xfId="27522" xr:uid="{00000000-0005-0000-0000-0000856B0000}"/>
    <cellStyle name="Normal 2 5 2 7 5 5" xfId="27523" xr:uid="{00000000-0005-0000-0000-0000866B0000}"/>
    <cellStyle name="Normal 2 5 2 7 6" xfId="27524" xr:uid="{00000000-0005-0000-0000-0000876B0000}"/>
    <cellStyle name="Normal 2 5 2 7 6 2" xfId="27525" xr:uid="{00000000-0005-0000-0000-0000886B0000}"/>
    <cellStyle name="Normal 2 5 2 7 6 3" xfId="27526" xr:uid="{00000000-0005-0000-0000-0000896B0000}"/>
    <cellStyle name="Normal 2 5 2 7 6 4" xfId="27527" xr:uid="{00000000-0005-0000-0000-00008A6B0000}"/>
    <cellStyle name="Normal 2 5 2 7 7" xfId="27528" xr:uid="{00000000-0005-0000-0000-00008B6B0000}"/>
    <cellStyle name="Normal 2 5 2 7 7 2" xfId="27529" xr:uid="{00000000-0005-0000-0000-00008C6B0000}"/>
    <cellStyle name="Normal 2 5 2 7 8" xfId="27530" xr:uid="{00000000-0005-0000-0000-00008D6B0000}"/>
    <cellStyle name="Normal 2 5 2 7 9" xfId="27531" xr:uid="{00000000-0005-0000-0000-00008E6B0000}"/>
    <cellStyle name="Normal 2 5 2 8" xfId="27532" xr:uid="{00000000-0005-0000-0000-00008F6B0000}"/>
    <cellStyle name="Normal 2 5 2 8 10" xfId="27533" xr:uid="{00000000-0005-0000-0000-0000906B0000}"/>
    <cellStyle name="Normal 2 5 2 8 2" xfId="27534" xr:uid="{00000000-0005-0000-0000-0000916B0000}"/>
    <cellStyle name="Normal 2 5 2 8 2 2" xfId="27535" xr:uid="{00000000-0005-0000-0000-0000926B0000}"/>
    <cellStyle name="Normal 2 5 2 8 2 2 2" xfId="27536" xr:uid="{00000000-0005-0000-0000-0000936B0000}"/>
    <cellStyle name="Normal 2 5 2 8 2 2 3" xfId="27537" xr:uid="{00000000-0005-0000-0000-0000946B0000}"/>
    <cellStyle name="Normal 2 5 2 8 2 3" xfId="27538" xr:uid="{00000000-0005-0000-0000-0000956B0000}"/>
    <cellStyle name="Normal 2 5 2 8 2 4" xfId="27539" xr:uid="{00000000-0005-0000-0000-0000966B0000}"/>
    <cellStyle name="Normal 2 5 2 8 2 5" xfId="27540" xr:uid="{00000000-0005-0000-0000-0000976B0000}"/>
    <cellStyle name="Normal 2 5 2 8 2 6" xfId="27541" xr:uid="{00000000-0005-0000-0000-0000986B0000}"/>
    <cellStyle name="Normal 2 5 2 8 3" xfId="27542" xr:uid="{00000000-0005-0000-0000-0000996B0000}"/>
    <cellStyle name="Normal 2 5 2 8 3 2" xfId="27543" xr:uid="{00000000-0005-0000-0000-00009A6B0000}"/>
    <cellStyle name="Normal 2 5 2 8 3 2 2" xfId="27544" xr:uid="{00000000-0005-0000-0000-00009B6B0000}"/>
    <cellStyle name="Normal 2 5 2 8 3 2 3" xfId="27545" xr:uid="{00000000-0005-0000-0000-00009C6B0000}"/>
    <cellStyle name="Normal 2 5 2 8 3 3" xfId="27546" xr:uid="{00000000-0005-0000-0000-00009D6B0000}"/>
    <cellStyle name="Normal 2 5 2 8 3 4" xfId="27547" xr:uid="{00000000-0005-0000-0000-00009E6B0000}"/>
    <cellStyle name="Normal 2 5 2 8 3 5" xfId="27548" xr:uid="{00000000-0005-0000-0000-00009F6B0000}"/>
    <cellStyle name="Normal 2 5 2 8 3 6" xfId="27549" xr:uid="{00000000-0005-0000-0000-0000A06B0000}"/>
    <cellStyle name="Normal 2 5 2 8 4" xfId="27550" xr:uid="{00000000-0005-0000-0000-0000A16B0000}"/>
    <cellStyle name="Normal 2 5 2 8 4 2" xfId="27551" xr:uid="{00000000-0005-0000-0000-0000A26B0000}"/>
    <cellStyle name="Normal 2 5 2 8 4 2 2" xfId="27552" xr:uid="{00000000-0005-0000-0000-0000A36B0000}"/>
    <cellStyle name="Normal 2 5 2 8 4 3" xfId="27553" xr:uid="{00000000-0005-0000-0000-0000A46B0000}"/>
    <cellStyle name="Normal 2 5 2 8 4 4" xfId="27554" xr:uid="{00000000-0005-0000-0000-0000A56B0000}"/>
    <cellStyle name="Normal 2 5 2 8 4 5" xfId="27555" xr:uid="{00000000-0005-0000-0000-0000A66B0000}"/>
    <cellStyle name="Normal 2 5 2 8 5" xfId="27556" xr:uid="{00000000-0005-0000-0000-0000A76B0000}"/>
    <cellStyle name="Normal 2 5 2 8 5 2" xfId="27557" xr:uid="{00000000-0005-0000-0000-0000A86B0000}"/>
    <cellStyle name="Normal 2 5 2 8 5 3" xfId="27558" xr:uid="{00000000-0005-0000-0000-0000A96B0000}"/>
    <cellStyle name="Normal 2 5 2 8 5 4" xfId="27559" xr:uid="{00000000-0005-0000-0000-0000AA6B0000}"/>
    <cellStyle name="Normal 2 5 2 8 6" xfId="27560" xr:uid="{00000000-0005-0000-0000-0000AB6B0000}"/>
    <cellStyle name="Normal 2 5 2 8 6 2" xfId="27561" xr:uid="{00000000-0005-0000-0000-0000AC6B0000}"/>
    <cellStyle name="Normal 2 5 2 8 7" xfId="27562" xr:uid="{00000000-0005-0000-0000-0000AD6B0000}"/>
    <cellStyle name="Normal 2 5 2 8 8" xfId="27563" xr:uid="{00000000-0005-0000-0000-0000AE6B0000}"/>
    <cellStyle name="Normal 2 5 2 8 9" xfId="27564" xr:uid="{00000000-0005-0000-0000-0000AF6B0000}"/>
    <cellStyle name="Normal 2 5 2 9" xfId="27565" xr:uid="{00000000-0005-0000-0000-0000B06B0000}"/>
    <cellStyle name="Normal 2 5 2 9 10" xfId="27566" xr:uid="{00000000-0005-0000-0000-0000B16B0000}"/>
    <cellStyle name="Normal 2 5 2 9 2" xfId="27567" xr:uid="{00000000-0005-0000-0000-0000B26B0000}"/>
    <cellStyle name="Normal 2 5 2 9 2 2" xfId="27568" xr:uid="{00000000-0005-0000-0000-0000B36B0000}"/>
    <cellStyle name="Normal 2 5 2 9 2 2 2" xfId="27569" xr:uid="{00000000-0005-0000-0000-0000B46B0000}"/>
    <cellStyle name="Normal 2 5 2 9 2 2 3" xfId="27570" xr:uid="{00000000-0005-0000-0000-0000B56B0000}"/>
    <cellStyle name="Normal 2 5 2 9 2 3" xfId="27571" xr:uid="{00000000-0005-0000-0000-0000B66B0000}"/>
    <cellStyle name="Normal 2 5 2 9 2 4" xfId="27572" xr:uid="{00000000-0005-0000-0000-0000B76B0000}"/>
    <cellStyle name="Normal 2 5 2 9 2 5" xfId="27573" xr:uid="{00000000-0005-0000-0000-0000B86B0000}"/>
    <cellStyle name="Normal 2 5 2 9 2 6" xfId="27574" xr:uid="{00000000-0005-0000-0000-0000B96B0000}"/>
    <cellStyle name="Normal 2 5 2 9 3" xfId="27575" xr:uid="{00000000-0005-0000-0000-0000BA6B0000}"/>
    <cellStyle name="Normal 2 5 2 9 3 2" xfId="27576" xr:uid="{00000000-0005-0000-0000-0000BB6B0000}"/>
    <cellStyle name="Normal 2 5 2 9 3 2 2" xfId="27577" xr:uid="{00000000-0005-0000-0000-0000BC6B0000}"/>
    <cellStyle name="Normal 2 5 2 9 3 2 3" xfId="27578" xr:uid="{00000000-0005-0000-0000-0000BD6B0000}"/>
    <cellStyle name="Normal 2 5 2 9 3 3" xfId="27579" xr:uid="{00000000-0005-0000-0000-0000BE6B0000}"/>
    <cellStyle name="Normal 2 5 2 9 3 4" xfId="27580" xr:uid="{00000000-0005-0000-0000-0000BF6B0000}"/>
    <cellStyle name="Normal 2 5 2 9 3 5" xfId="27581" xr:uid="{00000000-0005-0000-0000-0000C06B0000}"/>
    <cellStyle name="Normal 2 5 2 9 3 6" xfId="27582" xr:uid="{00000000-0005-0000-0000-0000C16B0000}"/>
    <cellStyle name="Normal 2 5 2 9 4" xfId="27583" xr:uid="{00000000-0005-0000-0000-0000C26B0000}"/>
    <cellStyle name="Normal 2 5 2 9 4 2" xfId="27584" xr:uid="{00000000-0005-0000-0000-0000C36B0000}"/>
    <cellStyle name="Normal 2 5 2 9 4 2 2" xfId="27585" xr:uid="{00000000-0005-0000-0000-0000C46B0000}"/>
    <cellStyle name="Normal 2 5 2 9 4 3" xfId="27586" xr:uid="{00000000-0005-0000-0000-0000C56B0000}"/>
    <cellStyle name="Normal 2 5 2 9 4 4" xfId="27587" xr:uid="{00000000-0005-0000-0000-0000C66B0000}"/>
    <cellStyle name="Normal 2 5 2 9 4 5" xfId="27588" xr:uid="{00000000-0005-0000-0000-0000C76B0000}"/>
    <cellStyle name="Normal 2 5 2 9 5" xfId="27589" xr:uid="{00000000-0005-0000-0000-0000C86B0000}"/>
    <cellStyle name="Normal 2 5 2 9 5 2" xfId="27590" xr:uid="{00000000-0005-0000-0000-0000C96B0000}"/>
    <cellStyle name="Normal 2 5 2 9 5 3" xfId="27591" xr:uid="{00000000-0005-0000-0000-0000CA6B0000}"/>
    <cellStyle name="Normal 2 5 2 9 5 4" xfId="27592" xr:uid="{00000000-0005-0000-0000-0000CB6B0000}"/>
    <cellStyle name="Normal 2 5 2 9 6" xfId="27593" xr:uid="{00000000-0005-0000-0000-0000CC6B0000}"/>
    <cellStyle name="Normal 2 5 2 9 6 2" xfId="27594" xr:uid="{00000000-0005-0000-0000-0000CD6B0000}"/>
    <cellStyle name="Normal 2 5 2 9 7" xfId="27595" xr:uid="{00000000-0005-0000-0000-0000CE6B0000}"/>
    <cellStyle name="Normal 2 5 2 9 8" xfId="27596" xr:uid="{00000000-0005-0000-0000-0000CF6B0000}"/>
    <cellStyle name="Normal 2 5 2 9 9" xfId="27597" xr:uid="{00000000-0005-0000-0000-0000D06B0000}"/>
    <cellStyle name="Normal 2 5 3" xfId="27598" xr:uid="{00000000-0005-0000-0000-0000D16B0000}"/>
    <cellStyle name="Normal 2 5 3 2" xfId="27599" xr:uid="{00000000-0005-0000-0000-0000D26B0000}"/>
    <cellStyle name="Normal 2 5 4" xfId="27600" xr:uid="{00000000-0005-0000-0000-0000D36B0000}"/>
    <cellStyle name="Normal 2 5 4 2" xfId="27601" xr:uid="{00000000-0005-0000-0000-0000D46B0000}"/>
    <cellStyle name="Normal 2 5 5" xfId="27602" xr:uid="{00000000-0005-0000-0000-0000D56B0000}"/>
    <cellStyle name="Normal 2 5 6" xfId="27603" xr:uid="{00000000-0005-0000-0000-0000D66B0000}"/>
    <cellStyle name="Normal 2 5 7" xfId="27604" xr:uid="{00000000-0005-0000-0000-0000D76B0000}"/>
    <cellStyle name="Normal 2 5 8" xfId="27605" xr:uid="{00000000-0005-0000-0000-0000D86B0000}"/>
    <cellStyle name="Normal 2 5 9" xfId="27606" xr:uid="{00000000-0005-0000-0000-0000D96B0000}"/>
    <cellStyle name="Normal 2 50" xfId="27607" xr:uid="{00000000-0005-0000-0000-0000DA6B0000}"/>
    <cellStyle name="Normal 2 50 10" xfId="27608" xr:uid="{00000000-0005-0000-0000-0000DB6B0000}"/>
    <cellStyle name="Normal 2 50 2" xfId="27609" xr:uid="{00000000-0005-0000-0000-0000DC6B0000}"/>
    <cellStyle name="Normal 2 50 2 2" xfId="27610" xr:uid="{00000000-0005-0000-0000-0000DD6B0000}"/>
    <cellStyle name="Normal 2 50 2 2 2" xfId="27611" xr:uid="{00000000-0005-0000-0000-0000DE6B0000}"/>
    <cellStyle name="Normal 2 50 2 2 3" xfId="27612" xr:uid="{00000000-0005-0000-0000-0000DF6B0000}"/>
    <cellStyle name="Normal 2 50 2 3" xfId="27613" xr:uid="{00000000-0005-0000-0000-0000E06B0000}"/>
    <cellStyle name="Normal 2 50 2 4" xfId="27614" xr:uid="{00000000-0005-0000-0000-0000E16B0000}"/>
    <cellStyle name="Normal 2 50 2 5" xfId="27615" xr:uid="{00000000-0005-0000-0000-0000E26B0000}"/>
    <cellStyle name="Normal 2 50 2 6" xfId="27616" xr:uid="{00000000-0005-0000-0000-0000E36B0000}"/>
    <cellStyle name="Normal 2 50 3" xfId="27617" xr:uid="{00000000-0005-0000-0000-0000E46B0000}"/>
    <cellStyle name="Normal 2 50 3 2" xfId="27618" xr:uid="{00000000-0005-0000-0000-0000E56B0000}"/>
    <cellStyle name="Normal 2 50 3 2 2" xfId="27619" xr:uid="{00000000-0005-0000-0000-0000E66B0000}"/>
    <cellStyle name="Normal 2 50 3 2 3" xfId="27620" xr:uid="{00000000-0005-0000-0000-0000E76B0000}"/>
    <cellStyle name="Normal 2 50 3 3" xfId="27621" xr:uid="{00000000-0005-0000-0000-0000E86B0000}"/>
    <cellStyle name="Normal 2 50 3 4" xfId="27622" xr:uid="{00000000-0005-0000-0000-0000E96B0000}"/>
    <cellStyle name="Normal 2 50 3 5" xfId="27623" xr:uid="{00000000-0005-0000-0000-0000EA6B0000}"/>
    <cellStyle name="Normal 2 50 3 6" xfId="27624" xr:uid="{00000000-0005-0000-0000-0000EB6B0000}"/>
    <cellStyle name="Normal 2 50 4" xfId="27625" xr:uid="{00000000-0005-0000-0000-0000EC6B0000}"/>
    <cellStyle name="Normal 2 50 4 2" xfId="27626" xr:uid="{00000000-0005-0000-0000-0000ED6B0000}"/>
    <cellStyle name="Normal 2 50 4 2 2" xfId="27627" xr:uid="{00000000-0005-0000-0000-0000EE6B0000}"/>
    <cellStyle name="Normal 2 50 4 3" xfId="27628" xr:uid="{00000000-0005-0000-0000-0000EF6B0000}"/>
    <cellStyle name="Normal 2 50 4 4" xfId="27629" xr:uid="{00000000-0005-0000-0000-0000F06B0000}"/>
    <cellStyle name="Normal 2 50 4 5" xfId="27630" xr:uid="{00000000-0005-0000-0000-0000F16B0000}"/>
    <cellStyle name="Normal 2 50 5" xfId="27631" xr:uid="{00000000-0005-0000-0000-0000F26B0000}"/>
    <cellStyle name="Normal 2 50 5 2" xfId="27632" xr:uid="{00000000-0005-0000-0000-0000F36B0000}"/>
    <cellStyle name="Normal 2 50 5 3" xfId="27633" xr:uid="{00000000-0005-0000-0000-0000F46B0000}"/>
    <cellStyle name="Normal 2 50 5 4" xfId="27634" xr:uid="{00000000-0005-0000-0000-0000F56B0000}"/>
    <cellStyle name="Normal 2 50 6" xfId="27635" xr:uid="{00000000-0005-0000-0000-0000F66B0000}"/>
    <cellStyle name="Normal 2 50 6 2" xfId="27636" xr:uid="{00000000-0005-0000-0000-0000F76B0000}"/>
    <cellStyle name="Normal 2 50 7" xfId="27637" xr:uid="{00000000-0005-0000-0000-0000F86B0000}"/>
    <cellStyle name="Normal 2 50 8" xfId="27638" xr:uid="{00000000-0005-0000-0000-0000F96B0000}"/>
    <cellStyle name="Normal 2 50 9" xfId="27639" xr:uid="{00000000-0005-0000-0000-0000FA6B0000}"/>
    <cellStyle name="Normal 2 51" xfId="27640" xr:uid="{00000000-0005-0000-0000-0000FB6B0000}"/>
    <cellStyle name="Normal 2 51 10" xfId="27641" xr:uid="{00000000-0005-0000-0000-0000FC6B0000}"/>
    <cellStyle name="Normal 2 51 2" xfId="27642" xr:uid="{00000000-0005-0000-0000-0000FD6B0000}"/>
    <cellStyle name="Normal 2 51 2 2" xfId="27643" xr:uid="{00000000-0005-0000-0000-0000FE6B0000}"/>
    <cellStyle name="Normal 2 51 2 2 2" xfId="27644" xr:uid="{00000000-0005-0000-0000-0000FF6B0000}"/>
    <cellStyle name="Normal 2 51 2 2 3" xfId="27645" xr:uid="{00000000-0005-0000-0000-0000006C0000}"/>
    <cellStyle name="Normal 2 51 2 3" xfId="27646" xr:uid="{00000000-0005-0000-0000-0000016C0000}"/>
    <cellStyle name="Normal 2 51 2 4" xfId="27647" xr:uid="{00000000-0005-0000-0000-0000026C0000}"/>
    <cellStyle name="Normal 2 51 2 5" xfId="27648" xr:uid="{00000000-0005-0000-0000-0000036C0000}"/>
    <cellStyle name="Normal 2 51 2 6" xfId="27649" xr:uid="{00000000-0005-0000-0000-0000046C0000}"/>
    <cellStyle name="Normal 2 51 3" xfId="27650" xr:uid="{00000000-0005-0000-0000-0000056C0000}"/>
    <cellStyle name="Normal 2 51 3 2" xfId="27651" xr:uid="{00000000-0005-0000-0000-0000066C0000}"/>
    <cellStyle name="Normal 2 51 3 2 2" xfId="27652" xr:uid="{00000000-0005-0000-0000-0000076C0000}"/>
    <cellStyle name="Normal 2 51 3 2 3" xfId="27653" xr:uid="{00000000-0005-0000-0000-0000086C0000}"/>
    <cellStyle name="Normal 2 51 3 3" xfId="27654" xr:uid="{00000000-0005-0000-0000-0000096C0000}"/>
    <cellStyle name="Normal 2 51 3 4" xfId="27655" xr:uid="{00000000-0005-0000-0000-00000A6C0000}"/>
    <cellStyle name="Normal 2 51 3 5" xfId="27656" xr:uid="{00000000-0005-0000-0000-00000B6C0000}"/>
    <cellStyle name="Normal 2 51 3 6" xfId="27657" xr:uid="{00000000-0005-0000-0000-00000C6C0000}"/>
    <cellStyle name="Normal 2 51 4" xfId="27658" xr:uid="{00000000-0005-0000-0000-00000D6C0000}"/>
    <cellStyle name="Normal 2 51 4 2" xfId="27659" xr:uid="{00000000-0005-0000-0000-00000E6C0000}"/>
    <cellStyle name="Normal 2 51 4 2 2" xfId="27660" xr:uid="{00000000-0005-0000-0000-00000F6C0000}"/>
    <cellStyle name="Normal 2 51 4 3" xfId="27661" xr:uid="{00000000-0005-0000-0000-0000106C0000}"/>
    <cellStyle name="Normal 2 51 4 4" xfId="27662" xr:uid="{00000000-0005-0000-0000-0000116C0000}"/>
    <cellStyle name="Normal 2 51 4 5" xfId="27663" xr:uid="{00000000-0005-0000-0000-0000126C0000}"/>
    <cellStyle name="Normal 2 51 5" xfId="27664" xr:uid="{00000000-0005-0000-0000-0000136C0000}"/>
    <cellStyle name="Normal 2 51 5 2" xfId="27665" xr:uid="{00000000-0005-0000-0000-0000146C0000}"/>
    <cellStyle name="Normal 2 51 5 3" xfId="27666" xr:uid="{00000000-0005-0000-0000-0000156C0000}"/>
    <cellStyle name="Normal 2 51 5 4" xfId="27667" xr:uid="{00000000-0005-0000-0000-0000166C0000}"/>
    <cellStyle name="Normal 2 51 6" xfId="27668" xr:uid="{00000000-0005-0000-0000-0000176C0000}"/>
    <cellStyle name="Normal 2 51 6 2" xfId="27669" xr:uid="{00000000-0005-0000-0000-0000186C0000}"/>
    <cellStyle name="Normal 2 51 7" xfId="27670" xr:uid="{00000000-0005-0000-0000-0000196C0000}"/>
    <cellStyle name="Normal 2 51 8" xfId="27671" xr:uid="{00000000-0005-0000-0000-00001A6C0000}"/>
    <cellStyle name="Normal 2 51 9" xfId="27672" xr:uid="{00000000-0005-0000-0000-00001B6C0000}"/>
    <cellStyle name="Normal 2 52" xfId="27673" xr:uid="{00000000-0005-0000-0000-00001C6C0000}"/>
    <cellStyle name="Normal 2 52 10" xfId="27674" xr:uid="{00000000-0005-0000-0000-00001D6C0000}"/>
    <cellStyle name="Normal 2 52 2" xfId="27675" xr:uid="{00000000-0005-0000-0000-00001E6C0000}"/>
    <cellStyle name="Normal 2 52 2 2" xfId="27676" xr:uid="{00000000-0005-0000-0000-00001F6C0000}"/>
    <cellStyle name="Normal 2 52 2 2 2" xfId="27677" xr:uid="{00000000-0005-0000-0000-0000206C0000}"/>
    <cellStyle name="Normal 2 52 2 2 3" xfId="27678" xr:uid="{00000000-0005-0000-0000-0000216C0000}"/>
    <cellStyle name="Normal 2 52 2 3" xfId="27679" xr:uid="{00000000-0005-0000-0000-0000226C0000}"/>
    <cellStyle name="Normal 2 52 2 4" xfId="27680" xr:uid="{00000000-0005-0000-0000-0000236C0000}"/>
    <cellStyle name="Normal 2 52 2 5" xfId="27681" xr:uid="{00000000-0005-0000-0000-0000246C0000}"/>
    <cellStyle name="Normal 2 52 2 6" xfId="27682" xr:uid="{00000000-0005-0000-0000-0000256C0000}"/>
    <cellStyle name="Normal 2 52 3" xfId="27683" xr:uid="{00000000-0005-0000-0000-0000266C0000}"/>
    <cellStyle name="Normal 2 52 3 2" xfId="27684" xr:uid="{00000000-0005-0000-0000-0000276C0000}"/>
    <cellStyle name="Normal 2 52 3 2 2" xfId="27685" xr:uid="{00000000-0005-0000-0000-0000286C0000}"/>
    <cellStyle name="Normal 2 52 3 2 3" xfId="27686" xr:uid="{00000000-0005-0000-0000-0000296C0000}"/>
    <cellStyle name="Normal 2 52 3 3" xfId="27687" xr:uid="{00000000-0005-0000-0000-00002A6C0000}"/>
    <cellStyle name="Normal 2 52 3 4" xfId="27688" xr:uid="{00000000-0005-0000-0000-00002B6C0000}"/>
    <cellStyle name="Normal 2 52 3 5" xfId="27689" xr:uid="{00000000-0005-0000-0000-00002C6C0000}"/>
    <cellStyle name="Normal 2 52 3 6" xfId="27690" xr:uid="{00000000-0005-0000-0000-00002D6C0000}"/>
    <cellStyle name="Normal 2 52 4" xfId="27691" xr:uid="{00000000-0005-0000-0000-00002E6C0000}"/>
    <cellStyle name="Normal 2 52 4 2" xfId="27692" xr:uid="{00000000-0005-0000-0000-00002F6C0000}"/>
    <cellStyle name="Normal 2 52 4 2 2" xfId="27693" xr:uid="{00000000-0005-0000-0000-0000306C0000}"/>
    <cellStyle name="Normal 2 52 4 3" xfId="27694" xr:uid="{00000000-0005-0000-0000-0000316C0000}"/>
    <cellStyle name="Normal 2 52 4 4" xfId="27695" xr:uid="{00000000-0005-0000-0000-0000326C0000}"/>
    <cellStyle name="Normal 2 52 4 5" xfId="27696" xr:uid="{00000000-0005-0000-0000-0000336C0000}"/>
    <cellStyle name="Normal 2 52 5" xfId="27697" xr:uid="{00000000-0005-0000-0000-0000346C0000}"/>
    <cellStyle name="Normal 2 52 5 2" xfId="27698" xr:uid="{00000000-0005-0000-0000-0000356C0000}"/>
    <cellStyle name="Normal 2 52 5 3" xfId="27699" xr:uid="{00000000-0005-0000-0000-0000366C0000}"/>
    <cellStyle name="Normal 2 52 5 4" xfId="27700" xr:uid="{00000000-0005-0000-0000-0000376C0000}"/>
    <cellStyle name="Normal 2 52 6" xfId="27701" xr:uid="{00000000-0005-0000-0000-0000386C0000}"/>
    <cellStyle name="Normal 2 52 6 2" xfId="27702" xr:uid="{00000000-0005-0000-0000-0000396C0000}"/>
    <cellStyle name="Normal 2 52 7" xfId="27703" xr:uid="{00000000-0005-0000-0000-00003A6C0000}"/>
    <cellStyle name="Normal 2 52 8" xfId="27704" xr:uid="{00000000-0005-0000-0000-00003B6C0000}"/>
    <cellStyle name="Normal 2 52 9" xfId="27705" xr:uid="{00000000-0005-0000-0000-00003C6C0000}"/>
    <cellStyle name="Normal 2 53" xfId="27706" xr:uid="{00000000-0005-0000-0000-00003D6C0000}"/>
    <cellStyle name="Normal 2 53 10" xfId="27707" xr:uid="{00000000-0005-0000-0000-00003E6C0000}"/>
    <cellStyle name="Normal 2 53 2" xfId="27708" xr:uid="{00000000-0005-0000-0000-00003F6C0000}"/>
    <cellStyle name="Normal 2 53 2 2" xfId="27709" xr:uid="{00000000-0005-0000-0000-0000406C0000}"/>
    <cellStyle name="Normal 2 53 2 2 2" xfId="27710" xr:uid="{00000000-0005-0000-0000-0000416C0000}"/>
    <cellStyle name="Normal 2 53 2 2 3" xfId="27711" xr:uid="{00000000-0005-0000-0000-0000426C0000}"/>
    <cellStyle name="Normal 2 53 2 3" xfId="27712" xr:uid="{00000000-0005-0000-0000-0000436C0000}"/>
    <cellStyle name="Normal 2 53 2 4" xfId="27713" xr:uid="{00000000-0005-0000-0000-0000446C0000}"/>
    <cellStyle name="Normal 2 53 2 5" xfId="27714" xr:uid="{00000000-0005-0000-0000-0000456C0000}"/>
    <cellStyle name="Normal 2 53 2 6" xfId="27715" xr:uid="{00000000-0005-0000-0000-0000466C0000}"/>
    <cellStyle name="Normal 2 53 3" xfId="27716" xr:uid="{00000000-0005-0000-0000-0000476C0000}"/>
    <cellStyle name="Normal 2 53 3 2" xfId="27717" xr:uid="{00000000-0005-0000-0000-0000486C0000}"/>
    <cellStyle name="Normal 2 53 3 2 2" xfId="27718" xr:uid="{00000000-0005-0000-0000-0000496C0000}"/>
    <cellStyle name="Normal 2 53 3 2 3" xfId="27719" xr:uid="{00000000-0005-0000-0000-00004A6C0000}"/>
    <cellStyle name="Normal 2 53 3 3" xfId="27720" xr:uid="{00000000-0005-0000-0000-00004B6C0000}"/>
    <cellStyle name="Normal 2 53 3 4" xfId="27721" xr:uid="{00000000-0005-0000-0000-00004C6C0000}"/>
    <cellStyle name="Normal 2 53 3 5" xfId="27722" xr:uid="{00000000-0005-0000-0000-00004D6C0000}"/>
    <cellStyle name="Normal 2 53 3 6" xfId="27723" xr:uid="{00000000-0005-0000-0000-00004E6C0000}"/>
    <cellStyle name="Normal 2 53 4" xfId="27724" xr:uid="{00000000-0005-0000-0000-00004F6C0000}"/>
    <cellStyle name="Normal 2 53 4 2" xfId="27725" xr:uid="{00000000-0005-0000-0000-0000506C0000}"/>
    <cellStyle name="Normal 2 53 4 2 2" xfId="27726" xr:uid="{00000000-0005-0000-0000-0000516C0000}"/>
    <cellStyle name="Normal 2 53 4 3" xfId="27727" xr:uid="{00000000-0005-0000-0000-0000526C0000}"/>
    <cellStyle name="Normal 2 53 4 4" xfId="27728" xr:uid="{00000000-0005-0000-0000-0000536C0000}"/>
    <cellStyle name="Normal 2 53 4 5" xfId="27729" xr:uid="{00000000-0005-0000-0000-0000546C0000}"/>
    <cellStyle name="Normal 2 53 5" xfId="27730" xr:uid="{00000000-0005-0000-0000-0000556C0000}"/>
    <cellStyle name="Normal 2 53 5 2" xfId="27731" xr:uid="{00000000-0005-0000-0000-0000566C0000}"/>
    <cellStyle name="Normal 2 53 5 3" xfId="27732" xr:uid="{00000000-0005-0000-0000-0000576C0000}"/>
    <cellStyle name="Normal 2 53 5 4" xfId="27733" xr:uid="{00000000-0005-0000-0000-0000586C0000}"/>
    <cellStyle name="Normal 2 53 6" xfId="27734" xr:uid="{00000000-0005-0000-0000-0000596C0000}"/>
    <cellStyle name="Normal 2 53 6 2" xfId="27735" xr:uid="{00000000-0005-0000-0000-00005A6C0000}"/>
    <cellStyle name="Normal 2 53 7" xfId="27736" xr:uid="{00000000-0005-0000-0000-00005B6C0000}"/>
    <cellStyle name="Normal 2 53 8" xfId="27737" xr:uid="{00000000-0005-0000-0000-00005C6C0000}"/>
    <cellStyle name="Normal 2 53 9" xfId="27738" xr:uid="{00000000-0005-0000-0000-00005D6C0000}"/>
    <cellStyle name="Normal 2 54" xfId="27739" xr:uid="{00000000-0005-0000-0000-00005E6C0000}"/>
    <cellStyle name="Normal 2 54 10" xfId="27740" xr:uid="{00000000-0005-0000-0000-00005F6C0000}"/>
    <cellStyle name="Normal 2 54 2" xfId="27741" xr:uid="{00000000-0005-0000-0000-0000606C0000}"/>
    <cellStyle name="Normal 2 54 2 2" xfId="27742" xr:uid="{00000000-0005-0000-0000-0000616C0000}"/>
    <cellStyle name="Normal 2 54 2 2 2" xfId="27743" xr:uid="{00000000-0005-0000-0000-0000626C0000}"/>
    <cellStyle name="Normal 2 54 2 2 3" xfId="27744" xr:uid="{00000000-0005-0000-0000-0000636C0000}"/>
    <cellStyle name="Normal 2 54 2 3" xfId="27745" xr:uid="{00000000-0005-0000-0000-0000646C0000}"/>
    <cellStyle name="Normal 2 54 2 4" xfId="27746" xr:uid="{00000000-0005-0000-0000-0000656C0000}"/>
    <cellStyle name="Normal 2 54 2 5" xfId="27747" xr:uid="{00000000-0005-0000-0000-0000666C0000}"/>
    <cellStyle name="Normal 2 54 2 6" xfId="27748" xr:uid="{00000000-0005-0000-0000-0000676C0000}"/>
    <cellStyle name="Normal 2 54 3" xfId="27749" xr:uid="{00000000-0005-0000-0000-0000686C0000}"/>
    <cellStyle name="Normal 2 54 3 2" xfId="27750" xr:uid="{00000000-0005-0000-0000-0000696C0000}"/>
    <cellStyle name="Normal 2 54 3 2 2" xfId="27751" xr:uid="{00000000-0005-0000-0000-00006A6C0000}"/>
    <cellStyle name="Normal 2 54 3 2 3" xfId="27752" xr:uid="{00000000-0005-0000-0000-00006B6C0000}"/>
    <cellStyle name="Normal 2 54 3 3" xfId="27753" xr:uid="{00000000-0005-0000-0000-00006C6C0000}"/>
    <cellStyle name="Normal 2 54 3 4" xfId="27754" xr:uid="{00000000-0005-0000-0000-00006D6C0000}"/>
    <cellStyle name="Normal 2 54 3 5" xfId="27755" xr:uid="{00000000-0005-0000-0000-00006E6C0000}"/>
    <cellStyle name="Normal 2 54 3 6" xfId="27756" xr:uid="{00000000-0005-0000-0000-00006F6C0000}"/>
    <cellStyle name="Normal 2 54 4" xfId="27757" xr:uid="{00000000-0005-0000-0000-0000706C0000}"/>
    <cellStyle name="Normal 2 54 4 2" xfId="27758" xr:uid="{00000000-0005-0000-0000-0000716C0000}"/>
    <cellStyle name="Normal 2 54 4 2 2" xfId="27759" xr:uid="{00000000-0005-0000-0000-0000726C0000}"/>
    <cellStyle name="Normal 2 54 4 3" xfId="27760" xr:uid="{00000000-0005-0000-0000-0000736C0000}"/>
    <cellStyle name="Normal 2 54 4 4" xfId="27761" xr:uid="{00000000-0005-0000-0000-0000746C0000}"/>
    <cellStyle name="Normal 2 54 4 5" xfId="27762" xr:uid="{00000000-0005-0000-0000-0000756C0000}"/>
    <cellStyle name="Normal 2 54 5" xfId="27763" xr:uid="{00000000-0005-0000-0000-0000766C0000}"/>
    <cellStyle name="Normal 2 54 5 2" xfId="27764" xr:uid="{00000000-0005-0000-0000-0000776C0000}"/>
    <cellStyle name="Normal 2 54 5 3" xfId="27765" xr:uid="{00000000-0005-0000-0000-0000786C0000}"/>
    <cellStyle name="Normal 2 54 5 4" xfId="27766" xr:uid="{00000000-0005-0000-0000-0000796C0000}"/>
    <cellStyle name="Normal 2 54 6" xfId="27767" xr:uid="{00000000-0005-0000-0000-00007A6C0000}"/>
    <cellStyle name="Normal 2 54 6 2" xfId="27768" xr:uid="{00000000-0005-0000-0000-00007B6C0000}"/>
    <cellStyle name="Normal 2 54 7" xfId="27769" xr:uid="{00000000-0005-0000-0000-00007C6C0000}"/>
    <cellStyle name="Normal 2 54 8" xfId="27770" xr:uid="{00000000-0005-0000-0000-00007D6C0000}"/>
    <cellStyle name="Normal 2 54 9" xfId="27771" xr:uid="{00000000-0005-0000-0000-00007E6C0000}"/>
    <cellStyle name="Normal 2 55" xfId="27772" xr:uid="{00000000-0005-0000-0000-00007F6C0000}"/>
    <cellStyle name="Normal 2 55 10" xfId="27773" xr:uid="{00000000-0005-0000-0000-0000806C0000}"/>
    <cellStyle name="Normal 2 55 2" xfId="27774" xr:uid="{00000000-0005-0000-0000-0000816C0000}"/>
    <cellStyle name="Normal 2 55 2 2" xfId="27775" xr:uid="{00000000-0005-0000-0000-0000826C0000}"/>
    <cellStyle name="Normal 2 55 2 2 2" xfId="27776" xr:uid="{00000000-0005-0000-0000-0000836C0000}"/>
    <cellStyle name="Normal 2 55 2 2 3" xfId="27777" xr:uid="{00000000-0005-0000-0000-0000846C0000}"/>
    <cellStyle name="Normal 2 55 2 3" xfId="27778" xr:uid="{00000000-0005-0000-0000-0000856C0000}"/>
    <cellStyle name="Normal 2 55 2 4" xfId="27779" xr:uid="{00000000-0005-0000-0000-0000866C0000}"/>
    <cellStyle name="Normal 2 55 2 5" xfId="27780" xr:uid="{00000000-0005-0000-0000-0000876C0000}"/>
    <cellStyle name="Normal 2 55 2 6" xfId="27781" xr:uid="{00000000-0005-0000-0000-0000886C0000}"/>
    <cellStyle name="Normal 2 55 3" xfId="27782" xr:uid="{00000000-0005-0000-0000-0000896C0000}"/>
    <cellStyle name="Normal 2 55 3 2" xfId="27783" xr:uid="{00000000-0005-0000-0000-00008A6C0000}"/>
    <cellStyle name="Normal 2 55 3 2 2" xfId="27784" xr:uid="{00000000-0005-0000-0000-00008B6C0000}"/>
    <cellStyle name="Normal 2 55 3 2 3" xfId="27785" xr:uid="{00000000-0005-0000-0000-00008C6C0000}"/>
    <cellStyle name="Normal 2 55 3 3" xfId="27786" xr:uid="{00000000-0005-0000-0000-00008D6C0000}"/>
    <cellStyle name="Normal 2 55 3 4" xfId="27787" xr:uid="{00000000-0005-0000-0000-00008E6C0000}"/>
    <cellStyle name="Normal 2 55 3 5" xfId="27788" xr:uid="{00000000-0005-0000-0000-00008F6C0000}"/>
    <cellStyle name="Normal 2 55 3 6" xfId="27789" xr:uid="{00000000-0005-0000-0000-0000906C0000}"/>
    <cellStyle name="Normal 2 55 4" xfId="27790" xr:uid="{00000000-0005-0000-0000-0000916C0000}"/>
    <cellStyle name="Normal 2 55 4 2" xfId="27791" xr:uid="{00000000-0005-0000-0000-0000926C0000}"/>
    <cellStyle name="Normal 2 55 4 2 2" xfId="27792" xr:uid="{00000000-0005-0000-0000-0000936C0000}"/>
    <cellStyle name="Normal 2 55 4 3" xfId="27793" xr:uid="{00000000-0005-0000-0000-0000946C0000}"/>
    <cellStyle name="Normal 2 55 4 4" xfId="27794" xr:uid="{00000000-0005-0000-0000-0000956C0000}"/>
    <cellStyle name="Normal 2 55 4 5" xfId="27795" xr:uid="{00000000-0005-0000-0000-0000966C0000}"/>
    <cellStyle name="Normal 2 55 5" xfId="27796" xr:uid="{00000000-0005-0000-0000-0000976C0000}"/>
    <cellStyle name="Normal 2 55 5 2" xfId="27797" xr:uid="{00000000-0005-0000-0000-0000986C0000}"/>
    <cellStyle name="Normal 2 55 5 3" xfId="27798" xr:uid="{00000000-0005-0000-0000-0000996C0000}"/>
    <cellStyle name="Normal 2 55 5 4" xfId="27799" xr:uid="{00000000-0005-0000-0000-00009A6C0000}"/>
    <cellStyle name="Normal 2 55 6" xfId="27800" xr:uid="{00000000-0005-0000-0000-00009B6C0000}"/>
    <cellStyle name="Normal 2 55 6 2" xfId="27801" xr:uid="{00000000-0005-0000-0000-00009C6C0000}"/>
    <cellStyle name="Normal 2 55 7" xfId="27802" xr:uid="{00000000-0005-0000-0000-00009D6C0000}"/>
    <cellStyle name="Normal 2 55 8" xfId="27803" xr:uid="{00000000-0005-0000-0000-00009E6C0000}"/>
    <cellStyle name="Normal 2 55 9" xfId="27804" xr:uid="{00000000-0005-0000-0000-00009F6C0000}"/>
    <cellStyle name="Normal 2 56" xfId="27805" xr:uid="{00000000-0005-0000-0000-0000A06C0000}"/>
    <cellStyle name="Normal 2 56 10" xfId="27806" xr:uid="{00000000-0005-0000-0000-0000A16C0000}"/>
    <cellStyle name="Normal 2 56 2" xfId="27807" xr:uid="{00000000-0005-0000-0000-0000A26C0000}"/>
    <cellStyle name="Normal 2 56 2 2" xfId="27808" xr:uid="{00000000-0005-0000-0000-0000A36C0000}"/>
    <cellStyle name="Normal 2 56 2 2 2" xfId="27809" xr:uid="{00000000-0005-0000-0000-0000A46C0000}"/>
    <cellStyle name="Normal 2 56 2 2 3" xfId="27810" xr:uid="{00000000-0005-0000-0000-0000A56C0000}"/>
    <cellStyle name="Normal 2 56 2 3" xfId="27811" xr:uid="{00000000-0005-0000-0000-0000A66C0000}"/>
    <cellStyle name="Normal 2 56 2 4" xfId="27812" xr:uid="{00000000-0005-0000-0000-0000A76C0000}"/>
    <cellStyle name="Normal 2 56 2 5" xfId="27813" xr:uid="{00000000-0005-0000-0000-0000A86C0000}"/>
    <cellStyle name="Normal 2 56 2 6" xfId="27814" xr:uid="{00000000-0005-0000-0000-0000A96C0000}"/>
    <cellStyle name="Normal 2 56 3" xfId="27815" xr:uid="{00000000-0005-0000-0000-0000AA6C0000}"/>
    <cellStyle name="Normal 2 56 3 2" xfId="27816" xr:uid="{00000000-0005-0000-0000-0000AB6C0000}"/>
    <cellStyle name="Normal 2 56 3 2 2" xfId="27817" xr:uid="{00000000-0005-0000-0000-0000AC6C0000}"/>
    <cellStyle name="Normal 2 56 3 2 3" xfId="27818" xr:uid="{00000000-0005-0000-0000-0000AD6C0000}"/>
    <cellStyle name="Normal 2 56 3 3" xfId="27819" xr:uid="{00000000-0005-0000-0000-0000AE6C0000}"/>
    <cellStyle name="Normal 2 56 3 4" xfId="27820" xr:uid="{00000000-0005-0000-0000-0000AF6C0000}"/>
    <cellStyle name="Normal 2 56 3 5" xfId="27821" xr:uid="{00000000-0005-0000-0000-0000B06C0000}"/>
    <cellStyle name="Normal 2 56 3 6" xfId="27822" xr:uid="{00000000-0005-0000-0000-0000B16C0000}"/>
    <cellStyle name="Normal 2 56 4" xfId="27823" xr:uid="{00000000-0005-0000-0000-0000B26C0000}"/>
    <cellStyle name="Normal 2 56 4 2" xfId="27824" xr:uid="{00000000-0005-0000-0000-0000B36C0000}"/>
    <cellStyle name="Normal 2 56 4 2 2" xfId="27825" xr:uid="{00000000-0005-0000-0000-0000B46C0000}"/>
    <cellStyle name="Normal 2 56 4 3" xfId="27826" xr:uid="{00000000-0005-0000-0000-0000B56C0000}"/>
    <cellStyle name="Normal 2 56 4 4" xfId="27827" xr:uid="{00000000-0005-0000-0000-0000B66C0000}"/>
    <cellStyle name="Normal 2 56 4 5" xfId="27828" xr:uid="{00000000-0005-0000-0000-0000B76C0000}"/>
    <cellStyle name="Normal 2 56 5" xfId="27829" xr:uid="{00000000-0005-0000-0000-0000B86C0000}"/>
    <cellStyle name="Normal 2 56 5 2" xfId="27830" xr:uid="{00000000-0005-0000-0000-0000B96C0000}"/>
    <cellStyle name="Normal 2 56 5 3" xfId="27831" xr:uid="{00000000-0005-0000-0000-0000BA6C0000}"/>
    <cellStyle name="Normal 2 56 5 4" xfId="27832" xr:uid="{00000000-0005-0000-0000-0000BB6C0000}"/>
    <cellStyle name="Normal 2 56 6" xfId="27833" xr:uid="{00000000-0005-0000-0000-0000BC6C0000}"/>
    <cellStyle name="Normal 2 56 6 2" xfId="27834" xr:uid="{00000000-0005-0000-0000-0000BD6C0000}"/>
    <cellStyle name="Normal 2 56 7" xfId="27835" xr:uid="{00000000-0005-0000-0000-0000BE6C0000}"/>
    <cellStyle name="Normal 2 56 8" xfId="27836" xr:uid="{00000000-0005-0000-0000-0000BF6C0000}"/>
    <cellStyle name="Normal 2 56 9" xfId="27837" xr:uid="{00000000-0005-0000-0000-0000C06C0000}"/>
    <cellStyle name="Normal 2 57" xfId="27838" xr:uid="{00000000-0005-0000-0000-0000C16C0000}"/>
    <cellStyle name="Normal 2 57 10" xfId="27839" xr:uid="{00000000-0005-0000-0000-0000C26C0000}"/>
    <cellStyle name="Normal 2 57 2" xfId="27840" xr:uid="{00000000-0005-0000-0000-0000C36C0000}"/>
    <cellStyle name="Normal 2 57 2 2" xfId="27841" xr:uid="{00000000-0005-0000-0000-0000C46C0000}"/>
    <cellStyle name="Normal 2 57 2 2 2" xfId="27842" xr:uid="{00000000-0005-0000-0000-0000C56C0000}"/>
    <cellStyle name="Normal 2 57 2 2 3" xfId="27843" xr:uid="{00000000-0005-0000-0000-0000C66C0000}"/>
    <cellStyle name="Normal 2 57 2 3" xfId="27844" xr:uid="{00000000-0005-0000-0000-0000C76C0000}"/>
    <cellStyle name="Normal 2 57 2 4" xfId="27845" xr:uid="{00000000-0005-0000-0000-0000C86C0000}"/>
    <cellStyle name="Normal 2 57 2 5" xfId="27846" xr:uid="{00000000-0005-0000-0000-0000C96C0000}"/>
    <cellStyle name="Normal 2 57 2 6" xfId="27847" xr:uid="{00000000-0005-0000-0000-0000CA6C0000}"/>
    <cellStyle name="Normal 2 57 3" xfId="27848" xr:uid="{00000000-0005-0000-0000-0000CB6C0000}"/>
    <cellStyle name="Normal 2 57 3 2" xfId="27849" xr:uid="{00000000-0005-0000-0000-0000CC6C0000}"/>
    <cellStyle name="Normal 2 57 3 2 2" xfId="27850" xr:uid="{00000000-0005-0000-0000-0000CD6C0000}"/>
    <cellStyle name="Normal 2 57 3 2 3" xfId="27851" xr:uid="{00000000-0005-0000-0000-0000CE6C0000}"/>
    <cellStyle name="Normal 2 57 3 3" xfId="27852" xr:uid="{00000000-0005-0000-0000-0000CF6C0000}"/>
    <cellStyle name="Normal 2 57 3 4" xfId="27853" xr:uid="{00000000-0005-0000-0000-0000D06C0000}"/>
    <cellStyle name="Normal 2 57 3 5" xfId="27854" xr:uid="{00000000-0005-0000-0000-0000D16C0000}"/>
    <cellStyle name="Normal 2 57 3 6" xfId="27855" xr:uid="{00000000-0005-0000-0000-0000D26C0000}"/>
    <cellStyle name="Normal 2 57 4" xfId="27856" xr:uid="{00000000-0005-0000-0000-0000D36C0000}"/>
    <cellStyle name="Normal 2 57 4 2" xfId="27857" xr:uid="{00000000-0005-0000-0000-0000D46C0000}"/>
    <cellStyle name="Normal 2 57 4 2 2" xfId="27858" xr:uid="{00000000-0005-0000-0000-0000D56C0000}"/>
    <cellStyle name="Normal 2 57 4 3" xfId="27859" xr:uid="{00000000-0005-0000-0000-0000D66C0000}"/>
    <cellStyle name="Normal 2 57 4 4" xfId="27860" xr:uid="{00000000-0005-0000-0000-0000D76C0000}"/>
    <cellStyle name="Normal 2 57 4 5" xfId="27861" xr:uid="{00000000-0005-0000-0000-0000D86C0000}"/>
    <cellStyle name="Normal 2 57 5" xfId="27862" xr:uid="{00000000-0005-0000-0000-0000D96C0000}"/>
    <cellStyle name="Normal 2 57 5 2" xfId="27863" xr:uid="{00000000-0005-0000-0000-0000DA6C0000}"/>
    <cellStyle name="Normal 2 57 5 3" xfId="27864" xr:uid="{00000000-0005-0000-0000-0000DB6C0000}"/>
    <cellStyle name="Normal 2 57 5 4" xfId="27865" xr:uid="{00000000-0005-0000-0000-0000DC6C0000}"/>
    <cellStyle name="Normal 2 57 6" xfId="27866" xr:uid="{00000000-0005-0000-0000-0000DD6C0000}"/>
    <cellStyle name="Normal 2 57 6 2" xfId="27867" xr:uid="{00000000-0005-0000-0000-0000DE6C0000}"/>
    <cellStyle name="Normal 2 57 7" xfId="27868" xr:uid="{00000000-0005-0000-0000-0000DF6C0000}"/>
    <cellStyle name="Normal 2 57 8" xfId="27869" xr:uid="{00000000-0005-0000-0000-0000E06C0000}"/>
    <cellStyle name="Normal 2 57 9" xfId="27870" xr:uid="{00000000-0005-0000-0000-0000E16C0000}"/>
    <cellStyle name="Normal 2 58" xfId="27871" xr:uid="{00000000-0005-0000-0000-0000E26C0000}"/>
    <cellStyle name="Normal 2 58 10" xfId="27872" xr:uid="{00000000-0005-0000-0000-0000E36C0000}"/>
    <cellStyle name="Normal 2 58 2" xfId="27873" xr:uid="{00000000-0005-0000-0000-0000E46C0000}"/>
    <cellStyle name="Normal 2 58 2 2" xfId="27874" xr:uid="{00000000-0005-0000-0000-0000E56C0000}"/>
    <cellStyle name="Normal 2 58 2 2 2" xfId="27875" xr:uid="{00000000-0005-0000-0000-0000E66C0000}"/>
    <cellStyle name="Normal 2 58 2 2 3" xfId="27876" xr:uid="{00000000-0005-0000-0000-0000E76C0000}"/>
    <cellStyle name="Normal 2 58 2 3" xfId="27877" xr:uid="{00000000-0005-0000-0000-0000E86C0000}"/>
    <cellStyle name="Normal 2 58 2 4" xfId="27878" xr:uid="{00000000-0005-0000-0000-0000E96C0000}"/>
    <cellStyle name="Normal 2 58 2 5" xfId="27879" xr:uid="{00000000-0005-0000-0000-0000EA6C0000}"/>
    <cellStyle name="Normal 2 58 2 6" xfId="27880" xr:uid="{00000000-0005-0000-0000-0000EB6C0000}"/>
    <cellStyle name="Normal 2 58 3" xfId="27881" xr:uid="{00000000-0005-0000-0000-0000EC6C0000}"/>
    <cellStyle name="Normal 2 58 3 2" xfId="27882" xr:uid="{00000000-0005-0000-0000-0000ED6C0000}"/>
    <cellStyle name="Normal 2 58 3 2 2" xfId="27883" xr:uid="{00000000-0005-0000-0000-0000EE6C0000}"/>
    <cellStyle name="Normal 2 58 3 2 3" xfId="27884" xr:uid="{00000000-0005-0000-0000-0000EF6C0000}"/>
    <cellStyle name="Normal 2 58 3 3" xfId="27885" xr:uid="{00000000-0005-0000-0000-0000F06C0000}"/>
    <cellStyle name="Normal 2 58 3 4" xfId="27886" xr:uid="{00000000-0005-0000-0000-0000F16C0000}"/>
    <cellStyle name="Normal 2 58 3 5" xfId="27887" xr:uid="{00000000-0005-0000-0000-0000F26C0000}"/>
    <cellStyle name="Normal 2 58 3 6" xfId="27888" xr:uid="{00000000-0005-0000-0000-0000F36C0000}"/>
    <cellStyle name="Normal 2 58 4" xfId="27889" xr:uid="{00000000-0005-0000-0000-0000F46C0000}"/>
    <cellStyle name="Normal 2 58 4 2" xfId="27890" xr:uid="{00000000-0005-0000-0000-0000F56C0000}"/>
    <cellStyle name="Normal 2 58 4 2 2" xfId="27891" xr:uid="{00000000-0005-0000-0000-0000F66C0000}"/>
    <cellStyle name="Normal 2 58 4 3" xfId="27892" xr:uid="{00000000-0005-0000-0000-0000F76C0000}"/>
    <cellStyle name="Normal 2 58 4 4" xfId="27893" xr:uid="{00000000-0005-0000-0000-0000F86C0000}"/>
    <cellStyle name="Normal 2 58 4 5" xfId="27894" xr:uid="{00000000-0005-0000-0000-0000F96C0000}"/>
    <cellStyle name="Normal 2 58 5" xfId="27895" xr:uid="{00000000-0005-0000-0000-0000FA6C0000}"/>
    <cellStyle name="Normal 2 58 5 2" xfId="27896" xr:uid="{00000000-0005-0000-0000-0000FB6C0000}"/>
    <cellStyle name="Normal 2 58 5 3" xfId="27897" xr:uid="{00000000-0005-0000-0000-0000FC6C0000}"/>
    <cellStyle name="Normal 2 58 5 4" xfId="27898" xr:uid="{00000000-0005-0000-0000-0000FD6C0000}"/>
    <cellStyle name="Normal 2 58 6" xfId="27899" xr:uid="{00000000-0005-0000-0000-0000FE6C0000}"/>
    <cellStyle name="Normal 2 58 6 2" xfId="27900" xr:uid="{00000000-0005-0000-0000-0000FF6C0000}"/>
    <cellStyle name="Normal 2 58 7" xfId="27901" xr:uid="{00000000-0005-0000-0000-0000006D0000}"/>
    <cellStyle name="Normal 2 58 8" xfId="27902" xr:uid="{00000000-0005-0000-0000-0000016D0000}"/>
    <cellStyle name="Normal 2 58 9" xfId="27903" xr:uid="{00000000-0005-0000-0000-0000026D0000}"/>
    <cellStyle name="Normal 2 59" xfId="27904" xr:uid="{00000000-0005-0000-0000-0000036D0000}"/>
    <cellStyle name="Normal 2 59 10" xfId="27905" xr:uid="{00000000-0005-0000-0000-0000046D0000}"/>
    <cellStyle name="Normal 2 59 2" xfId="27906" xr:uid="{00000000-0005-0000-0000-0000056D0000}"/>
    <cellStyle name="Normal 2 59 2 2" xfId="27907" xr:uid="{00000000-0005-0000-0000-0000066D0000}"/>
    <cellStyle name="Normal 2 59 2 2 2" xfId="27908" xr:uid="{00000000-0005-0000-0000-0000076D0000}"/>
    <cellStyle name="Normal 2 59 2 2 3" xfId="27909" xr:uid="{00000000-0005-0000-0000-0000086D0000}"/>
    <cellStyle name="Normal 2 59 2 3" xfId="27910" xr:uid="{00000000-0005-0000-0000-0000096D0000}"/>
    <cellStyle name="Normal 2 59 2 4" xfId="27911" xr:uid="{00000000-0005-0000-0000-00000A6D0000}"/>
    <cellStyle name="Normal 2 59 2 5" xfId="27912" xr:uid="{00000000-0005-0000-0000-00000B6D0000}"/>
    <cellStyle name="Normal 2 59 2 6" xfId="27913" xr:uid="{00000000-0005-0000-0000-00000C6D0000}"/>
    <cellStyle name="Normal 2 59 3" xfId="27914" xr:uid="{00000000-0005-0000-0000-00000D6D0000}"/>
    <cellStyle name="Normal 2 59 3 2" xfId="27915" xr:uid="{00000000-0005-0000-0000-00000E6D0000}"/>
    <cellStyle name="Normal 2 59 3 2 2" xfId="27916" xr:uid="{00000000-0005-0000-0000-00000F6D0000}"/>
    <cellStyle name="Normal 2 59 3 2 3" xfId="27917" xr:uid="{00000000-0005-0000-0000-0000106D0000}"/>
    <cellStyle name="Normal 2 59 3 3" xfId="27918" xr:uid="{00000000-0005-0000-0000-0000116D0000}"/>
    <cellStyle name="Normal 2 59 3 4" xfId="27919" xr:uid="{00000000-0005-0000-0000-0000126D0000}"/>
    <cellStyle name="Normal 2 59 3 5" xfId="27920" xr:uid="{00000000-0005-0000-0000-0000136D0000}"/>
    <cellStyle name="Normal 2 59 3 6" xfId="27921" xr:uid="{00000000-0005-0000-0000-0000146D0000}"/>
    <cellStyle name="Normal 2 59 4" xfId="27922" xr:uid="{00000000-0005-0000-0000-0000156D0000}"/>
    <cellStyle name="Normal 2 59 4 2" xfId="27923" xr:uid="{00000000-0005-0000-0000-0000166D0000}"/>
    <cellStyle name="Normal 2 59 4 2 2" xfId="27924" xr:uid="{00000000-0005-0000-0000-0000176D0000}"/>
    <cellStyle name="Normal 2 59 4 3" xfId="27925" xr:uid="{00000000-0005-0000-0000-0000186D0000}"/>
    <cellStyle name="Normal 2 59 4 4" xfId="27926" xr:uid="{00000000-0005-0000-0000-0000196D0000}"/>
    <cellStyle name="Normal 2 59 4 5" xfId="27927" xr:uid="{00000000-0005-0000-0000-00001A6D0000}"/>
    <cellStyle name="Normal 2 59 5" xfId="27928" xr:uid="{00000000-0005-0000-0000-00001B6D0000}"/>
    <cellStyle name="Normal 2 59 5 2" xfId="27929" xr:uid="{00000000-0005-0000-0000-00001C6D0000}"/>
    <cellStyle name="Normal 2 59 5 3" xfId="27930" xr:uid="{00000000-0005-0000-0000-00001D6D0000}"/>
    <cellStyle name="Normal 2 59 5 4" xfId="27931" xr:uid="{00000000-0005-0000-0000-00001E6D0000}"/>
    <cellStyle name="Normal 2 59 6" xfId="27932" xr:uid="{00000000-0005-0000-0000-00001F6D0000}"/>
    <cellStyle name="Normal 2 59 6 2" xfId="27933" xr:uid="{00000000-0005-0000-0000-0000206D0000}"/>
    <cellStyle name="Normal 2 59 7" xfId="27934" xr:uid="{00000000-0005-0000-0000-0000216D0000}"/>
    <cellStyle name="Normal 2 59 8" xfId="27935" xr:uid="{00000000-0005-0000-0000-0000226D0000}"/>
    <cellStyle name="Normal 2 59 9" xfId="27936" xr:uid="{00000000-0005-0000-0000-0000236D0000}"/>
    <cellStyle name="Normal 2 6" xfId="27937" xr:uid="{00000000-0005-0000-0000-0000246D0000}"/>
    <cellStyle name="Normal 2 6 10" xfId="27938" xr:uid="{00000000-0005-0000-0000-0000256D0000}"/>
    <cellStyle name="Normal 2 6 10 10" xfId="27939" xr:uid="{00000000-0005-0000-0000-0000266D0000}"/>
    <cellStyle name="Normal 2 6 10 11" xfId="27940" xr:uid="{00000000-0005-0000-0000-0000276D0000}"/>
    <cellStyle name="Normal 2 6 10 2" xfId="27941" xr:uid="{00000000-0005-0000-0000-0000286D0000}"/>
    <cellStyle name="Normal 2 6 10 2 2" xfId="27942" xr:uid="{00000000-0005-0000-0000-0000296D0000}"/>
    <cellStyle name="Normal 2 6 10 2 2 2" xfId="27943" xr:uid="{00000000-0005-0000-0000-00002A6D0000}"/>
    <cellStyle name="Normal 2 6 10 2 2 2 2" xfId="27944" xr:uid="{00000000-0005-0000-0000-00002B6D0000}"/>
    <cellStyle name="Normal 2 6 10 2 2 2 3" xfId="27945" xr:uid="{00000000-0005-0000-0000-00002C6D0000}"/>
    <cellStyle name="Normal 2 6 10 2 2 3" xfId="27946" xr:uid="{00000000-0005-0000-0000-00002D6D0000}"/>
    <cellStyle name="Normal 2 6 10 2 2 4" xfId="27947" xr:uid="{00000000-0005-0000-0000-00002E6D0000}"/>
    <cellStyle name="Normal 2 6 10 2 2 5" xfId="27948" xr:uid="{00000000-0005-0000-0000-00002F6D0000}"/>
    <cellStyle name="Normal 2 6 10 2 2 6" xfId="27949" xr:uid="{00000000-0005-0000-0000-0000306D0000}"/>
    <cellStyle name="Normal 2 6 10 2 3" xfId="27950" xr:uid="{00000000-0005-0000-0000-0000316D0000}"/>
    <cellStyle name="Normal 2 6 10 2 3 2" xfId="27951" xr:uid="{00000000-0005-0000-0000-0000326D0000}"/>
    <cellStyle name="Normal 2 6 10 2 3 2 2" xfId="27952" xr:uid="{00000000-0005-0000-0000-0000336D0000}"/>
    <cellStyle name="Normal 2 6 10 2 3 3" xfId="27953" xr:uid="{00000000-0005-0000-0000-0000346D0000}"/>
    <cellStyle name="Normal 2 6 10 2 3 4" xfId="27954" xr:uid="{00000000-0005-0000-0000-0000356D0000}"/>
    <cellStyle name="Normal 2 6 10 2 3 5" xfId="27955" xr:uid="{00000000-0005-0000-0000-0000366D0000}"/>
    <cellStyle name="Normal 2 6 10 2 4" xfId="27956" xr:uid="{00000000-0005-0000-0000-0000376D0000}"/>
    <cellStyle name="Normal 2 6 10 2 4 2" xfId="27957" xr:uid="{00000000-0005-0000-0000-0000386D0000}"/>
    <cellStyle name="Normal 2 6 10 2 4 3" xfId="27958" xr:uid="{00000000-0005-0000-0000-0000396D0000}"/>
    <cellStyle name="Normal 2 6 10 2 4 4" xfId="27959" xr:uid="{00000000-0005-0000-0000-00003A6D0000}"/>
    <cellStyle name="Normal 2 6 10 2 5" xfId="27960" xr:uid="{00000000-0005-0000-0000-00003B6D0000}"/>
    <cellStyle name="Normal 2 6 10 2 5 2" xfId="27961" xr:uid="{00000000-0005-0000-0000-00003C6D0000}"/>
    <cellStyle name="Normal 2 6 10 2 6" xfId="27962" xr:uid="{00000000-0005-0000-0000-00003D6D0000}"/>
    <cellStyle name="Normal 2 6 10 2 7" xfId="27963" xr:uid="{00000000-0005-0000-0000-00003E6D0000}"/>
    <cellStyle name="Normal 2 6 10 2 8" xfId="27964" xr:uid="{00000000-0005-0000-0000-00003F6D0000}"/>
    <cellStyle name="Normal 2 6 10 2 9" xfId="27965" xr:uid="{00000000-0005-0000-0000-0000406D0000}"/>
    <cellStyle name="Normal 2 6 10 3" xfId="27966" xr:uid="{00000000-0005-0000-0000-0000416D0000}"/>
    <cellStyle name="Normal 2 6 10 3 2" xfId="27967" xr:uid="{00000000-0005-0000-0000-0000426D0000}"/>
    <cellStyle name="Normal 2 6 10 3 2 2" xfId="27968" xr:uid="{00000000-0005-0000-0000-0000436D0000}"/>
    <cellStyle name="Normal 2 6 10 3 2 2 2" xfId="27969" xr:uid="{00000000-0005-0000-0000-0000446D0000}"/>
    <cellStyle name="Normal 2 6 10 3 2 2 3" xfId="27970" xr:uid="{00000000-0005-0000-0000-0000456D0000}"/>
    <cellStyle name="Normal 2 6 10 3 2 3" xfId="27971" xr:uid="{00000000-0005-0000-0000-0000466D0000}"/>
    <cellStyle name="Normal 2 6 10 3 2 4" xfId="27972" xr:uid="{00000000-0005-0000-0000-0000476D0000}"/>
    <cellStyle name="Normal 2 6 10 3 2 5" xfId="27973" xr:uid="{00000000-0005-0000-0000-0000486D0000}"/>
    <cellStyle name="Normal 2 6 10 3 2 6" xfId="27974" xr:uid="{00000000-0005-0000-0000-0000496D0000}"/>
    <cellStyle name="Normal 2 6 10 3 3" xfId="27975" xr:uid="{00000000-0005-0000-0000-00004A6D0000}"/>
    <cellStyle name="Normal 2 6 10 3 3 2" xfId="27976" xr:uid="{00000000-0005-0000-0000-00004B6D0000}"/>
    <cellStyle name="Normal 2 6 10 3 3 2 2" xfId="27977" xr:uid="{00000000-0005-0000-0000-00004C6D0000}"/>
    <cellStyle name="Normal 2 6 10 3 3 3" xfId="27978" xr:uid="{00000000-0005-0000-0000-00004D6D0000}"/>
    <cellStyle name="Normal 2 6 10 3 3 4" xfId="27979" xr:uid="{00000000-0005-0000-0000-00004E6D0000}"/>
    <cellStyle name="Normal 2 6 10 3 3 5" xfId="27980" xr:uid="{00000000-0005-0000-0000-00004F6D0000}"/>
    <cellStyle name="Normal 2 6 10 3 4" xfId="27981" xr:uid="{00000000-0005-0000-0000-0000506D0000}"/>
    <cellStyle name="Normal 2 6 10 3 4 2" xfId="27982" xr:uid="{00000000-0005-0000-0000-0000516D0000}"/>
    <cellStyle name="Normal 2 6 10 3 4 3" xfId="27983" xr:uid="{00000000-0005-0000-0000-0000526D0000}"/>
    <cellStyle name="Normal 2 6 10 3 4 4" xfId="27984" xr:uid="{00000000-0005-0000-0000-0000536D0000}"/>
    <cellStyle name="Normal 2 6 10 3 5" xfId="27985" xr:uid="{00000000-0005-0000-0000-0000546D0000}"/>
    <cellStyle name="Normal 2 6 10 3 5 2" xfId="27986" xr:uid="{00000000-0005-0000-0000-0000556D0000}"/>
    <cellStyle name="Normal 2 6 10 3 6" xfId="27987" xr:uid="{00000000-0005-0000-0000-0000566D0000}"/>
    <cellStyle name="Normal 2 6 10 3 7" xfId="27988" xr:uid="{00000000-0005-0000-0000-0000576D0000}"/>
    <cellStyle name="Normal 2 6 10 3 8" xfId="27989" xr:uid="{00000000-0005-0000-0000-0000586D0000}"/>
    <cellStyle name="Normal 2 6 10 3 9" xfId="27990" xr:uid="{00000000-0005-0000-0000-0000596D0000}"/>
    <cellStyle name="Normal 2 6 10 4" xfId="27991" xr:uid="{00000000-0005-0000-0000-00005A6D0000}"/>
    <cellStyle name="Normal 2 6 10 4 2" xfId="27992" xr:uid="{00000000-0005-0000-0000-00005B6D0000}"/>
    <cellStyle name="Normal 2 6 10 4 2 2" xfId="27993" xr:uid="{00000000-0005-0000-0000-00005C6D0000}"/>
    <cellStyle name="Normal 2 6 10 4 2 3" xfId="27994" xr:uid="{00000000-0005-0000-0000-00005D6D0000}"/>
    <cellStyle name="Normal 2 6 10 4 3" xfId="27995" xr:uid="{00000000-0005-0000-0000-00005E6D0000}"/>
    <cellStyle name="Normal 2 6 10 4 4" xfId="27996" xr:uid="{00000000-0005-0000-0000-00005F6D0000}"/>
    <cellStyle name="Normal 2 6 10 4 5" xfId="27997" xr:uid="{00000000-0005-0000-0000-0000606D0000}"/>
    <cellStyle name="Normal 2 6 10 4 6" xfId="27998" xr:uid="{00000000-0005-0000-0000-0000616D0000}"/>
    <cellStyle name="Normal 2 6 10 5" xfId="27999" xr:uid="{00000000-0005-0000-0000-0000626D0000}"/>
    <cellStyle name="Normal 2 6 10 5 2" xfId="28000" xr:uid="{00000000-0005-0000-0000-0000636D0000}"/>
    <cellStyle name="Normal 2 6 10 5 2 2" xfId="28001" xr:uid="{00000000-0005-0000-0000-0000646D0000}"/>
    <cellStyle name="Normal 2 6 10 5 3" xfId="28002" xr:uid="{00000000-0005-0000-0000-0000656D0000}"/>
    <cellStyle name="Normal 2 6 10 5 4" xfId="28003" xr:uid="{00000000-0005-0000-0000-0000666D0000}"/>
    <cellStyle name="Normal 2 6 10 5 5" xfId="28004" xr:uid="{00000000-0005-0000-0000-0000676D0000}"/>
    <cellStyle name="Normal 2 6 10 6" xfId="28005" xr:uid="{00000000-0005-0000-0000-0000686D0000}"/>
    <cellStyle name="Normal 2 6 10 6 2" xfId="28006" xr:uid="{00000000-0005-0000-0000-0000696D0000}"/>
    <cellStyle name="Normal 2 6 10 6 3" xfId="28007" xr:uid="{00000000-0005-0000-0000-00006A6D0000}"/>
    <cellStyle name="Normal 2 6 10 6 4" xfId="28008" xr:uid="{00000000-0005-0000-0000-00006B6D0000}"/>
    <cellStyle name="Normal 2 6 10 7" xfId="28009" xr:uid="{00000000-0005-0000-0000-00006C6D0000}"/>
    <cellStyle name="Normal 2 6 10 7 2" xfId="28010" xr:uid="{00000000-0005-0000-0000-00006D6D0000}"/>
    <cellStyle name="Normal 2 6 10 8" xfId="28011" xr:uid="{00000000-0005-0000-0000-00006E6D0000}"/>
    <cellStyle name="Normal 2 6 10 9" xfId="28012" xr:uid="{00000000-0005-0000-0000-00006F6D0000}"/>
    <cellStyle name="Normal 2 6 11" xfId="28013" xr:uid="{00000000-0005-0000-0000-0000706D0000}"/>
    <cellStyle name="Normal 2 6 11 10" xfId="28014" xr:uid="{00000000-0005-0000-0000-0000716D0000}"/>
    <cellStyle name="Normal 2 6 11 2" xfId="28015" xr:uid="{00000000-0005-0000-0000-0000726D0000}"/>
    <cellStyle name="Normal 2 6 11 2 2" xfId="28016" xr:uid="{00000000-0005-0000-0000-0000736D0000}"/>
    <cellStyle name="Normal 2 6 11 2 2 2" xfId="28017" xr:uid="{00000000-0005-0000-0000-0000746D0000}"/>
    <cellStyle name="Normal 2 6 11 2 2 3" xfId="28018" xr:uid="{00000000-0005-0000-0000-0000756D0000}"/>
    <cellStyle name="Normal 2 6 11 2 3" xfId="28019" xr:uid="{00000000-0005-0000-0000-0000766D0000}"/>
    <cellStyle name="Normal 2 6 11 2 4" xfId="28020" xr:uid="{00000000-0005-0000-0000-0000776D0000}"/>
    <cellStyle name="Normal 2 6 11 2 5" xfId="28021" xr:uid="{00000000-0005-0000-0000-0000786D0000}"/>
    <cellStyle name="Normal 2 6 11 2 6" xfId="28022" xr:uid="{00000000-0005-0000-0000-0000796D0000}"/>
    <cellStyle name="Normal 2 6 11 3" xfId="28023" xr:uid="{00000000-0005-0000-0000-00007A6D0000}"/>
    <cellStyle name="Normal 2 6 11 3 2" xfId="28024" xr:uid="{00000000-0005-0000-0000-00007B6D0000}"/>
    <cellStyle name="Normal 2 6 11 3 2 2" xfId="28025" xr:uid="{00000000-0005-0000-0000-00007C6D0000}"/>
    <cellStyle name="Normal 2 6 11 3 2 3" xfId="28026" xr:uid="{00000000-0005-0000-0000-00007D6D0000}"/>
    <cellStyle name="Normal 2 6 11 3 3" xfId="28027" xr:uid="{00000000-0005-0000-0000-00007E6D0000}"/>
    <cellStyle name="Normal 2 6 11 3 4" xfId="28028" xr:uid="{00000000-0005-0000-0000-00007F6D0000}"/>
    <cellStyle name="Normal 2 6 11 3 5" xfId="28029" xr:uid="{00000000-0005-0000-0000-0000806D0000}"/>
    <cellStyle name="Normal 2 6 11 3 6" xfId="28030" xr:uid="{00000000-0005-0000-0000-0000816D0000}"/>
    <cellStyle name="Normal 2 6 11 4" xfId="28031" xr:uid="{00000000-0005-0000-0000-0000826D0000}"/>
    <cellStyle name="Normal 2 6 11 4 2" xfId="28032" xr:uid="{00000000-0005-0000-0000-0000836D0000}"/>
    <cellStyle name="Normal 2 6 11 4 2 2" xfId="28033" xr:uid="{00000000-0005-0000-0000-0000846D0000}"/>
    <cellStyle name="Normal 2 6 11 4 3" xfId="28034" xr:uid="{00000000-0005-0000-0000-0000856D0000}"/>
    <cellStyle name="Normal 2 6 11 4 4" xfId="28035" xr:uid="{00000000-0005-0000-0000-0000866D0000}"/>
    <cellStyle name="Normal 2 6 11 4 5" xfId="28036" xr:uid="{00000000-0005-0000-0000-0000876D0000}"/>
    <cellStyle name="Normal 2 6 11 5" xfId="28037" xr:uid="{00000000-0005-0000-0000-0000886D0000}"/>
    <cellStyle name="Normal 2 6 11 5 2" xfId="28038" xr:uid="{00000000-0005-0000-0000-0000896D0000}"/>
    <cellStyle name="Normal 2 6 11 5 3" xfId="28039" xr:uid="{00000000-0005-0000-0000-00008A6D0000}"/>
    <cellStyle name="Normal 2 6 11 5 4" xfId="28040" xr:uid="{00000000-0005-0000-0000-00008B6D0000}"/>
    <cellStyle name="Normal 2 6 11 6" xfId="28041" xr:uid="{00000000-0005-0000-0000-00008C6D0000}"/>
    <cellStyle name="Normal 2 6 11 6 2" xfId="28042" xr:uid="{00000000-0005-0000-0000-00008D6D0000}"/>
    <cellStyle name="Normal 2 6 11 7" xfId="28043" xr:uid="{00000000-0005-0000-0000-00008E6D0000}"/>
    <cellStyle name="Normal 2 6 11 8" xfId="28044" xr:uid="{00000000-0005-0000-0000-00008F6D0000}"/>
    <cellStyle name="Normal 2 6 11 9" xfId="28045" xr:uid="{00000000-0005-0000-0000-0000906D0000}"/>
    <cellStyle name="Normal 2 6 12" xfId="28046" xr:uid="{00000000-0005-0000-0000-0000916D0000}"/>
    <cellStyle name="Normal 2 6 12 10" xfId="28047" xr:uid="{00000000-0005-0000-0000-0000926D0000}"/>
    <cellStyle name="Normal 2 6 12 2" xfId="28048" xr:uid="{00000000-0005-0000-0000-0000936D0000}"/>
    <cellStyle name="Normal 2 6 12 2 2" xfId="28049" xr:uid="{00000000-0005-0000-0000-0000946D0000}"/>
    <cellStyle name="Normal 2 6 12 2 2 2" xfId="28050" xr:uid="{00000000-0005-0000-0000-0000956D0000}"/>
    <cellStyle name="Normal 2 6 12 2 2 3" xfId="28051" xr:uid="{00000000-0005-0000-0000-0000966D0000}"/>
    <cellStyle name="Normal 2 6 12 2 3" xfId="28052" xr:uid="{00000000-0005-0000-0000-0000976D0000}"/>
    <cellStyle name="Normal 2 6 12 2 4" xfId="28053" xr:uid="{00000000-0005-0000-0000-0000986D0000}"/>
    <cellStyle name="Normal 2 6 12 2 5" xfId="28054" xr:uid="{00000000-0005-0000-0000-0000996D0000}"/>
    <cellStyle name="Normal 2 6 12 2 6" xfId="28055" xr:uid="{00000000-0005-0000-0000-00009A6D0000}"/>
    <cellStyle name="Normal 2 6 12 3" xfId="28056" xr:uid="{00000000-0005-0000-0000-00009B6D0000}"/>
    <cellStyle name="Normal 2 6 12 3 2" xfId="28057" xr:uid="{00000000-0005-0000-0000-00009C6D0000}"/>
    <cellStyle name="Normal 2 6 12 3 2 2" xfId="28058" xr:uid="{00000000-0005-0000-0000-00009D6D0000}"/>
    <cellStyle name="Normal 2 6 12 3 2 3" xfId="28059" xr:uid="{00000000-0005-0000-0000-00009E6D0000}"/>
    <cellStyle name="Normal 2 6 12 3 3" xfId="28060" xr:uid="{00000000-0005-0000-0000-00009F6D0000}"/>
    <cellStyle name="Normal 2 6 12 3 4" xfId="28061" xr:uid="{00000000-0005-0000-0000-0000A06D0000}"/>
    <cellStyle name="Normal 2 6 12 3 5" xfId="28062" xr:uid="{00000000-0005-0000-0000-0000A16D0000}"/>
    <cellStyle name="Normal 2 6 12 3 6" xfId="28063" xr:uid="{00000000-0005-0000-0000-0000A26D0000}"/>
    <cellStyle name="Normal 2 6 12 4" xfId="28064" xr:uid="{00000000-0005-0000-0000-0000A36D0000}"/>
    <cellStyle name="Normal 2 6 12 4 2" xfId="28065" xr:uid="{00000000-0005-0000-0000-0000A46D0000}"/>
    <cellStyle name="Normal 2 6 12 4 2 2" xfId="28066" xr:uid="{00000000-0005-0000-0000-0000A56D0000}"/>
    <cellStyle name="Normal 2 6 12 4 3" xfId="28067" xr:uid="{00000000-0005-0000-0000-0000A66D0000}"/>
    <cellStyle name="Normal 2 6 12 4 4" xfId="28068" xr:uid="{00000000-0005-0000-0000-0000A76D0000}"/>
    <cellStyle name="Normal 2 6 12 4 5" xfId="28069" xr:uid="{00000000-0005-0000-0000-0000A86D0000}"/>
    <cellStyle name="Normal 2 6 12 5" xfId="28070" xr:uid="{00000000-0005-0000-0000-0000A96D0000}"/>
    <cellStyle name="Normal 2 6 12 5 2" xfId="28071" xr:uid="{00000000-0005-0000-0000-0000AA6D0000}"/>
    <cellStyle name="Normal 2 6 12 5 3" xfId="28072" xr:uid="{00000000-0005-0000-0000-0000AB6D0000}"/>
    <cellStyle name="Normal 2 6 12 5 4" xfId="28073" xr:uid="{00000000-0005-0000-0000-0000AC6D0000}"/>
    <cellStyle name="Normal 2 6 12 6" xfId="28074" xr:uid="{00000000-0005-0000-0000-0000AD6D0000}"/>
    <cellStyle name="Normal 2 6 12 6 2" xfId="28075" xr:uid="{00000000-0005-0000-0000-0000AE6D0000}"/>
    <cellStyle name="Normal 2 6 12 7" xfId="28076" xr:uid="{00000000-0005-0000-0000-0000AF6D0000}"/>
    <cellStyle name="Normal 2 6 12 8" xfId="28077" xr:uid="{00000000-0005-0000-0000-0000B06D0000}"/>
    <cellStyle name="Normal 2 6 12 9" xfId="28078" xr:uid="{00000000-0005-0000-0000-0000B16D0000}"/>
    <cellStyle name="Normal 2 6 13" xfId="28079" xr:uid="{00000000-0005-0000-0000-0000B26D0000}"/>
    <cellStyle name="Normal 2 6 13 10" xfId="28080" xr:uid="{00000000-0005-0000-0000-0000B36D0000}"/>
    <cellStyle name="Normal 2 6 13 2" xfId="28081" xr:uid="{00000000-0005-0000-0000-0000B46D0000}"/>
    <cellStyle name="Normal 2 6 13 2 2" xfId="28082" xr:uid="{00000000-0005-0000-0000-0000B56D0000}"/>
    <cellStyle name="Normal 2 6 13 2 2 2" xfId="28083" xr:uid="{00000000-0005-0000-0000-0000B66D0000}"/>
    <cellStyle name="Normal 2 6 13 2 2 3" xfId="28084" xr:uid="{00000000-0005-0000-0000-0000B76D0000}"/>
    <cellStyle name="Normal 2 6 13 2 3" xfId="28085" xr:uid="{00000000-0005-0000-0000-0000B86D0000}"/>
    <cellStyle name="Normal 2 6 13 2 4" xfId="28086" xr:uid="{00000000-0005-0000-0000-0000B96D0000}"/>
    <cellStyle name="Normal 2 6 13 2 5" xfId="28087" xr:uid="{00000000-0005-0000-0000-0000BA6D0000}"/>
    <cellStyle name="Normal 2 6 13 2 6" xfId="28088" xr:uid="{00000000-0005-0000-0000-0000BB6D0000}"/>
    <cellStyle name="Normal 2 6 13 3" xfId="28089" xr:uid="{00000000-0005-0000-0000-0000BC6D0000}"/>
    <cellStyle name="Normal 2 6 13 3 2" xfId="28090" xr:uid="{00000000-0005-0000-0000-0000BD6D0000}"/>
    <cellStyle name="Normal 2 6 13 3 2 2" xfId="28091" xr:uid="{00000000-0005-0000-0000-0000BE6D0000}"/>
    <cellStyle name="Normal 2 6 13 3 2 3" xfId="28092" xr:uid="{00000000-0005-0000-0000-0000BF6D0000}"/>
    <cellStyle name="Normal 2 6 13 3 3" xfId="28093" xr:uid="{00000000-0005-0000-0000-0000C06D0000}"/>
    <cellStyle name="Normal 2 6 13 3 4" xfId="28094" xr:uid="{00000000-0005-0000-0000-0000C16D0000}"/>
    <cellStyle name="Normal 2 6 13 3 5" xfId="28095" xr:uid="{00000000-0005-0000-0000-0000C26D0000}"/>
    <cellStyle name="Normal 2 6 13 3 6" xfId="28096" xr:uid="{00000000-0005-0000-0000-0000C36D0000}"/>
    <cellStyle name="Normal 2 6 13 4" xfId="28097" xr:uid="{00000000-0005-0000-0000-0000C46D0000}"/>
    <cellStyle name="Normal 2 6 13 4 2" xfId="28098" xr:uid="{00000000-0005-0000-0000-0000C56D0000}"/>
    <cellStyle name="Normal 2 6 13 4 2 2" xfId="28099" xr:uid="{00000000-0005-0000-0000-0000C66D0000}"/>
    <cellStyle name="Normal 2 6 13 4 3" xfId="28100" xr:uid="{00000000-0005-0000-0000-0000C76D0000}"/>
    <cellStyle name="Normal 2 6 13 4 4" xfId="28101" xr:uid="{00000000-0005-0000-0000-0000C86D0000}"/>
    <cellStyle name="Normal 2 6 13 4 5" xfId="28102" xr:uid="{00000000-0005-0000-0000-0000C96D0000}"/>
    <cellStyle name="Normal 2 6 13 5" xfId="28103" xr:uid="{00000000-0005-0000-0000-0000CA6D0000}"/>
    <cellStyle name="Normal 2 6 13 5 2" xfId="28104" xr:uid="{00000000-0005-0000-0000-0000CB6D0000}"/>
    <cellStyle name="Normal 2 6 13 5 3" xfId="28105" xr:uid="{00000000-0005-0000-0000-0000CC6D0000}"/>
    <cellStyle name="Normal 2 6 13 5 4" xfId="28106" xr:uid="{00000000-0005-0000-0000-0000CD6D0000}"/>
    <cellStyle name="Normal 2 6 13 6" xfId="28107" xr:uid="{00000000-0005-0000-0000-0000CE6D0000}"/>
    <cellStyle name="Normal 2 6 13 6 2" xfId="28108" xr:uid="{00000000-0005-0000-0000-0000CF6D0000}"/>
    <cellStyle name="Normal 2 6 13 7" xfId="28109" xr:uid="{00000000-0005-0000-0000-0000D06D0000}"/>
    <cellStyle name="Normal 2 6 13 8" xfId="28110" xr:uid="{00000000-0005-0000-0000-0000D16D0000}"/>
    <cellStyle name="Normal 2 6 13 9" xfId="28111" xr:uid="{00000000-0005-0000-0000-0000D26D0000}"/>
    <cellStyle name="Normal 2 6 14" xfId="28112" xr:uid="{00000000-0005-0000-0000-0000D36D0000}"/>
    <cellStyle name="Normal 2 6 14 10" xfId="28113" xr:uid="{00000000-0005-0000-0000-0000D46D0000}"/>
    <cellStyle name="Normal 2 6 14 2" xfId="28114" xr:uid="{00000000-0005-0000-0000-0000D56D0000}"/>
    <cellStyle name="Normal 2 6 14 2 2" xfId="28115" xr:uid="{00000000-0005-0000-0000-0000D66D0000}"/>
    <cellStyle name="Normal 2 6 14 2 2 2" xfId="28116" xr:uid="{00000000-0005-0000-0000-0000D76D0000}"/>
    <cellStyle name="Normal 2 6 14 2 2 3" xfId="28117" xr:uid="{00000000-0005-0000-0000-0000D86D0000}"/>
    <cellStyle name="Normal 2 6 14 2 3" xfId="28118" xr:uid="{00000000-0005-0000-0000-0000D96D0000}"/>
    <cellStyle name="Normal 2 6 14 2 4" xfId="28119" xr:uid="{00000000-0005-0000-0000-0000DA6D0000}"/>
    <cellStyle name="Normal 2 6 14 2 5" xfId="28120" xr:uid="{00000000-0005-0000-0000-0000DB6D0000}"/>
    <cellStyle name="Normal 2 6 14 2 6" xfId="28121" xr:uid="{00000000-0005-0000-0000-0000DC6D0000}"/>
    <cellStyle name="Normal 2 6 14 3" xfId="28122" xr:uid="{00000000-0005-0000-0000-0000DD6D0000}"/>
    <cellStyle name="Normal 2 6 14 3 2" xfId="28123" xr:uid="{00000000-0005-0000-0000-0000DE6D0000}"/>
    <cellStyle name="Normal 2 6 14 3 2 2" xfId="28124" xr:uid="{00000000-0005-0000-0000-0000DF6D0000}"/>
    <cellStyle name="Normal 2 6 14 3 2 3" xfId="28125" xr:uid="{00000000-0005-0000-0000-0000E06D0000}"/>
    <cellStyle name="Normal 2 6 14 3 3" xfId="28126" xr:uid="{00000000-0005-0000-0000-0000E16D0000}"/>
    <cellStyle name="Normal 2 6 14 3 4" xfId="28127" xr:uid="{00000000-0005-0000-0000-0000E26D0000}"/>
    <cellStyle name="Normal 2 6 14 3 5" xfId="28128" xr:uid="{00000000-0005-0000-0000-0000E36D0000}"/>
    <cellStyle name="Normal 2 6 14 3 6" xfId="28129" xr:uid="{00000000-0005-0000-0000-0000E46D0000}"/>
    <cellStyle name="Normal 2 6 14 4" xfId="28130" xr:uid="{00000000-0005-0000-0000-0000E56D0000}"/>
    <cellStyle name="Normal 2 6 14 4 2" xfId="28131" xr:uid="{00000000-0005-0000-0000-0000E66D0000}"/>
    <cellStyle name="Normal 2 6 14 4 2 2" xfId="28132" xr:uid="{00000000-0005-0000-0000-0000E76D0000}"/>
    <cellStyle name="Normal 2 6 14 4 3" xfId="28133" xr:uid="{00000000-0005-0000-0000-0000E86D0000}"/>
    <cellStyle name="Normal 2 6 14 4 4" xfId="28134" xr:uid="{00000000-0005-0000-0000-0000E96D0000}"/>
    <cellStyle name="Normal 2 6 14 4 5" xfId="28135" xr:uid="{00000000-0005-0000-0000-0000EA6D0000}"/>
    <cellStyle name="Normal 2 6 14 5" xfId="28136" xr:uid="{00000000-0005-0000-0000-0000EB6D0000}"/>
    <cellStyle name="Normal 2 6 14 5 2" xfId="28137" xr:uid="{00000000-0005-0000-0000-0000EC6D0000}"/>
    <cellStyle name="Normal 2 6 14 5 3" xfId="28138" xr:uid="{00000000-0005-0000-0000-0000ED6D0000}"/>
    <cellStyle name="Normal 2 6 14 5 4" xfId="28139" xr:uid="{00000000-0005-0000-0000-0000EE6D0000}"/>
    <cellStyle name="Normal 2 6 14 6" xfId="28140" xr:uid="{00000000-0005-0000-0000-0000EF6D0000}"/>
    <cellStyle name="Normal 2 6 14 6 2" xfId="28141" xr:uid="{00000000-0005-0000-0000-0000F06D0000}"/>
    <cellStyle name="Normal 2 6 14 7" xfId="28142" xr:uid="{00000000-0005-0000-0000-0000F16D0000}"/>
    <cellStyle name="Normal 2 6 14 8" xfId="28143" xr:uid="{00000000-0005-0000-0000-0000F26D0000}"/>
    <cellStyle name="Normal 2 6 14 9" xfId="28144" xr:uid="{00000000-0005-0000-0000-0000F36D0000}"/>
    <cellStyle name="Normal 2 6 15" xfId="28145" xr:uid="{00000000-0005-0000-0000-0000F46D0000}"/>
    <cellStyle name="Normal 2 6 15 10" xfId="28146" xr:uid="{00000000-0005-0000-0000-0000F56D0000}"/>
    <cellStyle name="Normal 2 6 15 2" xfId="28147" xr:uid="{00000000-0005-0000-0000-0000F66D0000}"/>
    <cellStyle name="Normal 2 6 15 2 2" xfId="28148" xr:uid="{00000000-0005-0000-0000-0000F76D0000}"/>
    <cellStyle name="Normal 2 6 15 2 2 2" xfId="28149" xr:uid="{00000000-0005-0000-0000-0000F86D0000}"/>
    <cellStyle name="Normal 2 6 15 2 2 3" xfId="28150" xr:uid="{00000000-0005-0000-0000-0000F96D0000}"/>
    <cellStyle name="Normal 2 6 15 2 3" xfId="28151" xr:uid="{00000000-0005-0000-0000-0000FA6D0000}"/>
    <cellStyle name="Normal 2 6 15 2 4" xfId="28152" xr:uid="{00000000-0005-0000-0000-0000FB6D0000}"/>
    <cellStyle name="Normal 2 6 15 2 5" xfId="28153" xr:uid="{00000000-0005-0000-0000-0000FC6D0000}"/>
    <cellStyle name="Normal 2 6 15 2 6" xfId="28154" xr:uid="{00000000-0005-0000-0000-0000FD6D0000}"/>
    <cellStyle name="Normal 2 6 15 3" xfId="28155" xr:uid="{00000000-0005-0000-0000-0000FE6D0000}"/>
    <cellStyle name="Normal 2 6 15 3 2" xfId="28156" xr:uid="{00000000-0005-0000-0000-0000FF6D0000}"/>
    <cellStyle name="Normal 2 6 15 3 2 2" xfId="28157" xr:uid="{00000000-0005-0000-0000-0000006E0000}"/>
    <cellStyle name="Normal 2 6 15 3 2 3" xfId="28158" xr:uid="{00000000-0005-0000-0000-0000016E0000}"/>
    <cellStyle name="Normal 2 6 15 3 3" xfId="28159" xr:uid="{00000000-0005-0000-0000-0000026E0000}"/>
    <cellStyle name="Normal 2 6 15 3 4" xfId="28160" xr:uid="{00000000-0005-0000-0000-0000036E0000}"/>
    <cellStyle name="Normal 2 6 15 3 5" xfId="28161" xr:uid="{00000000-0005-0000-0000-0000046E0000}"/>
    <cellStyle name="Normal 2 6 15 3 6" xfId="28162" xr:uid="{00000000-0005-0000-0000-0000056E0000}"/>
    <cellStyle name="Normal 2 6 15 4" xfId="28163" xr:uid="{00000000-0005-0000-0000-0000066E0000}"/>
    <cellStyle name="Normal 2 6 15 4 2" xfId="28164" xr:uid="{00000000-0005-0000-0000-0000076E0000}"/>
    <cellStyle name="Normal 2 6 15 4 2 2" xfId="28165" xr:uid="{00000000-0005-0000-0000-0000086E0000}"/>
    <cellStyle name="Normal 2 6 15 4 3" xfId="28166" xr:uid="{00000000-0005-0000-0000-0000096E0000}"/>
    <cellStyle name="Normal 2 6 15 4 4" xfId="28167" xr:uid="{00000000-0005-0000-0000-00000A6E0000}"/>
    <cellStyle name="Normal 2 6 15 4 5" xfId="28168" xr:uid="{00000000-0005-0000-0000-00000B6E0000}"/>
    <cellStyle name="Normal 2 6 15 5" xfId="28169" xr:uid="{00000000-0005-0000-0000-00000C6E0000}"/>
    <cellStyle name="Normal 2 6 15 5 2" xfId="28170" xr:uid="{00000000-0005-0000-0000-00000D6E0000}"/>
    <cellStyle name="Normal 2 6 15 5 3" xfId="28171" xr:uid="{00000000-0005-0000-0000-00000E6E0000}"/>
    <cellStyle name="Normal 2 6 15 5 4" xfId="28172" xr:uid="{00000000-0005-0000-0000-00000F6E0000}"/>
    <cellStyle name="Normal 2 6 15 6" xfId="28173" xr:uid="{00000000-0005-0000-0000-0000106E0000}"/>
    <cellStyle name="Normal 2 6 15 6 2" xfId="28174" xr:uid="{00000000-0005-0000-0000-0000116E0000}"/>
    <cellStyle name="Normal 2 6 15 7" xfId="28175" xr:uid="{00000000-0005-0000-0000-0000126E0000}"/>
    <cellStyle name="Normal 2 6 15 8" xfId="28176" xr:uid="{00000000-0005-0000-0000-0000136E0000}"/>
    <cellStyle name="Normal 2 6 15 9" xfId="28177" xr:uid="{00000000-0005-0000-0000-0000146E0000}"/>
    <cellStyle name="Normal 2 6 16" xfId="28178" xr:uid="{00000000-0005-0000-0000-0000156E0000}"/>
    <cellStyle name="Normal 2 6 16 10" xfId="28179" xr:uid="{00000000-0005-0000-0000-0000166E0000}"/>
    <cellStyle name="Normal 2 6 16 2" xfId="28180" xr:uid="{00000000-0005-0000-0000-0000176E0000}"/>
    <cellStyle name="Normal 2 6 16 2 2" xfId="28181" xr:uid="{00000000-0005-0000-0000-0000186E0000}"/>
    <cellStyle name="Normal 2 6 16 2 2 2" xfId="28182" xr:uid="{00000000-0005-0000-0000-0000196E0000}"/>
    <cellStyle name="Normal 2 6 16 2 2 3" xfId="28183" xr:uid="{00000000-0005-0000-0000-00001A6E0000}"/>
    <cellStyle name="Normal 2 6 16 2 3" xfId="28184" xr:uid="{00000000-0005-0000-0000-00001B6E0000}"/>
    <cellStyle name="Normal 2 6 16 2 4" xfId="28185" xr:uid="{00000000-0005-0000-0000-00001C6E0000}"/>
    <cellStyle name="Normal 2 6 16 2 5" xfId="28186" xr:uid="{00000000-0005-0000-0000-00001D6E0000}"/>
    <cellStyle name="Normal 2 6 16 2 6" xfId="28187" xr:uid="{00000000-0005-0000-0000-00001E6E0000}"/>
    <cellStyle name="Normal 2 6 16 3" xfId="28188" xr:uid="{00000000-0005-0000-0000-00001F6E0000}"/>
    <cellStyle name="Normal 2 6 16 3 2" xfId="28189" xr:uid="{00000000-0005-0000-0000-0000206E0000}"/>
    <cellStyle name="Normal 2 6 16 3 2 2" xfId="28190" xr:uid="{00000000-0005-0000-0000-0000216E0000}"/>
    <cellStyle name="Normal 2 6 16 3 2 3" xfId="28191" xr:uid="{00000000-0005-0000-0000-0000226E0000}"/>
    <cellStyle name="Normal 2 6 16 3 3" xfId="28192" xr:uid="{00000000-0005-0000-0000-0000236E0000}"/>
    <cellStyle name="Normal 2 6 16 3 4" xfId="28193" xr:uid="{00000000-0005-0000-0000-0000246E0000}"/>
    <cellStyle name="Normal 2 6 16 3 5" xfId="28194" xr:uid="{00000000-0005-0000-0000-0000256E0000}"/>
    <cellStyle name="Normal 2 6 16 3 6" xfId="28195" xr:uid="{00000000-0005-0000-0000-0000266E0000}"/>
    <cellStyle name="Normal 2 6 16 4" xfId="28196" xr:uid="{00000000-0005-0000-0000-0000276E0000}"/>
    <cellStyle name="Normal 2 6 16 4 2" xfId="28197" xr:uid="{00000000-0005-0000-0000-0000286E0000}"/>
    <cellStyle name="Normal 2 6 16 4 2 2" xfId="28198" xr:uid="{00000000-0005-0000-0000-0000296E0000}"/>
    <cellStyle name="Normal 2 6 16 4 3" xfId="28199" xr:uid="{00000000-0005-0000-0000-00002A6E0000}"/>
    <cellStyle name="Normal 2 6 16 4 4" xfId="28200" xr:uid="{00000000-0005-0000-0000-00002B6E0000}"/>
    <cellStyle name="Normal 2 6 16 4 5" xfId="28201" xr:uid="{00000000-0005-0000-0000-00002C6E0000}"/>
    <cellStyle name="Normal 2 6 16 5" xfId="28202" xr:uid="{00000000-0005-0000-0000-00002D6E0000}"/>
    <cellStyle name="Normal 2 6 16 5 2" xfId="28203" xr:uid="{00000000-0005-0000-0000-00002E6E0000}"/>
    <cellStyle name="Normal 2 6 16 5 3" xfId="28204" xr:uid="{00000000-0005-0000-0000-00002F6E0000}"/>
    <cellStyle name="Normal 2 6 16 5 4" xfId="28205" xr:uid="{00000000-0005-0000-0000-0000306E0000}"/>
    <cellStyle name="Normal 2 6 16 6" xfId="28206" xr:uid="{00000000-0005-0000-0000-0000316E0000}"/>
    <cellStyle name="Normal 2 6 16 6 2" xfId="28207" xr:uid="{00000000-0005-0000-0000-0000326E0000}"/>
    <cellStyle name="Normal 2 6 16 7" xfId="28208" xr:uid="{00000000-0005-0000-0000-0000336E0000}"/>
    <cellStyle name="Normal 2 6 16 8" xfId="28209" xr:uid="{00000000-0005-0000-0000-0000346E0000}"/>
    <cellStyle name="Normal 2 6 16 9" xfId="28210" xr:uid="{00000000-0005-0000-0000-0000356E0000}"/>
    <cellStyle name="Normal 2 6 17" xfId="28211" xr:uid="{00000000-0005-0000-0000-0000366E0000}"/>
    <cellStyle name="Normal 2 6 17 10" xfId="28212" xr:uid="{00000000-0005-0000-0000-0000376E0000}"/>
    <cellStyle name="Normal 2 6 17 2" xfId="28213" xr:uid="{00000000-0005-0000-0000-0000386E0000}"/>
    <cellStyle name="Normal 2 6 17 2 2" xfId="28214" xr:uid="{00000000-0005-0000-0000-0000396E0000}"/>
    <cellStyle name="Normal 2 6 17 2 2 2" xfId="28215" xr:uid="{00000000-0005-0000-0000-00003A6E0000}"/>
    <cellStyle name="Normal 2 6 17 2 2 3" xfId="28216" xr:uid="{00000000-0005-0000-0000-00003B6E0000}"/>
    <cellStyle name="Normal 2 6 17 2 3" xfId="28217" xr:uid="{00000000-0005-0000-0000-00003C6E0000}"/>
    <cellStyle name="Normal 2 6 17 2 4" xfId="28218" xr:uid="{00000000-0005-0000-0000-00003D6E0000}"/>
    <cellStyle name="Normal 2 6 17 2 5" xfId="28219" xr:uid="{00000000-0005-0000-0000-00003E6E0000}"/>
    <cellStyle name="Normal 2 6 17 2 6" xfId="28220" xr:uid="{00000000-0005-0000-0000-00003F6E0000}"/>
    <cellStyle name="Normal 2 6 17 3" xfId="28221" xr:uid="{00000000-0005-0000-0000-0000406E0000}"/>
    <cellStyle name="Normal 2 6 17 3 2" xfId="28222" xr:uid="{00000000-0005-0000-0000-0000416E0000}"/>
    <cellStyle name="Normal 2 6 17 3 2 2" xfId="28223" xr:uid="{00000000-0005-0000-0000-0000426E0000}"/>
    <cellStyle name="Normal 2 6 17 3 2 3" xfId="28224" xr:uid="{00000000-0005-0000-0000-0000436E0000}"/>
    <cellStyle name="Normal 2 6 17 3 3" xfId="28225" xr:uid="{00000000-0005-0000-0000-0000446E0000}"/>
    <cellStyle name="Normal 2 6 17 3 4" xfId="28226" xr:uid="{00000000-0005-0000-0000-0000456E0000}"/>
    <cellStyle name="Normal 2 6 17 3 5" xfId="28227" xr:uid="{00000000-0005-0000-0000-0000466E0000}"/>
    <cellStyle name="Normal 2 6 17 3 6" xfId="28228" xr:uid="{00000000-0005-0000-0000-0000476E0000}"/>
    <cellStyle name="Normal 2 6 17 4" xfId="28229" xr:uid="{00000000-0005-0000-0000-0000486E0000}"/>
    <cellStyle name="Normal 2 6 17 4 2" xfId="28230" xr:uid="{00000000-0005-0000-0000-0000496E0000}"/>
    <cellStyle name="Normal 2 6 17 4 2 2" xfId="28231" xr:uid="{00000000-0005-0000-0000-00004A6E0000}"/>
    <cellStyle name="Normal 2 6 17 4 3" xfId="28232" xr:uid="{00000000-0005-0000-0000-00004B6E0000}"/>
    <cellStyle name="Normal 2 6 17 4 4" xfId="28233" xr:uid="{00000000-0005-0000-0000-00004C6E0000}"/>
    <cellStyle name="Normal 2 6 17 4 5" xfId="28234" xr:uid="{00000000-0005-0000-0000-00004D6E0000}"/>
    <cellStyle name="Normal 2 6 17 5" xfId="28235" xr:uid="{00000000-0005-0000-0000-00004E6E0000}"/>
    <cellStyle name="Normal 2 6 17 5 2" xfId="28236" xr:uid="{00000000-0005-0000-0000-00004F6E0000}"/>
    <cellStyle name="Normal 2 6 17 5 3" xfId="28237" xr:uid="{00000000-0005-0000-0000-0000506E0000}"/>
    <cellStyle name="Normal 2 6 17 5 4" xfId="28238" xr:uid="{00000000-0005-0000-0000-0000516E0000}"/>
    <cellStyle name="Normal 2 6 17 6" xfId="28239" xr:uid="{00000000-0005-0000-0000-0000526E0000}"/>
    <cellStyle name="Normal 2 6 17 6 2" xfId="28240" xr:uid="{00000000-0005-0000-0000-0000536E0000}"/>
    <cellStyle name="Normal 2 6 17 7" xfId="28241" xr:uid="{00000000-0005-0000-0000-0000546E0000}"/>
    <cellStyle name="Normal 2 6 17 8" xfId="28242" xr:uid="{00000000-0005-0000-0000-0000556E0000}"/>
    <cellStyle name="Normal 2 6 17 9" xfId="28243" xr:uid="{00000000-0005-0000-0000-0000566E0000}"/>
    <cellStyle name="Normal 2 6 18" xfId="28244" xr:uid="{00000000-0005-0000-0000-0000576E0000}"/>
    <cellStyle name="Normal 2 6 18 10" xfId="28245" xr:uid="{00000000-0005-0000-0000-0000586E0000}"/>
    <cellStyle name="Normal 2 6 18 2" xfId="28246" xr:uid="{00000000-0005-0000-0000-0000596E0000}"/>
    <cellStyle name="Normal 2 6 18 2 2" xfId="28247" xr:uid="{00000000-0005-0000-0000-00005A6E0000}"/>
    <cellStyle name="Normal 2 6 18 2 2 2" xfId="28248" xr:uid="{00000000-0005-0000-0000-00005B6E0000}"/>
    <cellStyle name="Normal 2 6 18 2 2 3" xfId="28249" xr:uid="{00000000-0005-0000-0000-00005C6E0000}"/>
    <cellStyle name="Normal 2 6 18 2 3" xfId="28250" xr:uid="{00000000-0005-0000-0000-00005D6E0000}"/>
    <cellStyle name="Normal 2 6 18 2 4" xfId="28251" xr:uid="{00000000-0005-0000-0000-00005E6E0000}"/>
    <cellStyle name="Normal 2 6 18 2 5" xfId="28252" xr:uid="{00000000-0005-0000-0000-00005F6E0000}"/>
    <cellStyle name="Normal 2 6 18 2 6" xfId="28253" xr:uid="{00000000-0005-0000-0000-0000606E0000}"/>
    <cellStyle name="Normal 2 6 18 3" xfId="28254" xr:uid="{00000000-0005-0000-0000-0000616E0000}"/>
    <cellStyle name="Normal 2 6 18 3 2" xfId="28255" xr:uid="{00000000-0005-0000-0000-0000626E0000}"/>
    <cellStyle name="Normal 2 6 18 3 2 2" xfId="28256" xr:uid="{00000000-0005-0000-0000-0000636E0000}"/>
    <cellStyle name="Normal 2 6 18 3 2 3" xfId="28257" xr:uid="{00000000-0005-0000-0000-0000646E0000}"/>
    <cellStyle name="Normal 2 6 18 3 3" xfId="28258" xr:uid="{00000000-0005-0000-0000-0000656E0000}"/>
    <cellStyle name="Normal 2 6 18 3 4" xfId="28259" xr:uid="{00000000-0005-0000-0000-0000666E0000}"/>
    <cellStyle name="Normal 2 6 18 3 5" xfId="28260" xr:uid="{00000000-0005-0000-0000-0000676E0000}"/>
    <cellStyle name="Normal 2 6 18 3 6" xfId="28261" xr:uid="{00000000-0005-0000-0000-0000686E0000}"/>
    <cellStyle name="Normal 2 6 18 4" xfId="28262" xr:uid="{00000000-0005-0000-0000-0000696E0000}"/>
    <cellStyle name="Normal 2 6 18 4 2" xfId="28263" xr:uid="{00000000-0005-0000-0000-00006A6E0000}"/>
    <cellStyle name="Normal 2 6 18 4 2 2" xfId="28264" xr:uid="{00000000-0005-0000-0000-00006B6E0000}"/>
    <cellStyle name="Normal 2 6 18 4 3" xfId="28265" xr:uid="{00000000-0005-0000-0000-00006C6E0000}"/>
    <cellStyle name="Normal 2 6 18 4 4" xfId="28266" xr:uid="{00000000-0005-0000-0000-00006D6E0000}"/>
    <cellStyle name="Normal 2 6 18 4 5" xfId="28267" xr:uid="{00000000-0005-0000-0000-00006E6E0000}"/>
    <cellStyle name="Normal 2 6 18 5" xfId="28268" xr:uid="{00000000-0005-0000-0000-00006F6E0000}"/>
    <cellStyle name="Normal 2 6 18 5 2" xfId="28269" xr:uid="{00000000-0005-0000-0000-0000706E0000}"/>
    <cellStyle name="Normal 2 6 18 5 3" xfId="28270" xr:uid="{00000000-0005-0000-0000-0000716E0000}"/>
    <cellStyle name="Normal 2 6 18 5 4" xfId="28271" xr:uid="{00000000-0005-0000-0000-0000726E0000}"/>
    <cellStyle name="Normal 2 6 18 6" xfId="28272" xr:uid="{00000000-0005-0000-0000-0000736E0000}"/>
    <cellStyle name="Normal 2 6 18 6 2" xfId="28273" xr:uid="{00000000-0005-0000-0000-0000746E0000}"/>
    <cellStyle name="Normal 2 6 18 7" xfId="28274" xr:uid="{00000000-0005-0000-0000-0000756E0000}"/>
    <cellStyle name="Normal 2 6 18 8" xfId="28275" xr:uid="{00000000-0005-0000-0000-0000766E0000}"/>
    <cellStyle name="Normal 2 6 18 9" xfId="28276" xr:uid="{00000000-0005-0000-0000-0000776E0000}"/>
    <cellStyle name="Normal 2 6 19" xfId="28277" xr:uid="{00000000-0005-0000-0000-0000786E0000}"/>
    <cellStyle name="Normal 2 6 19 10" xfId="28278" xr:uid="{00000000-0005-0000-0000-0000796E0000}"/>
    <cellStyle name="Normal 2 6 19 2" xfId="28279" xr:uid="{00000000-0005-0000-0000-00007A6E0000}"/>
    <cellStyle name="Normal 2 6 19 2 2" xfId="28280" xr:uid="{00000000-0005-0000-0000-00007B6E0000}"/>
    <cellStyle name="Normal 2 6 19 2 2 2" xfId="28281" xr:uid="{00000000-0005-0000-0000-00007C6E0000}"/>
    <cellStyle name="Normal 2 6 19 2 2 3" xfId="28282" xr:uid="{00000000-0005-0000-0000-00007D6E0000}"/>
    <cellStyle name="Normal 2 6 19 2 3" xfId="28283" xr:uid="{00000000-0005-0000-0000-00007E6E0000}"/>
    <cellStyle name="Normal 2 6 19 2 4" xfId="28284" xr:uid="{00000000-0005-0000-0000-00007F6E0000}"/>
    <cellStyle name="Normal 2 6 19 2 5" xfId="28285" xr:uid="{00000000-0005-0000-0000-0000806E0000}"/>
    <cellStyle name="Normal 2 6 19 2 6" xfId="28286" xr:uid="{00000000-0005-0000-0000-0000816E0000}"/>
    <cellStyle name="Normal 2 6 19 3" xfId="28287" xr:uid="{00000000-0005-0000-0000-0000826E0000}"/>
    <cellStyle name="Normal 2 6 19 3 2" xfId="28288" xr:uid="{00000000-0005-0000-0000-0000836E0000}"/>
    <cellStyle name="Normal 2 6 19 3 2 2" xfId="28289" xr:uid="{00000000-0005-0000-0000-0000846E0000}"/>
    <cellStyle name="Normal 2 6 19 3 2 3" xfId="28290" xr:uid="{00000000-0005-0000-0000-0000856E0000}"/>
    <cellStyle name="Normal 2 6 19 3 3" xfId="28291" xr:uid="{00000000-0005-0000-0000-0000866E0000}"/>
    <cellStyle name="Normal 2 6 19 3 4" xfId="28292" xr:uid="{00000000-0005-0000-0000-0000876E0000}"/>
    <cellStyle name="Normal 2 6 19 3 5" xfId="28293" xr:uid="{00000000-0005-0000-0000-0000886E0000}"/>
    <cellStyle name="Normal 2 6 19 3 6" xfId="28294" xr:uid="{00000000-0005-0000-0000-0000896E0000}"/>
    <cellStyle name="Normal 2 6 19 4" xfId="28295" xr:uid="{00000000-0005-0000-0000-00008A6E0000}"/>
    <cellStyle name="Normal 2 6 19 4 2" xfId="28296" xr:uid="{00000000-0005-0000-0000-00008B6E0000}"/>
    <cellStyle name="Normal 2 6 19 4 2 2" xfId="28297" xr:uid="{00000000-0005-0000-0000-00008C6E0000}"/>
    <cellStyle name="Normal 2 6 19 4 3" xfId="28298" xr:uid="{00000000-0005-0000-0000-00008D6E0000}"/>
    <cellStyle name="Normal 2 6 19 4 4" xfId="28299" xr:uid="{00000000-0005-0000-0000-00008E6E0000}"/>
    <cellStyle name="Normal 2 6 19 4 5" xfId="28300" xr:uid="{00000000-0005-0000-0000-00008F6E0000}"/>
    <cellStyle name="Normal 2 6 19 5" xfId="28301" xr:uid="{00000000-0005-0000-0000-0000906E0000}"/>
    <cellStyle name="Normal 2 6 19 5 2" xfId="28302" xr:uid="{00000000-0005-0000-0000-0000916E0000}"/>
    <cellStyle name="Normal 2 6 19 5 3" xfId="28303" xr:uid="{00000000-0005-0000-0000-0000926E0000}"/>
    <cellStyle name="Normal 2 6 19 5 4" xfId="28304" xr:uid="{00000000-0005-0000-0000-0000936E0000}"/>
    <cellStyle name="Normal 2 6 19 6" xfId="28305" xr:uid="{00000000-0005-0000-0000-0000946E0000}"/>
    <cellStyle name="Normal 2 6 19 6 2" xfId="28306" xr:uid="{00000000-0005-0000-0000-0000956E0000}"/>
    <cellStyle name="Normal 2 6 19 7" xfId="28307" xr:uid="{00000000-0005-0000-0000-0000966E0000}"/>
    <cellStyle name="Normal 2 6 19 8" xfId="28308" xr:uid="{00000000-0005-0000-0000-0000976E0000}"/>
    <cellStyle name="Normal 2 6 19 9" xfId="28309" xr:uid="{00000000-0005-0000-0000-0000986E0000}"/>
    <cellStyle name="Normal 2 6 2" xfId="28310" xr:uid="{00000000-0005-0000-0000-0000996E0000}"/>
    <cellStyle name="Normal 2 6 2 10" xfId="28311" xr:uid="{00000000-0005-0000-0000-00009A6E0000}"/>
    <cellStyle name="Normal 2 6 2 10 10" xfId="28312" xr:uid="{00000000-0005-0000-0000-00009B6E0000}"/>
    <cellStyle name="Normal 2 6 2 10 2" xfId="28313" xr:uid="{00000000-0005-0000-0000-00009C6E0000}"/>
    <cellStyle name="Normal 2 6 2 10 2 2" xfId="28314" xr:uid="{00000000-0005-0000-0000-00009D6E0000}"/>
    <cellStyle name="Normal 2 6 2 10 2 2 2" xfId="28315" xr:uid="{00000000-0005-0000-0000-00009E6E0000}"/>
    <cellStyle name="Normal 2 6 2 10 2 2 3" xfId="28316" xr:uid="{00000000-0005-0000-0000-00009F6E0000}"/>
    <cellStyle name="Normal 2 6 2 10 2 3" xfId="28317" xr:uid="{00000000-0005-0000-0000-0000A06E0000}"/>
    <cellStyle name="Normal 2 6 2 10 2 4" xfId="28318" xr:uid="{00000000-0005-0000-0000-0000A16E0000}"/>
    <cellStyle name="Normal 2 6 2 10 2 5" xfId="28319" xr:uid="{00000000-0005-0000-0000-0000A26E0000}"/>
    <cellStyle name="Normal 2 6 2 10 2 6" xfId="28320" xr:uid="{00000000-0005-0000-0000-0000A36E0000}"/>
    <cellStyle name="Normal 2 6 2 10 3" xfId="28321" xr:uid="{00000000-0005-0000-0000-0000A46E0000}"/>
    <cellStyle name="Normal 2 6 2 10 3 2" xfId="28322" xr:uid="{00000000-0005-0000-0000-0000A56E0000}"/>
    <cellStyle name="Normal 2 6 2 10 3 2 2" xfId="28323" xr:uid="{00000000-0005-0000-0000-0000A66E0000}"/>
    <cellStyle name="Normal 2 6 2 10 3 2 3" xfId="28324" xr:uid="{00000000-0005-0000-0000-0000A76E0000}"/>
    <cellStyle name="Normal 2 6 2 10 3 3" xfId="28325" xr:uid="{00000000-0005-0000-0000-0000A86E0000}"/>
    <cellStyle name="Normal 2 6 2 10 3 4" xfId="28326" xr:uid="{00000000-0005-0000-0000-0000A96E0000}"/>
    <cellStyle name="Normal 2 6 2 10 3 5" xfId="28327" xr:uid="{00000000-0005-0000-0000-0000AA6E0000}"/>
    <cellStyle name="Normal 2 6 2 10 3 6" xfId="28328" xr:uid="{00000000-0005-0000-0000-0000AB6E0000}"/>
    <cellStyle name="Normal 2 6 2 10 4" xfId="28329" xr:uid="{00000000-0005-0000-0000-0000AC6E0000}"/>
    <cellStyle name="Normal 2 6 2 10 4 2" xfId="28330" xr:uid="{00000000-0005-0000-0000-0000AD6E0000}"/>
    <cellStyle name="Normal 2 6 2 10 4 2 2" xfId="28331" xr:uid="{00000000-0005-0000-0000-0000AE6E0000}"/>
    <cellStyle name="Normal 2 6 2 10 4 3" xfId="28332" xr:uid="{00000000-0005-0000-0000-0000AF6E0000}"/>
    <cellStyle name="Normal 2 6 2 10 4 4" xfId="28333" xr:uid="{00000000-0005-0000-0000-0000B06E0000}"/>
    <cellStyle name="Normal 2 6 2 10 4 5" xfId="28334" xr:uid="{00000000-0005-0000-0000-0000B16E0000}"/>
    <cellStyle name="Normal 2 6 2 10 5" xfId="28335" xr:uid="{00000000-0005-0000-0000-0000B26E0000}"/>
    <cellStyle name="Normal 2 6 2 10 5 2" xfId="28336" xr:uid="{00000000-0005-0000-0000-0000B36E0000}"/>
    <cellStyle name="Normal 2 6 2 10 5 3" xfId="28337" xr:uid="{00000000-0005-0000-0000-0000B46E0000}"/>
    <cellStyle name="Normal 2 6 2 10 5 4" xfId="28338" xr:uid="{00000000-0005-0000-0000-0000B56E0000}"/>
    <cellStyle name="Normal 2 6 2 10 6" xfId="28339" xr:uid="{00000000-0005-0000-0000-0000B66E0000}"/>
    <cellStyle name="Normal 2 6 2 10 6 2" xfId="28340" xr:uid="{00000000-0005-0000-0000-0000B76E0000}"/>
    <cellStyle name="Normal 2 6 2 10 7" xfId="28341" xr:uid="{00000000-0005-0000-0000-0000B86E0000}"/>
    <cellStyle name="Normal 2 6 2 10 8" xfId="28342" xr:uid="{00000000-0005-0000-0000-0000B96E0000}"/>
    <cellStyle name="Normal 2 6 2 10 9" xfId="28343" xr:uid="{00000000-0005-0000-0000-0000BA6E0000}"/>
    <cellStyle name="Normal 2 6 2 11" xfId="28344" xr:uid="{00000000-0005-0000-0000-0000BB6E0000}"/>
    <cellStyle name="Normal 2 6 2 11 10" xfId="28345" xr:uid="{00000000-0005-0000-0000-0000BC6E0000}"/>
    <cellStyle name="Normal 2 6 2 11 2" xfId="28346" xr:uid="{00000000-0005-0000-0000-0000BD6E0000}"/>
    <cellStyle name="Normal 2 6 2 11 2 2" xfId="28347" xr:uid="{00000000-0005-0000-0000-0000BE6E0000}"/>
    <cellStyle name="Normal 2 6 2 11 2 2 2" xfId="28348" xr:uid="{00000000-0005-0000-0000-0000BF6E0000}"/>
    <cellStyle name="Normal 2 6 2 11 2 2 3" xfId="28349" xr:uid="{00000000-0005-0000-0000-0000C06E0000}"/>
    <cellStyle name="Normal 2 6 2 11 2 3" xfId="28350" xr:uid="{00000000-0005-0000-0000-0000C16E0000}"/>
    <cellStyle name="Normal 2 6 2 11 2 4" xfId="28351" xr:uid="{00000000-0005-0000-0000-0000C26E0000}"/>
    <cellStyle name="Normal 2 6 2 11 2 5" xfId="28352" xr:uid="{00000000-0005-0000-0000-0000C36E0000}"/>
    <cellStyle name="Normal 2 6 2 11 2 6" xfId="28353" xr:uid="{00000000-0005-0000-0000-0000C46E0000}"/>
    <cellStyle name="Normal 2 6 2 11 3" xfId="28354" xr:uid="{00000000-0005-0000-0000-0000C56E0000}"/>
    <cellStyle name="Normal 2 6 2 11 3 2" xfId="28355" xr:uid="{00000000-0005-0000-0000-0000C66E0000}"/>
    <cellStyle name="Normal 2 6 2 11 3 2 2" xfId="28356" xr:uid="{00000000-0005-0000-0000-0000C76E0000}"/>
    <cellStyle name="Normal 2 6 2 11 3 2 3" xfId="28357" xr:uid="{00000000-0005-0000-0000-0000C86E0000}"/>
    <cellStyle name="Normal 2 6 2 11 3 3" xfId="28358" xr:uid="{00000000-0005-0000-0000-0000C96E0000}"/>
    <cellStyle name="Normal 2 6 2 11 3 4" xfId="28359" xr:uid="{00000000-0005-0000-0000-0000CA6E0000}"/>
    <cellStyle name="Normal 2 6 2 11 3 5" xfId="28360" xr:uid="{00000000-0005-0000-0000-0000CB6E0000}"/>
    <cellStyle name="Normal 2 6 2 11 3 6" xfId="28361" xr:uid="{00000000-0005-0000-0000-0000CC6E0000}"/>
    <cellStyle name="Normal 2 6 2 11 4" xfId="28362" xr:uid="{00000000-0005-0000-0000-0000CD6E0000}"/>
    <cellStyle name="Normal 2 6 2 11 4 2" xfId="28363" xr:uid="{00000000-0005-0000-0000-0000CE6E0000}"/>
    <cellStyle name="Normal 2 6 2 11 4 2 2" xfId="28364" xr:uid="{00000000-0005-0000-0000-0000CF6E0000}"/>
    <cellStyle name="Normal 2 6 2 11 4 3" xfId="28365" xr:uid="{00000000-0005-0000-0000-0000D06E0000}"/>
    <cellStyle name="Normal 2 6 2 11 4 4" xfId="28366" xr:uid="{00000000-0005-0000-0000-0000D16E0000}"/>
    <cellStyle name="Normal 2 6 2 11 4 5" xfId="28367" xr:uid="{00000000-0005-0000-0000-0000D26E0000}"/>
    <cellStyle name="Normal 2 6 2 11 5" xfId="28368" xr:uid="{00000000-0005-0000-0000-0000D36E0000}"/>
    <cellStyle name="Normal 2 6 2 11 5 2" xfId="28369" xr:uid="{00000000-0005-0000-0000-0000D46E0000}"/>
    <cellStyle name="Normal 2 6 2 11 5 3" xfId="28370" xr:uid="{00000000-0005-0000-0000-0000D56E0000}"/>
    <cellStyle name="Normal 2 6 2 11 5 4" xfId="28371" xr:uid="{00000000-0005-0000-0000-0000D66E0000}"/>
    <cellStyle name="Normal 2 6 2 11 6" xfId="28372" xr:uid="{00000000-0005-0000-0000-0000D76E0000}"/>
    <cellStyle name="Normal 2 6 2 11 6 2" xfId="28373" xr:uid="{00000000-0005-0000-0000-0000D86E0000}"/>
    <cellStyle name="Normal 2 6 2 11 7" xfId="28374" xr:uid="{00000000-0005-0000-0000-0000D96E0000}"/>
    <cellStyle name="Normal 2 6 2 11 8" xfId="28375" xr:uid="{00000000-0005-0000-0000-0000DA6E0000}"/>
    <cellStyle name="Normal 2 6 2 11 9" xfId="28376" xr:uid="{00000000-0005-0000-0000-0000DB6E0000}"/>
    <cellStyle name="Normal 2 6 2 12" xfId="28377" xr:uid="{00000000-0005-0000-0000-0000DC6E0000}"/>
    <cellStyle name="Normal 2 6 2 12 10" xfId="28378" xr:uid="{00000000-0005-0000-0000-0000DD6E0000}"/>
    <cellStyle name="Normal 2 6 2 12 2" xfId="28379" xr:uid="{00000000-0005-0000-0000-0000DE6E0000}"/>
    <cellStyle name="Normal 2 6 2 12 2 2" xfId="28380" xr:uid="{00000000-0005-0000-0000-0000DF6E0000}"/>
    <cellStyle name="Normal 2 6 2 12 2 2 2" xfId="28381" xr:uid="{00000000-0005-0000-0000-0000E06E0000}"/>
    <cellStyle name="Normal 2 6 2 12 2 2 3" xfId="28382" xr:uid="{00000000-0005-0000-0000-0000E16E0000}"/>
    <cellStyle name="Normal 2 6 2 12 2 3" xfId="28383" xr:uid="{00000000-0005-0000-0000-0000E26E0000}"/>
    <cellStyle name="Normal 2 6 2 12 2 4" xfId="28384" xr:uid="{00000000-0005-0000-0000-0000E36E0000}"/>
    <cellStyle name="Normal 2 6 2 12 2 5" xfId="28385" xr:uid="{00000000-0005-0000-0000-0000E46E0000}"/>
    <cellStyle name="Normal 2 6 2 12 2 6" xfId="28386" xr:uid="{00000000-0005-0000-0000-0000E56E0000}"/>
    <cellStyle name="Normal 2 6 2 12 3" xfId="28387" xr:uid="{00000000-0005-0000-0000-0000E66E0000}"/>
    <cellStyle name="Normal 2 6 2 12 3 2" xfId="28388" xr:uid="{00000000-0005-0000-0000-0000E76E0000}"/>
    <cellStyle name="Normal 2 6 2 12 3 2 2" xfId="28389" xr:uid="{00000000-0005-0000-0000-0000E86E0000}"/>
    <cellStyle name="Normal 2 6 2 12 3 2 3" xfId="28390" xr:uid="{00000000-0005-0000-0000-0000E96E0000}"/>
    <cellStyle name="Normal 2 6 2 12 3 3" xfId="28391" xr:uid="{00000000-0005-0000-0000-0000EA6E0000}"/>
    <cellStyle name="Normal 2 6 2 12 3 4" xfId="28392" xr:uid="{00000000-0005-0000-0000-0000EB6E0000}"/>
    <cellStyle name="Normal 2 6 2 12 3 5" xfId="28393" xr:uid="{00000000-0005-0000-0000-0000EC6E0000}"/>
    <cellStyle name="Normal 2 6 2 12 3 6" xfId="28394" xr:uid="{00000000-0005-0000-0000-0000ED6E0000}"/>
    <cellStyle name="Normal 2 6 2 12 4" xfId="28395" xr:uid="{00000000-0005-0000-0000-0000EE6E0000}"/>
    <cellStyle name="Normal 2 6 2 12 4 2" xfId="28396" xr:uid="{00000000-0005-0000-0000-0000EF6E0000}"/>
    <cellStyle name="Normal 2 6 2 12 4 2 2" xfId="28397" xr:uid="{00000000-0005-0000-0000-0000F06E0000}"/>
    <cellStyle name="Normal 2 6 2 12 4 3" xfId="28398" xr:uid="{00000000-0005-0000-0000-0000F16E0000}"/>
    <cellStyle name="Normal 2 6 2 12 4 4" xfId="28399" xr:uid="{00000000-0005-0000-0000-0000F26E0000}"/>
    <cellStyle name="Normal 2 6 2 12 4 5" xfId="28400" xr:uid="{00000000-0005-0000-0000-0000F36E0000}"/>
    <cellStyle name="Normal 2 6 2 12 5" xfId="28401" xr:uid="{00000000-0005-0000-0000-0000F46E0000}"/>
    <cellStyle name="Normal 2 6 2 12 5 2" xfId="28402" xr:uid="{00000000-0005-0000-0000-0000F56E0000}"/>
    <cellStyle name="Normal 2 6 2 12 5 3" xfId="28403" xr:uid="{00000000-0005-0000-0000-0000F66E0000}"/>
    <cellStyle name="Normal 2 6 2 12 5 4" xfId="28404" xr:uid="{00000000-0005-0000-0000-0000F76E0000}"/>
    <cellStyle name="Normal 2 6 2 12 6" xfId="28405" xr:uid="{00000000-0005-0000-0000-0000F86E0000}"/>
    <cellStyle name="Normal 2 6 2 12 6 2" xfId="28406" xr:uid="{00000000-0005-0000-0000-0000F96E0000}"/>
    <cellStyle name="Normal 2 6 2 12 7" xfId="28407" xr:uid="{00000000-0005-0000-0000-0000FA6E0000}"/>
    <cellStyle name="Normal 2 6 2 12 8" xfId="28408" xr:uid="{00000000-0005-0000-0000-0000FB6E0000}"/>
    <cellStyle name="Normal 2 6 2 12 9" xfId="28409" xr:uid="{00000000-0005-0000-0000-0000FC6E0000}"/>
    <cellStyle name="Normal 2 6 2 13" xfId="28410" xr:uid="{00000000-0005-0000-0000-0000FD6E0000}"/>
    <cellStyle name="Normal 2 6 2 13 2" xfId="28411" xr:uid="{00000000-0005-0000-0000-0000FE6E0000}"/>
    <cellStyle name="Normal 2 6 2 13 2 2" xfId="28412" xr:uid="{00000000-0005-0000-0000-0000FF6E0000}"/>
    <cellStyle name="Normal 2 6 2 13 2 2 2" xfId="28413" xr:uid="{00000000-0005-0000-0000-0000006F0000}"/>
    <cellStyle name="Normal 2 6 2 13 2 2 3" xfId="28414" xr:uid="{00000000-0005-0000-0000-0000016F0000}"/>
    <cellStyle name="Normal 2 6 2 13 2 3" xfId="28415" xr:uid="{00000000-0005-0000-0000-0000026F0000}"/>
    <cellStyle name="Normal 2 6 2 13 2 4" xfId="28416" xr:uid="{00000000-0005-0000-0000-0000036F0000}"/>
    <cellStyle name="Normal 2 6 2 13 2 5" xfId="28417" xr:uid="{00000000-0005-0000-0000-0000046F0000}"/>
    <cellStyle name="Normal 2 6 2 13 2 6" xfId="28418" xr:uid="{00000000-0005-0000-0000-0000056F0000}"/>
    <cellStyle name="Normal 2 6 2 13 3" xfId="28419" xr:uid="{00000000-0005-0000-0000-0000066F0000}"/>
    <cellStyle name="Normal 2 6 2 13 3 2" xfId="28420" xr:uid="{00000000-0005-0000-0000-0000076F0000}"/>
    <cellStyle name="Normal 2 6 2 13 3 2 2" xfId="28421" xr:uid="{00000000-0005-0000-0000-0000086F0000}"/>
    <cellStyle name="Normal 2 6 2 13 3 3" xfId="28422" xr:uid="{00000000-0005-0000-0000-0000096F0000}"/>
    <cellStyle name="Normal 2 6 2 13 3 4" xfId="28423" xr:uid="{00000000-0005-0000-0000-00000A6F0000}"/>
    <cellStyle name="Normal 2 6 2 13 3 5" xfId="28424" xr:uid="{00000000-0005-0000-0000-00000B6F0000}"/>
    <cellStyle name="Normal 2 6 2 13 4" xfId="28425" xr:uid="{00000000-0005-0000-0000-00000C6F0000}"/>
    <cellStyle name="Normal 2 6 2 13 4 2" xfId="28426" xr:uid="{00000000-0005-0000-0000-00000D6F0000}"/>
    <cellStyle name="Normal 2 6 2 13 4 3" xfId="28427" xr:uid="{00000000-0005-0000-0000-00000E6F0000}"/>
    <cellStyle name="Normal 2 6 2 13 4 4" xfId="28428" xr:uid="{00000000-0005-0000-0000-00000F6F0000}"/>
    <cellStyle name="Normal 2 6 2 13 5" xfId="28429" xr:uid="{00000000-0005-0000-0000-0000106F0000}"/>
    <cellStyle name="Normal 2 6 2 13 5 2" xfId="28430" xr:uid="{00000000-0005-0000-0000-0000116F0000}"/>
    <cellStyle name="Normal 2 6 2 13 6" xfId="28431" xr:uid="{00000000-0005-0000-0000-0000126F0000}"/>
    <cellStyle name="Normal 2 6 2 13 7" xfId="28432" xr:uid="{00000000-0005-0000-0000-0000136F0000}"/>
    <cellStyle name="Normal 2 6 2 13 8" xfId="28433" xr:uid="{00000000-0005-0000-0000-0000146F0000}"/>
    <cellStyle name="Normal 2 6 2 13 9" xfId="28434" xr:uid="{00000000-0005-0000-0000-0000156F0000}"/>
    <cellStyle name="Normal 2 6 2 14" xfId="28435" xr:uid="{00000000-0005-0000-0000-0000166F0000}"/>
    <cellStyle name="Normal 2 6 2 14 2" xfId="28436" xr:uid="{00000000-0005-0000-0000-0000176F0000}"/>
    <cellStyle name="Normal 2 6 2 14 2 2" xfId="28437" xr:uid="{00000000-0005-0000-0000-0000186F0000}"/>
    <cellStyle name="Normal 2 6 2 14 2 2 2" xfId="28438" xr:uid="{00000000-0005-0000-0000-0000196F0000}"/>
    <cellStyle name="Normal 2 6 2 14 2 2 3" xfId="28439" xr:uid="{00000000-0005-0000-0000-00001A6F0000}"/>
    <cellStyle name="Normal 2 6 2 14 2 3" xfId="28440" xr:uid="{00000000-0005-0000-0000-00001B6F0000}"/>
    <cellStyle name="Normal 2 6 2 14 2 4" xfId="28441" xr:uid="{00000000-0005-0000-0000-00001C6F0000}"/>
    <cellStyle name="Normal 2 6 2 14 2 5" xfId="28442" xr:uid="{00000000-0005-0000-0000-00001D6F0000}"/>
    <cellStyle name="Normal 2 6 2 14 2 6" xfId="28443" xr:uid="{00000000-0005-0000-0000-00001E6F0000}"/>
    <cellStyle name="Normal 2 6 2 14 3" xfId="28444" xr:uid="{00000000-0005-0000-0000-00001F6F0000}"/>
    <cellStyle name="Normal 2 6 2 14 3 2" xfId="28445" xr:uid="{00000000-0005-0000-0000-0000206F0000}"/>
    <cellStyle name="Normal 2 6 2 14 3 2 2" xfId="28446" xr:uid="{00000000-0005-0000-0000-0000216F0000}"/>
    <cellStyle name="Normal 2 6 2 14 3 3" xfId="28447" xr:uid="{00000000-0005-0000-0000-0000226F0000}"/>
    <cellStyle name="Normal 2 6 2 14 3 4" xfId="28448" xr:uid="{00000000-0005-0000-0000-0000236F0000}"/>
    <cellStyle name="Normal 2 6 2 14 3 5" xfId="28449" xr:uid="{00000000-0005-0000-0000-0000246F0000}"/>
    <cellStyle name="Normal 2 6 2 14 4" xfId="28450" xr:uid="{00000000-0005-0000-0000-0000256F0000}"/>
    <cellStyle name="Normal 2 6 2 14 4 2" xfId="28451" xr:uid="{00000000-0005-0000-0000-0000266F0000}"/>
    <cellStyle name="Normal 2 6 2 14 4 3" xfId="28452" xr:uid="{00000000-0005-0000-0000-0000276F0000}"/>
    <cellStyle name="Normal 2 6 2 14 4 4" xfId="28453" xr:uid="{00000000-0005-0000-0000-0000286F0000}"/>
    <cellStyle name="Normal 2 6 2 14 5" xfId="28454" xr:uid="{00000000-0005-0000-0000-0000296F0000}"/>
    <cellStyle name="Normal 2 6 2 14 5 2" xfId="28455" xr:uid="{00000000-0005-0000-0000-00002A6F0000}"/>
    <cellStyle name="Normal 2 6 2 14 6" xfId="28456" xr:uid="{00000000-0005-0000-0000-00002B6F0000}"/>
    <cellStyle name="Normal 2 6 2 14 7" xfId="28457" xr:uid="{00000000-0005-0000-0000-00002C6F0000}"/>
    <cellStyle name="Normal 2 6 2 14 8" xfId="28458" xr:uid="{00000000-0005-0000-0000-00002D6F0000}"/>
    <cellStyle name="Normal 2 6 2 14 9" xfId="28459" xr:uid="{00000000-0005-0000-0000-00002E6F0000}"/>
    <cellStyle name="Normal 2 6 2 15" xfId="28460" xr:uid="{00000000-0005-0000-0000-00002F6F0000}"/>
    <cellStyle name="Normal 2 6 2 15 2" xfId="28461" xr:uid="{00000000-0005-0000-0000-0000306F0000}"/>
    <cellStyle name="Normal 2 6 2 15 2 2" xfId="28462" xr:uid="{00000000-0005-0000-0000-0000316F0000}"/>
    <cellStyle name="Normal 2 6 2 15 2 3" xfId="28463" xr:uid="{00000000-0005-0000-0000-0000326F0000}"/>
    <cellStyle name="Normal 2 6 2 15 3" xfId="28464" xr:uid="{00000000-0005-0000-0000-0000336F0000}"/>
    <cellStyle name="Normal 2 6 2 15 4" xfId="28465" xr:uid="{00000000-0005-0000-0000-0000346F0000}"/>
    <cellStyle name="Normal 2 6 2 15 5" xfId="28466" xr:uid="{00000000-0005-0000-0000-0000356F0000}"/>
    <cellStyle name="Normal 2 6 2 15 6" xfId="28467" xr:uid="{00000000-0005-0000-0000-0000366F0000}"/>
    <cellStyle name="Normal 2 6 2 16" xfId="28468" xr:uid="{00000000-0005-0000-0000-0000376F0000}"/>
    <cellStyle name="Normal 2 6 2 16 2" xfId="28469" xr:uid="{00000000-0005-0000-0000-0000386F0000}"/>
    <cellStyle name="Normal 2 6 2 16 2 2" xfId="28470" xr:uid="{00000000-0005-0000-0000-0000396F0000}"/>
    <cellStyle name="Normal 2 6 2 16 3" xfId="28471" xr:uid="{00000000-0005-0000-0000-00003A6F0000}"/>
    <cellStyle name="Normal 2 6 2 16 4" xfId="28472" xr:uid="{00000000-0005-0000-0000-00003B6F0000}"/>
    <cellStyle name="Normal 2 6 2 16 5" xfId="28473" xr:uid="{00000000-0005-0000-0000-00003C6F0000}"/>
    <cellStyle name="Normal 2 6 2 17" xfId="28474" xr:uid="{00000000-0005-0000-0000-00003D6F0000}"/>
    <cellStyle name="Normal 2 6 2 17 2" xfId="28475" xr:uid="{00000000-0005-0000-0000-00003E6F0000}"/>
    <cellStyle name="Normal 2 6 2 17 2 2" xfId="28476" xr:uid="{00000000-0005-0000-0000-00003F6F0000}"/>
    <cellStyle name="Normal 2 6 2 17 3" xfId="28477" xr:uid="{00000000-0005-0000-0000-0000406F0000}"/>
    <cellStyle name="Normal 2 6 2 17 4" xfId="28478" xr:uid="{00000000-0005-0000-0000-0000416F0000}"/>
    <cellStyle name="Normal 2 6 2 17 5" xfId="28479" xr:uid="{00000000-0005-0000-0000-0000426F0000}"/>
    <cellStyle name="Normal 2 6 2 18" xfId="28480" xr:uid="{00000000-0005-0000-0000-0000436F0000}"/>
    <cellStyle name="Normal 2 6 2 18 2" xfId="28481" xr:uid="{00000000-0005-0000-0000-0000446F0000}"/>
    <cellStyle name="Normal 2 6 2 19" xfId="28482" xr:uid="{00000000-0005-0000-0000-0000456F0000}"/>
    <cellStyle name="Normal 2 6 2 2" xfId="28483" xr:uid="{00000000-0005-0000-0000-0000466F0000}"/>
    <cellStyle name="Normal 2 6 2 2 10" xfId="28484" xr:uid="{00000000-0005-0000-0000-0000476F0000}"/>
    <cellStyle name="Normal 2 6 2 2 11" xfId="28485" xr:uid="{00000000-0005-0000-0000-0000486F0000}"/>
    <cellStyle name="Normal 2 6 2 2 2" xfId="28486" xr:uid="{00000000-0005-0000-0000-0000496F0000}"/>
    <cellStyle name="Normal 2 6 2 2 2 2" xfId="28487" xr:uid="{00000000-0005-0000-0000-00004A6F0000}"/>
    <cellStyle name="Normal 2 6 2 2 2 2 2" xfId="28488" xr:uid="{00000000-0005-0000-0000-00004B6F0000}"/>
    <cellStyle name="Normal 2 6 2 2 2 2 2 2" xfId="28489" xr:uid="{00000000-0005-0000-0000-00004C6F0000}"/>
    <cellStyle name="Normal 2 6 2 2 2 2 2 3" xfId="28490" xr:uid="{00000000-0005-0000-0000-00004D6F0000}"/>
    <cellStyle name="Normal 2 6 2 2 2 2 3" xfId="28491" xr:uid="{00000000-0005-0000-0000-00004E6F0000}"/>
    <cellStyle name="Normal 2 6 2 2 2 2 4" xfId="28492" xr:uid="{00000000-0005-0000-0000-00004F6F0000}"/>
    <cellStyle name="Normal 2 6 2 2 2 2 5" xfId="28493" xr:uid="{00000000-0005-0000-0000-0000506F0000}"/>
    <cellStyle name="Normal 2 6 2 2 2 2 6" xfId="28494" xr:uid="{00000000-0005-0000-0000-0000516F0000}"/>
    <cellStyle name="Normal 2 6 2 2 2 3" xfId="28495" xr:uid="{00000000-0005-0000-0000-0000526F0000}"/>
    <cellStyle name="Normal 2 6 2 2 2 3 2" xfId="28496" xr:uid="{00000000-0005-0000-0000-0000536F0000}"/>
    <cellStyle name="Normal 2 6 2 2 2 3 2 2" xfId="28497" xr:uid="{00000000-0005-0000-0000-0000546F0000}"/>
    <cellStyle name="Normal 2 6 2 2 2 3 3" xfId="28498" xr:uid="{00000000-0005-0000-0000-0000556F0000}"/>
    <cellStyle name="Normal 2 6 2 2 2 3 4" xfId="28499" xr:uid="{00000000-0005-0000-0000-0000566F0000}"/>
    <cellStyle name="Normal 2 6 2 2 2 3 5" xfId="28500" xr:uid="{00000000-0005-0000-0000-0000576F0000}"/>
    <cellStyle name="Normal 2 6 2 2 2 4" xfId="28501" xr:uid="{00000000-0005-0000-0000-0000586F0000}"/>
    <cellStyle name="Normal 2 6 2 2 2 4 2" xfId="28502" xr:uid="{00000000-0005-0000-0000-0000596F0000}"/>
    <cellStyle name="Normal 2 6 2 2 2 4 3" xfId="28503" xr:uid="{00000000-0005-0000-0000-00005A6F0000}"/>
    <cellStyle name="Normal 2 6 2 2 2 4 4" xfId="28504" xr:uid="{00000000-0005-0000-0000-00005B6F0000}"/>
    <cellStyle name="Normal 2 6 2 2 2 5" xfId="28505" xr:uid="{00000000-0005-0000-0000-00005C6F0000}"/>
    <cellStyle name="Normal 2 6 2 2 2 5 2" xfId="28506" xr:uid="{00000000-0005-0000-0000-00005D6F0000}"/>
    <cellStyle name="Normal 2 6 2 2 2 6" xfId="28507" xr:uid="{00000000-0005-0000-0000-00005E6F0000}"/>
    <cellStyle name="Normal 2 6 2 2 2 7" xfId="28508" xr:uid="{00000000-0005-0000-0000-00005F6F0000}"/>
    <cellStyle name="Normal 2 6 2 2 2 8" xfId="28509" xr:uid="{00000000-0005-0000-0000-0000606F0000}"/>
    <cellStyle name="Normal 2 6 2 2 2 9" xfId="28510" xr:uid="{00000000-0005-0000-0000-0000616F0000}"/>
    <cellStyle name="Normal 2 6 2 2 3" xfId="28511" xr:uid="{00000000-0005-0000-0000-0000626F0000}"/>
    <cellStyle name="Normal 2 6 2 2 3 2" xfId="28512" xr:uid="{00000000-0005-0000-0000-0000636F0000}"/>
    <cellStyle name="Normal 2 6 2 2 3 2 2" xfId="28513" xr:uid="{00000000-0005-0000-0000-0000646F0000}"/>
    <cellStyle name="Normal 2 6 2 2 3 2 2 2" xfId="28514" xr:uid="{00000000-0005-0000-0000-0000656F0000}"/>
    <cellStyle name="Normal 2 6 2 2 3 2 2 3" xfId="28515" xr:uid="{00000000-0005-0000-0000-0000666F0000}"/>
    <cellStyle name="Normal 2 6 2 2 3 2 3" xfId="28516" xr:uid="{00000000-0005-0000-0000-0000676F0000}"/>
    <cellStyle name="Normal 2 6 2 2 3 2 4" xfId="28517" xr:uid="{00000000-0005-0000-0000-0000686F0000}"/>
    <cellStyle name="Normal 2 6 2 2 3 2 5" xfId="28518" xr:uid="{00000000-0005-0000-0000-0000696F0000}"/>
    <cellStyle name="Normal 2 6 2 2 3 2 6" xfId="28519" xr:uid="{00000000-0005-0000-0000-00006A6F0000}"/>
    <cellStyle name="Normal 2 6 2 2 3 3" xfId="28520" xr:uid="{00000000-0005-0000-0000-00006B6F0000}"/>
    <cellStyle name="Normal 2 6 2 2 3 3 2" xfId="28521" xr:uid="{00000000-0005-0000-0000-00006C6F0000}"/>
    <cellStyle name="Normal 2 6 2 2 3 3 2 2" xfId="28522" xr:uid="{00000000-0005-0000-0000-00006D6F0000}"/>
    <cellStyle name="Normal 2 6 2 2 3 3 3" xfId="28523" xr:uid="{00000000-0005-0000-0000-00006E6F0000}"/>
    <cellStyle name="Normal 2 6 2 2 3 3 4" xfId="28524" xr:uid="{00000000-0005-0000-0000-00006F6F0000}"/>
    <cellStyle name="Normal 2 6 2 2 3 3 5" xfId="28525" xr:uid="{00000000-0005-0000-0000-0000706F0000}"/>
    <cellStyle name="Normal 2 6 2 2 3 4" xfId="28526" xr:uid="{00000000-0005-0000-0000-0000716F0000}"/>
    <cellStyle name="Normal 2 6 2 2 3 4 2" xfId="28527" xr:uid="{00000000-0005-0000-0000-0000726F0000}"/>
    <cellStyle name="Normal 2 6 2 2 3 4 3" xfId="28528" xr:uid="{00000000-0005-0000-0000-0000736F0000}"/>
    <cellStyle name="Normal 2 6 2 2 3 4 4" xfId="28529" xr:uid="{00000000-0005-0000-0000-0000746F0000}"/>
    <cellStyle name="Normal 2 6 2 2 3 5" xfId="28530" xr:uid="{00000000-0005-0000-0000-0000756F0000}"/>
    <cellStyle name="Normal 2 6 2 2 3 5 2" xfId="28531" xr:uid="{00000000-0005-0000-0000-0000766F0000}"/>
    <cellStyle name="Normal 2 6 2 2 3 6" xfId="28532" xr:uid="{00000000-0005-0000-0000-0000776F0000}"/>
    <cellStyle name="Normal 2 6 2 2 3 7" xfId="28533" xr:uid="{00000000-0005-0000-0000-0000786F0000}"/>
    <cellStyle name="Normal 2 6 2 2 3 8" xfId="28534" xr:uid="{00000000-0005-0000-0000-0000796F0000}"/>
    <cellStyle name="Normal 2 6 2 2 3 9" xfId="28535" xr:uid="{00000000-0005-0000-0000-00007A6F0000}"/>
    <cellStyle name="Normal 2 6 2 2 4" xfId="28536" xr:uid="{00000000-0005-0000-0000-00007B6F0000}"/>
    <cellStyle name="Normal 2 6 2 2 4 2" xfId="28537" xr:uid="{00000000-0005-0000-0000-00007C6F0000}"/>
    <cellStyle name="Normal 2 6 2 2 4 2 2" xfId="28538" xr:uid="{00000000-0005-0000-0000-00007D6F0000}"/>
    <cellStyle name="Normal 2 6 2 2 4 2 3" xfId="28539" xr:uid="{00000000-0005-0000-0000-00007E6F0000}"/>
    <cellStyle name="Normal 2 6 2 2 4 3" xfId="28540" xr:uid="{00000000-0005-0000-0000-00007F6F0000}"/>
    <cellStyle name="Normal 2 6 2 2 4 4" xfId="28541" xr:uid="{00000000-0005-0000-0000-0000806F0000}"/>
    <cellStyle name="Normal 2 6 2 2 4 5" xfId="28542" xr:uid="{00000000-0005-0000-0000-0000816F0000}"/>
    <cellStyle name="Normal 2 6 2 2 4 6" xfId="28543" xr:uid="{00000000-0005-0000-0000-0000826F0000}"/>
    <cellStyle name="Normal 2 6 2 2 5" xfId="28544" xr:uid="{00000000-0005-0000-0000-0000836F0000}"/>
    <cellStyle name="Normal 2 6 2 2 5 2" xfId="28545" xr:uid="{00000000-0005-0000-0000-0000846F0000}"/>
    <cellStyle name="Normal 2 6 2 2 5 2 2" xfId="28546" xr:uid="{00000000-0005-0000-0000-0000856F0000}"/>
    <cellStyle name="Normal 2 6 2 2 5 3" xfId="28547" xr:uid="{00000000-0005-0000-0000-0000866F0000}"/>
    <cellStyle name="Normal 2 6 2 2 5 4" xfId="28548" xr:uid="{00000000-0005-0000-0000-0000876F0000}"/>
    <cellStyle name="Normal 2 6 2 2 5 5" xfId="28549" xr:uid="{00000000-0005-0000-0000-0000886F0000}"/>
    <cellStyle name="Normal 2 6 2 2 6" xfId="28550" xr:uid="{00000000-0005-0000-0000-0000896F0000}"/>
    <cellStyle name="Normal 2 6 2 2 6 2" xfId="28551" xr:uid="{00000000-0005-0000-0000-00008A6F0000}"/>
    <cellStyle name="Normal 2 6 2 2 6 3" xfId="28552" xr:uid="{00000000-0005-0000-0000-00008B6F0000}"/>
    <cellStyle name="Normal 2 6 2 2 6 4" xfId="28553" xr:uid="{00000000-0005-0000-0000-00008C6F0000}"/>
    <cellStyle name="Normal 2 6 2 2 7" xfId="28554" xr:uid="{00000000-0005-0000-0000-00008D6F0000}"/>
    <cellStyle name="Normal 2 6 2 2 7 2" xfId="28555" xr:uid="{00000000-0005-0000-0000-00008E6F0000}"/>
    <cellStyle name="Normal 2 6 2 2 8" xfId="28556" xr:uid="{00000000-0005-0000-0000-00008F6F0000}"/>
    <cellStyle name="Normal 2 6 2 2 9" xfId="28557" xr:uid="{00000000-0005-0000-0000-0000906F0000}"/>
    <cellStyle name="Normal 2 6 2 20" xfId="28558" xr:uid="{00000000-0005-0000-0000-0000916F0000}"/>
    <cellStyle name="Normal 2 6 2 21" xfId="28559" xr:uid="{00000000-0005-0000-0000-0000926F0000}"/>
    <cellStyle name="Normal 2 6 2 22" xfId="28560" xr:uid="{00000000-0005-0000-0000-0000936F0000}"/>
    <cellStyle name="Normal 2 6 2 3" xfId="28561" xr:uid="{00000000-0005-0000-0000-0000946F0000}"/>
    <cellStyle name="Normal 2 6 2 3 10" xfId="28562" xr:uid="{00000000-0005-0000-0000-0000956F0000}"/>
    <cellStyle name="Normal 2 6 2 3 11" xfId="28563" xr:uid="{00000000-0005-0000-0000-0000966F0000}"/>
    <cellStyle name="Normal 2 6 2 3 2" xfId="28564" xr:uid="{00000000-0005-0000-0000-0000976F0000}"/>
    <cellStyle name="Normal 2 6 2 3 2 2" xfId="28565" xr:uid="{00000000-0005-0000-0000-0000986F0000}"/>
    <cellStyle name="Normal 2 6 2 3 2 2 2" xfId="28566" xr:uid="{00000000-0005-0000-0000-0000996F0000}"/>
    <cellStyle name="Normal 2 6 2 3 2 2 2 2" xfId="28567" xr:uid="{00000000-0005-0000-0000-00009A6F0000}"/>
    <cellStyle name="Normal 2 6 2 3 2 2 2 3" xfId="28568" xr:uid="{00000000-0005-0000-0000-00009B6F0000}"/>
    <cellStyle name="Normal 2 6 2 3 2 2 3" xfId="28569" xr:uid="{00000000-0005-0000-0000-00009C6F0000}"/>
    <cellStyle name="Normal 2 6 2 3 2 2 4" xfId="28570" xr:uid="{00000000-0005-0000-0000-00009D6F0000}"/>
    <cellStyle name="Normal 2 6 2 3 2 2 5" xfId="28571" xr:uid="{00000000-0005-0000-0000-00009E6F0000}"/>
    <cellStyle name="Normal 2 6 2 3 2 2 6" xfId="28572" xr:uid="{00000000-0005-0000-0000-00009F6F0000}"/>
    <cellStyle name="Normal 2 6 2 3 2 3" xfId="28573" xr:uid="{00000000-0005-0000-0000-0000A06F0000}"/>
    <cellStyle name="Normal 2 6 2 3 2 3 2" xfId="28574" xr:uid="{00000000-0005-0000-0000-0000A16F0000}"/>
    <cellStyle name="Normal 2 6 2 3 2 3 2 2" xfId="28575" xr:uid="{00000000-0005-0000-0000-0000A26F0000}"/>
    <cellStyle name="Normal 2 6 2 3 2 3 3" xfId="28576" xr:uid="{00000000-0005-0000-0000-0000A36F0000}"/>
    <cellStyle name="Normal 2 6 2 3 2 3 4" xfId="28577" xr:uid="{00000000-0005-0000-0000-0000A46F0000}"/>
    <cellStyle name="Normal 2 6 2 3 2 3 5" xfId="28578" xr:uid="{00000000-0005-0000-0000-0000A56F0000}"/>
    <cellStyle name="Normal 2 6 2 3 2 4" xfId="28579" xr:uid="{00000000-0005-0000-0000-0000A66F0000}"/>
    <cellStyle name="Normal 2 6 2 3 2 4 2" xfId="28580" xr:uid="{00000000-0005-0000-0000-0000A76F0000}"/>
    <cellStyle name="Normal 2 6 2 3 2 4 3" xfId="28581" xr:uid="{00000000-0005-0000-0000-0000A86F0000}"/>
    <cellStyle name="Normal 2 6 2 3 2 4 4" xfId="28582" xr:uid="{00000000-0005-0000-0000-0000A96F0000}"/>
    <cellStyle name="Normal 2 6 2 3 2 5" xfId="28583" xr:uid="{00000000-0005-0000-0000-0000AA6F0000}"/>
    <cellStyle name="Normal 2 6 2 3 2 5 2" xfId="28584" xr:uid="{00000000-0005-0000-0000-0000AB6F0000}"/>
    <cellStyle name="Normal 2 6 2 3 2 6" xfId="28585" xr:uid="{00000000-0005-0000-0000-0000AC6F0000}"/>
    <cellStyle name="Normal 2 6 2 3 2 7" xfId="28586" xr:uid="{00000000-0005-0000-0000-0000AD6F0000}"/>
    <cellStyle name="Normal 2 6 2 3 2 8" xfId="28587" xr:uid="{00000000-0005-0000-0000-0000AE6F0000}"/>
    <cellStyle name="Normal 2 6 2 3 2 9" xfId="28588" xr:uid="{00000000-0005-0000-0000-0000AF6F0000}"/>
    <cellStyle name="Normal 2 6 2 3 3" xfId="28589" xr:uid="{00000000-0005-0000-0000-0000B06F0000}"/>
    <cellStyle name="Normal 2 6 2 3 3 2" xfId="28590" xr:uid="{00000000-0005-0000-0000-0000B16F0000}"/>
    <cellStyle name="Normal 2 6 2 3 3 2 2" xfId="28591" xr:uid="{00000000-0005-0000-0000-0000B26F0000}"/>
    <cellStyle name="Normal 2 6 2 3 3 2 2 2" xfId="28592" xr:uid="{00000000-0005-0000-0000-0000B36F0000}"/>
    <cellStyle name="Normal 2 6 2 3 3 2 2 3" xfId="28593" xr:uid="{00000000-0005-0000-0000-0000B46F0000}"/>
    <cellStyle name="Normal 2 6 2 3 3 2 3" xfId="28594" xr:uid="{00000000-0005-0000-0000-0000B56F0000}"/>
    <cellStyle name="Normal 2 6 2 3 3 2 4" xfId="28595" xr:uid="{00000000-0005-0000-0000-0000B66F0000}"/>
    <cellStyle name="Normal 2 6 2 3 3 2 5" xfId="28596" xr:uid="{00000000-0005-0000-0000-0000B76F0000}"/>
    <cellStyle name="Normal 2 6 2 3 3 2 6" xfId="28597" xr:uid="{00000000-0005-0000-0000-0000B86F0000}"/>
    <cellStyle name="Normal 2 6 2 3 3 3" xfId="28598" xr:uid="{00000000-0005-0000-0000-0000B96F0000}"/>
    <cellStyle name="Normal 2 6 2 3 3 3 2" xfId="28599" xr:uid="{00000000-0005-0000-0000-0000BA6F0000}"/>
    <cellStyle name="Normal 2 6 2 3 3 3 2 2" xfId="28600" xr:uid="{00000000-0005-0000-0000-0000BB6F0000}"/>
    <cellStyle name="Normal 2 6 2 3 3 3 3" xfId="28601" xr:uid="{00000000-0005-0000-0000-0000BC6F0000}"/>
    <cellStyle name="Normal 2 6 2 3 3 3 4" xfId="28602" xr:uid="{00000000-0005-0000-0000-0000BD6F0000}"/>
    <cellStyle name="Normal 2 6 2 3 3 3 5" xfId="28603" xr:uid="{00000000-0005-0000-0000-0000BE6F0000}"/>
    <cellStyle name="Normal 2 6 2 3 3 4" xfId="28604" xr:uid="{00000000-0005-0000-0000-0000BF6F0000}"/>
    <cellStyle name="Normal 2 6 2 3 3 4 2" xfId="28605" xr:uid="{00000000-0005-0000-0000-0000C06F0000}"/>
    <cellStyle name="Normal 2 6 2 3 3 4 3" xfId="28606" xr:uid="{00000000-0005-0000-0000-0000C16F0000}"/>
    <cellStyle name="Normal 2 6 2 3 3 4 4" xfId="28607" xr:uid="{00000000-0005-0000-0000-0000C26F0000}"/>
    <cellStyle name="Normal 2 6 2 3 3 5" xfId="28608" xr:uid="{00000000-0005-0000-0000-0000C36F0000}"/>
    <cellStyle name="Normal 2 6 2 3 3 5 2" xfId="28609" xr:uid="{00000000-0005-0000-0000-0000C46F0000}"/>
    <cellStyle name="Normal 2 6 2 3 3 6" xfId="28610" xr:uid="{00000000-0005-0000-0000-0000C56F0000}"/>
    <cellStyle name="Normal 2 6 2 3 3 7" xfId="28611" xr:uid="{00000000-0005-0000-0000-0000C66F0000}"/>
    <cellStyle name="Normal 2 6 2 3 3 8" xfId="28612" xr:uid="{00000000-0005-0000-0000-0000C76F0000}"/>
    <cellStyle name="Normal 2 6 2 3 3 9" xfId="28613" xr:uid="{00000000-0005-0000-0000-0000C86F0000}"/>
    <cellStyle name="Normal 2 6 2 3 4" xfId="28614" xr:uid="{00000000-0005-0000-0000-0000C96F0000}"/>
    <cellStyle name="Normal 2 6 2 3 4 2" xfId="28615" xr:uid="{00000000-0005-0000-0000-0000CA6F0000}"/>
    <cellStyle name="Normal 2 6 2 3 4 2 2" xfId="28616" xr:uid="{00000000-0005-0000-0000-0000CB6F0000}"/>
    <cellStyle name="Normal 2 6 2 3 4 2 3" xfId="28617" xr:uid="{00000000-0005-0000-0000-0000CC6F0000}"/>
    <cellStyle name="Normal 2 6 2 3 4 3" xfId="28618" xr:uid="{00000000-0005-0000-0000-0000CD6F0000}"/>
    <cellStyle name="Normal 2 6 2 3 4 4" xfId="28619" xr:uid="{00000000-0005-0000-0000-0000CE6F0000}"/>
    <cellStyle name="Normal 2 6 2 3 4 5" xfId="28620" xr:uid="{00000000-0005-0000-0000-0000CF6F0000}"/>
    <cellStyle name="Normal 2 6 2 3 4 6" xfId="28621" xr:uid="{00000000-0005-0000-0000-0000D06F0000}"/>
    <cellStyle name="Normal 2 6 2 3 5" xfId="28622" xr:uid="{00000000-0005-0000-0000-0000D16F0000}"/>
    <cellStyle name="Normal 2 6 2 3 5 2" xfId="28623" xr:uid="{00000000-0005-0000-0000-0000D26F0000}"/>
    <cellStyle name="Normal 2 6 2 3 5 2 2" xfId="28624" xr:uid="{00000000-0005-0000-0000-0000D36F0000}"/>
    <cellStyle name="Normal 2 6 2 3 5 3" xfId="28625" xr:uid="{00000000-0005-0000-0000-0000D46F0000}"/>
    <cellStyle name="Normal 2 6 2 3 5 4" xfId="28626" xr:uid="{00000000-0005-0000-0000-0000D56F0000}"/>
    <cellStyle name="Normal 2 6 2 3 5 5" xfId="28627" xr:uid="{00000000-0005-0000-0000-0000D66F0000}"/>
    <cellStyle name="Normal 2 6 2 3 6" xfId="28628" xr:uid="{00000000-0005-0000-0000-0000D76F0000}"/>
    <cellStyle name="Normal 2 6 2 3 6 2" xfId="28629" xr:uid="{00000000-0005-0000-0000-0000D86F0000}"/>
    <cellStyle name="Normal 2 6 2 3 6 3" xfId="28630" xr:uid="{00000000-0005-0000-0000-0000D96F0000}"/>
    <cellStyle name="Normal 2 6 2 3 6 4" xfId="28631" xr:uid="{00000000-0005-0000-0000-0000DA6F0000}"/>
    <cellStyle name="Normal 2 6 2 3 7" xfId="28632" xr:uid="{00000000-0005-0000-0000-0000DB6F0000}"/>
    <cellStyle name="Normal 2 6 2 3 7 2" xfId="28633" xr:uid="{00000000-0005-0000-0000-0000DC6F0000}"/>
    <cellStyle name="Normal 2 6 2 3 8" xfId="28634" xr:uid="{00000000-0005-0000-0000-0000DD6F0000}"/>
    <cellStyle name="Normal 2 6 2 3 9" xfId="28635" xr:uid="{00000000-0005-0000-0000-0000DE6F0000}"/>
    <cellStyle name="Normal 2 6 2 4" xfId="28636" xr:uid="{00000000-0005-0000-0000-0000DF6F0000}"/>
    <cellStyle name="Normal 2 6 2 4 10" xfId="28637" xr:uid="{00000000-0005-0000-0000-0000E06F0000}"/>
    <cellStyle name="Normal 2 6 2 4 11" xfId="28638" xr:uid="{00000000-0005-0000-0000-0000E16F0000}"/>
    <cellStyle name="Normal 2 6 2 4 2" xfId="28639" xr:uid="{00000000-0005-0000-0000-0000E26F0000}"/>
    <cellStyle name="Normal 2 6 2 4 2 2" xfId="28640" xr:uid="{00000000-0005-0000-0000-0000E36F0000}"/>
    <cellStyle name="Normal 2 6 2 4 2 2 2" xfId="28641" xr:uid="{00000000-0005-0000-0000-0000E46F0000}"/>
    <cellStyle name="Normal 2 6 2 4 2 2 2 2" xfId="28642" xr:uid="{00000000-0005-0000-0000-0000E56F0000}"/>
    <cellStyle name="Normal 2 6 2 4 2 2 2 3" xfId="28643" xr:uid="{00000000-0005-0000-0000-0000E66F0000}"/>
    <cellStyle name="Normal 2 6 2 4 2 2 3" xfId="28644" xr:uid="{00000000-0005-0000-0000-0000E76F0000}"/>
    <cellStyle name="Normal 2 6 2 4 2 2 4" xfId="28645" xr:uid="{00000000-0005-0000-0000-0000E86F0000}"/>
    <cellStyle name="Normal 2 6 2 4 2 2 5" xfId="28646" xr:uid="{00000000-0005-0000-0000-0000E96F0000}"/>
    <cellStyle name="Normal 2 6 2 4 2 2 6" xfId="28647" xr:uid="{00000000-0005-0000-0000-0000EA6F0000}"/>
    <cellStyle name="Normal 2 6 2 4 2 3" xfId="28648" xr:uid="{00000000-0005-0000-0000-0000EB6F0000}"/>
    <cellStyle name="Normal 2 6 2 4 2 3 2" xfId="28649" xr:uid="{00000000-0005-0000-0000-0000EC6F0000}"/>
    <cellStyle name="Normal 2 6 2 4 2 3 2 2" xfId="28650" xr:uid="{00000000-0005-0000-0000-0000ED6F0000}"/>
    <cellStyle name="Normal 2 6 2 4 2 3 3" xfId="28651" xr:uid="{00000000-0005-0000-0000-0000EE6F0000}"/>
    <cellStyle name="Normal 2 6 2 4 2 3 4" xfId="28652" xr:uid="{00000000-0005-0000-0000-0000EF6F0000}"/>
    <cellStyle name="Normal 2 6 2 4 2 3 5" xfId="28653" xr:uid="{00000000-0005-0000-0000-0000F06F0000}"/>
    <cellStyle name="Normal 2 6 2 4 2 4" xfId="28654" xr:uid="{00000000-0005-0000-0000-0000F16F0000}"/>
    <cellStyle name="Normal 2 6 2 4 2 4 2" xfId="28655" xr:uid="{00000000-0005-0000-0000-0000F26F0000}"/>
    <cellStyle name="Normal 2 6 2 4 2 4 3" xfId="28656" xr:uid="{00000000-0005-0000-0000-0000F36F0000}"/>
    <cellStyle name="Normal 2 6 2 4 2 4 4" xfId="28657" xr:uid="{00000000-0005-0000-0000-0000F46F0000}"/>
    <cellStyle name="Normal 2 6 2 4 2 5" xfId="28658" xr:uid="{00000000-0005-0000-0000-0000F56F0000}"/>
    <cellStyle name="Normal 2 6 2 4 2 5 2" xfId="28659" xr:uid="{00000000-0005-0000-0000-0000F66F0000}"/>
    <cellStyle name="Normal 2 6 2 4 2 6" xfId="28660" xr:uid="{00000000-0005-0000-0000-0000F76F0000}"/>
    <cellStyle name="Normal 2 6 2 4 2 7" xfId="28661" xr:uid="{00000000-0005-0000-0000-0000F86F0000}"/>
    <cellStyle name="Normal 2 6 2 4 2 8" xfId="28662" xr:uid="{00000000-0005-0000-0000-0000F96F0000}"/>
    <cellStyle name="Normal 2 6 2 4 2 9" xfId="28663" xr:uid="{00000000-0005-0000-0000-0000FA6F0000}"/>
    <cellStyle name="Normal 2 6 2 4 3" xfId="28664" xr:uid="{00000000-0005-0000-0000-0000FB6F0000}"/>
    <cellStyle name="Normal 2 6 2 4 3 2" xfId="28665" xr:uid="{00000000-0005-0000-0000-0000FC6F0000}"/>
    <cellStyle name="Normal 2 6 2 4 3 2 2" xfId="28666" xr:uid="{00000000-0005-0000-0000-0000FD6F0000}"/>
    <cellStyle name="Normal 2 6 2 4 3 2 2 2" xfId="28667" xr:uid="{00000000-0005-0000-0000-0000FE6F0000}"/>
    <cellStyle name="Normal 2 6 2 4 3 2 2 3" xfId="28668" xr:uid="{00000000-0005-0000-0000-0000FF6F0000}"/>
    <cellStyle name="Normal 2 6 2 4 3 2 3" xfId="28669" xr:uid="{00000000-0005-0000-0000-000000700000}"/>
    <cellStyle name="Normal 2 6 2 4 3 2 4" xfId="28670" xr:uid="{00000000-0005-0000-0000-000001700000}"/>
    <cellStyle name="Normal 2 6 2 4 3 2 5" xfId="28671" xr:uid="{00000000-0005-0000-0000-000002700000}"/>
    <cellStyle name="Normal 2 6 2 4 3 2 6" xfId="28672" xr:uid="{00000000-0005-0000-0000-000003700000}"/>
    <cellStyle name="Normal 2 6 2 4 3 3" xfId="28673" xr:uid="{00000000-0005-0000-0000-000004700000}"/>
    <cellStyle name="Normal 2 6 2 4 3 3 2" xfId="28674" xr:uid="{00000000-0005-0000-0000-000005700000}"/>
    <cellStyle name="Normal 2 6 2 4 3 3 2 2" xfId="28675" xr:uid="{00000000-0005-0000-0000-000006700000}"/>
    <cellStyle name="Normal 2 6 2 4 3 3 3" xfId="28676" xr:uid="{00000000-0005-0000-0000-000007700000}"/>
    <cellStyle name="Normal 2 6 2 4 3 3 4" xfId="28677" xr:uid="{00000000-0005-0000-0000-000008700000}"/>
    <cellStyle name="Normal 2 6 2 4 3 3 5" xfId="28678" xr:uid="{00000000-0005-0000-0000-000009700000}"/>
    <cellStyle name="Normal 2 6 2 4 3 4" xfId="28679" xr:uid="{00000000-0005-0000-0000-00000A700000}"/>
    <cellStyle name="Normal 2 6 2 4 3 4 2" xfId="28680" xr:uid="{00000000-0005-0000-0000-00000B700000}"/>
    <cellStyle name="Normal 2 6 2 4 3 4 3" xfId="28681" xr:uid="{00000000-0005-0000-0000-00000C700000}"/>
    <cellStyle name="Normal 2 6 2 4 3 4 4" xfId="28682" xr:uid="{00000000-0005-0000-0000-00000D700000}"/>
    <cellStyle name="Normal 2 6 2 4 3 5" xfId="28683" xr:uid="{00000000-0005-0000-0000-00000E700000}"/>
    <cellStyle name="Normal 2 6 2 4 3 5 2" xfId="28684" xr:uid="{00000000-0005-0000-0000-00000F700000}"/>
    <cellStyle name="Normal 2 6 2 4 3 6" xfId="28685" xr:uid="{00000000-0005-0000-0000-000010700000}"/>
    <cellStyle name="Normal 2 6 2 4 3 7" xfId="28686" xr:uid="{00000000-0005-0000-0000-000011700000}"/>
    <cellStyle name="Normal 2 6 2 4 3 8" xfId="28687" xr:uid="{00000000-0005-0000-0000-000012700000}"/>
    <cellStyle name="Normal 2 6 2 4 3 9" xfId="28688" xr:uid="{00000000-0005-0000-0000-000013700000}"/>
    <cellStyle name="Normal 2 6 2 4 4" xfId="28689" xr:uid="{00000000-0005-0000-0000-000014700000}"/>
    <cellStyle name="Normal 2 6 2 4 4 2" xfId="28690" xr:uid="{00000000-0005-0000-0000-000015700000}"/>
    <cellStyle name="Normal 2 6 2 4 4 2 2" xfId="28691" xr:uid="{00000000-0005-0000-0000-000016700000}"/>
    <cellStyle name="Normal 2 6 2 4 4 2 3" xfId="28692" xr:uid="{00000000-0005-0000-0000-000017700000}"/>
    <cellStyle name="Normal 2 6 2 4 4 3" xfId="28693" xr:uid="{00000000-0005-0000-0000-000018700000}"/>
    <cellStyle name="Normal 2 6 2 4 4 4" xfId="28694" xr:uid="{00000000-0005-0000-0000-000019700000}"/>
    <cellStyle name="Normal 2 6 2 4 4 5" xfId="28695" xr:uid="{00000000-0005-0000-0000-00001A700000}"/>
    <cellStyle name="Normal 2 6 2 4 4 6" xfId="28696" xr:uid="{00000000-0005-0000-0000-00001B700000}"/>
    <cellStyle name="Normal 2 6 2 4 5" xfId="28697" xr:uid="{00000000-0005-0000-0000-00001C700000}"/>
    <cellStyle name="Normal 2 6 2 4 5 2" xfId="28698" xr:uid="{00000000-0005-0000-0000-00001D700000}"/>
    <cellStyle name="Normal 2 6 2 4 5 2 2" xfId="28699" xr:uid="{00000000-0005-0000-0000-00001E700000}"/>
    <cellStyle name="Normal 2 6 2 4 5 3" xfId="28700" xr:uid="{00000000-0005-0000-0000-00001F700000}"/>
    <cellStyle name="Normal 2 6 2 4 5 4" xfId="28701" xr:uid="{00000000-0005-0000-0000-000020700000}"/>
    <cellStyle name="Normal 2 6 2 4 5 5" xfId="28702" xr:uid="{00000000-0005-0000-0000-000021700000}"/>
    <cellStyle name="Normal 2 6 2 4 6" xfId="28703" xr:uid="{00000000-0005-0000-0000-000022700000}"/>
    <cellStyle name="Normal 2 6 2 4 6 2" xfId="28704" xr:uid="{00000000-0005-0000-0000-000023700000}"/>
    <cellStyle name="Normal 2 6 2 4 6 3" xfId="28705" xr:uid="{00000000-0005-0000-0000-000024700000}"/>
    <cellStyle name="Normal 2 6 2 4 6 4" xfId="28706" xr:uid="{00000000-0005-0000-0000-000025700000}"/>
    <cellStyle name="Normal 2 6 2 4 7" xfId="28707" xr:uid="{00000000-0005-0000-0000-000026700000}"/>
    <cellStyle name="Normal 2 6 2 4 7 2" xfId="28708" xr:uid="{00000000-0005-0000-0000-000027700000}"/>
    <cellStyle name="Normal 2 6 2 4 8" xfId="28709" xr:uid="{00000000-0005-0000-0000-000028700000}"/>
    <cellStyle name="Normal 2 6 2 4 9" xfId="28710" xr:uid="{00000000-0005-0000-0000-000029700000}"/>
    <cellStyle name="Normal 2 6 2 5" xfId="28711" xr:uid="{00000000-0005-0000-0000-00002A700000}"/>
    <cellStyle name="Normal 2 6 2 5 10" xfId="28712" xr:uid="{00000000-0005-0000-0000-00002B700000}"/>
    <cellStyle name="Normal 2 6 2 5 11" xfId="28713" xr:uid="{00000000-0005-0000-0000-00002C700000}"/>
    <cellStyle name="Normal 2 6 2 5 2" xfId="28714" xr:uid="{00000000-0005-0000-0000-00002D700000}"/>
    <cellStyle name="Normal 2 6 2 5 2 2" xfId="28715" xr:uid="{00000000-0005-0000-0000-00002E700000}"/>
    <cellStyle name="Normal 2 6 2 5 2 2 2" xfId="28716" xr:uid="{00000000-0005-0000-0000-00002F700000}"/>
    <cellStyle name="Normal 2 6 2 5 2 2 2 2" xfId="28717" xr:uid="{00000000-0005-0000-0000-000030700000}"/>
    <cellStyle name="Normal 2 6 2 5 2 2 2 3" xfId="28718" xr:uid="{00000000-0005-0000-0000-000031700000}"/>
    <cellStyle name="Normal 2 6 2 5 2 2 3" xfId="28719" xr:uid="{00000000-0005-0000-0000-000032700000}"/>
    <cellStyle name="Normal 2 6 2 5 2 2 4" xfId="28720" xr:uid="{00000000-0005-0000-0000-000033700000}"/>
    <cellStyle name="Normal 2 6 2 5 2 2 5" xfId="28721" xr:uid="{00000000-0005-0000-0000-000034700000}"/>
    <cellStyle name="Normal 2 6 2 5 2 2 6" xfId="28722" xr:uid="{00000000-0005-0000-0000-000035700000}"/>
    <cellStyle name="Normal 2 6 2 5 2 3" xfId="28723" xr:uid="{00000000-0005-0000-0000-000036700000}"/>
    <cellStyle name="Normal 2 6 2 5 2 3 2" xfId="28724" xr:uid="{00000000-0005-0000-0000-000037700000}"/>
    <cellStyle name="Normal 2 6 2 5 2 3 2 2" xfId="28725" xr:uid="{00000000-0005-0000-0000-000038700000}"/>
    <cellStyle name="Normal 2 6 2 5 2 3 3" xfId="28726" xr:uid="{00000000-0005-0000-0000-000039700000}"/>
    <cellStyle name="Normal 2 6 2 5 2 3 4" xfId="28727" xr:uid="{00000000-0005-0000-0000-00003A700000}"/>
    <cellStyle name="Normal 2 6 2 5 2 3 5" xfId="28728" xr:uid="{00000000-0005-0000-0000-00003B700000}"/>
    <cellStyle name="Normal 2 6 2 5 2 4" xfId="28729" xr:uid="{00000000-0005-0000-0000-00003C700000}"/>
    <cellStyle name="Normal 2 6 2 5 2 4 2" xfId="28730" xr:uid="{00000000-0005-0000-0000-00003D700000}"/>
    <cellStyle name="Normal 2 6 2 5 2 4 3" xfId="28731" xr:uid="{00000000-0005-0000-0000-00003E700000}"/>
    <cellStyle name="Normal 2 6 2 5 2 4 4" xfId="28732" xr:uid="{00000000-0005-0000-0000-00003F700000}"/>
    <cellStyle name="Normal 2 6 2 5 2 5" xfId="28733" xr:uid="{00000000-0005-0000-0000-000040700000}"/>
    <cellStyle name="Normal 2 6 2 5 2 5 2" xfId="28734" xr:uid="{00000000-0005-0000-0000-000041700000}"/>
    <cellStyle name="Normal 2 6 2 5 2 6" xfId="28735" xr:uid="{00000000-0005-0000-0000-000042700000}"/>
    <cellStyle name="Normal 2 6 2 5 2 7" xfId="28736" xr:uid="{00000000-0005-0000-0000-000043700000}"/>
    <cellStyle name="Normal 2 6 2 5 2 8" xfId="28737" xr:uid="{00000000-0005-0000-0000-000044700000}"/>
    <cellStyle name="Normal 2 6 2 5 2 9" xfId="28738" xr:uid="{00000000-0005-0000-0000-000045700000}"/>
    <cellStyle name="Normal 2 6 2 5 3" xfId="28739" xr:uid="{00000000-0005-0000-0000-000046700000}"/>
    <cellStyle name="Normal 2 6 2 5 3 2" xfId="28740" xr:uid="{00000000-0005-0000-0000-000047700000}"/>
    <cellStyle name="Normal 2 6 2 5 3 2 2" xfId="28741" xr:uid="{00000000-0005-0000-0000-000048700000}"/>
    <cellStyle name="Normal 2 6 2 5 3 2 2 2" xfId="28742" xr:uid="{00000000-0005-0000-0000-000049700000}"/>
    <cellStyle name="Normal 2 6 2 5 3 2 2 3" xfId="28743" xr:uid="{00000000-0005-0000-0000-00004A700000}"/>
    <cellStyle name="Normal 2 6 2 5 3 2 3" xfId="28744" xr:uid="{00000000-0005-0000-0000-00004B700000}"/>
    <cellStyle name="Normal 2 6 2 5 3 2 4" xfId="28745" xr:uid="{00000000-0005-0000-0000-00004C700000}"/>
    <cellStyle name="Normal 2 6 2 5 3 2 5" xfId="28746" xr:uid="{00000000-0005-0000-0000-00004D700000}"/>
    <cellStyle name="Normal 2 6 2 5 3 2 6" xfId="28747" xr:uid="{00000000-0005-0000-0000-00004E700000}"/>
    <cellStyle name="Normal 2 6 2 5 3 3" xfId="28748" xr:uid="{00000000-0005-0000-0000-00004F700000}"/>
    <cellStyle name="Normal 2 6 2 5 3 3 2" xfId="28749" xr:uid="{00000000-0005-0000-0000-000050700000}"/>
    <cellStyle name="Normal 2 6 2 5 3 3 2 2" xfId="28750" xr:uid="{00000000-0005-0000-0000-000051700000}"/>
    <cellStyle name="Normal 2 6 2 5 3 3 3" xfId="28751" xr:uid="{00000000-0005-0000-0000-000052700000}"/>
    <cellStyle name="Normal 2 6 2 5 3 3 4" xfId="28752" xr:uid="{00000000-0005-0000-0000-000053700000}"/>
    <cellStyle name="Normal 2 6 2 5 3 3 5" xfId="28753" xr:uid="{00000000-0005-0000-0000-000054700000}"/>
    <cellStyle name="Normal 2 6 2 5 3 4" xfId="28754" xr:uid="{00000000-0005-0000-0000-000055700000}"/>
    <cellStyle name="Normal 2 6 2 5 3 4 2" xfId="28755" xr:uid="{00000000-0005-0000-0000-000056700000}"/>
    <cellStyle name="Normal 2 6 2 5 3 4 3" xfId="28756" xr:uid="{00000000-0005-0000-0000-000057700000}"/>
    <cellStyle name="Normal 2 6 2 5 3 4 4" xfId="28757" xr:uid="{00000000-0005-0000-0000-000058700000}"/>
    <cellStyle name="Normal 2 6 2 5 3 5" xfId="28758" xr:uid="{00000000-0005-0000-0000-000059700000}"/>
    <cellStyle name="Normal 2 6 2 5 3 5 2" xfId="28759" xr:uid="{00000000-0005-0000-0000-00005A700000}"/>
    <cellStyle name="Normal 2 6 2 5 3 6" xfId="28760" xr:uid="{00000000-0005-0000-0000-00005B700000}"/>
    <cellStyle name="Normal 2 6 2 5 3 7" xfId="28761" xr:uid="{00000000-0005-0000-0000-00005C700000}"/>
    <cellStyle name="Normal 2 6 2 5 3 8" xfId="28762" xr:uid="{00000000-0005-0000-0000-00005D700000}"/>
    <cellStyle name="Normal 2 6 2 5 3 9" xfId="28763" xr:uid="{00000000-0005-0000-0000-00005E700000}"/>
    <cellStyle name="Normal 2 6 2 5 4" xfId="28764" xr:uid="{00000000-0005-0000-0000-00005F700000}"/>
    <cellStyle name="Normal 2 6 2 5 4 2" xfId="28765" xr:uid="{00000000-0005-0000-0000-000060700000}"/>
    <cellStyle name="Normal 2 6 2 5 4 2 2" xfId="28766" xr:uid="{00000000-0005-0000-0000-000061700000}"/>
    <cellStyle name="Normal 2 6 2 5 4 2 3" xfId="28767" xr:uid="{00000000-0005-0000-0000-000062700000}"/>
    <cellStyle name="Normal 2 6 2 5 4 3" xfId="28768" xr:uid="{00000000-0005-0000-0000-000063700000}"/>
    <cellStyle name="Normal 2 6 2 5 4 4" xfId="28769" xr:uid="{00000000-0005-0000-0000-000064700000}"/>
    <cellStyle name="Normal 2 6 2 5 4 5" xfId="28770" xr:uid="{00000000-0005-0000-0000-000065700000}"/>
    <cellStyle name="Normal 2 6 2 5 4 6" xfId="28771" xr:uid="{00000000-0005-0000-0000-000066700000}"/>
    <cellStyle name="Normal 2 6 2 5 5" xfId="28772" xr:uid="{00000000-0005-0000-0000-000067700000}"/>
    <cellStyle name="Normal 2 6 2 5 5 2" xfId="28773" xr:uid="{00000000-0005-0000-0000-000068700000}"/>
    <cellStyle name="Normal 2 6 2 5 5 2 2" xfId="28774" xr:uid="{00000000-0005-0000-0000-000069700000}"/>
    <cellStyle name="Normal 2 6 2 5 5 3" xfId="28775" xr:uid="{00000000-0005-0000-0000-00006A700000}"/>
    <cellStyle name="Normal 2 6 2 5 5 4" xfId="28776" xr:uid="{00000000-0005-0000-0000-00006B700000}"/>
    <cellStyle name="Normal 2 6 2 5 5 5" xfId="28777" xr:uid="{00000000-0005-0000-0000-00006C700000}"/>
    <cellStyle name="Normal 2 6 2 5 6" xfId="28778" xr:uid="{00000000-0005-0000-0000-00006D700000}"/>
    <cellStyle name="Normal 2 6 2 5 6 2" xfId="28779" xr:uid="{00000000-0005-0000-0000-00006E700000}"/>
    <cellStyle name="Normal 2 6 2 5 6 3" xfId="28780" xr:uid="{00000000-0005-0000-0000-00006F700000}"/>
    <cellStyle name="Normal 2 6 2 5 6 4" xfId="28781" xr:uid="{00000000-0005-0000-0000-000070700000}"/>
    <cellStyle name="Normal 2 6 2 5 7" xfId="28782" xr:uid="{00000000-0005-0000-0000-000071700000}"/>
    <cellStyle name="Normal 2 6 2 5 7 2" xfId="28783" xr:uid="{00000000-0005-0000-0000-000072700000}"/>
    <cellStyle name="Normal 2 6 2 5 8" xfId="28784" xr:uid="{00000000-0005-0000-0000-000073700000}"/>
    <cellStyle name="Normal 2 6 2 5 9" xfId="28785" xr:uid="{00000000-0005-0000-0000-000074700000}"/>
    <cellStyle name="Normal 2 6 2 6" xfId="28786" xr:uid="{00000000-0005-0000-0000-000075700000}"/>
    <cellStyle name="Normal 2 6 2 6 10" xfId="28787" xr:uid="{00000000-0005-0000-0000-000076700000}"/>
    <cellStyle name="Normal 2 6 2 6 11" xfId="28788" xr:uid="{00000000-0005-0000-0000-000077700000}"/>
    <cellStyle name="Normal 2 6 2 6 2" xfId="28789" xr:uid="{00000000-0005-0000-0000-000078700000}"/>
    <cellStyle name="Normal 2 6 2 6 2 2" xfId="28790" xr:uid="{00000000-0005-0000-0000-000079700000}"/>
    <cellStyle name="Normal 2 6 2 6 2 2 2" xfId="28791" xr:uid="{00000000-0005-0000-0000-00007A700000}"/>
    <cellStyle name="Normal 2 6 2 6 2 2 2 2" xfId="28792" xr:uid="{00000000-0005-0000-0000-00007B700000}"/>
    <cellStyle name="Normal 2 6 2 6 2 2 2 3" xfId="28793" xr:uid="{00000000-0005-0000-0000-00007C700000}"/>
    <cellStyle name="Normal 2 6 2 6 2 2 3" xfId="28794" xr:uid="{00000000-0005-0000-0000-00007D700000}"/>
    <cellStyle name="Normal 2 6 2 6 2 2 4" xfId="28795" xr:uid="{00000000-0005-0000-0000-00007E700000}"/>
    <cellStyle name="Normal 2 6 2 6 2 2 5" xfId="28796" xr:uid="{00000000-0005-0000-0000-00007F700000}"/>
    <cellStyle name="Normal 2 6 2 6 2 2 6" xfId="28797" xr:uid="{00000000-0005-0000-0000-000080700000}"/>
    <cellStyle name="Normal 2 6 2 6 2 3" xfId="28798" xr:uid="{00000000-0005-0000-0000-000081700000}"/>
    <cellStyle name="Normal 2 6 2 6 2 3 2" xfId="28799" xr:uid="{00000000-0005-0000-0000-000082700000}"/>
    <cellStyle name="Normal 2 6 2 6 2 3 2 2" xfId="28800" xr:uid="{00000000-0005-0000-0000-000083700000}"/>
    <cellStyle name="Normal 2 6 2 6 2 3 3" xfId="28801" xr:uid="{00000000-0005-0000-0000-000084700000}"/>
    <cellStyle name="Normal 2 6 2 6 2 3 4" xfId="28802" xr:uid="{00000000-0005-0000-0000-000085700000}"/>
    <cellStyle name="Normal 2 6 2 6 2 3 5" xfId="28803" xr:uid="{00000000-0005-0000-0000-000086700000}"/>
    <cellStyle name="Normal 2 6 2 6 2 4" xfId="28804" xr:uid="{00000000-0005-0000-0000-000087700000}"/>
    <cellStyle name="Normal 2 6 2 6 2 4 2" xfId="28805" xr:uid="{00000000-0005-0000-0000-000088700000}"/>
    <cellStyle name="Normal 2 6 2 6 2 4 3" xfId="28806" xr:uid="{00000000-0005-0000-0000-000089700000}"/>
    <cellStyle name="Normal 2 6 2 6 2 4 4" xfId="28807" xr:uid="{00000000-0005-0000-0000-00008A700000}"/>
    <cellStyle name="Normal 2 6 2 6 2 5" xfId="28808" xr:uid="{00000000-0005-0000-0000-00008B700000}"/>
    <cellStyle name="Normal 2 6 2 6 2 5 2" xfId="28809" xr:uid="{00000000-0005-0000-0000-00008C700000}"/>
    <cellStyle name="Normal 2 6 2 6 2 6" xfId="28810" xr:uid="{00000000-0005-0000-0000-00008D700000}"/>
    <cellStyle name="Normal 2 6 2 6 2 7" xfId="28811" xr:uid="{00000000-0005-0000-0000-00008E700000}"/>
    <cellStyle name="Normal 2 6 2 6 2 8" xfId="28812" xr:uid="{00000000-0005-0000-0000-00008F700000}"/>
    <cellStyle name="Normal 2 6 2 6 2 9" xfId="28813" xr:uid="{00000000-0005-0000-0000-000090700000}"/>
    <cellStyle name="Normal 2 6 2 6 3" xfId="28814" xr:uid="{00000000-0005-0000-0000-000091700000}"/>
    <cellStyle name="Normal 2 6 2 6 3 2" xfId="28815" xr:uid="{00000000-0005-0000-0000-000092700000}"/>
    <cellStyle name="Normal 2 6 2 6 3 2 2" xfId="28816" xr:uid="{00000000-0005-0000-0000-000093700000}"/>
    <cellStyle name="Normal 2 6 2 6 3 2 2 2" xfId="28817" xr:uid="{00000000-0005-0000-0000-000094700000}"/>
    <cellStyle name="Normal 2 6 2 6 3 2 2 3" xfId="28818" xr:uid="{00000000-0005-0000-0000-000095700000}"/>
    <cellStyle name="Normal 2 6 2 6 3 2 3" xfId="28819" xr:uid="{00000000-0005-0000-0000-000096700000}"/>
    <cellStyle name="Normal 2 6 2 6 3 2 4" xfId="28820" xr:uid="{00000000-0005-0000-0000-000097700000}"/>
    <cellStyle name="Normal 2 6 2 6 3 2 5" xfId="28821" xr:uid="{00000000-0005-0000-0000-000098700000}"/>
    <cellStyle name="Normal 2 6 2 6 3 2 6" xfId="28822" xr:uid="{00000000-0005-0000-0000-000099700000}"/>
    <cellStyle name="Normal 2 6 2 6 3 3" xfId="28823" xr:uid="{00000000-0005-0000-0000-00009A700000}"/>
    <cellStyle name="Normal 2 6 2 6 3 3 2" xfId="28824" xr:uid="{00000000-0005-0000-0000-00009B700000}"/>
    <cellStyle name="Normal 2 6 2 6 3 3 2 2" xfId="28825" xr:uid="{00000000-0005-0000-0000-00009C700000}"/>
    <cellStyle name="Normal 2 6 2 6 3 3 3" xfId="28826" xr:uid="{00000000-0005-0000-0000-00009D700000}"/>
    <cellStyle name="Normal 2 6 2 6 3 3 4" xfId="28827" xr:uid="{00000000-0005-0000-0000-00009E700000}"/>
    <cellStyle name="Normal 2 6 2 6 3 3 5" xfId="28828" xr:uid="{00000000-0005-0000-0000-00009F700000}"/>
    <cellStyle name="Normal 2 6 2 6 3 4" xfId="28829" xr:uid="{00000000-0005-0000-0000-0000A0700000}"/>
    <cellStyle name="Normal 2 6 2 6 3 4 2" xfId="28830" xr:uid="{00000000-0005-0000-0000-0000A1700000}"/>
    <cellStyle name="Normal 2 6 2 6 3 4 3" xfId="28831" xr:uid="{00000000-0005-0000-0000-0000A2700000}"/>
    <cellStyle name="Normal 2 6 2 6 3 4 4" xfId="28832" xr:uid="{00000000-0005-0000-0000-0000A3700000}"/>
    <cellStyle name="Normal 2 6 2 6 3 5" xfId="28833" xr:uid="{00000000-0005-0000-0000-0000A4700000}"/>
    <cellStyle name="Normal 2 6 2 6 3 5 2" xfId="28834" xr:uid="{00000000-0005-0000-0000-0000A5700000}"/>
    <cellStyle name="Normal 2 6 2 6 3 6" xfId="28835" xr:uid="{00000000-0005-0000-0000-0000A6700000}"/>
    <cellStyle name="Normal 2 6 2 6 3 7" xfId="28836" xr:uid="{00000000-0005-0000-0000-0000A7700000}"/>
    <cellStyle name="Normal 2 6 2 6 3 8" xfId="28837" xr:uid="{00000000-0005-0000-0000-0000A8700000}"/>
    <cellStyle name="Normal 2 6 2 6 3 9" xfId="28838" xr:uid="{00000000-0005-0000-0000-0000A9700000}"/>
    <cellStyle name="Normal 2 6 2 6 4" xfId="28839" xr:uid="{00000000-0005-0000-0000-0000AA700000}"/>
    <cellStyle name="Normal 2 6 2 6 4 2" xfId="28840" xr:uid="{00000000-0005-0000-0000-0000AB700000}"/>
    <cellStyle name="Normal 2 6 2 6 4 2 2" xfId="28841" xr:uid="{00000000-0005-0000-0000-0000AC700000}"/>
    <cellStyle name="Normal 2 6 2 6 4 2 3" xfId="28842" xr:uid="{00000000-0005-0000-0000-0000AD700000}"/>
    <cellStyle name="Normal 2 6 2 6 4 3" xfId="28843" xr:uid="{00000000-0005-0000-0000-0000AE700000}"/>
    <cellStyle name="Normal 2 6 2 6 4 4" xfId="28844" xr:uid="{00000000-0005-0000-0000-0000AF700000}"/>
    <cellStyle name="Normal 2 6 2 6 4 5" xfId="28845" xr:uid="{00000000-0005-0000-0000-0000B0700000}"/>
    <cellStyle name="Normal 2 6 2 6 4 6" xfId="28846" xr:uid="{00000000-0005-0000-0000-0000B1700000}"/>
    <cellStyle name="Normal 2 6 2 6 5" xfId="28847" xr:uid="{00000000-0005-0000-0000-0000B2700000}"/>
    <cellStyle name="Normal 2 6 2 6 5 2" xfId="28848" xr:uid="{00000000-0005-0000-0000-0000B3700000}"/>
    <cellStyle name="Normal 2 6 2 6 5 2 2" xfId="28849" xr:uid="{00000000-0005-0000-0000-0000B4700000}"/>
    <cellStyle name="Normal 2 6 2 6 5 3" xfId="28850" xr:uid="{00000000-0005-0000-0000-0000B5700000}"/>
    <cellStyle name="Normal 2 6 2 6 5 4" xfId="28851" xr:uid="{00000000-0005-0000-0000-0000B6700000}"/>
    <cellStyle name="Normal 2 6 2 6 5 5" xfId="28852" xr:uid="{00000000-0005-0000-0000-0000B7700000}"/>
    <cellStyle name="Normal 2 6 2 6 6" xfId="28853" xr:uid="{00000000-0005-0000-0000-0000B8700000}"/>
    <cellStyle name="Normal 2 6 2 6 6 2" xfId="28854" xr:uid="{00000000-0005-0000-0000-0000B9700000}"/>
    <cellStyle name="Normal 2 6 2 6 6 3" xfId="28855" xr:uid="{00000000-0005-0000-0000-0000BA700000}"/>
    <cellStyle name="Normal 2 6 2 6 6 4" xfId="28856" xr:uid="{00000000-0005-0000-0000-0000BB700000}"/>
    <cellStyle name="Normal 2 6 2 6 7" xfId="28857" xr:uid="{00000000-0005-0000-0000-0000BC700000}"/>
    <cellStyle name="Normal 2 6 2 6 7 2" xfId="28858" xr:uid="{00000000-0005-0000-0000-0000BD700000}"/>
    <cellStyle name="Normal 2 6 2 6 8" xfId="28859" xr:uid="{00000000-0005-0000-0000-0000BE700000}"/>
    <cellStyle name="Normal 2 6 2 6 9" xfId="28860" xr:uid="{00000000-0005-0000-0000-0000BF700000}"/>
    <cellStyle name="Normal 2 6 2 7" xfId="28861" xr:uid="{00000000-0005-0000-0000-0000C0700000}"/>
    <cellStyle name="Normal 2 6 2 7 10" xfId="28862" xr:uid="{00000000-0005-0000-0000-0000C1700000}"/>
    <cellStyle name="Normal 2 6 2 7 11" xfId="28863" xr:uid="{00000000-0005-0000-0000-0000C2700000}"/>
    <cellStyle name="Normal 2 6 2 7 2" xfId="28864" xr:uid="{00000000-0005-0000-0000-0000C3700000}"/>
    <cellStyle name="Normal 2 6 2 7 2 2" xfId="28865" xr:uid="{00000000-0005-0000-0000-0000C4700000}"/>
    <cellStyle name="Normal 2 6 2 7 2 2 2" xfId="28866" xr:uid="{00000000-0005-0000-0000-0000C5700000}"/>
    <cellStyle name="Normal 2 6 2 7 2 2 2 2" xfId="28867" xr:uid="{00000000-0005-0000-0000-0000C6700000}"/>
    <cellStyle name="Normal 2 6 2 7 2 2 2 3" xfId="28868" xr:uid="{00000000-0005-0000-0000-0000C7700000}"/>
    <cellStyle name="Normal 2 6 2 7 2 2 3" xfId="28869" xr:uid="{00000000-0005-0000-0000-0000C8700000}"/>
    <cellStyle name="Normal 2 6 2 7 2 2 4" xfId="28870" xr:uid="{00000000-0005-0000-0000-0000C9700000}"/>
    <cellStyle name="Normal 2 6 2 7 2 2 5" xfId="28871" xr:uid="{00000000-0005-0000-0000-0000CA700000}"/>
    <cellStyle name="Normal 2 6 2 7 2 2 6" xfId="28872" xr:uid="{00000000-0005-0000-0000-0000CB700000}"/>
    <cellStyle name="Normal 2 6 2 7 2 3" xfId="28873" xr:uid="{00000000-0005-0000-0000-0000CC700000}"/>
    <cellStyle name="Normal 2 6 2 7 2 3 2" xfId="28874" xr:uid="{00000000-0005-0000-0000-0000CD700000}"/>
    <cellStyle name="Normal 2 6 2 7 2 3 2 2" xfId="28875" xr:uid="{00000000-0005-0000-0000-0000CE700000}"/>
    <cellStyle name="Normal 2 6 2 7 2 3 3" xfId="28876" xr:uid="{00000000-0005-0000-0000-0000CF700000}"/>
    <cellStyle name="Normal 2 6 2 7 2 3 4" xfId="28877" xr:uid="{00000000-0005-0000-0000-0000D0700000}"/>
    <cellStyle name="Normal 2 6 2 7 2 3 5" xfId="28878" xr:uid="{00000000-0005-0000-0000-0000D1700000}"/>
    <cellStyle name="Normal 2 6 2 7 2 4" xfId="28879" xr:uid="{00000000-0005-0000-0000-0000D2700000}"/>
    <cellStyle name="Normal 2 6 2 7 2 4 2" xfId="28880" xr:uid="{00000000-0005-0000-0000-0000D3700000}"/>
    <cellStyle name="Normal 2 6 2 7 2 4 3" xfId="28881" xr:uid="{00000000-0005-0000-0000-0000D4700000}"/>
    <cellStyle name="Normal 2 6 2 7 2 4 4" xfId="28882" xr:uid="{00000000-0005-0000-0000-0000D5700000}"/>
    <cellStyle name="Normal 2 6 2 7 2 5" xfId="28883" xr:uid="{00000000-0005-0000-0000-0000D6700000}"/>
    <cellStyle name="Normal 2 6 2 7 2 5 2" xfId="28884" xr:uid="{00000000-0005-0000-0000-0000D7700000}"/>
    <cellStyle name="Normal 2 6 2 7 2 6" xfId="28885" xr:uid="{00000000-0005-0000-0000-0000D8700000}"/>
    <cellStyle name="Normal 2 6 2 7 2 7" xfId="28886" xr:uid="{00000000-0005-0000-0000-0000D9700000}"/>
    <cellStyle name="Normal 2 6 2 7 2 8" xfId="28887" xr:uid="{00000000-0005-0000-0000-0000DA700000}"/>
    <cellStyle name="Normal 2 6 2 7 2 9" xfId="28888" xr:uid="{00000000-0005-0000-0000-0000DB700000}"/>
    <cellStyle name="Normal 2 6 2 7 3" xfId="28889" xr:uid="{00000000-0005-0000-0000-0000DC700000}"/>
    <cellStyle name="Normal 2 6 2 7 3 2" xfId="28890" xr:uid="{00000000-0005-0000-0000-0000DD700000}"/>
    <cellStyle name="Normal 2 6 2 7 3 2 2" xfId="28891" xr:uid="{00000000-0005-0000-0000-0000DE700000}"/>
    <cellStyle name="Normal 2 6 2 7 3 2 2 2" xfId="28892" xr:uid="{00000000-0005-0000-0000-0000DF700000}"/>
    <cellStyle name="Normal 2 6 2 7 3 2 2 3" xfId="28893" xr:uid="{00000000-0005-0000-0000-0000E0700000}"/>
    <cellStyle name="Normal 2 6 2 7 3 2 3" xfId="28894" xr:uid="{00000000-0005-0000-0000-0000E1700000}"/>
    <cellStyle name="Normal 2 6 2 7 3 2 4" xfId="28895" xr:uid="{00000000-0005-0000-0000-0000E2700000}"/>
    <cellStyle name="Normal 2 6 2 7 3 2 5" xfId="28896" xr:uid="{00000000-0005-0000-0000-0000E3700000}"/>
    <cellStyle name="Normal 2 6 2 7 3 2 6" xfId="28897" xr:uid="{00000000-0005-0000-0000-0000E4700000}"/>
    <cellStyle name="Normal 2 6 2 7 3 3" xfId="28898" xr:uid="{00000000-0005-0000-0000-0000E5700000}"/>
    <cellStyle name="Normal 2 6 2 7 3 3 2" xfId="28899" xr:uid="{00000000-0005-0000-0000-0000E6700000}"/>
    <cellStyle name="Normal 2 6 2 7 3 3 2 2" xfId="28900" xr:uid="{00000000-0005-0000-0000-0000E7700000}"/>
    <cellStyle name="Normal 2 6 2 7 3 3 3" xfId="28901" xr:uid="{00000000-0005-0000-0000-0000E8700000}"/>
    <cellStyle name="Normal 2 6 2 7 3 3 4" xfId="28902" xr:uid="{00000000-0005-0000-0000-0000E9700000}"/>
    <cellStyle name="Normal 2 6 2 7 3 3 5" xfId="28903" xr:uid="{00000000-0005-0000-0000-0000EA700000}"/>
    <cellStyle name="Normal 2 6 2 7 3 4" xfId="28904" xr:uid="{00000000-0005-0000-0000-0000EB700000}"/>
    <cellStyle name="Normal 2 6 2 7 3 4 2" xfId="28905" xr:uid="{00000000-0005-0000-0000-0000EC700000}"/>
    <cellStyle name="Normal 2 6 2 7 3 4 3" xfId="28906" xr:uid="{00000000-0005-0000-0000-0000ED700000}"/>
    <cellStyle name="Normal 2 6 2 7 3 4 4" xfId="28907" xr:uid="{00000000-0005-0000-0000-0000EE700000}"/>
    <cellStyle name="Normal 2 6 2 7 3 5" xfId="28908" xr:uid="{00000000-0005-0000-0000-0000EF700000}"/>
    <cellStyle name="Normal 2 6 2 7 3 5 2" xfId="28909" xr:uid="{00000000-0005-0000-0000-0000F0700000}"/>
    <cellStyle name="Normal 2 6 2 7 3 6" xfId="28910" xr:uid="{00000000-0005-0000-0000-0000F1700000}"/>
    <cellStyle name="Normal 2 6 2 7 3 7" xfId="28911" xr:uid="{00000000-0005-0000-0000-0000F2700000}"/>
    <cellStyle name="Normal 2 6 2 7 3 8" xfId="28912" xr:uid="{00000000-0005-0000-0000-0000F3700000}"/>
    <cellStyle name="Normal 2 6 2 7 3 9" xfId="28913" xr:uid="{00000000-0005-0000-0000-0000F4700000}"/>
    <cellStyle name="Normal 2 6 2 7 4" xfId="28914" xr:uid="{00000000-0005-0000-0000-0000F5700000}"/>
    <cellStyle name="Normal 2 6 2 7 4 2" xfId="28915" xr:uid="{00000000-0005-0000-0000-0000F6700000}"/>
    <cellStyle name="Normal 2 6 2 7 4 2 2" xfId="28916" xr:uid="{00000000-0005-0000-0000-0000F7700000}"/>
    <cellStyle name="Normal 2 6 2 7 4 2 3" xfId="28917" xr:uid="{00000000-0005-0000-0000-0000F8700000}"/>
    <cellStyle name="Normal 2 6 2 7 4 3" xfId="28918" xr:uid="{00000000-0005-0000-0000-0000F9700000}"/>
    <cellStyle name="Normal 2 6 2 7 4 4" xfId="28919" xr:uid="{00000000-0005-0000-0000-0000FA700000}"/>
    <cellStyle name="Normal 2 6 2 7 4 5" xfId="28920" xr:uid="{00000000-0005-0000-0000-0000FB700000}"/>
    <cellStyle name="Normal 2 6 2 7 4 6" xfId="28921" xr:uid="{00000000-0005-0000-0000-0000FC700000}"/>
    <cellStyle name="Normal 2 6 2 7 5" xfId="28922" xr:uid="{00000000-0005-0000-0000-0000FD700000}"/>
    <cellStyle name="Normal 2 6 2 7 5 2" xfId="28923" xr:uid="{00000000-0005-0000-0000-0000FE700000}"/>
    <cellStyle name="Normal 2 6 2 7 5 2 2" xfId="28924" xr:uid="{00000000-0005-0000-0000-0000FF700000}"/>
    <cellStyle name="Normal 2 6 2 7 5 3" xfId="28925" xr:uid="{00000000-0005-0000-0000-000000710000}"/>
    <cellStyle name="Normal 2 6 2 7 5 4" xfId="28926" xr:uid="{00000000-0005-0000-0000-000001710000}"/>
    <cellStyle name="Normal 2 6 2 7 5 5" xfId="28927" xr:uid="{00000000-0005-0000-0000-000002710000}"/>
    <cellStyle name="Normal 2 6 2 7 6" xfId="28928" xr:uid="{00000000-0005-0000-0000-000003710000}"/>
    <cellStyle name="Normal 2 6 2 7 6 2" xfId="28929" xr:uid="{00000000-0005-0000-0000-000004710000}"/>
    <cellStyle name="Normal 2 6 2 7 6 3" xfId="28930" xr:uid="{00000000-0005-0000-0000-000005710000}"/>
    <cellStyle name="Normal 2 6 2 7 6 4" xfId="28931" xr:uid="{00000000-0005-0000-0000-000006710000}"/>
    <cellStyle name="Normal 2 6 2 7 7" xfId="28932" xr:uid="{00000000-0005-0000-0000-000007710000}"/>
    <cellStyle name="Normal 2 6 2 7 7 2" xfId="28933" xr:uid="{00000000-0005-0000-0000-000008710000}"/>
    <cellStyle name="Normal 2 6 2 7 8" xfId="28934" xr:uid="{00000000-0005-0000-0000-000009710000}"/>
    <cellStyle name="Normal 2 6 2 7 9" xfId="28935" xr:uid="{00000000-0005-0000-0000-00000A710000}"/>
    <cellStyle name="Normal 2 6 2 8" xfId="28936" xr:uid="{00000000-0005-0000-0000-00000B710000}"/>
    <cellStyle name="Normal 2 6 2 8 10" xfId="28937" xr:uid="{00000000-0005-0000-0000-00000C710000}"/>
    <cellStyle name="Normal 2 6 2 8 2" xfId="28938" xr:uid="{00000000-0005-0000-0000-00000D710000}"/>
    <cellStyle name="Normal 2 6 2 8 2 2" xfId="28939" xr:uid="{00000000-0005-0000-0000-00000E710000}"/>
    <cellStyle name="Normal 2 6 2 8 2 2 2" xfId="28940" xr:uid="{00000000-0005-0000-0000-00000F710000}"/>
    <cellStyle name="Normal 2 6 2 8 2 2 3" xfId="28941" xr:uid="{00000000-0005-0000-0000-000010710000}"/>
    <cellStyle name="Normal 2 6 2 8 2 3" xfId="28942" xr:uid="{00000000-0005-0000-0000-000011710000}"/>
    <cellStyle name="Normal 2 6 2 8 2 4" xfId="28943" xr:uid="{00000000-0005-0000-0000-000012710000}"/>
    <cellStyle name="Normal 2 6 2 8 2 5" xfId="28944" xr:uid="{00000000-0005-0000-0000-000013710000}"/>
    <cellStyle name="Normal 2 6 2 8 2 6" xfId="28945" xr:uid="{00000000-0005-0000-0000-000014710000}"/>
    <cellStyle name="Normal 2 6 2 8 3" xfId="28946" xr:uid="{00000000-0005-0000-0000-000015710000}"/>
    <cellStyle name="Normal 2 6 2 8 3 2" xfId="28947" xr:uid="{00000000-0005-0000-0000-000016710000}"/>
    <cellStyle name="Normal 2 6 2 8 3 2 2" xfId="28948" xr:uid="{00000000-0005-0000-0000-000017710000}"/>
    <cellStyle name="Normal 2 6 2 8 3 2 3" xfId="28949" xr:uid="{00000000-0005-0000-0000-000018710000}"/>
    <cellStyle name="Normal 2 6 2 8 3 3" xfId="28950" xr:uid="{00000000-0005-0000-0000-000019710000}"/>
    <cellStyle name="Normal 2 6 2 8 3 4" xfId="28951" xr:uid="{00000000-0005-0000-0000-00001A710000}"/>
    <cellStyle name="Normal 2 6 2 8 3 5" xfId="28952" xr:uid="{00000000-0005-0000-0000-00001B710000}"/>
    <cellStyle name="Normal 2 6 2 8 3 6" xfId="28953" xr:uid="{00000000-0005-0000-0000-00001C710000}"/>
    <cellStyle name="Normal 2 6 2 8 4" xfId="28954" xr:uid="{00000000-0005-0000-0000-00001D710000}"/>
    <cellStyle name="Normal 2 6 2 8 4 2" xfId="28955" xr:uid="{00000000-0005-0000-0000-00001E710000}"/>
    <cellStyle name="Normal 2 6 2 8 4 2 2" xfId="28956" xr:uid="{00000000-0005-0000-0000-00001F710000}"/>
    <cellStyle name="Normal 2 6 2 8 4 3" xfId="28957" xr:uid="{00000000-0005-0000-0000-000020710000}"/>
    <cellStyle name="Normal 2 6 2 8 4 4" xfId="28958" xr:uid="{00000000-0005-0000-0000-000021710000}"/>
    <cellStyle name="Normal 2 6 2 8 4 5" xfId="28959" xr:uid="{00000000-0005-0000-0000-000022710000}"/>
    <cellStyle name="Normal 2 6 2 8 5" xfId="28960" xr:uid="{00000000-0005-0000-0000-000023710000}"/>
    <cellStyle name="Normal 2 6 2 8 5 2" xfId="28961" xr:uid="{00000000-0005-0000-0000-000024710000}"/>
    <cellStyle name="Normal 2 6 2 8 5 3" xfId="28962" xr:uid="{00000000-0005-0000-0000-000025710000}"/>
    <cellStyle name="Normal 2 6 2 8 5 4" xfId="28963" xr:uid="{00000000-0005-0000-0000-000026710000}"/>
    <cellStyle name="Normal 2 6 2 8 6" xfId="28964" xr:uid="{00000000-0005-0000-0000-000027710000}"/>
    <cellStyle name="Normal 2 6 2 8 6 2" xfId="28965" xr:uid="{00000000-0005-0000-0000-000028710000}"/>
    <cellStyle name="Normal 2 6 2 8 7" xfId="28966" xr:uid="{00000000-0005-0000-0000-000029710000}"/>
    <cellStyle name="Normal 2 6 2 8 8" xfId="28967" xr:uid="{00000000-0005-0000-0000-00002A710000}"/>
    <cellStyle name="Normal 2 6 2 8 9" xfId="28968" xr:uid="{00000000-0005-0000-0000-00002B710000}"/>
    <cellStyle name="Normal 2 6 2 9" xfId="28969" xr:uid="{00000000-0005-0000-0000-00002C710000}"/>
    <cellStyle name="Normal 2 6 2 9 10" xfId="28970" xr:uid="{00000000-0005-0000-0000-00002D710000}"/>
    <cellStyle name="Normal 2 6 2 9 2" xfId="28971" xr:uid="{00000000-0005-0000-0000-00002E710000}"/>
    <cellStyle name="Normal 2 6 2 9 2 2" xfId="28972" xr:uid="{00000000-0005-0000-0000-00002F710000}"/>
    <cellStyle name="Normal 2 6 2 9 2 2 2" xfId="28973" xr:uid="{00000000-0005-0000-0000-000030710000}"/>
    <cellStyle name="Normal 2 6 2 9 2 2 3" xfId="28974" xr:uid="{00000000-0005-0000-0000-000031710000}"/>
    <cellStyle name="Normal 2 6 2 9 2 3" xfId="28975" xr:uid="{00000000-0005-0000-0000-000032710000}"/>
    <cellStyle name="Normal 2 6 2 9 2 4" xfId="28976" xr:uid="{00000000-0005-0000-0000-000033710000}"/>
    <cellStyle name="Normal 2 6 2 9 2 5" xfId="28977" xr:uid="{00000000-0005-0000-0000-000034710000}"/>
    <cellStyle name="Normal 2 6 2 9 2 6" xfId="28978" xr:uid="{00000000-0005-0000-0000-000035710000}"/>
    <cellStyle name="Normal 2 6 2 9 3" xfId="28979" xr:uid="{00000000-0005-0000-0000-000036710000}"/>
    <cellStyle name="Normal 2 6 2 9 3 2" xfId="28980" xr:uid="{00000000-0005-0000-0000-000037710000}"/>
    <cellStyle name="Normal 2 6 2 9 3 2 2" xfId="28981" xr:uid="{00000000-0005-0000-0000-000038710000}"/>
    <cellStyle name="Normal 2 6 2 9 3 2 3" xfId="28982" xr:uid="{00000000-0005-0000-0000-000039710000}"/>
    <cellStyle name="Normal 2 6 2 9 3 3" xfId="28983" xr:uid="{00000000-0005-0000-0000-00003A710000}"/>
    <cellStyle name="Normal 2 6 2 9 3 4" xfId="28984" xr:uid="{00000000-0005-0000-0000-00003B710000}"/>
    <cellStyle name="Normal 2 6 2 9 3 5" xfId="28985" xr:uid="{00000000-0005-0000-0000-00003C710000}"/>
    <cellStyle name="Normal 2 6 2 9 3 6" xfId="28986" xr:uid="{00000000-0005-0000-0000-00003D710000}"/>
    <cellStyle name="Normal 2 6 2 9 4" xfId="28987" xr:uid="{00000000-0005-0000-0000-00003E710000}"/>
    <cellStyle name="Normal 2 6 2 9 4 2" xfId="28988" xr:uid="{00000000-0005-0000-0000-00003F710000}"/>
    <cellStyle name="Normal 2 6 2 9 4 2 2" xfId="28989" xr:uid="{00000000-0005-0000-0000-000040710000}"/>
    <cellStyle name="Normal 2 6 2 9 4 3" xfId="28990" xr:uid="{00000000-0005-0000-0000-000041710000}"/>
    <cellStyle name="Normal 2 6 2 9 4 4" xfId="28991" xr:uid="{00000000-0005-0000-0000-000042710000}"/>
    <cellStyle name="Normal 2 6 2 9 4 5" xfId="28992" xr:uid="{00000000-0005-0000-0000-000043710000}"/>
    <cellStyle name="Normal 2 6 2 9 5" xfId="28993" xr:uid="{00000000-0005-0000-0000-000044710000}"/>
    <cellStyle name="Normal 2 6 2 9 5 2" xfId="28994" xr:uid="{00000000-0005-0000-0000-000045710000}"/>
    <cellStyle name="Normal 2 6 2 9 5 3" xfId="28995" xr:uid="{00000000-0005-0000-0000-000046710000}"/>
    <cellStyle name="Normal 2 6 2 9 5 4" xfId="28996" xr:uid="{00000000-0005-0000-0000-000047710000}"/>
    <cellStyle name="Normal 2 6 2 9 6" xfId="28997" xr:uid="{00000000-0005-0000-0000-000048710000}"/>
    <cellStyle name="Normal 2 6 2 9 6 2" xfId="28998" xr:uid="{00000000-0005-0000-0000-000049710000}"/>
    <cellStyle name="Normal 2 6 2 9 7" xfId="28999" xr:uid="{00000000-0005-0000-0000-00004A710000}"/>
    <cellStyle name="Normal 2 6 2 9 8" xfId="29000" xr:uid="{00000000-0005-0000-0000-00004B710000}"/>
    <cellStyle name="Normal 2 6 2 9 9" xfId="29001" xr:uid="{00000000-0005-0000-0000-00004C710000}"/>
    <cellStyle name="Normal 2 6 20" xfId="29002" xr:uid="{00000000-0005-0000-0000-00004D710000}"/>
    <cellStyle name="Normal 2 6 20 10" xfId="29003" xr:uid="{00000000-0005-0000-0000-00004E710000}"/>
    <cellStyle name="Normal 2 6 20 2" xfId="29004" xr:uid="{00000000-0005-0000-0000-00004F710000}"/>
    <cellStyle name="Normal 2 6 20 2 2" xfId="29005" xr:uid="{00000000-0005-0000-0000-000050710000}"/>
    <cellStyle name="Normal 2 6 20 2 2 2" xfId="29006" xr:uid="{00000000-0005-0000-0000-000051710000}"/>
    <cellStyle name="Normal 2 6 20 2 2 3" xfId="29007" xr:uid="{00000000-0005-0000-0000-000052710000}"/>
    <cellStyle name="Normal 2 6 20 2 3" xfId="29008" xr:uid="{00000000-0005-0000-0000-000053710000}"/>
    <cellStyle name="Normal 2 6 20 2 4" xfId="29009" xr:uid="{00000000-0005-0000-0000-000054710000}"/>
    <cellStyle name="Normal 2 6 20 2 5" xfId="29010" xr:uid="{00000000-0005-0000-0000-000055710000}"/>
    <cellStyle name="Normal 2 6 20 2 6" xfId="29011" xr:uid="{00000000-0005-0000-0000-000056710000}"/>
    <cellStyle name="Normal 2 6 20 3" xfId="29012" xr:uid="{00000000-0005-0000-0000-000057710000}"/>
    <cellStyle name="Normal 2 6 20 3 2" xfId="29013" xr:uid="{00000000-0005-0000-0000-000058710000}"/>
    <cellStyle name="Normal 2 6 20 3 2 2" xfId="29014" xr:uid="{00000000-0005-0000-0000-000059710000}"/>
    <cellStyle name="Normal 2 6 20 3 2 3" xfId="29015" xr:uid="{00000000-0005-0000-0000-00005A710000}"/>
    <cellStyle name="Normal 2 6 20 3 3" xfId="29016" xr:uid="{00000000-0005-0000-0000-00005B710000}"/>
    <cellStyle name="Normal 2 6 20 3 4" xfId="29017" xr:uid="{00000000-0005-0000-0000-00005C710000}"/>
    <cellStyle name="Normal 2 6 20 3 5" xfId="29018" xr:uid="{00000000-0005-0000-0000-00005D710000}"/>
    <cellStyle name="Normal 2 6 20 3 6" xfId="29019" xr:uid="{00000000-0005-0000-0000-00005E710000}"/>
    <cellStyle name="Normal 2 6 20 4" xfId="29020" xr:uid="{00000000-0005-0000-0000-00005F710000}"/>
    <cellStyle name="Normal 2 6 20 4 2" xfId="29021" xr:uid="{00000000-0005-0000-0000-000060710000}"/>
    <cellStyle name="Normal 2 6 20 4 2 2" xfId="29022" xr:uid="{00000000-0005-0000-0000-000061710000}"/>
    <cellStyle name="Normal 2 6 20 4 3" xfId="29023" xr:uid="{00000000-0005-0000-0000-000062710000}"/>
    <cellStyle name="Normal 2 6 20 4 4" xfId="29024" xr:uid="{00000000-0005-0000-0000-000063710000}"/>
    <cellStyle name="Normal 2 6 20 4 5" xfId="29025" xr:uid="{00000000-0005-0000-0000-000064710000}"/>
    <cellStyle name="Normal 2 6 20 5" xfId="29026" xr:uid="{00000000-0005-0000-0000-000065710000}"/>
    <cellStyle name="Normal 2 6 20 5 2" xfId="29027" xr:uid="{00000000-0005-0000-0000-000066710000}"/>
    <cellStyle name="Normal 2 6 20 5 3" xfId="29028" xr:uid="{00000000-0005-0000-0000-000067710000}"/>
    <cellStyle name="Normal 2 6 20 5 4" xfId="29029" xr:uid="{00000000-0005-0000-0000-000068710000}"/>
    <cellStyle name="Normal 2 6 20 6" xfId="29030" xr:uid="{00000000-0005-0000-0000-000069710000}"/>
    <cellStyle name="Normal 2 6 20 6 2" xfId="29031" xr:uid="{00000000-0005-0000-0000-00006A710000}"/>
    <cellStyle name="Normal 2 6 20 7" xfId="29032" xr:uid="{00000000-0005-0000-0000-00006B710000}"/>
    <cellStyle name="Normal 2 6 20 8" xfId="29033" xr:uid="{00000000-0005-0000-0000-00006C710000}"/>
    <cellStyle name="Normal 2 6 20 9" xfId="29034" xr:uid="{00000000-0005-0000-0000-00006D710000}"/>
    <cellStyle name="Normal 2 6 21" xfId="29035" xr:uid="{00000000-0005-0000-0000-00006E710000}"/>
    <cellStyle name="Normal 2 6 21 10" xfId="29036" xr:uid="{00000000-0005-0000-0000-00006F710000}"/>
    <cellStyle name="Normal 2 6 21 2" xfId="29037" xr:uid="{00000000-0005-0000-0000-000070710000}"/>
    <cellStyle name="Normal 2 6 21 2 2" xfId="29038" xr:uid="{00000000-0005-0000-0000-000071710000}"/>
    <cellStyle name="Normal 2 6 21 2 2 2" xfId="29039" xr:uid="{00000000-0005-0000-0000-000072710000}"/>
    <cellStyle name="Normal 2 6 21 2 2 3" xfId="29040" xr:uid="{00000000-0005-0000-0000-000073710000}"/>
    <cellStyle name="Normal 2 6 21 2 3" xfId="29041" xr:uid="{00000000-0005-0000-0000-000074710000}"/>
    <cellStyle name="Normal 2 6 21 2 4" xfId="29042" xr:uid="{00000000-0005-0000-0000-000075710000}"/>
    <cellStyle name="Normal 2 6 21 2 5" xfId="29043" xr:uid="{00000000-0005-0000-0000-000076710000}"/>
    <cellStyle name="Normal 2 6 21 2 6" xfId="29044" xr:uid="{00000000-0005-0000-0000-000077710000}"/>
    <cellStyle name="Normal 2 6 21 3" xfId="29045" xr:uid="{00000000-0005-0000-0000-000078710000}"/>
    <cellStyle name="Normal 2 6 21 3 2" xfId="29046" xr:uid="{00000000-0005-0000-0000-000079710000}"/>
    <cellStyle name="Normal 2 6 21 3 2 2" xfId="29047" xr:uid="{00000000-0005-0000-0000-00007A710000}"/>
    <cellStyle name="Normal 2 6 21 3 2 3" xfId="29048" xr:uid="{00000000-0005-0000-0000-00007B710000}"/>
    <cellStyle name="Normal 2 6 21 3 3" xfId="29049" xr:uid="{00000000-0005-0000-0000-00007C710000}"/>
    <cellStyle name="Normal 2 6 21 3 4" xfId="29050" xr:uid="{00000000-0005-0000-0000-00007D710000}"/>
    <cellStyle name="Normal 2 6 21 3 5" xfId="29051" xr:uid="{00000000-0005-0000-0000-00007E710000}"/>
    <cellStyle name="Normal 2 6 21 3 6" xfId="29052" xr:uid="{00000000-0005-0000-0000-00007F710000}"/>
    <cellStyle name="Normal 2 6 21 4" xfId="29053" xr:uid="{00000000-0005-0000-0000-000080710000}"/>
    <cellStyle name="Normal 2 6 21 4 2" xfId="29054" xr:uid="{00000000-0005-0000-0000-000081710000}"/>
    <cellStyle name="Normal 2 6 21 4 2 2" xfId="29055" xr:uid="{00000000-0005-0000-0000-000082710000}"/>
    <cellStyle name="Normal 2 6 21 4 3" xfId="29056" xr:uid="{00000000-0005-0000-0000-000083710000}"/>
    <cellStyle name="Normal 2 6 21 4 4" xfId="29057" xr:uid="{00000000-0005-0000-0000-000084710000}"/>
    <cellStyle name="Normal 2 6 21 4 5" xfId="29058" xr:uid="{00000000-0005-0000-0000-000085710000}"/>
    <cellStyle name="Normal 2 6 21 5" xfId="29059" xr:uid="{00000000-0005-0000-0000-000086710000}"/>
    <cellStyle name="Normal 2 6 21 5 2" xfId="29060" xr:uid="{00000000-0005-0000-0000-000087710000}"/>
    <cellStyle name="Normal 2 6 21 5 3" xfId="29061" xr:uid="{00000000-0005-0000-0000-000088710000}"/>
    <cellStyle name="Normal 2 6 21 5 4" xfId="29062" xr:uid="{00000000-0005-0000-0000-000089710000}"/>
    <cellStyle name="Normal 2 6 21 6" xfId="29063" xr:uid="{00000000-0005-0000-0000-00008A710000}"/>
    <cellStyle name="Normal 2 6 21 6 2" xfId="29064" xr:uid="{00000000-0005-0000-0000-00008B710000}"/>
    <cellStyle name="Normal 2 6 21 7" xfId="29065" xr:uid="{00000000-0005-0000-0000-00008C710000}"/>
    <cellStyle name="Normal 2 6 21 8" xfId="29066" xr:uid="{00000000-0005-0000-0000-00008D710000}"/>
    <cellStyle name="Normal 2 6 21 9" xfId="29067" xr:uid="{00000000-0005-0000-0000-00008E710000}"/>
    <cellStyle name="Normal 2 6 22" xfId="29068" xr:uid="{00000000-0005-0000-0000-00008F710000}"/>
    <cellStyle name="Normal 2 6 22 10" xfId="29069" xr:uid="{00000000-0005-0000-0000-000090710000}"/>
    <cellStyle name="Normal 2 6 22 2" xfId="29070" xr:uid="{00000000-0005-0000-0000-000091710000}"/>
    <cellStyle name="Normal 2 6 22 2 2" xfId="29071" xr:uid="{00000000-0005-0000-0000-000092710000}"/>
    <cellStyle name="Normal 2 6 22 2 2 2" xfId="29072" xr:uid="{00000000-0005-0000-0000-000093710000}"/>
    <cellStyle name="Normal 2 6 22 2 2 3" xfId="29073" xr:uid="{00000000-0005-0000-0000-000094710000}"/>
    <cellStyle name="Normal 2 6 22 2 3" xfId="29074" xr:uid="{00000000-0005-0000-0000-000095710000}"/>
    <cellStyle name="Normal 2 6 22 2 4" xfId="29075" xr:uid="{00000000-0005-0000-0000-000096710000}"/>
    <cellStyle name="Normal 2 6 22 2 5" xfId="29076" xr:uid="{00000000-0005-0000-0000-000097710000}"/>
    <cellStyle name="Normal 2 6 22 2 6" xfId="29077" xr:uid="{00000000-0005-0000-0000-000098710000}"/>
    <cellStyle name="Normal 2 6 22 3" xfId="29078" xr:uid="{00000000-0005-0000-0000-000099710000}"/>
    <cellStyle name="Normal 2 6 22 3 2" xfId="29079" xr:uid="{00000000-0005-0000-0000-00009A710000}"/>
    <cellStyle name="Normal 2 6 22 3 2 2" xfId="29080" xr:uid="{00000000-0005-0000-0000-00009B710000}"/>
    <cellStyle name="Normal 2 6 22 3 2 3" xfId="29081" xr:uid="{00000000-0005-0000-0000-00009C710000}"/>
    <cellStyle name="Normal 2 6 22 3 3" xfId="29082" xr:uid="{00000000-0005-0000-0000-00009D710000}"/>
    <cellStyle name="Normal 2 6 22 3 4" xfId="29083" xr:uid="{00000000-0005-0000-0000-00009E710000}"/>
    <cellStyle name="Normal 2 6 22 3 5" xfId="29084" xr:uid="{00000000-0005-0000-0000-00009F710000}"/>
    <cellStyle name="Normal 2 6 22 3 6" xfId="29085" xr:uid="{00000000-0005-0000-0000-0000A0710000}"/>
    <cellStyle name="Normal 2 6 22 4" xfId="29086" xr:uid="{00000000-0005-0000-0000-0000A1710000}"/>
    <cellStyle name="Normal 2 6 22 4 2" xfId="29087" xr:uid="{00000000-0005-0000-0000-0000A2710000}"/>
    <cellStyle name="Normal 2 6 22 4 2 2" xfId="29088" xr:uid="{00000000-0005-0000-0000-0000A3710000}"/>
    <cellStyle name="Normal 2 6 22 4 3" xfId="29089" xr:uid="{00000000-0005-0000-0000-0000A4710000}"/>
    <cellStyle name="Normal 2 6 22 4 4" xfId="29090" xr:uid="{00000000-0005-0000-0000-0000A5710000}"/>
    <cellStyle name="Normal 2 6 22 4 5" xfId="29091" xr:uid="{00000000-0005-0000-0000-0000A6710000}"/>
    <cellStyle name="Normal 2 6 22 5" xfId="29092" xr:uid="{00000000-0005-0000-0000-0000A7710000}"/>
    <cellStyle name="Normal 2 6 22 5 2" xfId="29093" xr:uid="{00000000-0005-0000-0000-0000A8710000}"/>
    <cellStyle name="Normal 2 6 22 5 3" xfId="29094" xr:uid="{00000000-0005-0000-0000-0000A9710000}"/>
    <cellStyle name="Normal 2 6 22 5 4" xfId="29095" xr:uid="{00000000-0005-0000-0000-0000AA710000}"/>
    <cellStyle name="Normal 2 6 22 6" xfId="29096" xr:uid="{00000000-0005-0000-0000-0000AB710000}"/>
    <cellStyle name="Normal 2 6 22 6 2" xfId="29097" xr:uid="{00000000-0005-0000-0000-0000AC710000}"/>
    <cellStyle name="Normal 2 6 22 7" xfId="29098" xr:uid="{00000000-0005-0000-0000-0000AD710000}"/>
    <cellStyle name="Normal 2 6 22 8" xfId="29099" xr:uid="{00000000-0005-0000-0000-0000AE710000}"/>
    <cellStyle name="Normal 2 6 22 9" xfId="29100" xr:uid="{00000000-0005-0000-0000-0000AF710000}"/>
    <cellStyle name="Normal 2 6 23" xfId="29101" xr:uid="{00000000-0005-0000-0000-0000B0710000}"/>
    <cellStyle name="Normal 2 6 23 10" xfId="29102" xr:uid="{00000000-0005-0000-0000-0000B1710000}"/>
    <cellStyle name="Normal 2 6 23 2" xfId="29103" xr:uid="{00000000-0005-0000-0000-0000B2710000}"/>
    <cellStyle name="Normal 2 6 23 2 2" xfId="29104" xr:uid="{00000000-0005-0000-0000-0000B3710000}"/>
    <cellStyle name="Normal 2 6 23 2 2 2" xfId="29105" xr:uid="{00000000-0005-0000-0000-0000B4710000}"/>
    <cellStyle name="Normal 2 6 23 2 2 3" xfId="29106" xr:uid="{00000000-0005-0000-0000-0000B5710000}"/>
    <cellStyle name="Normal 2 6 23 2 3" xfId="29107" xr:uid="{00000000-0005-0000-0000-0000B6710000}"/>
    <cellStyle name="Normal 2 6 23 2 4" xfId="29108" xr:uid="{00000000-0005-0000-0000-0000B7710000}"/>
    <cellStyle name="Normal 2 6 23 2 5" xfId="29109" xr:uid="{00000000-0005-0000-0000-0000B8710000}"/>
    <cellStyle name="Normal 2 6 23 2 6" xfId="29110" xr:uid="{00000000-0005-0000-0000-0000B9710000}"/>
    <cellStyle name="Normal 2 6 23 3" xfId="29111" xr:uid="{00000000-0005-0000-0000-0000BA710000}"/>
    <cellStyle name="Normal 2 6 23 3 2" xfId="29112" xr:uid="{00000000-0005-0000-0000-0000BB710000}"/>
    <cellStyle name="Normal 2 6 23 3 2 2" xfId="29113" xr:uid="{00000000-0005-0000-0000-0000BC710000}"/>
    <cellStyle name="Normal 2 6 23 3 2 3" xfId="29114" xr:uid="{00000000-0005-0000-0000-0000BD710000}"/>
    <cellStyle name="Normal 2 6 23 3 3" xfId="29115" xr:uid="{00000000-0005-0000-0000-0000BE710000}"/>
    <cellStyle name="Normal 2 6 23 3 4" xfId="29116" xr:uid="{00000000-0005-0000-0000-0000BF710000}"/>
    <cellStyle name="Normal 2 6 23 3 5" xfId="29117" xr:uid="{00000000-0005-0000-0000-0000C0710000}"/>
    <cellStyle name="Normal 2 6 23 3 6" xfId="29118" xr:uid="{00000000-0005-0000-0000-0000C1710000}"/>
    <cellStyle name="Normal 2 6 23 4" xfId="29119" xr:uid="{00000000-0005-0000-0000-0000C2710000}"/>
    <cellStyle name="Normal 2 6 23 4 2" xfId="29120" xr:uid="{00000000-0005-0000-0000-0000C3710000}"/>
    <cellStyle name="Normal 2 6 23 4 2 2" xfId="29121" xr:uid="{00000000-0005-0000-0000-0000C4710000}"/>
    <cellStyle name="Normal 2 6 23 4 3" xfId="29122" xr:uid="{00000000-0005-0000-0000-0000C5710000}"/>
    <cellStyle name="Normal 2 6 23 4 4" xfId="29123" xr:uid="{00000000-0005-0000-0000-0000C6710000}"/>
    <cellStyle name="Normal 2 6 23 4 5" xfId="29124" xr:uid="{00000000-0005-0000-0000-0000C7710000}"/>
    <cellStyle name="Normal 2 6 23 5" xfId="29125" xr:uid="{00000000-0005-0000-0000-0000C8710000}"/>
    <cellStyle name="Normal 2 6 23 5 2" xfId="29126" xr:uid="{00000000-0005-0000-0000-0000C9710000}"/>
    <cellStyle name="Normal 2 6 23 5 3" xfId="29127" xr:uid="{00000000-0005-0000-0000-0000CA710000}"/>
    <cellStyle name="Normal 2 6 23 5 4" xfId="29128" xr:uid="{00000000-0005-0000-0000-0000CB710000}"/>
    <cellStyle name="Normal 2 6 23 6" xfId="29129" xr:uid="{00000000-0005-0000-0000-0000CC710000}"/>
    <cellStyle name="Normal 2 6 23 6 2" xfId="29130" xr:uid="{00000000-0005-0000-0000-0000CD710000}"/>
    <cellStyle name="Normal 2 6 23 7" xfId="29131" xr:uid="{00000000-0005-0000-0000-0000CE710000}"/>
    <cellStyle name="Normal 2 6 23 8" xfId="29132" xr:uid="{00000000-0005-0000-0000-0000CF710000}"/>
    <cellStyle name="Normal 2 6 23 9" xfId="29133" xr:uid="{00000000-0005-0000-0000-0000D0710000}"/>
    <cellStyle name="Normal 2 6 24" xfId="29134" xr:uid="{00000000-0005-0000-0000-0000D1710000}"/>
    <cellStyle name="Normal 2 6 24 10" xfId="29135" xr:uid="{00000000-0005-0000-0000-0000D2710000}"/>
    <cellStyle name="Normal 2 6 24 2" xfId="29136" xr:uid="{00000000-0005-0000-0000-0000D3710000}"/>
    <cellStyle name="Normal 2 6 24 2 2" xfId="29137" xr:uid="{00000000-0005-0000-0000-0000D4710000}"/>
    <cellStyle name="Normal 2 6 24 2 2 2" xfId="29138" xr:uid="{00000000-0005-0000-0000-0000D5710000}"/>
    <cellStyle name="Normal 2 6 24 2 2 3" xfId="29139" xr:uid="{00000000-0005-0000-0000-0000D6710000}"/>
    <cellStyle name="Normal 2 6 24 2 3" xfId="29140" xr:uid="{00000000-0005-0000-0000-0000D7710000}"/>
    <cellStyle name="Normal 2 6 24 2 4" xfId="29141" xr:uid="{00000000-0005-0000-0000-0000D8710000}"/>
    <cellStyle name="Normal 2 6 24 2 5" xfId="29142" xr:uid="{00000000-0005-0000-0000-0000D9710000}"/>
    <cellStyle name="Normal 2 6 24 2 6" xfId="29143" xr:uid="{00000000-0005-0000-0000-0000DA710000}"/>
    <cellStyle name="Normal 2 6 24 3" xfId="29144" xr:uid="{00000000-0005-0000-0000-0000DB710000}"/>
    <cellStyle name="Normal 2 6 24 3 2" xfId="29145" xr:uid="{00000000-0005-0000-0000-0000DC710000}"/>
    <cellStyle name="Normal 2 6 24 3 2 2" xfId="29146" xr:uid="{00000000-0005-0000-0000-0000DD710000}"/>
    <cellStyle name="Normal 2 6 24 3 2 3" xfId="29147" xr:uid="{00000000-0005-0000-0000-0000DE710000}"/>
    <cellStyle name="Normal 2 6 24 3 3" xfId="29148" xr:uid="{00000000-0005-0000-0000-0000DF710000}"/>
    <cellStyle name="Normal 2 6 24 3 4" xfId="29149" xr:uid="{00000000-0005-0000-0000-0000E0710000}"/>
    <cellStyle name="Normal 2 6 24 3 5" xfId="29150" xr:uid="{00000000-0005-0000-0000-0000E1710000}"/>
    <cellStyle name="Normal 2 6 24 3 6" xfId="29151" xr:uid="{00000000-0005-0000-0000-0000E2710000}"/>
    <cellStyle name="Normal 2 6 24 4" xfId="29152" xr:uid="{00000000-0005-0000-0000-0000E3710000}"/>
    <cellStyle name="Normal 2 6 24 4 2" xfId="29153" xr:uid="{00000000-0005-0000-0000-0000E4710000}"/>
    <cellStyle name="Normal 2 6 24 4 2 2" xfId="29154" xr:uid="{00000000-0005-0000-0000-0000E5710000}"/>
    <cellStyle name="Normal 2 6 24 4 3" xfId="29155" xr:uid="{00000000-0005-0000-0000-0000E6710000}"/>
    <cellStyle name="Normal 2 6 24 4 4" xfId="29156" xr:uid="{00000000-0005-0000-0000-0000E7710000}"/>
    <cellStyle name="Normal 2 6 24 4 5" xfId="29157" xr:uid="{00000000-0005-0000-0000-0000E8710000}"/>
    <cellStyle name="Normal 2 6 24 5" xfId="29158" xr:uid="{00000000-0005-0000-0000-0000E9710000}"/>
    <cellStyle name="Normal 2 6 24 5 2" xfId="29159" xr:uid="{00000000-0005-0000-0000-0000EA710000}"/>
    <cellStyle name="Normal 2 6 24 5 3" xfId="29160" xr:uid="{00000000-0005-0000-0000-0000EB710000}"/>
    <cellStyle name="Normal 2 6 24 5 4" xfId="29161" xr:uid="{00000000-0005-0000-0000-0000EC710000}"/>
    <cellStyle name="Normal 2 6 24 6" xfId="29162" xr:uid="{00000000-0005-0000-0000-0000ED710000}"/>
    <cellStyle name="Normal 2 6 24 6 2" xfId="29163" xr:uid="{00000000-0005-0000-0000-0000EE710000}"/>
    <cellStyle name="Normal 2 6 24 7" xfId="29164" xr:uid="{00000000-0005-0000-0000-0000EF710000}"/>
    <cellStyle name="Normal 2 6 24 8" xfId="29165" xr:uid="{00000000-0005-0000-0000-0000F0710000}"/>
    <cellStyle name="Normal 2 6 24 9" xfId="29166" xr:uid="{00000000-0005-0000-0000-0000F1710000}"/>
    <cellStyle name="Normal 2 6 25" xfId="29167" xr:uid="{00000000-0005-0000-0000-0000F2710000}"/>
    <cellStyle name="Normal 2 6 25 10" xfId="29168" xr:uid="{00000000-0005-0000-0000-0000F3710000}"/>
    <cellStyle name="Normal 2 6 25 2" xfId="29169" xr:uid="{00000000-0005-0000-0000-0000F4710000}"/>
    <cellStyle name="Normal 2 6 25 2 2" xfId="29170" xr:uid="{00000000-0005-0000-0000-0000F5710000}"/>
    <cellStyle name="Normal 2 6 25 2 2 2" xfId="29171" xr:uid="{00000000-0005-0000-0000-0000F6710000}"/>
    <cellStyle name="Normal 2 6 25 2 2 3" xfId="29172" xr:uid="{00000000-0005-0000-0000-0000F7710000}"/>
    <cellStyle name="Normal 2 6 25 2 3" xfId="29173" xr:uid="{00000000-0005-0000-0000-0000F8710000}"/>
    <cellStyle name="Normal 2 6 25 2 4" xfId="29174" xr:uid="{00000000-0005-0000-0000-0000F9710000}"/>
    <cellStyle name="Normal 2 6 25 2 5" xfId="29175" xr:uid="{00000000-0005-0000-0000-0000FA710000}"/>
    <cellStyle name="Normal 2 6 25 2 6" xfId="29176" xr:uid="{00000000-0005-0000-0000-0000FB710000}"/>
    <cellStyle name="Normal 2 6 25 3" xfId="29177" xr:uid="{00000000-0005-0000-0000-0000FC710000}"/>
    <cellStyle name="Normal 2 6 25 3 2" xfId="29178" xr:uid="{00000000-0005-0000-0000-0000FD710000}"/>
    <cellStyle name="Normal 2 6 25 3 2 2" xfId="29179" xr:uid="{00000000-0005-0000-0000-0000FE710000}"/>
    <cellStyle name="Normal 2 6 25 3 2 3" xfId="29180" xr:uid="{00000000-0005-0000-0000-0000FF710000}"/>
    <cellStyle name="Normal 2 6 25 3 3" xfId="29181" xr:uid="{00000000-0005-0000-0000-000000720000}"/>
    <cellStyle name="Normal 2 6 25 3 4" xfId="29182" xr:uid="{00000000-0005-0000-0000-000001720000}"/>
    <cellStyle name="Normal 2 6 25 3 5" xfId="29183" xr:uid="{00000000-0005-0000-0000-000002720000}"/>
    <cellStyle name="Normal 2 6 25 3 6" xfId="29184" xr:uid="{00000000-0005-0000-0000-000003720000}"/>
    <cellStyle name="Normal 2 6 25 4" xfId="29185" xr:uid="{00000000-0005-0000-0000-000004720000}"/>
    <cellStyle name="Normal 2 6 25 4 2" xfId="29186" xr:uid="{00000000-0005-0000-0000-000005720000}"/>
    <cellStyle name="Normal 2 6 25 4 2 2" xfId="29187" xr:uid="{00000000-0005-0000-0000-000006720000}"/>
    <cellStyle name="Normal 2 6 25 4 3" xfId="29188" xr:uid="{00000000-0005-0000-0000-000007720000}"/>
    <cellStyle name="Normal 2 6 25 4 4" xfId="29189" xr:uid="{00000000-0005-0000-0000-000008720000}"/>
    <cellStyle name="Normal 2 6 25 4 5" xfId="29190" xr:uid="{00000000-0005-0000-0000-000009720000}"/>
    <cellStyle name="Normal 2 6 25 5" xfId="29191" xr:uid="{00000000-0005-0000-0000-00000A720000}"/>
    <cellStyle name="Normal 2 6 25 5 2" xfId="29192" xr:uid="{00000000-0005-0000-0000-00000B720000}"/>
    <cellStyle name="Normal 2 6 25 5 3" xfId="29193" xr:uid="{00000000-0005-0000-0000-00000C720000}"/>
    <cellStyle name="Normal 2 6 25 5 4" xfId="29194" xr:uid="{00000000-0005-0000-0000-00000D720000}"/>
    <cellStyle name="Normal 2 6 25 6" xfId="29195" xr:uid="{00000000-0005-0000-0000-00000E720000}"/>
    <cellStyle name="Normal 2 6 25 6 2" xfId="29196" xr:uid="{00000000-0005-0000-0000-00000F720000}"/>
    <cellStyle name="Normal 2 6 25 7" xfId="29197" xr:uid="{00000000-0005-0000-0000-000010720000}"/>
    <cellStyle name="Normal 2 6 25 8" xfId="29198" xr:uid="{00000000-0005-0000-0000-000011720000}"/>
    <cellStyle name="Normal 2 6 25 9" xfId="29199" xr:uid="{00000000-0005-0000-0000-000012720000}"/>
    <cellStyle name="Normal 2 6 26" xfId="29200" xr:uid="{00000000-0005-0000-0000-000013720000}"/>
    <cellStyle name="Normal 2 6 26 10" xfId="29201" xr:uid="{00000000-0005-0000-0000-000014720000}"/>
    <cellStyle name="Normal 2 6 26 2" xfId="29202" xr:uid="{00000000-0005-0000-0000-000015720000}"/>
    <cellStyle name="Normal 2 6 26 2 2" xfId="29203" xr:uid="{00000000-0005-0000-0000-000016720000}"/>
    <cellStyle name="Normal 2 6 26 2 2 2" xfId="29204" xr:uid="{00000000-0005-0000-0000-000017720000}"/>
    <cellStyle name="Normal 2 6 26 2 2 3" xfId="29205" xr:uid="{00000000-0005-0000-0000-000018720000}"/>
    <cellStyle name="Normal 2 6 26 2 3" xfId="29206" xr:uid="{00000000-0005-0000-0000-000019720000}"/>
    <cellStyle name="Normal 2 6 26 2 4" xfId="29207" xr:uid="{00000000-0005-0000-0000-00001A720000}"/>
    <cellStyle name="Normal 2 6 26 2 5" xfId="29208" xr:uid="{00000000-0005-0000-0000-00001B720000}"/>
    <cellStyle name="Normal 2 6 26 2 6" xfId="29209" xr:uid="{00000000-0005-0000-0000-00001C720000}"/>
    <cellStyle name="Normal 2 6 26 3" xfId="29210" xr:uid="{00000000-0005-0000-0000-00001D720000}"/>
    <cellStyle name="Normal 2 6 26 3 2" xfId="29211" xr:uid="{00000000-0005-0000-0000-00001E720000}"/>
    <cellStyle name="Normal 2 6 26 3 2 2" xfId="29212" xr:uid="{00000000-0005-0000-0000-00001F720000}"/>
    <cellStyle name="Normal 2 6 26 3 2 3" xfId="29213" xr:uid="{00000000-0005-0000-0000-000020720000}"/>
    <cellStyle name="Normal 2 6 26 3 3" xfId="29214" xr:uid="{00000000-0005-0000-0000-000021720000}"/>
    <cellStyle name="Normal 2 6 26 3 4" xfId="29215" xr:uid="{00000000-0005-0000-0000-000022720000}"/>
    <cellStyle name="Normal 2 6 26 3 5" xfId="29216" xr:uid="{00000000-0005-0000-0000-000023720000}"/>
    <cellStyle name="Normal 2 6 26 3 6" xfId="29217" xr:uid="{00000000-0005-0000-0000-000024720000}"/>
    <cellStyle name="Normal 2 6 26 4" xfId="29218" xr:uid="{00000000-0005-0000-0000-000025720000}"/>
    <cellStyle name="Normal 2 6 26 4 2" xfId="29219" xr:uid="{00000000-0005-0000-0000-000026720000}"/>
    <cellStyle name="Normal 2 6 26 4 2 2" xfId="29220" xr:uid="{00000000-0005-0000-0000-000027720000}"/>
    <cellStyle name="Normal 2 6 26 4 3" xfId="29221" xr:uid="{00000000-0005-0000-0000-000028720000}"/>
    <cellStyle name="Normal 2 6 26 4 4" xfId="29222" xr:uid="{00000000-0005-0000-0000-000029720000}"/>
    <cellStyle name="Normal 2 6 26 4 5" xfId="29223" xr:uid="{00000000-0005-0000-0000-00002A720000}"/>
    <cellStyle name="Normal 2 6 26 5" xfId="29224" xr:uid="{00000000-0005-0000-0000-00002B720000}"/>
    <cellStyle name="Normal 2 6 26 5 2" xfId="29225" xr:uid="{00000000-0005-0000-0000-00002C720000}"/>
    <cellStyle name="Normal 2 6 26 5 3" xfId="29226" xr:uid="{00000000-0005-0000-0000-00002D720000}"/>
    <cellStyle name="Normal 2 6 26 5 4" xfId="29227" xr:uid="{00000000-0005-0000-0000-00002E720000}"/>
    <cellStyle name="Normal 2 6 26 6" xfId="29228" xr:uid="{00000000-0005-0000-0000-00002F720000}"/>
    <cellStyle name="Normal 2 6 26 6 2" xfId="29229" xr:uid="{00000000-0005-0000-0000-000030720000}"/>
    <cellStyle name="Normal 2 6 26 7" xfId="29230" xr:uid="{00000000-0005-0000-0000-000031720000}"/>
    <cellStyle name="Normal 2 6 26 8" xfId="29231" xr:uid="{00000000-0005-0000-0000-000032720000}"/>
    <cellStyle name="Normal 2 6 26 9" xfId="29232" xr:uid="{00000000-0005-0000-0000-000033720000}"/>
    <cellStyle name="Normal 2 6 27" xfId="29233" xr:uid="{00000000-0005-0000-0000-000034720000}"/>
    <cellStyle name="Normal 2 6 27 10" xfId="29234" xr:uid="{00000000-0005-0000-0000-000035720000}"/>
    <cellStyle name="Normal 2 6 27 2" xfId="29235" xr:uid="{00000000-0005-0000-0000-000036720000}"/>
    <cellStyle name="Normal 2 6 27 2 2" xfId="29236" xr:uid="{00000000-0005-0000-0000-000037720000}"/>
    <cellStyle name="Normal 2 6 27 2 2 2" xfId="29237" xr:uid="{00000000-0005-0000-0000-000038720000}"/>
    <cellStyle name="Normal 2 6 27 2 2 3" xfId="29238" xr:uid="{00000000-0005-0000-0000-000039720000}"/>
    <cellStyle name="Normal 2 6 27 2 3" xfId="29239" xr:uid="{00000000-0005-0000-0000-00003A720000}"/>
    <cellStyle name="Normal 2 6 27 2 4" xfId="29240" xr:uid="{00000000-0005-0000-0000-00003B720000}"/>
    <cellStyle name="Normal 2 6 27 2 5" xfId="29241" xr:uid="{00000000-0005-0000-0000-00003C720000}"/>
    <cellStyle name="Normal 2 6 27 2 6" xfId="29242" xr:uid="{00000000-0005-0000-0000-00003D720000}"/>
    <cellStyle name="Normal 2 6 27 3" xfId="29243" xr:uid="{00000000-0005-0000-0000-00003E720000}"/>
    <cellStyle name="Normal 2 6 27 3 2" xfId="29244" xr:uid="{00000000-0005-0000-0000-00003F720000}"/>
    <cellStyle name="Normal 2 6 27 3 2 2" xfId="29245" xr:uid="{00000000-0005-0000-0000-000040720000}"/>
    <cellStyle name="Normal 2 6 27 3 2 3" xfId="29246" xr:uid="{00000000-0005-0000-0000-000041720000}"/>
    <cellStyle name="Normal 2 6 27 3 3" xfId="29247" xr:uid="{00000000-0005-0000-0000-000042720000}"/>
    <cellStyle name="Normal 2 6 27 3 4" xfId="29248" xr:uid="{00000000-0005-0000-0000-000043720000}"/>
    <cellStyle name="Normal 2 6 27 3 5" xfId="29249" xr:uid="{00000000-0005-0000-0000-000044720000}"/>
    <cellStyle name="Normal 2 6 27 3 6" xfId="29250" xr:uid="{00000000-0005-0000-0000-000045720000}"/>
    <cellStyle name="Normal 2 6 27 4" xfId="29251" xr:uid="{00000000-0005-0000-0000-000046720000}"/>
    <cellStyle name="Normal 2 6 27 4 2" xfId="29252" xr:uid="{00000000-0005-0000-0000-000047720000}"/>
    <cellStyle name="Normal 2 6 27 4 2 2" xfId="29253" xr:uid="{00000000-0005-0000-0000-000048720000}"/>
    <cellStyle name="Normal 2 6 27 4 3" xfId="29254" xr:uid="{00000000-0005-0000-0000-000049720000}"/>
    <cellStyle name="Normal 2 6 27 4 4" xfId="29255" xr:uid="{00000000-0005-0000-0000-00004A720000}"/>
    <cellStyle name="Normal 2 6 27 4 5" xfId="29256" xr:uid="{00000000-0005-0000-0000-00004B720000}"/>
    <cellStyle name="Normal 2 6 27 5" xfId="29257" xr:uid="{00000000-0005-0000-0000-00004C720000}"/>
    <cellStyle name="Normal 2 6 27 5 2" xfId="29258" xr:uid="{00000000-0005-0000-0000-00004D720000}"/>
    <cellStyle name="Normal 2 6 27 5 3" xfId="29259" xr:uid="{00000000-0005-0000-0000-00004E720000}"/>
    <cellStyle name="Normal 2 6 27 5 4" xfId="29260" xr:uid="{00000000-0005-0000-0000-00004F720000}"/>
    <cellStyle name="Normal 2 6 27 6" xfId="29261" xr:uid="{00000000-0005-0000-0000-000050720000}"/>
    <cellStyle name="Normal 2 6 27 6 2" xfId="29262" xr:uid="{00000000-0005-0000-0000-000051720000}"/>
    <cellStyle name="Normal 2 6 27 7" xfId="29263" xr:uid="{00000000-0005-0000-0000-000052720000}"/>
    <cellStyle name="Normal 2 6 27 8" xfId="29264" xr:uid="{00000000-0005-0000-0000-000053720000}"/>
    <cellStyle name="Normal 2 6 27 9" xfId="29265" xr:uid="{00000000-0005-0000-0000-000054720000}"/>
    <cellStyle name="Normal 2 6 28" xfId="29266" xr:uid="{00000000-0005-0000-0000-000055720000}"/>
    <cellStyle name="Normal 2 6 28 10" xfId="29267" xr:uid="{00000000-0005-0000-0000-000056720000}"/>
    <cellStyle name="Normal 2 6 28 2" xfId="29268" xr:uid="{00000000-0005-0000-0000-000057720000}"/>
    <cellStyle name="Normal 2 6 28 2 2" xfId="29269" xr:uid="{00000000-0005-0000-0000-000058720000}"/>
    <cellStyle name="Normal 2 6 28 2 2 2" xfId="29270" xr:uid="{00000000-0005-0000-0000-000059720000}"/>
    <cellStyle name="Normal 2 6 28 2 2 3" xfId="29271" xr:uid="{00000000-0005-0000-0000-00005A720000}"/>
    <cellStyle name="Normal 2 6 28 2 3" xfId="29272" xr:uid="{00000000-0005-0000-0000-00005B720000}"/>
    <cellStyle name="Normal 2 6 28 2 4" xfId="29273" xr:uid="{00000000-0005-0000-0000-00005C720000}"/>
    <cellStyle name="Normal 2 6 28 2 5" xfId="29274" xr:uid="{00000000-0005-0000-0000-00005D720000}"/>
    <cellStyle name="Normal 2 6 28 2 6" xfId="29275" xr:uid="{00000000-0005-0000-0000-00005E720000}"/>
    <cellStyle name="Normal 2 6 28 3" xfId="29276" xr:uid="{00000000-0005-0000-0000-00005F720000}"/>
    <cellStyle name="Normal 2 6 28 3 2" xfId="29277" xr:uid="{00000000-0005-0000-0000-000060720000}"/>
    <cellStyle name="Normal 2 6 28 3 2 2" xfId="29278" xr:uid="{00000000-0005-0000-0000-000061720000}"/>
    <cellStyle name="Normal 2 6 28 3 2 3" xfId="29279" xr:uid="{00000000-0005-0000-0000-000062720000}"/>
    <cellStyle name="Normal 2 6 28 3 3" xfId="29280" xr:uid="{00000000-0005-0000-0000-000063720000}"/>
    <cellStyle name="Normal 2 6 28 3 4" xfId="29281" xr:uid="{00000000-0005-0000-0000-000064720000}"/>
    <cellStyle name="Normal 2 6 28 3 5" xfId="29282" xr:uid="{00000000-0005-0000-0000-000065720000}"/>
    <cellStyle name="Normal 2 6 28 3 6" xfId="29283" xr:uid="{00000000-0005-0000-0000-000066720000}"/>
    <cellStyle name="Normal 2 6 28 4" xfId="29284" xr:uid="{00000000-0005-0000-0000-000067720000}"/>
    <cellStyle name="Normal 2 6 28 4 2" xfId="29285" xr:uid="{00000000-0005-0000-0000-000068720000}"/>
    <cellStyle name="Normal 2 6 28 4 2 2" xfId="29286" xr:uid="{00000000-0005-0000-0000-000069720000}"/>
    <cellStyle name="Normal 2 6 28 4 3" xfId="29287" xr:uid="{00000000-0005-0000-0000-00006A720000}"/>
    <cellStyle name="Normal 2 6 28 4 4" xfId="29288" xr:uid="{00000000-0005-0000-0000-00006B720000}"/>
    <cellStyle name="Normal 2 6 28 4 5" xfId="29289" xr:uid="{00000000-0005-0000-0000-00006C720000}"/>
    <cellStyle name="Normal 2 6 28 5" xfId="29290" xr:uid="{00000000-0005-0000-0000-00006D720000}"/>
    <cellStyle name="Normal 2 6 28 5 2" xfId="29291" xr:uid="{00000000-0005-0000-0000-00006E720000}"/>
    <cellStyle name="Normal 2 6 28 5 3" xfId="29292" xr:uid="{00000000-0005-0000-0000-00006F720000}"/>
    <cellStyle name="Normal 2 6 28 5 4" xfId="29293" xr:uid="{00000000-0005-0000-0000-000070720000}"/>
    <cellStyle name="Normal 2 6 28 6" xfId="29294" xr:uid="{00000000-0005-0000-0000-000071720000}"/>
    <cellStyle name="Normal 2 6 28 6 2" xfId="29295" xr:uid="{00000000-0005-0000-0000-000072720000}"/>
    <cellStyle name="Normal 2 6 28 7" xfId="29296" xr:uid="{00000000-0005-0000-0000-000073720000}"/>
    <cellStyle name="Normal 2 6 28 8" xfId="29297" xr:uid="{00000000-0005-0000-0000-000074720000}"/>
    <cellStyle name="Normal 2 6 28 9" xfId="29298" xr:uid="{00000000-0005-0000-0000-000075720000}"/>
    <cellStyle name="Normal 2 6 29" xfId="29299" xr:uid="{00000000-0005-0000-0000-000076720000}"/>
    <cellStyle name="Normal 2 6 29 10" xfId="29300" xr:uid="{00000000-0005-0000-0000-000077720000}"/>
    <cellStyle name="Normal 2 6 29 2" xfId="29301" xr:uid="{00000000-0005-0000-0000-000078720000}"/>
    <cellStyle name="Normal 2 6 29 2 2" xfId="29302" xr:uid="{00000000-0005-0000-0000-000079720000}"/>
    <cellStyle name="Normal 2 6 29 2 2 2" xfId="29303" xr:uid="{00000000-0005-0000-0000-00007A720000}"/>
    <cellStyle name="Normal 2 6 29 2 2 3" xfId="29304" xr:uid="{00000000-0005-0000-0000-00007B720000}"/>
    <cellStyle name="Normal 2 6 29 2 3" xfId="29305" xr:uid="{00000000-0005-0000-0000-00007C720000}"/>
    <cellStyle name="Normal 2 6 29 2 4" xfId="29306" xr:uid="{00000000-0005-0000-0000-00007D720000}"/>
    <cellStyle name="Normal 2 6 29 2 5" xfId="29307" xr:uid="{00000000-0005-0000-0000-00007E720000}"/>
    <cellStyle name="Normal 2 6 29 2 6" xfId="29308" xr:uid="{00000000-0005-0000-0000-00007F720000}"/>
    <cellStyle name="Normal 2 6 29 3" xfId="29309" xr:uid="{00000000-0005-0000-0000-000080720000}"/>
    <cellStyle name="Normal 2 6 29 3 2" xfId="29310" xr:uid="{00000000-0005-0000-0000-000081720000}"/>
    <cellStyle name="Normal 2 6 29 3 2 2" xfId="29311" xr:uid="{00000000-0005-0000-0000-000082720000}"/>
    <cellStyle name="Normal 2 6 29 3 2 3" xfId="29312" xr:uid="{00000000-0005-0000-0000-000083720000}"/>
    <cellStyle name="Normal 2 6 29 3 3" xfId="29313" xr:uid="{00000000-0005-0000-0000-000084720000}"/>
    <cellStyle name="Normal 2 6 29 3 4" xfId="29314" xr:uid="{00000000-0005-0000-0000-000085720000}"/>
    <cellStyle name="Normal 2 6 29 3 5" xfId="29315" xr:uid="{00000000-0005-0000-0000-000086720000}"/>
    <cellStyle name="Normal 2 6 29 3 6" xfId="29316" xr:uid="{00000000-0005-0000-0000-000087720000}"/>
    <cellStyle name="Normal 2 6 29 4" xfId="29317" xr:uid="{00000000-0005-0000-0000-000088720000}"/>
    <cellStyle name="Normal 2 6 29 4 2" xfId="29318" xr:uid="{00000000-0005-0000-0000-000089720000}"/>
    <cellStyle name="Normal 2 6 29 4 2 2" xfId="29319" xr:uid="{00000000-0005-0000-0000-00008A720000}"/>
    <cellStyle name="Normal 2 6 29 4 3" xfId="29320" xr:uid="{00000000-0005-0000-0000-00008B720000}"/>
    <cellStyle name="Normal 2 6 29 4 4" xfId="29321" xr:uid="{00000000-0005-0000-0000-00008C720000}"/>
    <cellStyle name="Normal 2 6 29 4 5" xfId="29322" xr:uid="{00000000-0005-0000-0000-00008D720000}"/>
    <cellStyle name="Normal 2 6 29 5" xfId="29323" xr:uid="{00000000-0005-0000-0000-00008E720000}"/>
    <cellStyle name="Normal 2 6 29 5 2" xfId="29324" xr:uid="{00000000-0005-0000-0000-00008F720000}"/>
    <cellStyle name="Normal 2 6 29 5 3" xfId="29325" xr:uid="{00000000-0005-0000-0000-000090720000}"/>
    <cellStyle name="Normal 2 6 29 5 4" xfId="29326" xr:uid="{00000000-0005-0000-0000-000091720000}"/>
    <cellStyle name="Normal 2 6 29 6" xfId="29327" xr:uid="{00000000-0005-0000-0000-000092720000}"/>
    <cellStyle name="Normal 2 6 29 6 2" xfId="29328" xr:uid="{00000000-0005-0000-0000-000093720000}"/>
    <cellStyle name="Normal 2 6 29 7" xfId="29329" xr:uid="{00000000-0005-0000-0000-000094720000}"/>
    <cellStyle name="Normal 2 6 29 8" xfId="29330" xr:uid="{00000000-0005-0000-0000-000095720000}"/>
    <cellStyle name="Normal 2 6 29 9" xfId="29331" xr:uid="{00000000-0005-0000-0000-000096720000}"/>
    <cellStyle name="Normal 2 6 3" xfId="29332" xr:uid="{00000000-0005-0000-0000-000097720000}"/>
    <cellStyle name="Normal 2 6 3 10" xfId="29333" xr:uid="{00000000-0005-0000-0000-000098720000}"/>
    <cellStyle name="Normal 2 6 3 10 10" xfId="29334" xr:uid="{00000000-0005-0000-0000-000099720000}"/>
    <cellStyle name="Normal 2 6 3 10 2" xfId="29335" xr:uid="{00000000-0005-0000-0000-00009A720000}"/>
    <cellStyle name="Normal 2 6 3 10 2 2" xfId="29336" xr:uid="{00000000-0005-0000-0000-00009B720000}"/>
    <cellStyle name="Normal 2 6 3 10 2 2 2" xfId="29337" xr:uid="{00000000-0005-0000-0000-00009C720000}"/>
    <cellStyle name="Normal 2 6 3 10 2 2 3" xfId="29338" xr:uid="{00000000-0005-0000-0000-00009D720000}"/>
    <cellStyle name="Normal 2 6 3 10 2 3" xfId="29339" xr:uid="{00000000-0005-0000-0000-00009E720000}"/>
    <cellStyle name="Normal 2 6 3 10 2 4" xfId="29340" xr:uid="{00000000-0005-0000-0000-00009F720000}"/>
    <cellStyle name="Normal 2 6 3 10 2 5" xfId="29341" xr:uid="{00000000-0005-0000-0000-0000A0720000}"/>
    <cellStyle name="Normal 2 6 3 10 2 6" xfId="29342" xr:uid="{00000000-0005-0000-0000-0000A1720000}"/>
    <cellStyle name="Normal 2 6 3 10 3" xfId="29343" xr:uid="{00000000-0005-0000-0000-0000A2720000}"/>
    <cellStyle name="Normal 2 6 3 10 3 2" xfId="29344" xr:uid="{00000000-0005-0000-0000-0000A3720000}"/>
    <cellStyle name="Normal 2 6 3 10 3 2 2" xfId="29345" xr:uid="{00000000-0005-0000-0000-0000A4720000}"/>
    <cellStyle name="Normal 2 6 3 10 3 2 3" xfId="29346" xr:uid="{00000000-0005-0000-0000-0000A5720000}"/>
    <cellStyle name="Normal 2 6 3 10 3 3" xfId="29347" xr:uid="{00000000-0005-0000-0000-0000A6720000}"/>
    <cellStyle name="Normal 2 6 3 10 3 4" xfId="29348" xr:uid="{00000000-0005-0000-0000-0000A7720000}"/>
    <cellStyle name="Normal 2 6 3 10 3 5" xfId="29349" xr:uid="{00000000-0005-0000-0000-0000A8720000}"/>
    <cellStyle name="Normal 2 6 3 10 3 6" xfId="29350" xr:uid="{00000000-0005-0000-0000-0000A9720000}"/>
    <cellStyle name="Normal 2 6 3 10 4" xfId="29351" xr:uid="{00000000-0005-0000-0000-0000AA720000}"/>
    <cellStyle name="Normal 2 6 3 10 4 2" xfId="29352" xr:uid="{00000000-0005-0000-0000-0000AB720000}"/>
    <cellStyle name="Normal 2 6 3 10 4 2 2" xfId="29353" xr:uid="{00000000-0005-0000-0000-0000AC720000}"/>
    <cellStyle name="Normal 2 6 3 10 4 3" xfId="29354" xr:uid="{00000000-0005-0000-0000-0000AD720000}"/>
    <cellStyle name="Normal 2 6 3 10 4 4" xfId="29355" xr:uid="{00000000-0005-0000-0000-0000AE720000}"/>
    <cellStyle name="Normal 2 6 3 10 4 5" xfId="29356" xr:uid="{00000000-0005-0000-0000-0000AF720000}"/>
    <cellStyle name="Normal 2 6 3 10 5" xfId="29357" xr:uid="{00000000-0005-0000-0000-0000B0720000}"/>
    <cellStyle name="Normal 2 6 3 10 5 2" xfId="29358" xr:uid="{00000000-0005-0000-0000-0000B1720000}"/>
    <cellStyle name="Normal 2 6 3 10 5 3" xfId="29359" xr:uid="{00000000-0005-0000-0000-0000B2720000}"/>
    <cellStyle name="Normal 2 6 3 10 5 4" xfId="29360" xr:uid="{00000000-0005-0000-0000-0000B3720000}"/>
    <cellStyle name="Normal 2 6 3 10 6" xfId="29361" xr:uid="{00000000-0005-0000-0000-0000B4720000}"/>
    <cellStyle name="Normal 2 6 3 10 6 2" xfId="29362" xr:uid="{00000000-0005-0000-0000-0000B5720000}"/>
    <cellStyle name="Normal 2 6 3 10 7" xfId="29363" xr:uid="{00000000-0005-0000-0000-0000B6720000}"/>
    <cellStyle name="Normal 2 6 3 10 8" xfId="29364" xr:uid="{00000000-0005-0000-0000-0000B7720000}"/>
    <cellStyle name="Normal 2 6 3 10 9" xfId="29365" xr:uid="{00000000-0005-0000-0000-0000B8720000}"/>
    <cellStyle name="Normal 2 6 3 11" xfId="29366" xr:uid="{00000000-0005-0000-0000-0000B9720000}"/>
    <cellStyle name="Normal 2 6 3 11 10" xfId="29367" xr:uid="{00000000-0005-0000-0000-0000BA720000}"/>
    <cellStyle name="Normal 2 6 3 11 2" xfId="29368" xr:uid="{00000000-0005-0000-0000-0000BB720000}"/>
    <cellStyle name="Normal 2 6 3 11 2 2" xfId="29369" xr:uid="{00000000-0005-0000-0000-0000BC720000}"/>
    <cellStyle name="Normal 2 6 3 11 2 2 2" xfId="29370" xr:uid="{00000000-0005-0000-0000-0000BD720000}"/>
    <cellStyle name="Normal 2 6 3 11 2 2 3" xfId="29371" xr:uid="{00000000-0005-0000-0000-0000BE720000}"/>
    <cellStyle name="Normal 2 6 3 11 2 3" xfId="29372" xr:uid="{00000000-0005-0000-0000-0000BF720000}"/>
    <cellStyle name="Normal 2 6 3 11 2 4" xfId="29373" xr:uid="{00000000-0005-0000-0000-0000C0720000}"/>
    <cellStyle name="Normal 2 6 3 11 2 5" xfId="29374" xr:uid="{00000000-0005-0000-0000-0000C1720000}"/>
    <cellStyle name="Normal 2 6 3 11 2 6" xfId="29375" xr:uid="{00000000-0005-0000-0000-0000C2720000}"/>
    <cellStyle name="Normal 2 6 3 11 3" xfId="29376" xr:uid="{00000000-0005-0000-0000-0000C3720000}"/>
    <cellStyle name="Normal 2 6 3 11 3 2" xfId="29377" xr:uid="{00000000-0005-0000-0000-0000C4720000}"/>
    <cellStyle name="Normal 2 6 3 11 3 2 2" xfId="29378" xr:uid="{00000000-0005-0000-0000-0000C5720000}"/>
    <cellStyle name="Normal 2 6 3 11 3 2 3" xfId="29379" xr:uid="{00000000-0005-0000-0000-0000C6720000}"/>
    <cellStyle name="Normal 2 6 3 11 3 3" xfId="29380" xr:uid="{00000000-0005-0000-0000-0000C7720000}"/>
    <cellStyle name="Normal 2 6 3 11 3 4" xfId="29381" xr:uid="{00000000-0005-0000-0000-0000C8720000}"/>
    <cellStyle name="Normal 2 6 3 11 3 5" xfId="29382" xr:uid="{00000000-0005-0000-0000-0000C9720000}"/>
    <cellStyle name="Normal 2 6 3 11 3 6" xfId="29383" xr:uid="{00000000-0005-0000-0000-0000CA720000}"/>
    <cellStyle name="Normal 2 6 3 11 4" xfId="29384" xr:uid="{00000000-0005-0000-0000-0000CB720000}"/>
    <cellStyle name="Normal 2 6 3 11 4 2" xfId="29385" xr:uid="{00000000-0005-0000-0000-0000CC720000}"/>
    <cellStyle name="Normal 2 6 3 11 4 2 2" xfId="29386" xr:uid="{00000000-0005-0000-0000-0000CD720000}"/>
    <cellStyle name="Normal 2 6 3 11 4 3" xfId="29387" xr:uid="{00000000-0005-0000-0000-0000CE720000}"/>
    <cellStyle name="Normal 2 6 3 11 4 4" xfId="29388" xr:uid="{00000000-0005-0000-0000-0000CF720000}"/>
    <cellStyle name="Normal 2 6 3 11 4 5" xfId="29389" xr:uid="{00000000-0005-0000-0000-0000D0720000}"/>
    <cellStyle name="Normal 2 6 3 11 5" xfId="29390" xr:uid="{00000000-0005-0000-0000-0000D1720000}"/>
    <cellStyle name="Normal 2 6 3 11 5 2" xfId="29391" xr:uid="{00000000-0005-0000-0000-0000D2720000}"/>
    <cellStyle name="Normal 2 6 3 11 5 3" xfId="29392" xr:uid="{00000000-0005-0000-0000-0000D3720000}"/>
    <cellStyle name="Normal 2 6 3 11 5 4" xfId="29393" xr:uid="{00000000-0005-0000-0000-0000D4720000}"/>
    <cellStyle name="Normal 2 6 3 11 6" xfId="29394" xr:uid="{00000000-0005-0000-0000-0000D5720000}"/>
    <cellStyle name="Normal 2 6 3 11 6 2" xfId="29395" xr:uid="{00000000-0005-0000-0000-0000D6720000}"/>
    <cellStyle name="Normal 2 6 3 11 7" xfId="29396" xr:uid="{00000000-0005-0000-0000-0000D7720000}"/>
    <cellStyle name="Normal 2 6 3 11 8" xfId="29397" xr:uid="{00000000-0005-0000-0000-0000D8720000}"/>
    <cellStyle name="Normal 2 6 3 11 9" xfId="29398" xr:uid="{00000000-0005-0000-0000-0000D9720000}"/>
    <cellStyle name="Normal 2 6 3 12" xfId="29399" xr:uid="{00000000-0005-0000-0000-0000DA720000}"/>
    <cellStyle name="Normal 2 6 3 12 10" xfId="29400" xr:uid="{00000000-0005-0000-0000-0000DB720000}"/>
    <cellStyle name="Normal 2 6 3 12 2" xfId="29401" xr:uid="{00000000-0005-0000-0000-0000DC720000}"/>
    <cellStyle name="Normal 2 6 3 12 2 2" xfId="29402" xr:uid="{00000000-0005-0000-0000-0000DD720000}"/>
    <cellStyle name="Normal 2 6 3 12 2 2 2" xfId="29403" xr:uid="{00000000-0005-0000-0000-0000DE720000}"/>
    <cellStyle name="Normal 2 6 3 12 2 2 3" xfId="29404" xr:uid="{00000000-0005-0000-0000-0000DF720000}"/>
    <cellStyle name="Normal 2 6 3 12 2 3" xfId="29405" xr:uid="{00000000-0005-0000-0000-0000E0720000}"/>
    <cellStyle name="Normal 2 6 3 12 2 4" xfId="29406" xr:uid="{00000000-0005-0000-0000-0000E1720000}"/>
    <cellStyle name="Normal 2 6 3 12 2 5" xfId="29407" xr:uid="{00000000-0005-0000-0000-0000E2720000}"/>
    <cellStyle name="Normal 2 6 3 12 2 6" xfId="29408" xr:uid="{00000000-0005-0000-0000-0000E3720000}"/>
    <cellStyle name="Normal 2 6 3 12 3" xfId="29409" xr:uid="{00000000-0005-0000-0000-0000E4720000}"/>
    <cellStyle name="Normal 2 6 3 12 3 2" xfId="29410" xr:uid="{00000000-0005-0000-0000-0000E5720000}"/>
    <cellStyle name="Normal 2 6 3 12 3 2 2" xfId="29411" xr:uid="{00000000-0005-0000-0000-0000E6720000}"/>
    <cellStyle name="Normal 2 6 3 12 3 2 3" xfId="29412" xr:uid="{00000000-0005-0000-0000-0000E7720000}"/>
    <cellStyle name="Normal 2 6 3 12 3 3" xfId="29413" xr:uid="{00000000-0005-0000-0000-0000E8720000}"/>
    <cellStyle name="Normal 2 6 3 12 3 4" xfId="29414" xr:uid="{00000000-0005-0000-0000-0000E9720000}"/>
    <cellStyle name="Normal 2 6 3 12 3 5" xfId="29415" xr:uid="{00000000-0005-0000-0000-0000EA720000}"/>
    <cellStyle name="Normal 2 6 3 12 3 6" xfId="29416" xr:uid="{00000000-0005-0000-0000-0000EB720000}"/>
    <cellStyle name="Normal 2 6 3 12 4" xfId="29417" xr:uid="{00000000-0005-0000-0000-0000EC720000}"/>
    <cellStyle name="Normal 2 6 3 12 4 2" xfId="29418" xr:uid="{00000000-0005-0000-0000-0000ED720000}"/>
    <cellStyle name="Normal 2 6 3 12 4 2 2" xfId="29419" xr:uid="{00000000-0005-0000-0000-0000EE720000}"/>
    <cellStyle name="Normal 2 6 3 12 4 3" xfId="29420" xr:uid="{00000000-0005-0000-0000-0000EF720000}"/>
    <cellStyle name="Normal 2 6 3 12 4 4" xfId="29421" xr:uid="{00000000-0005-0000-0000-0000F0720000}"/>
    <cellStyle name="Normal 2 6 3 12 4 5" xfId="29422" xr:uid="{00000000-0005-0000-0000-0000F1720000}"/>
    <cellStyle name="Normal 2 6 3 12 5" xfId="29423" xr:uid="{00000000-0005-0000-0000-0000F2720000}"/>
    <cellStyle name="Normal 2 6 3 12 5 2" xfId="29424" xr:uid="{00000000-0005-0000-0000-0000F3720000}"/>
    <cellStyle name="Normal 2 6 3 12 5 3" xfId="29425" xr:uid="{00000000-0005-0000-0000-0000F4720000}"/>
    <cellStyle name="Normal 2 6 3 12 5 4" xfId="29426" xr:uid="{00000000-0005-0000-0000-0000F5720000}"/>
    <cellStyle name="Normal 2 6 3 12 6" xfId="29427" xr:uid="{00000000-0005-0000-0000-0000F6720000}"/>
    <cellStyle name="Normal 2 6 3 12 6 2" xfId="29428" xr:uid="{00000000-0005-0000-0000-0000F7720000}"/>
    <cellStyle name="Normal 2 6 3 12 7" xfId="29429" xr:uid="{00000000-0005-0000-0000-0000F8720000}"/>
    <cellStyle name="Normal 2 6 3 12 8" xfId="29430" xr:uid="{00000000-0005-0000-0000-0000F9720000}"/>
    <cellStyle name="Normal 2 6 3 12 9" xfId="29431" xr:uid="{00000000-0005-0000-0000-0000FA720000}"/>
    <cellStyle name="Normal 2 6 3 13" xfId="29432" xr:uid="{00000000-0005-0000-0000-0000FB720000}"/>
    <cellStyle name="Normal 2 6 3 13 2" xfId="29433" xr:uid="{00000000-0005-0000-0000-0000FC720000}"/>
    <cellStyle name="Normal 2 6 3 13 2 2" xfId="29434" xr:uid="{00000000-0005-0000-0000-0000FD720000}"/>
    <cellStyle name="Normal 2 6 3 13 2 2 2" xfId="29435" xr:uid="{00000000-0005-0000-0000-0000FE720000}"/>
    <cellStyle name="Normal 2 6 3 13 2 2 3" xfId="29436" xr:uid="{00000000-0005-0000-0000-0000FF720000}"/>
    <cellStyle name="Normal 2 6 3 13 2 3" xfId="29437" xr:uid="{00000000-0005-0000-0000-000000730000}"/>
    <cellStyle name="Normal 2 6 3 13 2 4" xfId="29438" xr:uid="{00000000-0005-0000-0000-000001730000}"/>
    <cellStyle name="Normal 2 6 3 13 2 5" xfId="29439" xr:uid="{00000000-0005-0000-0000-000002730000}"/>
    <cellStyle name="Normal 2 6 3 13 2 6" xfId="29440" xr:uid="{00000000-0005-0000-0000-000003730000}"/>
    <cellStyle name="Normal 2 6 3 13 3" xfId="29441" xr:uid="{00000000-0005-0000-0000-000004730000}"/>
    <cellStyle name="Normal 2 6 3 13 3 2" xfId="29442" xr:uid="{00000000-0005-0000-0000-000005730000}"/>
    <cellStyle name="Normal 2 6 3 13 3 2 2" xfId="29443" xr:uid="{00000000-0005-0000-0000-000006730000}"/>
    <cellStyle name="Normal 2 6 3 13 3 3" xfId="29444" xr:uid="{00000000-0005-0000-0000-000007730000}"/>
    <cellStyle name="Normal 2 6 3 13 3 4" xfId="29445" xr:uid="{00000000-0005-0000-0000-000008730000}"/>
    <cellStyle name="Normal 2 6 3 13 3 5" xfId="29446" xr:uid="{00000000-0005-0000-0000-000009730000}"/>
    <cellStyle name="Normal 2 6 3 13 4" xfId="29447" xr:uid="{00000000-0005-0000-0000-00000A730000}"/>
    <cellStyle name="Normal 2 6 3 13 4 2" xfId="29448" xr:uid="{00000000-0005-0000-0000-00000B730000}"/>
    <cellStyle name="Normal 2 6 3 13 4 3" xfId="29449" xr:uid="{00000000-0005-0000-0000-00000C730000}"/>
    <cellStyle name="Normal 2 6 3 13 4 4" xfId="29450" xr:uid="{00000000-0005-0000-0000-00000D730000}"/>
    <cellStyle name="Normal 2 6 3 13 5" xfId="29451" xr:uid="{00000000-0005-0000-0000-00000E730000}"/>
    <cellStyle name="Normal 2 6 3 13 5 2" xfId="29452" xr:uid="{00000000-0005-0000-0000-00000F730000}"/>
    <cellStyle name="Normal 2 6 3 13 6" xfId="29453" xr:uid="{00000000-0005-0000-0000-000010730000}"/>
    <cellStyle name="Normal 2 6 3 13 7" xfId="29454" xr:uid="{00000000-0005-0000-0000-000011730000}"/>
    <cellStyle name="Normal 2 6 3 13 8" xfId="29455" xr:uid="{00000000-0005-0000-0000-000012730000}"/>
    <cellStyle name="Normal 2 6 3 13 9" xfId="29456" xr:uid="{00000000-0005-0000-0000-000013730000}"/>
    <cellStyle name="Normal 2 6 3 14" xfId="29457" xr:uid="{00000000-0005-0000-0000-000014730000}"/>
    <cellStyle name="Normal 2 6 3 14 2" xfId="29458" xr:uid="{00000000-0005-0000-0000-000015730000}"/>
    <cellStyle name="Normal 2 6 3 14 2 2" xfId="29459" xr:uid="{00000000-0005-0000-0000-000016730000}"/>
    <cellStyle name="Normal 2 6 3 14 2 2 2" xfId="29460" xr:uid="{00000000-0005-0000-0000-000017730000}"/>
    <cellStyle name="Normal 2 6 3 14 2 2 3" xfId="29461" xr:uid="{00000000-0005-0000-0000-000018730000}"/>
    <cellStyle name="Normal 2 6 3 14 2 3" xfId="29462" xr:uid="{00000000-0005-0000-0000-000019730000}"/>
    <cellStyle name="Normal 2 6 3 14 2 4" xfId="29463" xr:uid="{00000000-0005-0000-0000-00001A730000}"/>
    <cellStyle name="Normal 2 6 3 14 2 5" xfId="29464" xr:uid="{00000000-0005-0000-0000-00001B730000}"/>
    <cellStyle name="Normal 2 6 3 14 2 6" xfId="29465" xr:uid="{00000000-0005-0000-0000-00001C730000}"/>
    <cellStyle name="Normal 2 6 3 14 3" xfId="29466" xr:uid="{00000000-0005-0000-0000-00001D730000}"/>
    <cellStyle name="Normal 2 6 3 14 3 2" xfId="29467" xr:uid="{00000000-0005-0000-0000-00001E730000}"/>
    <cellStyle name="Normal 2 6 3 14 3 2 2" xfId="29468" xr:uid="{00000000-0005-0000-0000-00001F730000}"/>
    <cellStyle name="Normal 2 6 3 14 3 3" xfId="29469" xr:uid="{00000000-0005-0000-0000-000020730000}"/>
    <cellStyle name="Normal 2 6 3 14 3 4" xfId="29470" xr:uid="{00000000-0005-0000-0000-000021730000}"/>
    <cellStyle name="Normal 2 6 3 14 3 5" xfId="29471" xr:uid="{00000000-0005-0000-0000-000022730000}"/>
    <cellStyle name="Normal 2 6 3 14 4" xfId="29472" xr:uid="{00000000-0005-0000-0000-000023730000}"/>
    <cellStyle name="Normal 2 6 3 14 4 2" xfId="29473" xr:uid="{00000000-0005-0000-0000-000024730000}"/>
    <cellStyle name="Normal 2 6 3 14 4 3" xfId="29474" xr:uid="{00000000-0005-0000-0000-000025730000}"/>
    <cellStyle name="Normal 2 6 3 14 4 4" xfId="29475" xr:uid="{00000000-0005-0000-0000-000026730000}"/>
    <cellStyle name="Normal 2 6 3 14 5" xfId="29476" xr:uid="{00000000-0005-0000-0000-000027730000}"/>
    <cellStyle name="Normal 2 6 3 14 5 2" xfId="29477" xr:uid="{00000000-0005-0000-0000-000028730000}"/>
    <cellStyle name="Normal 2 6 3 14 6" xfId="29478" xr:uid="{00000000-0005-0000-0000-000029730000}"/>
    <cellStyle name="Normal 2 6 3 14 7" xfId="29479" xr:uid="{00000000-0005-0000-0000-00002A730000}"/>
    <cellStyle name="Normal 2 6 3 14 8" xfId="29480" xr:uid="{00000000-0005-0000-0000-00002B730000}"/>
    <cellStyle name="Normal 2 6 3 14 9" xfId="29481" xr:uid="{00000000-0005-0000-0000-00002C730000}"/>
    <cellStyle name="Normal 2 6 3 15" xfId="29482" xr:uid="{00000000-0005-0000-0000-00002D730000}"/>
    <cellStyle name="Normal 2 6 3 15 2" xfId="29483" xr:uid="{00000000-0005-0000-0000-00002E730000}"/>
    <cellStyle name="Normal 2 6 3 15 2 2" xfId="29484" xr:uid="{00000000-0005-0000-0000-00002F730000}"/>
    <cellStyle name="Normal 2 6 3 15 2 3" xfId="29485" xr:uid="{00000000-0005-0000-0000-000030730000}"/>
    <cellStyle name="Normal 2 6 3 15 3" xfId="29486" xr:uid="{00000000-0005-0000-0000-000031730000}"/>
    <cellStyle name="Normal 2 6 3 15 4" xfId="29487" xr:uid="{00000000-0005-0000-0000-000032730000}"/>
    <cellStyle name="Normal 2 6 3 15 5" xfId="29488" xr:uid="{00000000-0005-0000-0000-000033730000}"/>
    <cellStyle name="Normal 2 6 3 15 6" xfId="29489" xr:uid="{00000000-0005-0000-0000-000034730000}"/>
    <cellStyle name="Normal 2 6 3 16" xfId="29490" xr:uid="{00000000-0005-0000-0000-000035730000}"/>
    <cellStyle name="Normal 2 6 3 16 2" xfId="29491" xr:uid="{00000000-0005-0000-0000-000036730000}"/>
    <cellStyle name="Normal 2 6 3 16 2 2" xfId="29492" xr:uid="{00000000-0005-0000-0000-000037730000}"/>
    <cellStyle name="Normal 2 6 3 16 3" xfId="29493" xr:uid="{00000000-0005-0000-0000-000038730000}"/>
    <cellStyle name="Normal 2 6 3 16 4" xfId="29494" xr:uid="{00000000-0005-0000-0000-000039730000}"/>
    <cellStyle name="Normal 2 6 3 16 5" xfId="29495" xr:uid="{00000000-0005-0000-0000-00003A730000}"/>
    <cellStyle name="Normal 2 6 3 17" xfId="29496" xr:uid="{00000000-0005-0000-0000-00003B730000}"/>
    <cellStyle name="Normal 2 6 3 17 2" xfId="29497" xr:uid="{00000000-0005-0000-0000-00003C730000}"/>
    <cellStyle name="Normal 2 6 3 17 2 2" xfId="29498" xr:uid="{00000000-0005-0000-0000-00003D730000}"/>
    <cellStyle name="Normal 2 6 3 17 3" xfId="29499" xr:uid="{00000000-0005-0000-0000-00003E730000}"/>
    <cellStyle name="Normal 2 6 3 17 4" xfId="29500" xr:uid="{00000000-0005-0000-0000-00003F730000}"/>
    <cellStyle name="Normal 2 6 3 17 5" xfId="29501" xr:uid="{00000000-0005-0000-0000-000040730000}"/>
    <cellStyle name="Normal 2 6 3 18" xfId="29502" xr:uid="{00000000-0005-0000-0000-000041730000}"/>
    <cellStyle name="Normal 2 6 3 18 2" xfId="29503" xr:uid="{00000000-0005-0000-0000-000042730000}"/>
    <cellStyle name="Normal 2 6 3 19" xfId="29504" xr:uid="{00000000-0005-0000-0000-000043730000}"/>
    <cellStyle name="Normal 2 6 3 2" xfId="29505" xr:uid="{00000000-0005-0000-0000-000044730000}"/>
    <cellStyle name="Normal 2 6 3 2 10" xfId="29506" xr:uid="{00000000-0005-0000-0000-000045730000}"/>
    <cellStyle name="Normal 2 6 3 2 11" xfId="29507" xr:uid="{00000000-0005-0000-0000-000046730000}"/>
    <cellStyle name="Normal 2 6 3 2 2" xfId="29508" xr:uid="{00000000-0005-0000-0000-000047730000}"/>
    <cellStyle name="Normal 2 6 3 2 2 2" xfId="29509" xr:uid="{00000000-0005-0000-0000-000048730000}"/>
    <cellStyle name="Normal 2 6 3 2 2 2 2" xfId="29510" xr:uid="{00000000-0005-0000-0000-000049730000}"/>
    <cellStyle name="Normal 2 6 3 2 2 2 2 2" xfId="29511" xr:uid="{00000000-0005-0000-0000-00004A730000}"/>
    <cellStyle name="Normal 2 6 3 2 2 2 2 3" xfId="29512" xr:uid="{00000000-0005-0000-0000-00004B730000}"/>
    <cellStyle name="Normal 2 6 3 2 2 2 3" xfId="29513" xr:uid="{00000000-0005-0000-0000-00004C730000}"/>
    <cellStyle name="Normal 2 6 3 2 2 2 4" xfId="29514" xr:uid="{00000000-0005-0000-0000-00004D730000}"/>
    <cellStyle name="Normal 2 6 3 2 2 2 5" xfId="29515" xr:uid="{00000000-0005-0000-0000-00004E730000}"/>
    <cellStyle name="Normal 2 6 3 2 2 2 6" xfId="29516" xr:uid="{00000000-0005-0000-0000-00004F730000}"/>
    <cellStyle name="Normal 2 6 3 2 2 3" xfId="29517" xr:uid="{00000000-0005-0000-0000-000050730000}"/>
    <cellStyle name="Normal 2 6 3 2 2 3 2" xfId="29518" xr:uid="{00000000-0005-0000-0000-000051730000}"/>
    <cellStyle name="Normal 2 6 3 2 2 3 2 2" xfId="29519" xr:uid="{00000000-0005-0000-0000-000052730000}"/>
    <cellStyle name="Normal 2 6 3 2 2 3 3" xfId="29520" xr:uid="{00000000-0005-0000-0000-000053730000}"/>
    <cellStyle name="Normal 2 6 3 2 2 3 4" xfId="29521" xr:uid="{00000000-0005-0000-0000-000054730000}"/>
    <cellStyle name="Normal 2 6 3 2 2 3 5" xfId="29522" xr:uid="{00000000-0005-0000-0000-000055730000}"/>
    <cellStyle name="Normal 2 6 3 2 2 4" xfId="29523" xr:uid="{00000000-0005-0000-0000-000056730000}"/>
    <cellStyle name="Normal 2 6 3 2 2 4 2" xfId="29524" xr:uid="{00000000-0005-0000-0000-000057730000}"/>
    <cellStyle name="Normal 2 6 3 2 2 4 3" xfId="29525" xr:uid="{00000000-0005-0000-0000-000058730000}"/>
    <cellStyle name="Normal 2 6 3 2 2 4 4" xfId="29526" xr:uid="{00000000-0005-0000-0000-000059730000}"/>
    <cellStyle name="Normal 2 6 3 2 2 5" xfId="29527" xr:uid="{00000000-0005-0000-0000-00005A730000}"/>
    <cellStyle name="Normal 2 6 3 2 2 5 2" xfId="29528" xr:uid="{00000000-0005-0000-0000-00005B730000}"/>
    <cellStyle name="Normal 2 6 3 2 2 6" xfId="29529" xr:uid="{00000000-0005-0000-0000-00005C730000}"/>
    <cellStyle name="Normal 2 6 3 2 2 7" xfId="29530" xr:uid="{00000000-0005-0000-0000-00005D730000}"/>
    <cellStyle name="Normal 2 6 3 2 2 8" xfId="29531" xr:uid="{00000000-0005-0000-0000-00005E730000}"/>
    <cellStyle name="Normal 2 6 3 2 2 9" xfId="29532" xr:uid="{00000000-0005-0000-0000-00005F730000}"/>
    <cellStyle name="Normal 2 6 3 2 3" xfId="29533" xr:uid="{00000000-0005-0000-0000-000060730000}"/>
    <cellStyle name="Normal 2 6 3 2 3 2" xfId="29534" xr:uid="{00000000-0005-0000-0000-000061730000}"/>
    <cellStyle name="Normal 2 6 3 2 3 2 2" xfId="29535" xr:uid="{00000000-0005-0000-0000-000062730000}"/>
    <cellStyle name="Normal 2 6 3 2 3 2 2 2" xfId="29536" xr:uid="{00000000-0005-0000-0000-000063730000}"/>
    <cellStyle name="Normal 2 6 3 2 3 2 2 3" xfId="29537" xr:uid="{00000000-0005-0000-0000-000064730000}"/>
    <cellStyle name="Normal 2 6 3 2 3 2 3" xfId="29538" xr:uid="{00000000-0005-0000-0000-000065730000}"/>
    <cellStyle name="Normal 2 6 3 2 3 2 4" xfId="29539" xr:uid="{00000000-0005-0000-0000-000066730000}"/>
    <cellStyle name="Normal 2 6 3 2 3 2 5" xfId="29540" xr:uid="{00000000-0005-0000-0000-000067730000}"/>
    <cellStyle name="Normal 2 6 3 2 3 2 6" xfId="29541" xr:uid="{00000000-0005-0000-0000-000068730000}"/>
    <cellStyle name="Normal 2 6 3 2 3 3" xfId="29542" xr:uid="{00000000-0005-0000-0000-000069730000}"/>
    <cellStyle name="Normal 2 6 3 2 3 3 2" xfId="29543" xr:uid="{00000000-0005-0000-0000-00006A730000}"/>
    <cellStyle name="Normal 2 6 3 2 3 3 2 2" xfId="29544" xr:uid="{00000000-0005-0000-0000-00006B730000}"/>
    <cellStyle name="Normal 2 6 3 2 3 3 3" xfId="29545" xr:uid="{00000000-0005-0000-0000-00006C730000}"/>
    <cellStyle name="Normal 2 6 3 2 3 3 4" xfId="29546" xr:uid="{00000000-0005-0000-0000-00006D730000}"/>
    <cellStyle name="Normal 2 6 3 2 3 3 5" xfId="29547" xr:uid="{00000000-0005-0000-0000-00006E730000}"/>
    <cellStyle name="Normal 2 6 3 2 3 4" xfId="29548" xr:uid="{00000000-0005-0000-0000-00006F730000}"/>
    <cellStyle name="Normal 2 6 3 2 3 4 2" xfId="29549" xr:uid="{00000000-0005-0000-0000-000070730000}"/>
    <cellStyle name="Normal 2 6 3 2 3 4 3" xfId="29550" xr:uid="{00000000-0005-0000-0000-000071730000}"/>
    <cellStyle name="Normal 2 6 3 2 3 4 4" xfId="29551" xr:uid="{00000000-0005-0000-0000-000072730000}"/>
    <cellStyle name="Normal 2 6 3 2 3 5" xfId="29552" xr:uid="{00000000-0005-0000-0000-000073730000}"/>
    <cellStyle name="Normal 2 6 3 2 3 5 2" xfId="29553" xr:uid="{00000000-0005-0000-0000-000074730000}"/>
    <cellStyle name="Normal 2 6 3 2 3 6" xfId="29554" xr:uid="{00000000-0005-0000-0000-000075730000}"/>
    <cellStyle name="Normal 2 6 3 2 3 7" xfId="29555" xr:uid="{00000000-0005-0000-0000-000076730000}"/>
    <cellStyle name="Normal 2 6 3 2 3 8" xfId="29556" xr:uid="{00000000-0005-0000-0000-000077730000}"/>
    <cellStyle name="Normal 2 6 3 2 3 9" xfId="29557" xr:uid="{00000000-0005-0000-0000-000078730000}"/>
    <cellStyle name="Normal 2 6 3 2 4" xfId="29558" xr:uid="{00000000-0005-0000-0000-000079730000}"/>
    <cellStyle name="Normal 2 6 3 2 4 2" xfId="29559" xr:uid="{00000000-0005-0000-0000-00007A730000}"/>
    <cellStyle name="Normal 2 6 3 2 4 2 2" xfId="29560" xr:uid="{00000000-0005-0000-0000-00007B730000}"/>
    <cellStyle name="Normal 2 6 3 2 4 2 3" xfId="29561" xr:uid="{00000000-0005-0000-0000-00007C730000}"/>
    <cellStyle name="Normal 2 6 3 2 4 3" xfId="29562" xr:uid="{00000000-0005-0000-0000-00007D730000}"/>
    <cellStyle name="Normal 2 6 3 2 4 4" xfId="29563" xr:uid="{00000000-0005-0000-0000-00007E730000}"/>
    <cellStyle name="Normal 2 6 3 2 4 5" xfId="29564" xr:uid="{00000000-0005-0000-0000-00007F730000}"/>
    <cellStyle name="Normal 2 6 3 2 4 6" xfId="29565" xr:uid="{00000000-0005-0000-0000-000080730000}"/>
    <cellStyle name="Normal 2 6 3 2 5" xfId="29566" xr:uid="{00000000-0005-0000-0000-000081730000}"/>
    <cellStyle name="Normal 2 6 3 2 5 2" xfId="29567" xr:uid="{00000000-0005-0000-0000-000082730000}"/>
    <cellStyle name="Normal 2 6 3 2 5 2 2" xfId="29568" xr:uid="{00000000-0005-0000-0000-000083730000}"/>
    <cellStyle name="Normal 2 6 3 2 5 3" xfId="29569" xr:uid="{00000000-0005-0000-0000-000084730000}"/>
    <cellStyle name="Normal 2 6 3 2 5 4" xfId="29570" xr:uid="{00000000-0005-0000-0000-000085730000}"/>
    <cellStyle name="Normal 2 6 3 2 5 5" xfId="29571" xr:uid="{00000000-0005-0000-0000-000086730000}"/>
    <cellStyle name="Normal 2 6 3 2 6" xfId="29572" xr:uid="{00000000-0005-0000-0000-000087730000}"/>
    <cellStyle name="Normal 2 6 3 2 6 2" xfId="29573" xr:uid="{00000000-0005-0000-0000-000088730000}"/>
    <cellStyle name="Normal 2 6 3 2 6 3" xfId="29574" xr:uid="{00000000-0005-0000-0000-000089730000}"/>
    <cellStyle name="Normal 2 6 3 2 6 4" xfId="29575" xr:uid="{00000000-0005-0000-0000-00008A730000}"/>
    <cellStyle name="Normal 2 6 3 2 7" xfId="29576" xr:uid="{00000000-0005-0000-0000-00008B730000}"/>
    <cellStyle name="Normal 2 6 3 2 7 2" xfId="29577" xr:uid="{00000000-0005-0000-0000-00008C730000}"/>
    <cellStyle name="Normal 2 6 3 2 8" xfId="29578" xr:uid="{00000000-0005-0000-0000-00008D730000}"/>
    <cellStyle name="Normal 2 6 3 2 9" xfId="29579" xr:uid="{00000000-0005-0000-0000-00008E730000}"/>
    <cellStyle name="Normal 2 6 3 20" xfId="29580" xr:uid="{00000000-0005-0000-0000-00008F730000}"/>
    <cellStyle name="Normal 2 6 3 21" xfId="29581" xr:uid="{00000000-0005-0000-0000-000090730000}"/>
    <cellStyle name="Normal 2 6 3 22" xfId="29582" xr:uid="{00000000-0005-0000-0000-000091730000}"/>
    <cellStyle name="Normal 2 6 3 3" xfId="29583" xr:uid="{00000000-0005-0000-0000-000092730000}"/>
    <cellStyle name="Normal 2 6 3 3 10" xfId="29584" xr:uid="{00000000-0005-0000-0000-000093730000}"/>
    <cellStyle name="Normal 2 6 3 3 11" xfId="29585" xr:uid="{00000000-0005-0000-0000-000094730000}"/>
    <cellStyle name="Normal 2 6 3 3 2" xfId="29586" xr:uid="{00000000-0005-0000-0000-000095730000}"/>
    <cellStyle name="Normal 2 6 3 3 2 2" xfId="29587" xr:uid="{00000000-0005-0000-0000-000096730000}"/>
    <cellStyle name="Normal 2 6 3 3 2 2 2" xfId="29588" xr:uid="{00000000-0005-0000-0000-000097730000}"/>
    <cellStyle name="Normal 2 6 3 3 2 2 2 2" xfId="29589" xr:uid="{00000000-0005-0000-0000-000098730000}"/>
    <cellStyle name="Normal 2 6 3 3 2 2 2 3" xfId="29590" xr:uid="{00000000-0005-0000-0000-000099730000}"/>
    <cellStyle name="Normal 2 6 3 3 2 2 3" xfId="29591" xr:uid="{00000000-0005-0000-0000-00009A730000}"/>
    <cellStyle name="Normal 2 6 3 3 2 2 4" xfId="29592" xr:uid="{00000000-0005-0000-0000-00009B730000}"/>
    <cellStyle name="Normal 2 6 3 3 2 2 5" xfId="29593" xr:uid="{00000000-0005-0000-0000-00009C730000}"/>
    <cellStyle name="Normal 2 6 3 3 2 2 6" xfId="29594" xr:uid="{00000000-0005-0000-0000-00009D730000}"/>
    <cellStyle name="Normal 2 6 3 3 2 3" xfId="29595" xr:uid="{00000000-0005-0000-0000-00009E730000}"/>
    <cellStyle name="Normal 2 6 3 3 2 3 2" xfId="29596" xr:uid="{00000000-0005-0000-0000-00009F730000}"/>
    <cellStyle name="Normal 2 6 3 3 2 3 2 2" xfId="29597" xr:uid="{00000000-0005-0000-0000-0000A0730000}"/>
    <cellStyle name="Normal 2 6 3 3 2 3 3" xfId="29598" xr:uid="{00000000-0005-0000-0000-0000A1730000}"/>
    <cellStyle name="Normal 2 6 3 3 2 3 4" xfId="29599" xr:uid="{00000000-0005-0000-0000-0000A2730000}"/>
    <cellStyle name="Normal 2 6 3 3 2 3 5" xfId="29600" xr:uid="{00000000-0005-0000-0000-0000A3730000}"/>
    <cellStyle name="Normal 2 6 3 3 2 4" xfId="29601" xr:uid="{00000000-0005-0000-0000-0000A4730000}"/>
    <cellStyle name="Normal 2 6 3 3 2 4 2" xfId="29602" xr:uid="{00000000-0005-0000-0000-0000A5730000}"/>
    <cellStyle name="Normal 2 6 3 3 2 4 3" xfId="29603" xr:uid="{00000000-0005-0000-0000-0000A6730000}"/>
    <cellStyle name="Normal 2 6 3 3 2 4 4" xfId="29604" xr:uid="{00000000-0005-0000-0000-0000A7730000}"/>
    <cellStyle name="Normal 2 6 3 3 2 5" xfId="29605" xr:uid="{00000000-0005-0000-0000-0000A8730000}"/>
    <cellStyle name="Normal 2 6 3 3 2 5 2" xfId="29606" xr:uid="{00000000-0005-0000-0000-0000A9730000}"/>
    <cellStyle name="Normal 2 6 3 3 2 6" xfId="29607" xr:uid="{00000000-0005-0000-0000-0000AA730000}"/>
    <cellStyle name="Normal 2 6 3 3 2 7" xfId="29608" xr:uid="{00000000-0005-0000-0000-0000AB730000}"/>
    <cellStyle name="Normal 2 6 3 3 2 8" xfId="29609" xr:uid="{00000000-0005-0000-0000-0000AC730000}"/>
    <cellStyle name="Normal 2 6 3 3 2 9" xfId="29610" xr:uid="{00000000-0005-0000-0000-0000AD730000}"/>
    <cellStyle name="Normal 2 6 3 3 3" xfId="29611" xr:uid="{00000000-0005-0000-0000-0000AE730000}"/>
    <cellStyle name="Normal 2 6 3 3 3 2" xfId="29612" xr:uid="{00000000-0005-0000-0000-0000AF730000}"/>
    <cellStyle name="Normal 2 6 3 3 3 2 2" xfId="29613" xr:uid="{00000000-0005-0000-0000-0000B0730000}"/>
    <cellStyle name="Normal 2 6 3 3 3 2 2 2" xfId="29614" xr:uid="{00000000-0005-0000-0000-0000B1730000}"/>
    <cellStyle name="Normal 2 6 3 3 3 2 2 3" xfId="29615" xr:uid="{00000000-0005-0000-0000-0000B2730000}"/>
    <cellStyle name="Normal 2 6 3 3 3 2 3" xfId="29616" xr:uid="{00000000-0005-0000-0000-0000B3730000}"/>
    <cellStyle name="Normal 2 6 3 3 3 2 4" xfId="29617" xr:uid="{00000000-0005-0000-0000-0000B4730000}"/>
    <cellStyle name="Normal 2 6 3 3 3 2 5" xfId="29618" xr:uid="{00000000-0005-0000-0000-0000B5730000}"/>
    <cellStyle name="Normal 2 6 3 3 3 2 6" xfId="29619" xr:uid="{00000000-0005-0000-0000-0000B6730000}"/>
    <cellStyle name="Normal 2 6 3 3 3 3" xfId="29620" xr:uid="{00000000-0005-0000-0000-0000B7730000}"/>
    <cellStyle name="Normal 2 6 3 3 3 3 2" xfId="29621" xr:uid="{00000000-0005-0000-0000-0000B8730000}"/>
    <cellStyle name="Normal 2 6 3 3 3 3 2 2" xfId="29622" xr:uid="{00000000-0005-0000-0000-0000B9730000}"/>
    <cellStyle name="Normal 2 6 3 3 3 3 3" xfId="29623" xr:uid="{00000000-0005-0000-0000-0000BA730000}"/>
    <cellStyle name="Normal 2 6 3 3 3 3 4" xfId="29624" xr:uid="{00000000-0005-0000-0000-0000BB730000}"/>
    <cellStyle name="Normal 2 6 3 3 3 3 5" xfId="29625" xr:uid="{00000000-0005-0000-0000-0000BC730000}"/>
    <cellStyle name="Normal 2 6 3 3 3 4" xfId="29626" xr:uid="{00000000-0005-0000-0000-0000BD730000}"/>
    <cellStyle name="Normal 2 6 3 3 3 4 2" xfId="29627" xr:uid="{00000000-0005-0000-0000-0000BE730000}"/>
    <cellStyle name="Normal 2 6 3 3 3 4 3" xfId="29628" xr:uid="{00000000-0005-0000-0000-0000BF730000}"/>
    <cellStyle name="Normal 2 6 3 3 3 4 4" xfId="29629" xr:uid="{00000000-0005-0000-0000-0000C0730000}"/>
    <cellStyle name="Normal 2 6 3 3 3 5" xfId="29630" xr:uid="{00000000-0005-0000-0000-0000C1730000}"/>
    <cellStyle name="Normal 2 6 3 3 3 5 2" xfId="29631" xr:uid="{00000000-0005-0000-0000-0000C2730000}"/>
    <cellStyle name="Normal 2 6 3 3 3 6" xfId="29632" xr:uid="{00000000-0005-0000-0000-0000C3730000}"/>
    <cellStyle name="Normal 2 6 3 3 3 7" xfId="29633" xr:uid="{00000000-0005-0000-0000-0000C4730000}"/>
    <cellStyle name="Normal 2 6 3 3 3 8" xfId="29634" xr:uid="{00000000-0005-0000-0000-0000C5730000}"/>
    <cellStyle name="Normal 2 6 3 3 3 9" xfId="29635" xr:uid="{00000000-0005-0000-0000-0000C6730000}"/>
    <cellStyle name="Normal 2 6 3 3 4" xfId="29636" xr:uid="{00000000-0005-0000-0000-0000C7730000}"/>
    <cellStyle name="Normal 2 6 3 3 4 2" xfId="29637" xr:uid="{00000000-0005-0000-0000-0000C8730000}"/>
    <cellStyle name="Normal 2 6 3 3 4 2 2" xfId="29638" xr:uid="{00000000-0005-0000-0000-0000C9730000}"/>
    <cellStyle name="Normal 2 6 3 3 4 2 3" xfId="29639" xr:uid="{00000000-0005-0000-0000-0000CA730000}"/>
    <cellStyle name="Normal 2 6 3 3 4 3" xfId="29640" xr:uid="{00000000-0005-0000-0000-0000CB730000}"/>
    <cellStyle name="Normal 2 6 3 3 4 4" xfId="29641" xr:uid="{00000000-0005-0000-0000-0000CC730000}"/>
    <cellStyle name="Normal 2 6 3 3 4 5" xfId="29642" xr:uid="{00000000-0005-0000-0000-0000CD730000}"/>
    <cellStyle name="Normal 2 6 3 3 4 6" xfId="29643" xr:uid="{00000000-0005-0000-0000-0000CE730000}"/>
    <cellStyle name="Normal 2 6 3 3 5" xfId="29644" xr:uid="{00000000-0005-0000-0000-0000CF730000}"/>
    <cellStyle name="Normal 2 6 3 3 5 2" xfId="29645" xr:uid="{00000000-0005-0000-0000-0000D0730000}"/>
    <cellStyle name="Normal 2 6 3 3 5 2 2" xfId="29646" xr:uid="{00000000-0005-0000-0000-0000D1730000}"/>
    <cellStyle name="Normal 2 6 3 3 5 3" xfId="29647" xr:uid="{00000000-0005-0000-0000-0000D2730000}"/>
    <cellStyle name="Normal 2 6 3 3 5 4" xfId="29648" xr:uid="{00000000-0005-0000-0000-0000D3730000}"/>
    <cellStyle name="Normal 2 6 3 3 5 5" xfId="29649" xr:uid="{00000000-0005-0000-0000-0000D4730000}"/>
    <cellStyle name="Normal 2 6 3 3 6" xfId="29650" xr:uid="{00000000-0005-0000-0000-0000D5730000}"/>
    <cellStyle name="Normal 2 6 3 3 6 2" xfId="29651" xr:uid="{00000000-0005-0000-0000-0000D6730000}"/>
    <cellStyle name="Normal 2 6 3 3 6 3" xfId="29652" xr:uid="{00000000-0005-0000-0000-0000D7730000}"/>
    <cellStyle name="Normal 2 6 3 3 6 4" xfId="29653" xr:uid="{00000000-0005-0000-0000-0000D8730000}"/>
    <cellStyle name="Normal 2 6 3 3 7" xfId="29654" xr:uid="{00000000-0005-0000-0000-0000D9730000}"/>
    <cellStyle name="Normal 2 6 3 3 7 2" xfId="29655" xr:uid="{00000000-0005-0000-0000-0000DA730000}"/>
    <cellStyle name="Normal 2 6 3 3 8" xfId="29656" xr:uid="{00000000-0005-0000-0000-0000DB730000}"/>
    <cellStyle name="Normal 2 6 3 3 9" xfId="29657" xr:uid="{00000000-0005-0000-0000-0000DC730000}"/>
    <cellStyle name="Normal 2 6 3 4" xfId="29658" xr:uid="{00000000-0005-0000-0000-0000DD730000}"/>
    <cellStyle name="Normal 2 6 3 4 10" xfId="29659" xr:uid="{00000000-0005-0000-0000-0000DE730000}"/>
    <cellStyle name="Normal 2 6 3 4 11" xfId="29660" xr:uid="{00000000-0005-0000-0000-0000DF730000}"/>
    <cellStyle name="Normal 2 6 3 4 2" xfId="29661" xr:uid="{00000000-0005-0000-0000-0000E0730000}"/>
    <cellStyle name="Normal 2 6 3 4 2 2" xfId="29662" xr:uid="{00000000-0005-0000-0000-0000E1730000}"/>
    <cellStyle name="Normal 2 6 3 4 2 2 2" xfId="29663" xr:uid="{00000000-0005-0000-0000-0000E2730000}"/>
    <cellStyle name="Normal 2 6 3 4 2 2 2 2" xfId="29664" xr:uid="{00000000-0005-0000-0000-0000E3730000}"/>
    <cellStyle name="Normal 2 6 3 4 2 2 2 3" xfId="29665" xr:uid="{00000000-0005-0000-0000-0000E4730000}"/>
    <cellStyle name="Normal 2 6 3 4 2 2 3" xfId="29666" xr:uid="{00000000-0005-0000-0000-0000E5730000}"/>
    <cellStyle name="Normal 2 6 3 4 2 2 4" xfId="29667" xr:uid="{00000000-0005-0000-0000-0000E6730000}"/>
    <cellStyle name="Normal 2 6 3 4 2 2 5" xfId="29668" xr:uid="{00000000-0005-0000-0000-0000E7730000}"/>
    <cellStyle name="Normal 2 6 3 4 2 2 6" xfId="29669" xr:uid="{00000000-0005-0000-0000-0000E8730000}"/>
    <cellStyle name="Normal 2 6 3 4 2 3" xfId="29670" xr:uid="{00000000-0005-0000-0000-0000E9730000}"/>
    <cellStyle name="Normal 2 6 3 4 2 3 2" xfId="29671" xr:uid="{00000000-0005-0000-0000-0000EA730000}"/>
    <cellStyle name="Normal 2 6 3 4 2 3 2 2" xfId="29672" xr:uid="{00000000-0005-0000-0000-0000EB730000}"/>
    <cellStyle name="Normal 2 6 3 4 2 3 3" xfId="29673" xr:uid="{00000000-0005-0000-0000-0000EC730000}"/>
    <cellStyle name="Normal 2 6 3 4 2 3 4" xfId="29674" xr:uid="{00000000-0005-0000-0000-0000ED730000}"/>
    <cellStyle name="Normal 2 6 3 4 2 3 5" xfId="29675" xr:uid="{00000000-0005-0000-0000-0000EE730000}"/>
    <cellStyle name="Normal 2 6 3 4 2 4" xfId="29676" xr:uid="{00000000-0005-0000-0000-0000EF730000}"/>
    <cellStyle name="Normal 2 6 3 4 2 4 2" xfId="29677" xr:uid="{00000000-0005-0000-0000-0000F0730000}"/>
    <cellStyle name="Normal 2 6 3 4 2 4 3" xfId="29678" xr:uid="{00000000-0005-0000-0000-0000F1730000}"/>
    <cellStyle name="Normal 2 6 3 4 2 4 4" xfId="29679" xr:uid="{00000000-0005-0000-0000-0000F2730000}"/>
    <cellStyle name="Normal 2 6 3 4 2 5" xfId="29680" xr:uid="{00000000-0005-0000-0000-0000F3730000}"/>
    <cellStyle name="Normal 2 6 3 4 2 5 2" xfId="29681" xr:uid="{00000000-0005-0000-0000-0000F4730000}"/>
    <cellStyle name="Normal 2 6 3 4 2 6" xfId="29682" xr:uid="{00000000-0005-0000-0000-0000F5730000}"/>
    <cellStyle name="Normal 2 6 3 4 2 7" xfId="29683" xr:uid="{00000000-0005-0000-0000-0000F6730000}"/>
    <cellStyle name="Normal 2 6 3 4 2 8" xfId="29684" xr:uid="{00000000-0005-0000-0000-0000F7730000}"/>
    <cellStyle name="Normal 2 6 3 4 2 9" xfId="29685" xr:uid="{00000000-0005-0000-0000-0000F8730000}"/>
    <cellStyle name="Normal 2 6 3 4 3" xfId="29686" xr:uid="{00000000-0005-0000-0000-0000F9730000}"/>
    <cellStyle name="Normal 2 6 3 4 3 2" xfId="29687" xr:uid="{00000000-0005-0000-0000-0000FA730000}"/>
    <cellStyle name="Normal 2 6 3 4 3 2 2" xfId="29688" xr:uid="{00000000-0005-0000-0000-0000FB730000}"/>
    <cellStyle name="Normal 2 6 3 4 3 2 2 2" xfId="29689" xr:uid="{00000000-0005-0000-0000-0000FC730000}"/>
    <cellStyle name="Normal 2 6 3 4 3 2 2 3" xfId="29690" xr:uid="{00000000-0005-0000-0000-0000FD730000}"/>
    <cellStyle name="Normal 2 6 3 4 3 2 3" xfId="29691" xr:uid="{00000000-0005-0000-0000-0000FE730000}"/>
    <cellStyle name="Normal 2 6 3 4 3 2 4" xfId="29692" xr:uid="{00000000-0005-0000-0000-0000FF730000}"/>
    <cellStyle name="Normal 2 6 3 4 3 2 5" xfId="29693" xr:uid="{00000000-0005-0000-0000-000000740000}"/>
    <cellStyle name="Normal 2 6 3 4 3 2 6" xfId="29694" xr:uid="{00000000-0005-0000-0000-000001740000}"/>
    <cellStyle name="Normal 2 6 3 4 3 3" xfId="29695" xr:uid="{00000000-0005-0000-0000-000002740000}"/>
    <cellStyle name="Normal 2 6 3 4 3 3 2" xfId="29696" xr:uid="{00000000-0005-0000-0000-000003740000}"/>
    <cellStyle name="Normal 2 6 3 4 3 3 2 2" xfId="29697" xr:uid="{00000000-0005-0000-0000-000004740000}"/>
    <cellStyle name="Normal 2 6 3 4 3 3 3" xfId="29698" xr:uid="{00000000-0005-0000-0000-000005740000}"/>
    <cellStyle name="Normal 2 6 3 4 3 3 4" xfId="29699" xr:uid="{00000000-0005-0000-0000-000006740000}"/>
    <cellStyle name="Normal 2 6 3 4 3 3 5" xfId="29700" xr:uid="{00000000-0005-0000-0000-000007740000}"/>
    <cellStyle name="Normal 2 6 3 4 3 4" xfId="29701" xr:uid="{00000000-0005-0000-0000-000008740000}"/>
    <cellStyle name="Normal 2 6 3 4 3 4 2" xfId="29702" xr:uid="{00000000-0005-0000-0000-000009740000}"/>
    <cellStyle name="Normal 2 6 3 4 3 4 3" xfId="29703" xr:uid="{00000000-0005-0000-0000-00000A740000}"/>
    <cellStyle name="Normal 2 6 3 4 3 4 4" xfId="29704" xr:uid="{00000000-0005-0000-0000-00000B740000}"/>
    <cellStyle name="Normal 2 6 3 4 3 5" xfId="29705" xr:uid="{00000000-0005-0000-0000-00000C740000}"/>
    <cellStyle name="Normal 2 6 3 4 3 5 2" xfId="29706" xr:uid="{00000000-0005-0000-0000-00000D740000}"/>
    <cellStyle name="Normal 2 6 3 4 3 6" xfId="29707" xr:uid="{00000000-0005-0000-0000-00000E740000}"/>
    <cellStyle name="Normal 2 6 3 4 3 7" xfId="29708" xr:uid="{00000000-0005-0000-0000-00000F740000}"/>
    <cellStyle name="Normal 2 6 3 4 3 8" xfId="29709" xr:uid="{00000000-0005-0000-0000-000010740000}"/>
    <cellStyle name="Normal 2 6 3 4 3 9" xfId="29710" xr:uid="{00000000-0005-0000-0000-000011740000}"/>
    <cellStyle name="Normal 2 6 3 4 4" xfId="29711" xr:uid="{00000000-0005-0000-0000-000012740000}"/>
    <cellStyle name="Normal 2 6 3 4 4 2" xfId="29712" xr:uid="{00000000-0005-0000-0000-000013740000}"/>
    <cellStyle name="Normal 2 6 3 4 4 2 2" xfId="29713" xr:uid="{00000000-0005-0000-0000-000014740000}"/>
    <cellStyle name="Normal 2 6 3 4 4 2 3" xfId="29714" xr:uid="{00000000-0005-0000-0000-000015740000}"/>
    <cellStyle name="Normal 2 6 3 4 4 3" xfId="29715" xr:uid="{00000000-0005-0000-0000-000016740000}"/>
    <cellStyle name="Normal 2 6 3 4 4 4" xfId="29716" xr:uid="{00000000-0005-0000-0000-000017740000}"/>
    <cellStyle name="Normal 2 6 3 4 4 5" xfId="29717" xr:uid="{00000000-0005-0000-0000-000018740000}"/>
    <cellStyle name="Normal 2 6 3 4 4 6" xfId="29718" xr:uid="{00000000-0005-0000-0000-000019740000}"/>
    <cellStyle name="Normal 2 6 3 4 5" xfId="29719" xr:uid="{00000000-0005-0000-0000-00001A740000}"/>
    <cellStyle name="Normal 2 6 3 4 5 2" xfId="29720" xr:uid="{00000000-0005-0000-0000-00001B740000}"/>
    <cellStyle name="Normal 2 6 3 4 5 2 2" xfId="29721" xr:uid="{00000000-0005-0000-0000-00001C740000}"/>
    <cellStyle name="Normal 2 6 3 4 5 3" xfId="29722" xr:uid="{00000000-0005-0000-0000-00001D740000}"/>
    <cellStyle name="Normal 2 6 3 4 5 4" xfId="29723" xr:uid="{00000000-0005-0000-0000-00001E740000}"/>
    <cellStyle name="Normal 2 6 3 4 5 5" xfId="29724" xr:uid="{00000000-0005-0000-0000-00001F740000}"/>
    <cellStyle name="Normal 2 6 3 4 6" xfId="29725" xr:uid="{00000000-0005-0000-0000-000020740000}"/>
    <cellStyle name="Normal 2 6 3 4 6 2" xfId="29726" xr:uid="{00000000-0005-0000-0000-000021740000}"/>
    <cellStyle name="Normal 2 6 3 4 6 3" xfId="29727" xr:uid="{00000000-0005-0000-0000-000022740000}"/>
    <cellStyle name="Normal 2 6 3 4 6 4" xfId="29728" xr:uid="{00000000-0005-0000-0000-000023740000}"/>
    <cellStyle name="Normal 2 6 3 4 7" xfId="29729" xr:uid="{00000000-0005-0000-0000-000024740000}"/>
    <cellStyle name="Normal 2 6 3 4 7 2" xfId="29730" xr:uid="{00000000-0005-0000-0000-000025740000}"/>
    <cellStyle name="Normal 2 6 3 4 8" xfId="29731" xr:uid="{00000000-0005-0000-0000-000026740000}"/>
    <cellStyle name="Normal 2 6 3 4 9" xfId="29732" xr:uid="{00000000-0005-0000-0000-000027740000}"/>
    <cellStyle name="Normal 2 6 3 5" xfId="29733" xr:uid="{00000000-0005-0000-0000-000028740000}"/>
    <cellStyle name="Normal 2 6 3 5 10" xfId="29734" xr:uid="{00000000-0005-0000-0000-000029740000}"/>
    <cellStyle name="Normal 2 6 3 5 11" xfId="29735" xr:uid="{00000000-0005-0000-0000-00002A740000}"/>
    <cellStyle name="Normal 2 6 3 5 2" xfId="29736" xr:uid="{00000000-0005-0000-0000-00002B740000}"/>
    <cellStyle name="Normal 2 6 3 5 2 2" xfId="29737" xr:uid="{00000000-0005-0000-0000-00002C740000}"/>
    <cellStyle name="Normal 2 6 3 5 2 2 2" xfId="29738" xr:uid="{00000000-0005-0000-0000-00002D740000}"/>
    <cellStyle name="Normal 2 6 3 5 2 2 2 2" xfId="29739" xr:uid="{00000000-0005-0000-0000-00002E740000}"/>
    <cellStyle name="Normal 2 6 3 5 2 2 2 3" xfId="29740" xr:uid="{00000000-0005-0000-0000-00002F740000}"/>
    <cellStyle name="Normal 2 6 3 5 2 2 3" xfId="29741" xr:uid="{00000000-0005-0000-0000-000030740000}"/>
    <cellStyle name="Normal 2 6 3 5 2 2 4" xfId="29742" xr:uid="{00000000-0005-0000-0000-000031740000}"/>
    <cellStyle name="Normal 2 6 3 5 2 2 5" xfId="29743" xr:uid="{00000000-0005-0000-0000-000032740000}"/>
    <cellStyle name="Normal 2 6 3 5 2 2 6" xfId="29744" xr:uid="{00000000-0005-0000-0000-000033740000}"/>
    <cellStyle name="Normal 2 6 3 5 2 3" xfId="29745" xr:uid="{00000000-0005-0000-0000-000034740000}"/>
    <cellStyle name="Normal 2 6 3 5 2 3 2" xfId="29746" xr:uid="{00000000-0005-0000-0000-000035740000}"/>
    <cellStyle name="Normal 2 6 3 5 2 3 2 2" xfId="29747" xr:uid="{00000000-0005-0000-0000-000036740000}"/>
    <cellStyle name="Normal 2 6 3 5 2 3 3" xfId="29748" xr:uid="{00000000-0005-0000-0000-000037740000}"/>
    <cellStyle name="Normal 2 6 3 5 2 3 4" xfId="29749" xr:uid="{00000000-0005-0000-0000-000038740000}"/>
    <cellStyle name="Normal 2 6 3 5 2 3 5" xfId="29750" xr:uid="{00000000-0005-0000-0000-000039740000}"/>
    <cellStyle name="Normal 2 6 3 5 2 4" xfId="29751" xr:uid="{00000000-0005-0000-0000-00003A740000}"/>
    <cellStyle name="Normal 2 6 3 5 2 4 2" xfId="29752" xr:uid="{00000000-0005-0000-0000-00003B740000}"/>
    <cellStyle name="Normal 2 6 3 5 2 4 3" xfId="29753" xr:uid="{00000000-0005-0000-0000-00003C740000}"/>
    <cellStyle name="Normal 2 6 3 5 2 4 4" xfId="29754" xr:uid="{00000000-0005-0000-0000-00003D740000}"/>
    <cellStyle name="Normal 2 6 3 5 2 5" xfId="29755" xr:uid="{00000000-0005-0000-0000-00003E740000}"/>
    <cellStyle name="Normal 2 6 3 5 2 5 2" xfId="29756" xr:uid="{00000000-0005-0000-0000-00003F740000}"/>
    <cellStyle name="Normal 2 6 3 5 2 6" xfId="29757" xr:uid="{00000000-0005-0000-0000-000040740000}"/>
    <cellStyle name="Normal 2 6 3 5 2 7" xfId="29758" xr:uid="{00000000-0005-0000-0000-000041740000}"/>
    <cellStyle name="Normal 2 6 3 5 2 8" xfId="29759" xr:uid="{00000000-0005-0000-0000-000042740000}"/>
    <cellStyle name="Normal 2 6 3 5 2 9" xfId="29760" xr:uid="{00000000-0005-0000-0000-000043740000}"/>
    <cellStyle name="Normal 2 6 3 5 3" xfId="29761" xr:uid="{00000000-0005-0000-0000-000044740000}"/>
    <cellStyle name="Normal 2 6 3 5 3 2" xfId="29762" xr:uid="{00000000-0005-0000-0000-000045740000}"/>
    <cellStyle name="Normal 2 6 3 5 3 2 2" xfId="29763" xr:uid="{00000000-0005-0000-0000-000046740000}"/>
    <cellStyle name="Normal 2 6 3 5 3 2 2 2" xfId="29764" xr:uid="{00000000-0005-0000-0000-000047740000}"/>
    <cellStyle name="Normal 2 6 3 5 3 2 2 3" xfId="29765" xr:uid="{00000000-0005-0000-0000-000048740000}"/>
    <cellStyle name="Normal 2 6 3 5 3 2 3" xfId="29766" xr:uid="{00000000-0005-0000-0000-000049740000}"/>
    <cellStyle name="Normal 2 6 3 5 3 2 4" xfId="29767" xr:uid="{00000000-0005-0000-0000-00004A740000}"/>
    <cellStyle name="Normal 2 6 3 5 3 2 5" xfId="29768" xr:uid="{00000000-0005-0000-0000-00004B740000}"/>
    <cellStyle name="Normal 2 6 3 5 3 2 6" xfId="29769" xr:uid="{00000000-0005-0000-0000-00004C740000}"/>
    <cellStyle name="Normal 2 6 3 5 3 3" xfId="29770" xr:uid="{00000000-0005-0000-0000-00004D740000}"/>
    <cellStyle name="Normal 2 6 3 5 3 3 2" xfId="29771" xr:uid="{00000000-0005-0000-0000-00004E740000}"/>
    <cellStyle name="Normal 2 6 3 5 3 3 2 2" xfId="29772" xr:uid="{00000000-0005-0000-0000-00004F740000}"/>
    <cellStyle name="Normal 2 6 3 5 3 3 3" xfId="29773" xr:uid="{00000000-0005-0000-0000-000050740000}"/>
    <cellStyle name="Normal 2 6 3 5 3 3 4" xfId="29774" xr:uid="{00000000-0005-0000-0000-000051740000}"/>
    <cellStyle name="Normal 2 6 3 5 3 3 5" xfId="29775" xr:uid="{00000000-0005-0000-0000-000052740000}"/>
    <cellStyle name="Normal 2 6 3 5 3 4" xfId="29776" xr:uid="{00000000-0005-0000-0000-000053740000}"/>
    <cellStyle name="Normal 2 6 3 5 3 4 2" xfId="29777" xr:uid="{00000000-0005-0000-0000-000054740000}"/>
    <cellStyle name="Normal 2 6 3 5 3 4 3" xfId="29778" xr:uid="{00000000-0005-0000-0000-000055740000}"/>
    <cellStyle name="Normal 2 6 3 5 3 4 4" xfId="29779" xr:uid="{00000000-0005-0000-0000-000056740000}"/>
    <cellStyle name="Normal 2 6 3 5 3 5" xfId="29780" xr:uid="{00000000-0005-0000-0000-000057740000}"/>
    <cellStyle name="Normal 2 6 3 5 3 5 2" xfId="29781" xr:uid="{00000000-0005-0000-0000-000058740000}"/>
    <cellStyle name="Normal 2 6 3 5 3 6" xfId="29782" xr:uid="{00000000-0005-0000-0000-000059740000}"/>
    <cellStyle name="Normal 2 6 3 5 3 7" xfId="29783" xr:uid="{00000000-0005-0000-0000-00005A740000}"/>
    <cellStyle name="Normal 2 6 3 5 3 8" xfId="29784" xr:uid="{00000000-0005-0000-0000-00005B740000}"/>
    <cellStyle name="Normal 2 6 3 5 3 9" xfId="29785" xr:uid="{00000000-0005-0000-0000-00005C740000}"/>
    <cellStyle name="Normal 2 6 3 5 4" xfId="29786" xr:uid="{00000000-0005-0000-0000-00005D740000}"/>
    <cellStyle name="Normal 2 6 3 5 4 2" xfId="29787" xr:uid="{00000000-0005-0000-0000-00005E740000}"/>
    <cellStyle name="Normal 2 6 3 5 4 2 2" xfId="29788" xr:uid="{00000000-0005-0000-0000-00005F740000}"/>
    <cellStyle name="Normal 2 6 3 5 4 2 3" xfId="29789" xr:uid="{00000000-0005-0000-0000-000060740000}"/>
    <cellStyle name="Normal 2 6 3 5 4 3" xfId="29790" xr:uid="{00000000-0005-0000-0000-000061740000}"/>
    <cellStyle name="Normal 2 6 3 5 4 4" xfId="29791" xr:uid="{00000000-0005-0000-0000-000062740000}"/>
    <cellStyle name="Normal 2 6 3 5 4 5" xfId="29792" xr:uid="{00000000-0005-0000-0000-000063740000}"/>
    <cellStyle name="Normal 2 6 3 5 4 6" xfId="29793" xr:uid="{00000000-0005-0000-0000-000064740000}"/>
    <cellStyle name="Normal 2 6 3 5 5" xfId="29794" xr:uid="{00000000-0005-0000-0000-000065740000}"/>
    <cellStyle name="Normal 2 6 3 5 5 2" xfId="29795" xr:uid="{00000000-0005-0000-0000-000066740000}"/>
    <cellStyle name="Normal 2 6 3 5 5 2 2" xfId="29796" xr:uid="{00000000-0005-0000-0000-000067740000}"/>
    <cellStyle name="Normal 2 6 3 5 5 3" xfId="29797" xr:uid="{00000000-0005-0000-0000-000068740000}"/>
    <cellStyle name="Normal 2 6 3 5 5 4" xfId="29798" xr:uid="{00000000-0005-0000-0000-000069740000}"/>
    <cellStyle name="Normal 2 6 3 5 5 5" xfId="29799" xr:uid="{00000000-0005-0000-0000-00006A740000}"/>
    <cellStyle name="Normal 2 6 3 5 6" xfId="29800" xr:uid="{00000000-0005-0000-0000-00006B740000}"/>
    <cellStyle name="Normal 2 6 3 5 6 2" xfId="29801" xr:uid="{00000000-0005-0000-0000-00006C740000}"/>
    <cellStyle name="Normal 2 6 3 5 6 3" xfId="29802" xr:uid="{00000000-0005-0000-0000-00006D740000}"/>
    <cellStyle name="Normal 2 6 3 5 6 4" xfId="29803" xr:uid="{00000000-0005-0000-0000-00006E740000}"/>
    <cellStyle name="Normal 2 6 3 5 7" xfId="29804" xr:uid="{00000000-0005-0000-0000-00006F740000}"/>
    <cellStyle name="Normal 2 6 3 5 7 2" xfId="29805" xr:uid="{00000000-0005-0000-0000-000070740000}"/>
    <cellStyle name="Normal 2 6 3 5 8" xfId="29806" xr:uid="{00000000-0005-0000-0000-000071740000}"/>
    <cellStyle name="Normal 2 6 3 5 9" xfId="29807" xr:uid="{00000000-0005-0000-0000-000072740000}"/>
    <cellStyle name="Normal 2 6 3 6" xfId="29808" xr:uid="{00000000-0005-0000-0000-000073740000}"/>
    <cellStyle name="Normal 2 6 3 6 10" xfId="29809" xr:uid="{00000000-0005-0000-0000-000074740000}"/>
    <cellStyle name="Normal 2 6 3 6 11" xfId="29810" xr:uid="{00000000-0005-0000-0000-000075740000}"/>
    <cellStyle name="Normal 2 6 3 6 2" xfId="29811" xr:uid="{00000000-0005-0000-0000-000076740000}"/>
    <cellStyle name="Normal 2 6 3 6 2 2" xfId="29812" xr:uid="{00000000-0005-0000-0000-000077740000}"/>
    <cellStyle name="Normal 2 6 3 6 2 2 2" xfId="29813" xr:uid="{00000000-0005-0000-0000-000078740000}"/>
    <cellStyle name="Normal 2 6 3 6 2 2 2 2" xfId="29814" xr:uid="{00000000-0005-0000-0000-000079740000}"/>
    <cellStyle name="Normal 2 6 3 6 2 2 2 3" xfId="29815" xr:uid="{00000000-0005-0000-0000-00007A740000}"/>
    <cellStyle name="Normal 2 6 3 6 2 2 3" xfId="29816" xr:uid="{00000000-0005-0000-0000-00007B740000}"/>
    <cellStyle name="Normal 2 6 3 6 2 2 4" xfId="29817" xr:uid="{00000000-0005-0000-0000-00007C740000}"/>
    <cellStyle name="Normal 2 6 3 6 2 2 5" xfId="29818" xr:uid="{00000000-0005-0000-0000-00007D740000}"/>
    <cellStyle name="Normal 2 6 3 6 2 2 6" xfId="29819" xr:uid="{00000000-0005-0000-0000-00007E740000}"/>
    <cellStyle name="Normal 2 6 3 6 2 3" xfId="29820" xr:uid="{00000000-0005-0000-0000-00007F740000}"/>
    <cellStyle name="Normal 2 6 3 6 2 3 2" xfId="29821" xr:uid="{00000000-0005-0000-0000-000080740000}"/>
    <cellStyle name="Normal 2 6 3 6 2 3 2 2" xfId="29822" xr:uid="{00000000-0005-0000-0000-000081740000}"/>
    <cellStyle name="Normal 2 6 3 6 2 3 3" xfId="29823" xr:uid="{00000000-0005-0000-0000-000082740000}"/>
    <cellStyle name="Normal 2 6 3 6 2 3 4" xfId="29824" xr:uid="{00000000-0005-0000-0000-000083740000}"/>
    <cellStyle name="Normal 2 6 3 6 2 3 5" xfId="29825" xr:uid="{00000000-0005-0000-0000-000084740000}"/>
    <cellStyle name="Normal 2 6 3 6 2 4" xfId="29826" xr:uid="{00000000-0005-0000-0000-000085740000}"/>
    <cellStyle name="Normal 2 6 3 6 2 4 2" xfId="29827" xr:uid="{00000000-0005-0000-0000-000086740000}"/>
    <cellStyle name="Normal 2 6 3 6 2 4 3" xfId="29828" xr:uid="{00000000-0005-0000-0000-000087740000}"/>
    <cellStyle name="Normal 2 6 3 6 2 4 4" xfId="29829" xr:uid="{00000000-0005-0000-0000-000088740000}"/>
    <cellStyle name="Normal 2 6 3 6 2 5" xfId="29830" xr:uid="{00000000-0005-0000-0000-000089740000}"/>
    <cellStyle name="Normal 2 6 3 6 2 5 2" xfId="29831" xr:uid="{00000000-0005-0000-0000-00008A740000}"/>
    <cellStyle name="Normal 2 6 3 6 2 6" xfId="29832" xr:uid="{00000000-0005-0000-0000-00008B740000}"/>
    <cellStyle name="Normal 2 6 3 6 2 7" xfId="29833" xr:uid="{00000000-0005-0000-0000-00008C740000}"/>
    <cellStyle name="Normal 2 6 3 6 2 8" xfId="29834" xr:uid="{00000000-0005-0000-0000-00008D740000}"/>
    <cellStyle name="Normal 2 6 3 6 2 9" xfId="29835" xr:uid="{00000000-0005-0000-0000-00008E740000}"/>
    <cellStyle name="Normal 2 6 3 6 3" xfId="29836" xr:uid="{00000000-0005-0000-0000-00008F740000}"/>
    <cellStyle name="Normal 2 6 3 6 3 2" xfId="29837" xr:uid="{00000000-0005-0000-0000-000090740000}"/>
    <cellStyle name="Normal 2 6 3 6 3 2 2" xfId="29838" xr:uid="{00000000-0005-0000-0000-000091740000}"/>
    <cellStyle name="Normal 2 6 3 6 3 2 2 2" xfId="29839" xr:uid="{00000000-0005-0000-0000-000092740000}"/>
    <cellStyle name="Normal 2 6 3 6 3 2 2 3" xfId="29840" xr:uid="{00000000-0005-0000-0000-000093740000}"/>
    <cellStyle name="Normal 2 6 3 6 3 2 3" xfId="29841" xr:uid="{00000000-0005-0000-0000-000094740000}"/>
    <cellStyle name="Normal 2 6 3 6 3 2 4" xfId="29842" xr:uid="{00000000-0005-0000-0000-000095740000}"/>
    <cellStyle name="Normal 2 6 3 6 3 2 5" xfId="29843" xr:uid="{00000000-0005-0000-0000-000096740000}"/>
    <cellStyle name="Normal 2 6 3 6 3 2 6" xfId="29844" xr:uid="{00000000-0005-0000-0000-000097740000}"/>
    <cellStyle name="Normal 2 6 3 6 3 3" xfId="29845" xr:uid="{00000000-0005-0000-0000-000098740000}"/>
    <cellStyle name="Normal 2 6 3 6 3 3 2" xfId="29846" xr:uid="{00000000-0005-0000-0000-000099740000}"/>
    <cellStyle name="Normal 2 6 3 6 3 3 2 2" xfId="29847" xr:uid="{00000000-0005-0000-0000-00009A740000}"/>
    <cellStyle name="Normal 2 6 3 6 3 3 3" xfId="29848" xr:uid="{00000000-0005-0000-0000-00009B740000}"/>
    <cellStyle name="Normal 2 6 3 6 3 3 4" xfId="29849" xr:uid="{00000000-0005-0000-0000-00009C740000}"/>
    <cellStyle name="Normal 2 6 3 6 3 3 5" xfId="29850" xr:uid="{00000000-0005-0000-0000-00009D740000}"/>
    <cellStyle name="Normal 2 6 3 6 3 4" xfId="29851" xr:uid="{00000000-0005-0000-0000-00009E740000}"/>
    <cellStyle name="Normal 2 6 3 6 3 4 2" xfId="29852" xr:uid="{00000000-0005-0000-0000-00009F740000}"/>
    <cellStyle name="Normal 2 6 3 6 3 4 3" xfId="29853" xr:uid="{00000000-0005-0000-0000-0000A0740000}"/>
    <cellStyle name="Normal 2 6 3 6 3 4 4" xfId="29854" xr:uid="{00000000-0005-0000-0000-0000A1740000}"/>
    <cellStyle name="Normal 2 6 3 6 3 5" xfId="29855" xr:uid="{00000000-0005-0000-0000-0000A2740000}"/>
    <cellStyle name="Normal 2 6 3 6 3 5 2" xfId="29856" xr:uid="{00000000-0005-0000-0000-0000A3740000}"/>
    <cellStyle name="Normal 2 6 3 6 3 6" xfId="29857" xr:uid="{00000000-0005-0000-0000-0000A4740000}"/>
    <cellStyle name="Normal 2 6 3 6 3 7" xfId="29858" xr:uid="{00000000-0005-0000-0000-0000A5740000}"/>
    <cellStyle name="Normal 2 6 3 6 3 8" xfId="29859" xr:uid="{00000000-0005-0000-0000-0000A6740000}"/>
    <cellStyle name="Normal 2 6 3 6 3 9" xfId="29860" xr:uid="{00000000-0005-0000-0000-0000A7740000}"/>
    <cellStyle name="Normal 2 6 3 6 4" xfId="29861" xr:uid="{00000000-0005-0000-0000-0000A8740000}"/>
    <cellStyle name="Normal 2 6 3 6 4 2" xfId="29862" xr:uid="{00000000-0005-0000-0000-0000A9740000}"/>
    <cellStyle name="Normal 2 6 3 6 4 2 2" xfId="29863" xr:uid="{00000000-0005-0000-0000-0000AA740000}"/>
    <cellStyle name="Normal 2 6 3 6 4 2 3" xfId="29864" xr:uid="{00000000-0005-0000-0000-0000AB740000}"/>
    <cellStyle name="Normal 2 6 3 6 4 3" xfId="29865" xr:uid="{00000000-0005-0000-0000-0000AC740000}"/>
    <cellStyle name="Normal 2 6 3 6 4 4" xfId="29866" xr:uid="{00000000-0005-0000-0000-0000AD740000}"/>
    <cellStyle name="Normal 2 6 3 6 4 5" xfId="29867" xr:uid="{00000000-0005-0000-0000-0000AE740000}"/>
    <cellStyle name="Normal 2 6 3 6 4 6" xfId="29868" xr:uid="{00000000-0005-0000-0000-0000AF740000}"/>
    <cellStyle name="Normal 2 6 3 6 5" xfId="29869" xr:uid="{00000000-0005-0000-0000-0000B0740000}"/>
    <cellStyle name="Normal 2 6 3 6 5 2" xfId="29870" xr:uid="{00000000-0005-0000-0000-0000B1740000}"/>
    <cellStyle name="Normal 2 6 3 6 5 2 2" xfId="29871" xr:uid="{00000000-0005-0000-0000-0000B2740000}"/>
    <cellStyle name="Normal 2 6 3 6 5 3" xfId="29872" xr:uid="{00000000-0005-0000-0000-0000B3740000}"/>
    <cellStyle name="Normal 2 6 3 6 5 4" xfId="29873" xr:uid="{00000000-0005-0000-0000-0000B4740000}"/>
    <cellStyle name="Normal 2 6 3 6 5 5" xfId="29874" xr:uid="{00000000-0005-0000-0000-0000B5740000}"/>
    <cellStyle name="Normal 2 6 3 6 6" xfId="29875" xr:uid="{00000000-0005-0000-0000-0000B6740000}"/>
    <cellStyle name="Normal 2 6 3 6 6 2" xfId="29876" xr:uid="{00000000-0005-0000-0000-0000B7740000}"/>
    <cellStyle name="Normal 2 6 3 6 6 3" xfId="29877" xr:uid="{00000000-0005-0000-0000-0000B8740000}"/>
    <cellStyle name="Normal 2 6 3 6 6 4" xfId="29878" xr:uid="{00000000-0005-0000-0000-0000B9740000}"/>
    <cellStyle name="Normal 2 6 3 6 7" xfId="29879" xr:uid="{00000000-0005-0000-0000-0000BA740000}"/>
    <cellStyle name="Normal 2 6 3 6 7 2" xfId="29880" xr:uid="{00000000-0005-0000-0000-0000BB740000}"/>
    <cellStyle name="Normal 2 6 3 6 8" xfId="29881" xr:uid="{00000000-0005-0000-0000-0000BC740000}"/>
    <cellStyle name="Normal 2 6 3 6 9" xfId="29882" xr:uid="{00000000-0005-0000-0000-0000BD740000}"/>
    <cellStyle name="Normal 2 6 3 7" xfId="29883" xr:uid="{00000000-0005-0000-0000-0000BE740000}"/>
    <cellStyle name="Normal 2 6 3 7 10" xfId="29884" xr:uid="{00000000-0005-0000-0000-0000BF740000}"/>
    <cellStyle name="Normal 2 6 3 7 11" xfId="29885" xr:uid="{00000000-0005-0000-0000-0000C0740000}"/>
    <cellStyle name="Normal 2 6 3 7 2" xfId="29886" xr:uid="{00000000-0005-0000-0000-0000C1740000}"/>
    <cellStyle name="Normal 2 6 3 7 2 2" xfId="29887" xr:uid="{00000000-0005-0000-0000-0000C2740000}"/>
    <cellStyle name="Normal 2 6 3 7 2 2 2" xfId="29888" xr:uid="{00000000-0005-0000-0000-0000C3740000}"/>
    <cellStyle name="Normal 2 6 3 7 2 2 2 2" xfId="29889" xr:uid="{00000000-0005-0000-0000-0000C4740000}"/>
    <cellStyle name="Normal 2 6 3 7 2 2 2 3" xfId="29890" xr:uid="{00000000-0005-0000-0000-0000C5740000}"/>
    <cellStyle name="Normal 2 6 3 7 2 2 3" xfId="29891" xr:uid="{00000000-0005-0000-0000-0000C6740000}"/>
    <cellStyle name="Normal 2 6 3 7 2 2 4" xfId="29892" xr:uid="{00000000-0005-0000-0000-0000C7740000}"/>
    <cellStyle name="Normal 2 6 3 7 2 2 5" xfId="29893" xr:uid="{00000000-0005-0000-0000-0000C8740000}"/>
    <cellStyle name="Normal 2 6 3 7 2 2 6" xfId="29894" xr:uid="{00000000-0005-0000-0000-0000C9740000}"/>
    <cellStyle name="Normal 2 6 3 7 2 3" xfId="29895" xr:uid="{00000000-0005-0000-0000-0000CA740000}"/>
    <cellStyle name="Normal 2 6 3 7 2 3 2" xfId="29896" xr:uid="{00000000-0005-0000-0000-0000CB740000}"/>
    <cellStyle name="Normal 2 6 3 7 2 3 2 2" xfId="29897" xr:uid="{00000000-0005-0000-0000-0000CC740000}"/>
    <cellStyle name="Normal 2 6 3 7 2 3 3" xfId="29898" xr:uid="{00000000-0005-0000-0000-0000CD740000}"/>
    <cellStyle name="Normal 2 6 3 7 2 3 4" xfId="29899" xr:uid="{00000000-0005-0000-0000-0000CE740000}"/>
    <cellStyle name="Normal 2 6 3 7 2 3 5" xfId="29900" xr:uid="{00000000-0005-0000-0000-0000CF740000}"/>
    <cellStyle name="Normal 2 6 3 7 2 4" xfId="29901" xr:uid="{00000000-0005-0000-0000-0000D0740000}"/>
    <cellStyle name="Normal 2 6 3 7 2 4 2" xfId="29902" xr:uid="{00000000-0005-0000-0000-0000D1740000}"/>
    <cellStyle name="Normal 2 6 3 7 2 4 3" xfId="29903" xr:uid="{00000000-0005-0000-0000-0000D2740000}"/>
    <cellStyle name="Normal 2 6 3 7 2 4 4" xfId="29904" xr:uid="{00000000-0005-0000-0000-0000D3740000}"/>
    <cellStyle name="Normal 2 6 3 7 2 5" xfId="29905" xr:uid="{00000000-0005-0000-0000-0000D4740000}"/>
    <cellStyle name="Normal 2 6 3 7 2 5 2" xfId="29906" xr:uid="{00000000-0005-0000-0000-0000D5740000}"/>
    <cellStyle name="Normal 2 6 3 7 2 6" xfId="29907" xr:uid="{00000000-0005-0000-0000-0000D6740000}"/>
    <cellStyle name="Normal 2 6 3 7 2 7" xfId="29908" xr:uid="{00000000-0005-0000-0000-0000D7740000}"/>
    <cellStyle name="Normal 2 6 3 7 2 8" xfId="29909" xr:uid="{00000000-0005-0000-0000-0000D8740000}"/>
    <cellStyle name="Normal 2 6 3 7 2 9" xfId="29910" xr:uid="{00000000-0005-0000-0000-0000D9740000}"/>
    <cellStyle name="Normal 2 6 3 7 3" xfId="29911" xr:uid="{00000000-0005-0000-0000-0000DA740000}"/>
    <cellStyle name="Normal 2 6 3 7 3 2" xfId="29912" xr:uid="{00000000-0005-0000-0000-0000DB740000}"/>
    <cellStyle name="Normal 2 6 3 7 3 2 2" xfId="29913" xr:uid="{00000000-0005-0000-0000-0000DC740000}"/>
    <cellStyle name="Normal 2 6 3 7 3 2 2 2" xfId="29914" xr:uid="{00000000-0005-0000-0000-0000DD740000}"/>
    <cellStyle name="Normal 2 6 3 7 3 2 2 3" xfId="29915" xr:uid="{00000000-0005-0000-0000-0000DE740000}"/>
    <cellStyle name="Normal 2 6 3 7 3 2 3" xfId="29916" xr:uid="{00000000-0005-0000-0000-0000DF740000}"/>
    <cellStyle name="Normal 2 6 3 7 3 2 4" xfId="29917" xr:uid="{00000000-0005-0000-0000-0000E0740000}"/>
    <cellStyle name="Normal 2 6 3 7 3 2 5" xfId="29918" xr:uid="{00000000-0005-0000-0000-0000E1740000}"/>
    <cellStyle name="Normal 2 6 3 7 3 2 6" xfId="29919" xr:uid="{00000000-0005-0000-0000-0000E2740000}"/>
    <cellStyle name="Normal 2 6 3 7 3 3" xfId="29920" xr:uid="{00000000-0005-0000-0000-0000E3740000}"/>
    <cellStyle name="Normal 2 6 3 7 3 3 2" xfId="29921" xr:uid="{00000000-0005-0000-0000-0000E4740000}"/>
    <cellStyle name="Normal 2 6 3 7 3 3 2 2" xfId="29922" xr:uid="{00000000-0005-0000-0000-0000E5740000}"/>
    <cellStyle name="Normal 2 6 3 7 3 3 3" xfId="29923" xr:uid="{00000000-0005-0000-0000-0000E6740000}"/>
    <cellStyle name="Normal 2 6 3 7 3 3 4" xfId="29924" xr:uid="{00000000-0005-0000-0000-0000E7740000}"/>
    <cellStyle name="Normal 2 6 3 7 3 3 5" xfId="29925" xr:uid="{00000000-0005-0000-0000-0000E8740000}"/>
    <cellStyle name="Normal 2 6 3 7 3 4" xfId="29926" xr:uid="{00000000-0005-0000-0000-0000E9740000}"/>
    <cellStyle name="Normal 2 6 3 7 3 4 2" xfId="29927" xr:uid="{00000000-0005-0000-0000-0000EA740000}"/>
    <cellStyle name="Normal 2 6 3 7 3 4 3" xfId="29928" xr:uid="{00000000-0005-0000-0000-0000EB740000}"/>
    <cellStyle name="Normal 2 6 3 7 3 4 4" xfId="29929" xr:uid="{00000000-0005-0000-0000-0000EC740000}"/>
    <cellStyle name="Normal 2 6 3 7 3 5" xfId="29930" xr:uid="{00000000-0005-0000-0000-0000ED740000}"/>
    <cellStyle name="Normal 2 6 3 7 3 5 2" xfId="29931" xr:uid="{00000000-0005-0000-0000-0000EE740000}"/>
    <cellStyle name="Normal 2 6 3 7 3 6" xfId="29932" xr:uid="{00000000-0005-0000-0000-0000EF740000}"/>
    <cellStyle name="Normal 2 6 3 7 3 7" xfId="29933" xr:uid="{00000000-0005-0000-0000-0000F0740000}"/>
    <cellStyle name="Normal 2 6 3 7 3 8" xfId="29934" xr:uid="{00000000-0005-0000-0000-0000F1740000}"/>
    <cellStyle name="Normal 2 6 3 7 3 9" xfId="29935" xr:uid="{00000000-0005-0000-0000-0000F2740000}"/>
    <cellStyle name="Normal 2 6 3 7 4" xfId="29936" xr:uid="{00000000-0005-0000-0000-0000F3740000}"/>
    <cellStyle name="Normal 2 6 3 7 4 2" xfId="29937" xr:uid="{00000000-0005-0000-0000-0000F4740000}"/>
    <cellStyle name="Normal 2 6 3 7 4 2 2" xfId="29938" xr:uid="{00000000-0005-0000-0000-0000F5740000}"/>
    <cellStyle name="Normal 2 6 3 7 4 2 3" xfId="29939" xr:uid="{00000000-0005-0000-0000-0000F6740000}"/>
    <cellStyle name="Normal 2 6 3 7 4 3" xfId="29940" xr:uid="{00000000-0005-0000-0000-0000F7740000}"/>
    <cellStyle name="Normal 2 6 3 7 4 4" xfId="29941" xr:uid="{00000000-0005-0000-0000-0000F8740000}"/>
    <cellStyle name="Normal 2 6 3 7 4 5" xfId="29942" xr:uid="{00000000-0005-0000-0000-0000F9740000}"/>
    <cellStyle name="Normal 2 6 3 7 4 6" xfId="29943" xr:uid="{00000000-0005-0000-0000-0000FA740000}"/>
    <cellStyle name="Normal 2 6 3 7 5" xfId="29944" xr:uid="{00000000-0005-0000-0000-0000FB740000}"/>
    <cellStyle name="Normal 2 6 3 7 5 2" xfId="29945" xr:uid="{00000000-0005-0000-0000-0000FC740000}"/>
    <cellStyle name="Normal 2 6 3 7 5 2 2" xfId="29946" xr:uid="{00000000-0005-0000-0000-0000FD740000}"/>
    <cellStyle name="Normal 2 6 3 7 5 3" xfId="29947" xr:uid="{00000000-0005-0000-0000-0000FE740000}"/>
    <cellStyle name="Normal 2 6 3 7 5 4" xfId="29948" xr:uid="{00000000-0005-0000-0000-0000FF740000}"/>
    <cellStyle name="Normal 2 6 3 7 5 5" xfId="29949" xr:uid="{00000000-0005-0000-0000-000000750000}"/>
    <cellStyle name="Normal 2 6 3 7 6" xfId="29950" xr:uid="{00000000-0005-0000-0000-000001750000}"/>
    <cellStyle name="Normal 2 6 3 7 6 2" xfId="29951" xr:uid="{00000000-0005-0000-0000-000002750000}"/>
    <cellStyle name="Normal 2 6 3 7 6 3" xfId="29952" xr:uid="{00000000-0005-0000-0000-000003750000}"/>
    <cellStyle name="Normal 2 6 3 7 6 4" xfId="29953" xr:uid="{00000000-0005-0000-0000-000004750000}"/>
    <cellStyle name="Normal 2 6 3 7 7" xfId="29954" xr:uid="{00000000-0005-0000-0000-000005750000}"/>
    <cellStyle name="Normal 2 6 3 7 7 2" xfId="29955" xr:uid="{00000000-0005-0000-0000-000006750000}"/>
    <cellStyle name="Normal 2 6 3 7 8" xfId="29956" xr:uid="{00000000-0005-0000-0000-000007750000}"/>
    <cellStyle name="Normal 2 6 3 7 9" xfId="29957" xr:uid="{00000000-0005-0000-0000-000008750000}"/>
    <cellStyle name="Normal 2 6 3 8" xfId="29958" xr:uid="{00000000-0005-0000-0000-000009750000}"/>
    <cellStyle name="Normal 2 6 3 8 10" xfId="29959" xr:uid="{00000000-0005-0000-0000-00000A750000}"/>
    <cellStyle name="Normal 2 6 3 8 2" xfId="29960" xr:uid="{00000000-0005-0000-0000-00000B750000}"/>
    <cellStyle name="Normal 2 6 3 8 2 2" xfId="29961" xr:uid="{00000000-0005-0000-0000-00000C750000}"/>
    <cellStyle name="Normal 2 6 3 8 2 2 2" xfId="29962" xr:uid="{00000000-0005-0000-0000-00000D750000}"/>
    <cellStyle name="Normal 2 6 3 8 2 2 3" xfId="29963" xr:uid="{00000000-0005-0000-0000-00000E750000}"/>
    <cellStyle name="Normal 2 6 3 8 2 3" xfId="29964" xr:uid="{00000000-0005-0000-0000-00000F750000}"/>
    <cellStyle name="Normal 2 6 3 8 2 4" xfId="29965" xr:uid="{00000000-0005-0000-0000-000010750000}"/>
    <cellStyle name="Normal 2 6 3 8 2 5" xfId="29966" xr:uid="{00000000-0005-0000-0000-000011750000}"/>
    <cellStyle name="Normal 2 6 3 8 2 6" xfId="29967" xr:uid="{00000000-0005-0000-0000-000012750000}"/>
    <cellStyle name="Normal 2 6 3 8 3" xfId="29968" xr:uid="{00000000-0005-0000-0000-000013750000}"/>
    <cellStyle name="Normal 2 6 3 8 3 2" xfId="29969" xr:uid="{00000000-0005-0000-0000-000014750000}"/>
    <cellStyle name="Normal 2 6 3 8 3 2 2" xfId="29970" xr:uid="{00000000-0005-0000-0000-000015750000}"/>
    <cellStyle name="Normal 2 6 3 8 3 2 3" xfId="29971" xr:uid="{00000000-0005-0000-0000-000016750000}"/>
    <cellStyle name="Normal 2 6 3 8 3 3" xfId="29972" xr:uid="{00000000-0005-0000-0000-000017750000}"/>
    <cellStyle name="Normal 2 6 3 8 3 4" xfId="29973" xr:uid="{00000000-0005-0000-0000-000018750000}"/>
    <cellStyle name="Normal 2 6 3 8 3 5" xfId="29974" xr:uid="{00000000-0005-0000-0000-000019750000}"/>
    <cellStyle name="Normal 2 6 3 8 3 6" xfId="29975" xr:uid="{00000000-0005-0000-0000-00001A750000}"/>
    <cellStyle name="Normal 2 6 3 8 4" xfId="29976" xr:uid="{00000000-0005-0000-0000-00001B750000}"/>
    <cellStyle name="Normal 2 6 3 8 4 2" xfId="29977" xr:uid="{00000000-0005-0000-0000-00001C750000}"/>
    <cellStyle name="Normal 2 6 3 8 4 2 2" xfId="29978" xr:uid="{00000000-0005-0000-0000-00001D750000}"/>
    <cellStyle name="Normal 2 6 3 8 4 3" xfId="29979" xr:uid="{00000000-0005-0000-0000-00001E750000}"/>
    <cellStyle name="Normal 2 6 3 8 4 4" xfId="29980" xr:uid="{00000000-0005-0000-0000-00001F750000}"/>
    <cellStyle name="Normal 2 6 3 8 4 5" xfId="29981" xr:uid="{00000000-0005-0000-0000-000020750000}"/>
    <cellStyle name="Normal 2 6 3 8 5" xfId="29982" xr:uid="{00000000-0005-0000-0000-000021750000}"/>
    <cellStyle name="Normal 2 6 3 8 5 2" xfId="29983" xr:uid="{00000000-0005-0000-0000-000022750000}"/>
    <cellStyle name="Normal 2 6 3 8 5 3" xfId="29984" xr:uid="{00000000-0005-0000-0000-000023750000}"/>
    <cellStyle name="Normal 2 6 3 8 5 4" xfId="29985" xr:uid="{00000000-0005-0000-0000-000024750000}"/>
    <cellStyle name="Normal 2 6 3 8 6" xfId="29986" xr:uid="{00000000-0005-0000-0000-000025750000}"/>
    <cellStyle name="Normal 2 6 3 8 6 2" xfId="29987" xr:uid="{00000000-0005-0000-0000-000026750000}"/>
    <cellStyle name="Normal 2 6 3 8 7" xfId="29988" xr:uid="{00000000-0005-0000-0000-000027750000}"/>
    <cellStyle name="Normal 2 6 3 8 8" xfId="29989" xr:uid="{00000000-0005-0000-0000-000028750000}"/>
    <cellStyle name="Normal 2 6 3 8 9" xfId="29990" xr:uid="{00000000-0005-0000-0000-000029750000}"/>
    <cellStyle name="Normal 2 6 3 9" xfId="29991" xr:uid="{00000000-0005-0000-0000-00002A750000}"/>
    <cellStyle name="Normal 2 6 3 9 10" xfId="29992" xr:uid="{00000000-0005-0000-0000-00002B750000}"/>
    <cellStyle name="Normal 2 6 3 9 2" xfId="29993" xr:uid="{00000000-0005-0000-0000-00002C750000}"/>
    <cellStyle name="Normal 2 6 3 9 2 2" xfId="29994" xr:uid="{00000000-0005-0000-0000-00002D750000}"/>
    <cellStyle name="Normal 2 6 3 9 2 2 2" xfId="29995" xr:uid="{00000000-0005-0000-0000-00002E750000}"/>
    <cellStyle name="Normal 2 6 3 9 2 2 3" xfId="29996" xr:uid="{00000000-0005-0000-0000-00002F750000}"/>
    <cellStyle name="Normal 2 6 3 9 2 3" xfId="29997" xr:uid="{00000000-0005-0000-0000-000030750000}"/>
    <cellStyle name="Normal 2 6 3 9 2 4" xfId="29998" xr:uid="{00000000-0005-0000-0000-000031750000}"/>
    <cellStyle name="Normal 2 6 3 9 2 5" xfId="29999" xr:uid="{00000000-0005-0000-0000-000032750000}"/>
    <cellStyle name="Normal 2 6 3 9 2 6" xfId="30000" xr:uid="{00000000-0005-0000-0000-000033750000}"/>
    <cellStyle name="Normal 2 6 3 9 3" xfId="30001" xr:uid="{00000000-0005-0000-0000-000034750000}"/>
    <cellStyle name="Normal 2 6 3 9 3 2" xfId="30002" xr:uid="{00000000-0005-0000-0000-000035750000}"/>
    <cellStyle name="Normal 2 6 3 9 3 2 2" xfId="30003" xr:uid="{00000000-0005-0000-0000-000036750000}"/>
    <cellStyle name="Normal 2 6 3 9 3 2 3" xfId="30004" xr:uid="{00000000-0005-0000-0000-000037750000}"/>
    <cellStyle name="Normal 2 6 3 9 3 3" xfId="30005" xr:uid="{00000000-0005-0000-0000-000038750000}"/>
    <cellStyle name="Normal 2 6 3 9 3 4" xfId="30006" xr:uid="{00000000-0005-0000-0000-000039750000}"/>
    <cellStyle name="Normal 2 6 3 9 3 5" xfId="30007" xr:uid="{00000000-0005-0000-0000-00003A750000}"/>
    <cellStyle name="Normal 2 6 3 9 3 6" xfId="30008" xr:uid="{00000000-0005-0000-0000-00003B750000}"/>
    <cellStyle name="Normal 2 6 3 9 4" xfId="30009" xr:uid="{00000000-0005-0000-0000-00003C750000}"/>
    <cellStyle name="Normal 2 6 3 9 4 2" xfId="30010" xr:uid="{00000000-0005-0000-0000-00003D750000}"/>
    <cellStyle name="Normal 2 6 3 9 4 2 2" xfId="30011" xr:uid="{00000000-0005-0000-0000-00003E750000}"/>
    <cellStyle name="Normal 2 6 3 9 4 3" xfId="30012" xr:uid="{00000000-0005-0000-0000-00003F750000}"/>
    <cellStyle name="Normal 2 6 3 9 4 4" xfId="30013" xr:uid="{00000000-0005-0000-0000-000040750000}"/>
    <cellStyle name="Normal 2 6 3 9 4 5" xfId="30014" xr:uid="{00000000-0005-0000-0000-000041750000}"/>
    <cellStyle name="Normal 2 6 3 9 5" xfId="30015" xr:uid="{00000000-0005-0000-0000-000042750000}"/>
    <cellStyle name="Normal 2 6 3 9 5 2" xfId="30016" xr:uid="{00000000-0005-0000-0000-000043750000}"/>
    <cellStyle name="Normal 2 6 3 9 5 3" xfId="30017" xr:uid="{00000000-0005-0000-0000-000044750000}"/>
    <cellStyle name="Normal 2 6 3 9 5 4" xfId="30018" xr:uid="{00000000-0005-0000-0000-000045750000}"/>
    <cellStyle name="Normal 2 6 3 9 6" xfId="30019" xr:uid="{00000000-0005-0000-0000-000046750000}"/>
    <cellStyle name="Normal 2 6 3 9 6 2" xfId="30020" xr:uid="{00000000-0005-0000-0000-000047750000}"/>
    <cellStyle name="Normal 2 6 3 9 7" xfId="30021" xr:uid="{00000000-0005-0000-0000-000048750000}"/>
    <cellStyle name="Normal 2 6 3 9 8" xfId="30022" xr:uid="{00000000-0005-0000-0000-000049750000}"/>
    <cellStyle name="Normal 2 6 3 9 9" xfId="30023" xr:uid="{00000000-0005-0000-0000-00004A750000}"/>
    <cellStyle name="Normal 2 6 30" xfId="30024" xr:uid="{00000000-0005-0000-0000-00004B750000}"/>
    <cellStyle name="Normal 2 6 30 2" xfId="30025" xr:uid="{00000000-0005-0000-0000-00004C750000}"/>
    <cellStyle name="Normal 2 6 30 2 2" xfId="30026" xr:uid="{00000000-0005-0000-0000-00004D750000}"/>
    <cellStyle name="Normal 2 6 30 2 2 2" xfId="30027" xr:uid="{00000000-0005-0000-0000-00004E750000}"/>
    <cellStyle name="Normal 2 6 30 2 2 3" xfId="30028" xr:uid="{00000000-0005-0000-0000-00004F750000}"/>
    <cellStyle name="Normal 2 6 30 2 3" xfId="30029" xr:uid="{00000000-0005-0000-0000-000050750000}"/>
    <cellStyle name="Normal 2 6 30 2 4" xfId="30030" xr:uid="{00000000-0005-0000-0000-000051750000}"/>
    <cellStyle name="Normal 2 6 30 2 5" xfId="30031" xr:uid="{00000000-0005-0000-0000-000052750000}"/>
    <cellStyle name="Normal 2 6 30 2 6" xfId="30032" xr:uid="{00000000-0005-0000-0000-000053750000}"/>
    <cellStyle name="Normal 2 6 30 3" xfId="30033" xr:uid="{00000000-0005-0000-0000-000054750000}"/>
    <cellStyle name="Normal 2 6 30 3 2" xfId="30034" xr:uid="{00000000-0005-0000-0000-000055750000}"/>
    <cellStyle name="Normal 2 6 30 3 2 2" xfId="30035" xr:uid="{00000000-0005-0000-0000-000056750000}"/>
    <cellStyle name="Normal 2 6 30 3 3" xfId="30036" xr:uid="{00000000-0005-0000-0000-000057750000}"/>
    <cellStyle name="Normal 2 6 30 3 4" xfId="30037" xr:uid="{00000000-0005-0000-0000-000058750000}"/>
    <cellStyle name="Normal 2 6 30 3 5" xfId="30038" xr:uid="{00000000-0005-0000-0000-000059750000}"/>
    <cellStyle name="Normal 2 6 30 4" xfId="30039" xr:uid="{00000000-0005-0000-0000-00005A750000}"/>
    <cellStyle name="Normal 2 6 30 4 2" xfId="30040" xr:uid="{00000000-0005-0000-0000-00005B750000}"/>
    <cellStyle name="Normal 2 6 30 4 3" xfId="30041" xr:uid="{00000000-0005-0000-0000-00005C750000}"/>
    <cellStyle name="Normal 2 6 30 4 4" xfId="30042" xr:uid="{00000000-0005-0000-0000-00005D750000}"/>
    <cellStyle name="Normal 2 6 30 5" xfId="30043" xr:uid="{00000000-0005-0000-0000-00005E750000}"/>
    <cellStyle name="Normal 2 6 30 5 2" xfId="30044" xr:uid="{00000000-0005-0000-0000-00005F750000}"/>
    <cellStyle name="Normal 2 6 30 6" xfId="30045" xr:uid="{00000000-0005-0000-0000-000060750000}"/>
    <cellStyle name="Normal 2 6 30 7" xfId="30046" xr:uid="{00000000-0005-0000-0000-000061750000}"/>
    <cellStyle name="Normal 2 6 30 8" xfId="30047" xr:uid="{00000000-0005-0000-0000-000062750000}"/>
    <cellStyle name="Normal 2 6 30 9" xfId="30048" xr:uid="{00000000-0005-0000-0000-000063750000}"/>
    <cellStyle name="Normal 2 6 31" xfId="30049" xr:uid="{00000000-0005-0000-0000-000064750000}"/>
    <cellStyle name="Normal 2 6 31 2" xfId="30050" xr:uid="{00000000-0005-0000-0000-000065750000}"/>
    <cellStyle name="Normal 2 6 31 2 2" xfId="30051" xr:uid="{00000000-0005-0000-0000-000066750000}"/>
    <cellStyle name="Normal 2 6 31 2 2 2" xfId="30052" xr:uid="{00000000-0005-0000-0000-000067750000}"/>
    <cellStyle name="Normal 2 6 31 2 2 3" xfId="30053" xr:uid="{00000000-0005-0000-0000-000068750000}"/>
    <cellStyle name="Normal 2 6 31 2 3" xfId="30054" xr:uid="{00000000-0005-0000-0000-000069750000}"/>
    <cellStyle name="Normal 2 6 31 2 4" xfId="30055" xr:uid="{00000000-0005-0000-0000-00006A750000}"/>
    <cellStyle name="Normal 2 6 31 2 5" xfId="30056" xr:uid="{00000000-0005-0000-0000-00006B750000}"/>
    <cellStyle name="Normal 2 6 31 2 6" xfId="30057" xr:uid="{00000000-0005-0000-0000-00006C750000}"/>
    <cellStyle name="Normal 2 6 31 3" xfId="30058" xr:uid="{00000000-0005-0000-0000-00006D750000}"/>
    <cellStyle name="Normal 2 6 31 3 2" xfId="30059" xr:uid="{00000000-0005-0000-0000-00006E750000}"/>
    <cellStyle name="Normal 2 6 31 3 2 2" xfId="30060" xr:uid="{00000000-0005-0000-0000-00006F750000}"/>
    <cellStyle name="Normal 2 6 31 3 3" xfId="30061" xr:uid="{00000000-0005-0000-0000-000070750000}"/>
    <cellStyle name="Normal 2 6 31 3 4" xfId="30062" xr:uid="{00000000-0005-0000-0000-000071750000}"/>
    <cellStyle name="Normal 2 6 31 3 5" xfId="30063" xr:uid="{00000000-0005-0000-0000-000072750000}"/>
    <cellStyle name="Normal 2 6 31 4" xfId="30064" xr:uid="{00000000-0005-0000-0000-000073750000}"/>
    <cellStyle name="Normal 2 6 31 4 2" xfId="30065" xr:uid="{00000000-0005-0000-0000-000074750000}"/>
    <cellStyle name="Normal 2 6 31 4 3" xfId="30066" xr:uid="{00000000-0005-0000-0000-000075750000}"/>
    <cellStyle name="Normal 2 6 31 4 4" xfId="30067" xr:uid="{00000000-0005-0000-0000-000076750000}"/>
    <cellStyle name="Normal 2 6 31 5" xfId="30068" xr:uid="{00000000-0005-0000-0000-000077750000}"/>
    <cellStyle name="Normal 2 6 31 5 2" xfId="30069" xr:uid="{00000000-0005-0000-0000-000078750000}"/>
    <cellStyle name="Normal 2 6 31 6" xfId="30070" xr:uid="{00000000-0005-0000-0000-000079750000}"/>
    <cellStyle name="Normal 2 6 31 7" xfId="30071" xr:uid="{00000000-0005-0000-0000-00007A750000}"/>
    <cellStyle name="Normal 2 6 31 8" xfId="30072" xr:uid="{00000000-0005-0000-0000-00007B750000}"/>
    <cellStyle name="Normal 2 6 31 9" xfId="30073" xr:uid="{00000000-0005-0000-0000-00007C750000}"/>
    <cellStyle name="Normal 2 6 32" xfId="30074" xr:uid="{00000000-0005-0000-0000-00007D750000}"/>
    <cellStyle name="Normal 2 6 32 2" xfId="30075" xr:uid="{00000000-0005-0000-0000-00007E750000}"/>
    <cellStyle name="Normal 2 6 32 2 2" xfId="30076" xr:uid="{00000000-0005-0000-0000-00007F750000}"/>
    <cellStyle name="Normal 2 6 32 2 3" xfId="30077" xr:uid="{00000000-0005-0000-0000-000080750000}"/>
    <cellStyle name="Normal 2 6 32 3" xfId="30078" xr:uid="{00000000-0005-0000-0000-000081750000}"/>
    <cellStyle name="Normal 2 6 32 4" xfId="30079" xr:uid="{00000000-0005-0000-0000-000082750000}"/>
    <cellStyle name="Normal 2 6 32 5" xfId="30080" xr:uid="{00000000-0005-0000-0000-000083750000}"/>
    <cellStyle name="Normal 2 6 32 6" xfId="30081" xr:uid="{00000000-0005-0000-0000-000084750000}"/>
    <cellStyle name="Normal 2 6 33" xfId="30082" xr:uid="{00000000-0005-0000-0000-000085750000}"/>
    <cellStyle name="Normal 2 6 33 2" xfId="30083" xr:uid="{00000000-0005-0000-0000-000086750000}"/>
    <cellStyle name="Normal 2 6 33 2 2" xfId="30084" xr:uid="{00000000-0005-0000-0000-000087750000}"/>
    <cellStyle name="Normal 2 6 33 3" xfId="30085" xr:uid="{00000000-0005-0000-0000-000088750000}"/>
    <cellStyle name="Normal 2 6 33 4" xfId="30086" xr:uid="{00000000-0005-0000-0000-000089750000}"/>
    <cellStyle name="Normal 2 6 33 5" xfId="30087" xr:uid="{00000000-0005-0000-0000-00008A750000}"/>
    <cellStyle name="Normal 2 6 34" xfId="30088" xr:uid="{00000000-0005-0000-0000-00008B750000}"/>
    <cellStyle name="Normal 2 6 34 2" xfId="30089" xr:uid="{00000000-0005-0000-0000-00008C750000}"/>
    <cellStyle name="Normal 2 6 34 2 2" xfId="30090" xr:uid="{00000000-0005-0000-0000-00008D750000}"/>
    <cellStyle name="Normal 2 6 34 3" xfId="30091" xr:uid="{00000000-0005-0000-0000-00008E750000}"/>
    <cellStyle name="Normal 2 6 34 4" xfId="30092" xr:uid="{00000000-0005-0000-0000-00008F750000}"/>
    <cellStyle name="Normal 2 6 34 5" xfId="30093" xr:uid="{00000000-0005-0000-0000-000090750000}"/>
    <cellStyle name="Normal 2 6 35" xfId="30094" xr:uid="{00000000-0005-0000-0000-000091750000}"/>
    <cellStyle name="Normal 2 6 35 2" xfId="30095" xr:uid="{00000000-0005-0000-0000-000092750000}"/>
    <cellStyle name="Normal 2 6 36" xfId="30096" xr:uid="{00000000-0005-0000-0000-000093750000}"/>
    <cellStyle name="Normal 2 6 37" xfId="30097" xr:uid="{00000000-0005-0000-0000-000094750000}"/>
    <cellStyle name="Normal 2 6 38" xfId="30098" xr:uid="{00000000-0005-0000-0000-000095750000}"/>
    <cellStyle name="Normal 2 6 39" xfId="30099" xr:uid="{00000000-0005-0000-0000-000096750000}"/>
    <cellStyle name="Normal 2 6 4" xfId="30100" xr:uid="{00000000-0005-0000-0000-000097750000}"/>
    <cellStyle name="Normal 2 6 4 10" xfId="30101" xr:uid="{00000000-0005-0000-0000-000098750000}"/>
    <cellStyle name="Normal 2 6 4 10 10" xfId="30102" xr:uid="{00000000-0005-0000-0000-000099750000}"/>
    <cellStyle name="Normal 2 6 4 10 2" xfId="30103" xr:uid="{00000000-0005-0000-0000-00009A750000}"/>
    <cellStyle name="Normal 2 6 4 10 2 2" xfId="30104" xr:uid="{00000000-0005-0000-0000-00009B750000}"/>
    <cellStyle name="Normal 2 6 4 10 2 2 2" xfId="30105" xr:uid="{00000000-0005-0000-0000-00009C750000}"/>
    <cellStyle name="Normal 2 6 4 10 2 2 3" xfId="30106" xr:uid="{00000000-0005-0000-0000-00009D750000}"/>
    <cellStyle name="Normal 2 6 4 10 2 3" xfId="30107" xr:uid="{00000000-0005-0000-0000-00009E750000}"/>
    <cellStyle name="Normal 2 6 4 10 2 4" xfId="30108" xr:uid="{00000000-0005-0000-0000-00009F750000}"/>
    <cellStyle name="Normal 2 6 4 10 2 5" xfId="30109" xr:uid="{00000000-0005-0000-0000-0000A0750000}"/>
    <cellStyle name="Normal 2 6 4 10 2 6" xfId="30110" xr:uid="{00000000-0005-0000-0000-0000A1750000}"/>
    <cellStyle name="Normal 2 6 4 10 3" xfId="30111" xr:uid="{00000000-0005-0000-0000-0000A2750000}"/>
    <cellStyle name="Normal 2 6 4 10 3 2" xfId="30112" xr:uid="{00000000-0005-0000-0000-0000A3750000}"/>
    <cellStyle name="Normal 2 6 4 10 3 2 2" xfId="30113" xr:uid="{00000000-0005-0000-0000-0000A4750000}"/>
    <cellStyle name="Normal 2 6 4 10 3 2 3" xfId="30114" xr:uid="{00000000-0005-0000-0000-0000A5750000}"/>
    <cellStyle name="Normal 2 6 4 10 3 3" xfId="30115" xr:uid="{00000000-0005-0000-0000-0000A6750000}"/>
    <cellStyle name="Normal 2 6 4 10 3 4" xfId="30116" xr:uid="{00000000-0005-0000-0000-0000A7750000}"/>
    <cellStyle name="Normal 2 6 4 10 3 5" xfId="30117" xr:uid="{00000000-0005-0000-0000-0000A8750000}"/>
    <cellStyle name="Normal 2 6 4 10 3 6" xfId="30118" xr:uid="{00000000-0005-0000-0000-0000A9750000}"/>
    <cellStyle name="Normal 2 6 4 10 4" xfId="30119" xr:uid="{00000000-0005-0000-0000-0000AA750000}"/>
    <cellStyle name="Normal 2 6 4 10 4 2" xfId="30120" xr:uid="{00000000-0005-0000-0000-0000AB750000}"/>
    <cellStyle name="Normal 2 6 4 10 4 2 2" xfId="30121" xr:uid="{00000000-0005-0000-0000-0000AC750000}"/>
    <cellStyle name="Normal 2 6 4 10 4 3" xfId="30122" xr:uid="{00000000-0005-0000-0000-0000AD750000}"/>
    <cellStyle name="Normal 2 6 4 10 4 4" xfId="30123" xr:uid="{00000000-0005-0000-0000-0000AE750000}"/>
    <cellStyle name="Normal 2 6 4 10 4 5" xfId="30124" xr:uid="{00000000-0005-0000-0000-0000AF750000}"/>
    <cellStyle name="Normal 2 6 4 10 5" xfId="30125" xr:uid="{00000000-0005-0000-0000-0000B0750000}"/>
    <cellStyle name="Normal 2 6 4 10 5 2" xfId="30126" xr:uid="{00000000-0005-0000-0000-0000B1750000}"/>
    <cellStyle name="Normal 2 6 4 10 5 3" xfId="30127" xr:uid="{00000000-0005-0000-0000-0000B2750000}"/>
    <cellStyle name="Normal 2 6 4 10 5 4" xfId="30128" xr:uid="{00000000-0005-0000-0000-0000B3750000}"/>
    <cellStyle name="Normal 2 6 4 10 6" xfId="30129" xr:uid="{00000000-0005-0000-0000-0000B4750000}"/>
    <cellStyle name="Normal 2 6 4 10 6 2" xfId="30130" xr:uid="{00000000-0005-0000-0000-0000B5750000}"/>
    <cellStyle name="Normal 2 6 4 10 7" xfId="30131" xr:uid="{00000000-0005-0000-0000-0000B6750000}"/>
    <cellStyle name="Normal 2 6 4 10 8" xfId="30132" xr:uid="{00000000-0005-0000-0000-0000B7750000}"/>
    <cellStyle name="Normal 2 6 4 10 9" xfId="30133" xr:uid="{00000000-0005-0000-0000-0000B8750000}"/>
    <cellStyle name="Normal 2 6 4 11" xfId="30134" xr:uid="{00000000-0005-0000-0000-0000B9750000}"/>
    <cellStyle name="Normal 2 6 4 11 10" xfId="30135" xr:uid="{00000000-0005-0000-0000-0000BA750000}"/>
    <cellStyle name="Normal 2 6 4 11 2" xfId="30136" xr:uid="{00000000-0005-0000-0000-0000BB750000}"/>
    <cellStyle name="Normal 2 6 4 11 2 2" xfId="30137" xr:uid="{00000000-0005-0000-0000-0000BC750000}"/>
    <cellStyle name="Normal 2 6 4 11 2 2 2" xfId="30138" xr:uid="{00000000-0005-0000-0000-0000BD750000}"/>
    <cellStyle name="Normal 2 6 4 11 2 2 3" xfId="30139" xr:uid="{00000000-0005-0000-0000-0000BE750000}"/>
    <cellStyle name="Normal 2 6 4 11 2 3" xfId="30140" xr:uid="{00000000-0005-0000-0000-0000BF750000}"/>
    <cellStyle name="Normal 2 6 4 11 2 4" xfId="30141" xr:uid="{00000000-0005-0000-0000-0000C0750000}"/>
    <cellStyle name="Normal 2 6 4 11 2 5" xfId="30142" xr:uid="{00000000-0005-0000-0000-0000C1750000}"/>
    <cellStyle name="Normal 2 6 4 11 2 6" xfId="30143" xr:uid="{00000000-0005-0000-0000-0000C2750000}"/>
    <cellStyle name="Normal 2 6 4 11 3" xfId="30144" xr:uid="{00000000-0005-0000-0000-0000C3750000}"/>
    <cellStyle name="Normal 2 6 4 11 3 2" xfId="30145" xr:uid="{00000000-0005-0000-0000-0000C4750000}"/>
    <cellStyle name="Normal 2 6 4 11 3 2 2" xfId="30146" xr:uid="{00000000-0005-0000-0000-0000C5750000}"/>
    <cellStyle name="Normal 2 6 4 11 3 2 3" xfId="30147" xr:uid="{00000000-0005-0000-0000-0000C6750000}"/>
    <cellStyle name="Normal 2 6 4 11 3 3" xfId="30148" xr:uid="{00000000-0005-0000-0000-0000C7750000}"/>
    <cellStyle name="Normal 2 6 4 11 3 4" xfId="30149" xr:uid="{00000000-0005-0000-0000-0000C8750000}"/>
    <cellStyle name="Normal 2 6 4 11 3 5" xfId="30150" xr:uid="{00000000-0005-0000-0000-0000C9750000}"/>
    <cellStyle name="Normal 2 6 4 11 3 6" xfId="30151" xr:uid="{00000000-0005-0000-0000-0000CA750000}"/>
    <cellStyle name="Normal 2 6 4 11 4" xfId="30152" xr:uid="{00000000-0005-0000-0000-0000CB750000}"/>
    <cellStyle name="Normal 2 6 4 11 4 2" xfId="30153" xr:uid="{00000000-0005-0000-0000-0000CC750000}"/>
    <cellStyle name="Normal 2 6 4 11 4 2 2" xfId="30154" xr:uid="{00000000-0005-0000-0000-0000CD750000}"/>
    <cellStyle name="Normal 2 6 4 11 4 3" xfId="30155" xr:uid="{00000000-0005-0000-0000-0000CE750000}"/>
    <cellStyle name="Normal 2 6 4 11 4 4" xfId="30156" xr:uid="{00000000-0005-0000-0000-0000CF750000}"/>
    <cellStyle name="Normal 2 6 4 11 4 5" xfId="30157" xr:uid="{00000000-0005-0000-0000-0000D0750000}"/>
    <cellStyle name="Normal 2 6 4 11 5" xfId="30158" xr:uid="{00000000-0005-0000-0000-0000D1750000}"/>
    <cellStyle name="Normal 2 6 4 11 5 2" xfId="30159" xr:uid="{00000000-0005-0000-0000-0000D2750000}"/>
    <cellStyle name="Normal 2 6 4 11 5 3" xfId="30160" xr:uid="{00000000-0005-0000-0000-0000D3750000}"/>
    <cellStyle name="Normal 2 6 4 11 5 4" xfId="30161" xr:uid="{00000000-0005-0000-0000-0000D4750000}"/>
    <cellStyle name="Normal 2 6 4 11 6" xfId="30162" xr:uid="{00000000-0005-0000-0000-0000D5750000}"/>
    <cellStyle name="Normal 2 6 4 11 6 2" xfId="30163" xr:uid="{00000000-0005-0000-0000-0000D6750000}"/>
    <cellStyle name="Normal 2 6 4 11 7" xfId="30164" xr:uid="{00000000-0005-0000-0000-0000D7750000}"/>
    <cellStyle name="Normal 2 6 4 11 8" xfId="30165" xr:uid="{00000000-0005-0000-0000-0000D8750000}"/>
    <cellStyle name="Normal 2 6 4 11 9" xfId="30166" xr:uid="{00000000-0005-0000-0000-0000D9750000}"/>
    <cellStyle name="Normal 2 6 4 12" xfId="30167" xr:uid="{00000000-0005-0000-0000-0000DA750000}"/>
    <cellStyle name="Normal 2 6 4 12 10" xfId="30168" xr:uid="{00000000-0005-0000-0000-0000DB750000}"/>
    <cellStyle name="Normal 2 6 4 12 2" xfId="30169" xr:uid="{00000000-0005-0000-0000-0000DC750000}"/>
    <cellStyle name="Normal 2 6 4 12 2 2" xfId="30170" xr:uid="{00000000-0005-0000-0000-0000DD750000}"/>
    <cellStyle name="Normal 2 6 4 12 2 2 2" xfId="30171" xr:uid="{00000000-0005-0000-0000-0000DE750000}"/>
    <cellStyle name="Normal 2 6 4 12 2 2 3" xfId="30172" xr:uid="{00000000-0005-0000-0000-0000DF750000}"/>
    <cellStyle name="Normal 2 6 4 12 2 3" xfId="30173" xr:uid="{00000000-0005-0000-0000-0000E0750000}"/>
    <cellStyle name="Normal 2 6 4 12 2 4" xfId="30174" xr:uid="{00000000-0005-0000-0000-0000E1750000}"/>
    <cellStyle name="Normal 2 6 4 12 2 5" xfId="30175" xr:uid="{00000000-0005-0000-0000-0000E2750000}"/>
    <cellStyle name="Normal 2 6 4 12 2 6" xfId="30176" xr:uid="{00000000-0005-0000-0000-0000E3750000}"/>
    <cellStyle name="Normal 2 6 4 12 3" xfId="30177" xr:uid="{00000000-0005-0000-0000-0000E4750000}"/>
    <cellStyle name="Normal 2 6 4 12 3 2" xfId="30178" xr:uid="{00000000-0005-0000-0000-0000E5750000}"/>
    <cellStyle name="Normal 2 6 4 12 3 2 2" xfId="30179" xr:uid="{00000000-0005-0000-0000-0000E6750000}"/>
    <cellStyle name="Normal 2 6 4 12 3 2 3" xfId="30180" xr:uid="{00000000-0005-0000-0000-0000E7750000}"/>
    <cellStyle name="Normal 2 6 4 12 3 3" xfId="30181" xr:uid="{00000000-0005-0000-0000-0000E8750000}"/>
    <cellStyle name="Normal 2 6 4 12 3 4" xfId="30182" xr:uid="{00000000-0005-0000-0000-0000E9750000}"/>
    <cellStyle name="Normal 2 6 4 12 3 5" xfId="30183" xr:uid="{00000000-0005-0000-0000-0000EA750000}"/>
    <cellStyle name="Normal 2 6 4 12 3 6" xfId="30184" xr:uid="{00000000-0005-0000-0000-0000EB750000}"/>
    <cellStyle name="Normal 2 6 4 12 4" xfId="30185" xr:uid="{00000000-0005-0000-0000-0000EC750000}"/>
    <cellStyle name="Normal 2 6 4 12 4 2" xfId="30186" xr:uid="{00000000-0005-0000-0000-0000ED750000}"/>
    <cellStyle name="Normal 2 6 4 12 4 2 2" xfId="30187" xr:uid="{00000000-0005-0000-0000-0000EE750000}"/>
    <cellStyle name="Normal 2 6 4 12 4 3" xfId="30188" xr:uid="{00000000-0005-0000-0000-0000EF750000}"/>
    <cellStyle name="Normal 2 6 4 12 4 4" xfId="30189" xr:uid="{00000000-0005-0000-0000-0000F0750000}"/>
    <cellStyle name="Normal 2 6 4 12 4 5" xfId="30190" xr:uid="{00000000-0005-0000-0000-0000F1750000}"/>
    <cellStyle name="Normal 2 6 4 12 5" xfId="30191" xr:uid="{00000000-0005-0000-0000-0000F2750000}"/>
    <cellStyle name="Normal 2 6 4 12 5 2" xfId="30192" xr:uid="{00000000-0005-0000-0000-0000F3750000}"/>
    <cellStyle name="Normal 2 6 4 12 5 3" xfId="30193" xr:uid="{00000000-0005-0000-0000-0000F4750000}"/>
    <cellStyle name="Normal 2 6 4 12 5 4" xfId="30194" xr:uid="{00000000-0005-0000-0000-0000F5750000}"/>
    <cellStyle name="Normal 2 6 4 12 6" xfId="30195" xr:uid="{00000000-0005-0000-0000-0000F6750000}"/>
    <cellStyle name="Normal 2 6 4 12 6 2" xfId="30196" xr:uid="{00000000-0005-0000-0000-0000F7750000}"/>
    <cellStyle name="Normal 2 6 4 12 7" xfId="30197" xr:uid="{00000000-0005-0000-0000-0000F8750000}"/>
    <cellStyle name="Normal 2 6 4 12 8" xfId="30198" xr:uid="{00000000-0005-0000-0000-0000F9750000}"/>
    <cellStyle name="Normal 2 6 4 12 9" xfId="30199" xr:uid="{00000000-0005-0000-0000-0000FA750000}"/>
    <cellStyle name="Normal 2 6 4 13" xfId="30200" xr:uid="{00000000-0005-0000-0000-0000FB750000}"/>
    <cellStyle name="Normal 2 6 4 13 2" xfId="30201" xr:uid="{00000000-0005-0000-0000-0000FC750000}"/>
    <cellStyle name="Normal 2 6 4 13 2 2" xfId="30202" xr:uid="{00000000-0005-0000-0000-0000FD750000}"/>
    <cellStyle name="Normal 2 6 4 13 2 2 2" xfId="30203" xr:uid="{00000000-0005-0000-0000-0000FE750000}"/>
    <cellStyle name="Normal 2 6 4 13 2 2 3" xfId="30204" xr:uid="{00000000-0005-0000-0000-0000FF750000}"/>
    <cellStyle name="Normal 2 6 4 13 2 3" xfId="30205" xr:uid="{00000000-0005-0000-0000-000000760000}"/>
    <cellStyle name="Normal 2 6 4 13 2 4" xfId="30206" xr:uid="{00000000-0005-0000-0000-000001760000}"/>
    <cellStyle name="Normal 2 6 4 13 2 5" xfId="30207" xr:uid="{00000000-0005-0000-0000-000002760000}"/>
    <cellStyle name="Normal 2 6 4 13 2 6" xfId="30208" xr:uid="{00000000-0005-0000-0000-000003760000}"/>
    <cellStyle name="Normal 2 6 4 13 3" xfId="30209" xr:uid="{00000000-0005-0000-0000-000004760000}"/>
    <cellStyle name="Normal 2 6 4 13 3 2" xfId="30210" xr:uid="{00000000-0005-0000-0000-000005760000}"/>
    <cellStyle name="Normal 2 6 4 13 3 2 2" xfId="30211" xr:uid="{00000000-0005-0000-0000-000006760000}"/>
    <cellStyle name="Normal 2 6 4 13 3 3" xfId="30212" xr:uid="{00000000-0005-0000-0000-000007760000}"/>
    <cellStyle name="Normal 2 6 4 13 3 4" xfId="30213" xr:uid="{00000000-0005-0000-0000-000008760000}"/>
    <cellStyle name="Normal 2 6 4 13 3 5" xfId="30214" xr:uid="{00000000-0005-0000-0000-000009760000}"/>
    <cellStyle name="Normal 2 6 4 13 4" xfId="30215" xr:uid="{00000000-0005-0000-0000-00000A760000}"/>
    <cellStyle name="Normal 2 6 4 13 4 2" xfId="30216" xr:uid="{00000000-0005-0000-0000-00000B760000}"/>
    <cellStyle name="Normal 2 6 4 13 4 3" xfId="30217" xr:uid="{00000000-0005-0000-0000-00000C760000}"/>
    <cellStyle name="Normal 2 6 4 13 4 4" xfId="30218" xr:uid="{00000000-0005-0000-0000-00000D760000}"/>
    <cellStyle name="Normal 2 6 4 13 5" xfId="30219" xr:uid="{00000000-0005-0000-0000-00000E760000}"/>
    <cellStyle name="Normal 2 6 4 13 5 2" xfId="30220" xr:uid="{00000000-0005-0000-0000-00000F760000}"/>
    <cellStyle name="Normal 2 6 4 13 6" xfId="30221" xr:uid="{00000000-0005-0000-0000-000010760000}"/>
    <cellStyle name="Normal 2 6 4 13 7" xfId="30222" xr:uid="{00000000-0005-0000-0000-000011760000}"/>
    <cellStyle name="Normal 2 6 4 13 8" xfId="30223" xr:uid="{00000000-0005-0000-0000-000012760000}"/>
    <cellStyle name="Normal 2 6 4 13 9" xfId="30224" xr:uid="{00000000-0005-0000-0000-000013760000}"/>
    <cellStyle name="Normal 2 6 4 14" xfId="30225" xr:uid="{00000000-0005-0000-0000-000014760000}"/>
    <cellStyle name="Normal 2 6 4 14 2" xfId="30226" xr:uid="{00000000-0005-0000-0000-000015760000}"/>
    <cellStyle name="Normal 2 6 4 14 2 2" xfId="30227" xr:uid="{00000000-0005-0000-0000-000016760000}"/>
    <cellStyle name="Normal 2 6 4 14 2 2 2" xfId="30228" xr:uid="{00000000-0005-0000-0000-000017760000}"/>
    <cellStyle name="Normal 2 6 4 14 2 2 3" xfId="30229" xr:uid="{00000000-0005-0000-0000-000018760000}"/>
    <cellStyle name="Normal 2 6 4 14 2 3" xfId="30230" xr:uid="{00000000-0005-0000-0000-000019760000}"/>
    <cellStyle name="Normal 2 6 4 14 2 4" xfId="30231" xr:uid="{00000000-0005-0000-0000-00001A760000}"/>
    <cellStyle name="Normal 2 6 4 14 2 5" xfId="30232" xr:uid="{00000000-0005-0000-0000-00001B760000}"/>
    <cellStyle name="Normal 2 6 4 14 2 6" xfId="30233" xr:uid="{00000000-0005-0000-0000-00001C760000}"/>
    <cellStyle name="Normal 2 6 4 14 3" xfId="30234" xr:uid="{00000000-0005-0000-0000-00001D760000}"/>
    <cellStyle name="Normal 2 6 4 14 3 2" xfId="30235" xr:uid="{00000000-0005-0000-0000-00001E760000}"/>
    <cellStyle name="Normal 2 6 4 14 3 2 2" xfId="30236" xr:uid="{00000000-0005-0000-0000-00001F760000}"/>
    <cellStyle name="Normal 2 6 4 14 3 3" xfId="30237" xr:uid="{00000000-0005-0000-0000-000020760000}"/>
    <cellStyle name="Normal 2 6 4 14 3 4" xfId="30238" xr:uid="{00000000-0005-0000-0000-000021760000}"/>
    <cellStyle name="Normal 2 6 4 14 3 5" xfId="30239" xr:uid="{00000000-0005-0000-0000-000022760000}"/>
    <cellStyle name="Normal 2 6 4 14 4" xfId="30240" xr:uid="{00000000-0005-0000-0000-000023760000}"/>
    <cellStyle name="Normal 2 6 4 14 4 2" xfId="30241" xr:uid="{00000000-0005-0000-0000-000024760000}"/>
    <cellStyle name="Normal 2 6 4 14 4 3" xfId="30242" xr:uid="{00000000-0005-0000-0000-000025760000}"/>
    <cellStyle name="Normal 2 6 4 14 4 4" xfId="30243" xr:uid="{00000000-0005-0000-0000-000026760000}"/>
    <cellStyle name="Normal 2 6 4 14 5" xfId="30244" xr:uid="{00000000-0005-0000-0000-000027760000}"/>
    <cellStyle name="Normal 2 6 4 14 5 2" xfId="30245" xr:uid="{00000000-0005-0000-0000-000028760000}"/>
    <cellStyle name="Normal 2 6 4 14 6" xfId="30246" xr:uid="{00000000-0005-0000-0000-000029760000}"/>
    <cellStyle name="Normal 2 6 4 14 7" xfId="30247" xr:uid="{00000000-0005-0000-0000-00002A760000}"/>
    <cellStyle name="Normal 2 6 4 14 8" xfId="30248" xr:uid="{00000000-0005-0000-0000-00002B760000}"/>
    <cellStyle name="Normal 2 6 4 14 9" xfId="30249" xr:uid="{00000000-0005-0000-0000-00002C760000}"/>
    <cellStyle name="Normal 2 6 4 15" xfId="30250" xr:uid="{00000000-0005-0000-0000-00002D760000}"/>
    <cellStyle name="Normal 2 6 4 15 2" xfId="30251" xr:uid="{00000000-0005-0000-0000-00002E760000}"/>
    <cellStyle name="Normal 2 6 4 15 2 2" xfId="30252" xr:uid="{00000000-0005-0000-0000-00002F760000}"/>
    <cellStyle name="Normal 2 6 4 15 2 3" xfId="30253" xr:uid="{00000000-0005-0000-0000-000030760000}"/>
    <cellStyle name="Normal 2 6 4 15 3" xfId="30254" xr:uid="{00000000-0005-0000-0000-000031760000}"/>
    <cellStyle name="Normal 2 6 4 15 4" xfId="30255" xr:uid="{00000000-0005-0000-0000-000032760000}"/>
    <cellStyle name="Normal 2 6 4 15 5" xfId="30256" xr:uid="{00000000-0005-0000-0000-000033760000}"/>
    <cellStyle name="Normal 2 6 4 15 6" xfId="30257" xr:uid="{00000000-0005-0000-0000-000034760000}"/>
    <cellStyle name="Normal 2 6 4 16" xfId="30258" xr:uid="{00000000-0005-0000-0000-000035760000}"/>
    <cellStyle name="Normal 2 6 4 16 2" xfId="30259" xr:uid="{00000000-0005-0000-0000-000036760000}"/>
    <cellStyle name="Normal 2 6 4 16 2 2" xfId="30260" xr:uid="{00000000-0005-0000-0000-000037760000}"/>
    <cellStyle name="Normal 2 6 4 16 3" xfId="30261" xr:uid="{00000000-0005-0000-0000-000038760000}"/>
    <cellStyle name="Normal 2 6 4 16 4" xfId="30262" xr:uid="{00000000-0005-0000-0000-000039760000}"/>
    <cellStyle name="Normal 2 6 4 16 5" xfId="30263" xr:uid="{00000000-0005-0000-0000-00003A760000}"/>
    <cellStyle name="Normal 2 6 4 17" xfId="30264" xr:uid="{00000000-0005-0000-0000-00003B760000}"/>
    <cellStyle name="Normal 2 6 4 17 2" xfId="30265" xr:uid="{00000000-0005-0000-0000-00003C760000}"/>
    <cellStyle name="Normal 2 6 4 17 2 2" xfId="30266" xr:uid="{00000000-0005-0000-0000-00003D760000}"/>
    <cellStyle name="Normal 2 6 4 17 3" xfId="30267" xr:uid="{00000000-0005-0000-0000-00003E760000}"/>
    <cellStyle name="Normal 2 6 4 17 4" xfId="30268" xr:uid="{00000000-0005-0000-0000-00003F760000}"/>
    <cellStyle name="Normal 2 6 4 17 5" xfId="30269" xr:uid="{00000000-0005-0000-0000-000040760000}"/>
    <cellStyle name="Normal 2 6 4 18" xfId="30270" xr:uid="{00000000-0005-0000-0000-000041760000}"/>
    <cellStyle name="Normal 2 6 4 18 2" xfId="30271" xr:uid="{00000000-0005-0000-0000-000042760000}"/>
    <cellStyle name="Normal 2 6 4 19" xfId="30272" xr:uid="{00000000-0005-0000-0000-000043760000}"/>
    <cellStyle name="Normal 2 6 4 2" xfId="30273" xr:uid="{00000000-0005-0000-0000-000044760000}"/>
    <cellStyle name="Normal 2 6 4 2 10" xfId="30274" xr:uid="{00000000-0005-0000-0000-000045760000}"/>
    <cellStyle name="Normal 2 6 4 2 11" xfId="30275" xr:uid="{00000000-0005-0000-0000-000046760000}"/>
    <cellStyle name="Normal 2 6 4 2 2" xfId="30276" xr:uid="{00000000-0005-0000-0000-000047760000}"/>
    <cellStyle name="Normal 2 6 4 2 2 2" xfId="30277" xr:uid="{00000000-0005-0000-0000-000048760000}"/>
    <cellStyle name="Normal 2 6 4 2 2 2 2" xfId="30278" xr:uid="{00000000-0005-0000-0000-000049760000}"/>
    <cellStyle name="Normal 2 6 4 2 2 2 2 2" xfId="30279" xr:uid="{00000000-0005-0000-0000-00004A760000}"/>
    <cellStyle name="Normal 2 6 4 2 2 2 2 3" xfId="30280" xr:uid="{00000000-0005-0000-0000-00004B760000}"/>
    <cellStyle name="Normal 2 6 4 2 2 2 3" xfId="30281" xr:uid="{00000000-0005-0000-0000-00004C760000}"/>
    <cellStyle name="Normal 2 6 4 2 2 2 4" xfId="30282" xr:uid="{00000000-0005-0000-0000-00004D760000}"/>
    <cellStyle name="Normal 2 6 4 2 2 2 5" xfId="30283" xr:uid="{00000000-0005-0000-0000-00004E760000}"/>
    <cellStyle name="Normal 2 6 4 2 2 2 6" xfId="30284" xr:uid="{00000000-0005-0000-0000-00004F760000}"/>
    <cellStyle name="Normal 2 6 4 2 2 3" xfId="30285" xr:uid="{00000000-0005-0000-0000-000050760000}"/>
    <cellStyle name="Normal 2 6 4 2 2 3 2" xfId="30286" xr:uid="{00000000-0005-0000-0000-000051760000}"/>
    <cellStyle name="Normal 2 6 4 2 2 3 2 2" xfId="30287" xr:uid="{00000000-0005-0000-0000-000052760000}"/>
    <cellStyle name="Normal 2 6 4 2 2 3 3" xfId="30288" xr:uid="{00000000-0005-0000-0000-000053760000}"/>
    <cellStyle name="Normal 2 6 4 2 2 3 4" xfId="30289" xr:uid="{00000000-0005-0000-0000-000054760000}"/>
    <cellStyle name="Normal 2 6 4 2 2 3 5" xfId="30290" xr:uid="{00000000-0005-0000-0000-000055760000}"/>
    <cellStyle name="Normal 2 6 4 2 2 4" xfId="30291" xr:uid="{00000000-0005-0000-0000-000056760000}"/>
    <cellStyle name="Normal 2 6 4 2 2 4 2" xfId="30292" xr:uid="{00000000-0005-0000-0000-000057760000}"/>
    <cellStyle name="Normal 2 6 4 2 2 4 3" xfId="30293" xr:uid="{00000000-0005-0000-0000-000058760000}"/>
    <cellStyle name="Normal 2 6 4 2 2 4 4" xfId="30294" xr:uid="{00000000-0005-0000-0000-000059760000}"/>
    <cellStyle name="Normal 2 6 4 2 2 5" xfId="30295" xr:uid="{00000000-0005-0000-0000-00005A760000}"/>
    <cellStyle name="Normal 2 6 4 2 2 5 2" xfId="30296" xr:uid="{00000000-0005-0000-0000-00005B760000}"/>
    <cellStyle name="Normal 2 6 4 2 2 6" xfId="30297" xr:uid="{00000000-0005-0000-0000-00005C760000}"/>
    <cellStyle name="Normal 2 6 4 2 2 7" xfId="30298" xr:uid="{00000000-0005-0000-0000-00005D760000}"/>
    <cellStyle name="Normal 2 6 4 2 2 8" xfId="30299" xr:uid="{00000000-0005-0000-0000-00005E760000}"/>
    <cellStyle name="Normal 2 6 4 2 2 9" xfId="30300" xr:uid="{00000000-0005-0000-0000-00005F760000}"/>
    <cellStyle name="Normal 2 6 4 2 3" xfId="30301" xr:uid="{00000000-0005-0000-0000-000060760000}"/>
    <cellStyle name="Normal 2 6 4 2 3 2" xfId="30302" xr:uid="{00000000-0005-0000-0000-000061760000}"/>
    <cellStyle name="Normal 2 6 4 2 3 2 2" xfId="30303" xr:uid="{00000000-0005-0000-0000-000062760000}"/>
    <cellStyle name="Normal 2 6 4 2 3 2 2 2" xfId="30304" xr:uid="{00000000-0005-0000-0000-000063760000}"/>
    <cellStyle name="Normal 2 6 4 2 3 2 2 3" xfId="30305" xr:uid="{00000000-0005-0000-0000-000064760000}"/>
    <cellStyle name="Normal 2 6 4 2 3 2 3" xfId="30306" xr:uid="{00000000-0005-0000-0000-000065760000}"/>
    <cellStyle name="Normal 2 6 4 2 3 2 4" xfId="30307" xr:uid="{00000000-0005-0000-0000-000066760000}"/>
    <cellStyle name="Normal 2 6 4 2 3 2 5" xfId="30308" xr:uid="{00000000-0005-0000-0000-000067760000}"/>
    <cellStyle name="Normal 2 6 4 2 3 2 6" xfId="30309" xr:uid="{00000000-0005-0000-0000-000068760000}"/>
    <cellStyle name="Normal 2 6 4 2 3 3" xfId="30310" xr:uid="{00000000-0005-0000-0000-000069760000}"/>
    <cellStyle name="Normal 2 6 4 2 3 3 2" xfId="30311" xr:uid="{00000000-0005-0000-0000-00006A760000}"/>
    <cellStyle name="Normal 2 6 4 2 3 3 2 2" xfId="30312" xr:uid="{00000000-0005-0000-0000-00006B760000}"/>
    <cellStyle name="Normal 2 6 4 2 3 3 3" xfId="30313" xr:uid="{00000000-0005-0000-0000-00006C760000}"/>
    <cellStyle name="Normal 2 6 4 2 3 3 4" xfId="30314" xr:uid="{00000000-0005-0000-0000-00006D760000}"/>
    <cellStyle name="Normal 2 6 4 2 3 3 5" xfId="30315" xr:uid="{00000000-0005-0000-0000-00006E760000}"/>
    <cellStyle name="Normal 2 6 4 2 3 4" xfId="30316" xr:uid="{00000000-0005-0000-0000-00006F760000}"/>
    <cellStyle name="Normal 2 6 4 2 3 4 2" xfId="30317" xr:uid="{00000000-0005-0000-0000-000070760000}"/>
    <cellStyle name="Normal 2 6 4 2 3 4 3" xfId="30318" xr:uid="{00000000-0005-0000-0000-000071760000}"/>
    <cellStyle name="Normal 2 6 4 2 3 4 4" xfId="30319" xr:uid="{00000000-0005-0000-0000-000072760000}"/>
    <cellStyle name="Normal 2 6 4 2 3 5" xfId="30320" xr:uid="{00000000-0005-0000-0000-000073760000}"/>
    <cellStyle name="Normal 2 6 4 2 3 5 2" xfId="30321" xr:uid="{00000000-0005-0000-0000-000074760000}"/>
    <cellStyle name="Normal 2 6 4 2 3 6" xfId="30322" xr:uid="{00000000-0005-0000-0000-000075760000}"/>
    <cellStyle name="Normal 2 6 4 2 3 7" xfId="30323" xr:uid="{00000000-0005-0000-0000-000076760000}"/>
    <cellStyle name="Normal 2 6 4 2 3 8" xfId="30324" xr:uid="{00000000-0005-0000-0000-000077760000}"/>
    <cellStyle name="Normal 2 6 4 2 3 9" xfId="30325" xr:uid="{00000000-0005-0000-0000-000078760000}"/>
    <cellStyle name="Normal 2 6 4 2 4" xfId="30326" xr:uid="{00000000-0005-0000-0000-000079760000}"/>
    <cellStyle name="Normal 2 6 4 2 4 2" xfId="30327" xr:uid="{00000000-0005-0000-0000-00007A760000}"/>
    <cellStyle name="Normal 2 6 4 2 4 2 2" xfId="30328" xr:uid="{00000000-0005-0000-0000-00007B760000}"/>
    <cellStyle name="Normal 2 6 4 2 4 2 3" xfId="30329" xr:uid="{00000000-0005-0000-0000-00007C760000}"/>
    <cellStyle name="Normal 2 6 4 2 4 3" xfId="30330" xr:uid="{00000000-0005-0000-0000-00007D760000}"/>
    <cellStyle name="Normal 2 6 4 2 4 4" xfId="30331" xr:uid="{00000000-0005-0000-0000-00007E760000}"/>
    <cellStyle name="Normal 2 6 4 2 4 5" xfId="30332" xr:uid="{00000000-0005-0000-0000-00007F760000}"/>
    <cellStyle name="Normal 2 6 4 2 4 6" xfId="30333" xr:uid="{00000000-0005-0000-0000-000080760000}"/>
    <cellStyle name="Normal 2 6 4 2 5" xfId="30334" xr:uid="{00000000-0005-0000-0000-000081760000}"/>
    <cellStyle name="Normal 2 6 4 2 5 2" xfId="30335" xr:uid="{00000000-0005-0000-0000-000082760000}"/>
    <cellStyle name="Normal 2 6 4 2 5 2 2" xfId="30336" xr:uid="{00000000-0005-0000-0000-000083760000}"/>
    <cellStyle name="Normal 2 6 4 2 5 3" xfId="30337" xr:uid="{00000000-0005-0000-0000-000084760000}"/>
    <cellStyle name="Normal 2 6 4 2 5 4" xfId="30338" xr:uid="{00000000-0005-0000-0000-000085760000}"/>
    <cellStyle name="Normal 2 6 4 2 5 5" xfId="30339" xr:uid="{00000000-0005-0000-0000-000086760000}"/>
    <cellStyle name="Normal 2 6 4 2 6" xfId="30340" xr:uid="{00000000-0005-0000-0000-000087760000}"/>
    <cellStyle name="Normal 2 6 4 2 6 2" xfId="30341" xr:uid="{00000000-0005-0000-0000-000088760000}"/>
    <cellStyle name="Normal 2 6 4 2 6 3" xfId="30342" xr:uid="{00000000-0005-0000-0000-000089760000}"/>
    <cellStyle name="Normal 2 6 4 2 6 4" xfId="30343" xr:uid="{00000000-0005-0000-0000-00008A760000}"/>
    <cellStyle name="Normal 2 6 4 2 7" xfId="30344" xr:uid="{00000000-0005-0000-0000-00008B760000}"/>
    <cellStyle name="Normal 2 6 4 2 7 2" xfId="30345" xr:uid="{00000000-0005-0000-0000-00008C760000}"/>
    <cellStyle name="Normal 2 6 4 2 8" xfId="30346" xr:uid="{00000000-0005-0000-0000-00008D760000}"/>
    <cellStyle name="Normal 2 6 4 2 9" xfId="30347" xr:uid="{00000000-0005-0000-0000-00008E760000}"/>
    <cellStyle name="Normal 2 6 4 20" xfId="30348" xr:uid="{00000000-0005-0000-0000-00008F760000}"/>
    <cellStyle name="Normal 2 6 4 21" xfId="30349" xr:uid="{00000000-0005-0000-0000-000090760000}"/>
    <cellStyle name="Normal 2 6 4 22" xfId="30350" xr:uid="{00000000-0005-0000-0000-000091760000}"/>
    <cellStyle name="Normal 2 6 4 3" xfId="30351" xr:uid="{00000000-0005-0000-0000-000092760000}"/>
    <cellStyle name="Normal 2 6 4 3 10" xfId="30352" xr:uid="{00000000-0005-0000-0000-000093760000}"/>
    <cellStyle name="Normal 2 6 4 3 11" xfId="30353" xr:uid="{00000000-0005-0000-0000-000094760000}"/>
    <cellStyle name="Normal 2 6 4 3 2" xfId="30354" xr:uid="{00000000-0005-0000-0000-000095760000}"/>
    <cellStyle name="Normal 2 6 4 3 2 2" xfId="30355" xr:uid="{00000000-0005-0000-0000-000096760000}"/>
    <cellStyle name="Normal 2 6 4 3 2 2 2" xfId="30356" xr:uid="{00000000-0005-0000-0000-000097760000}"/>
    <cellStyle name="Normal 2 6 4 3 2 2 2 2" xfId="30357" xr:uid="{00000000-0005-0000-0000-000098760000}"/>
    <cellStyle name="Normal 2 6 4 3 2 2 2 3" xfId="30358" xr:uid="{00000000-0005-0000-0000-000099760000}"/>
    <cellStyle name="Normal 2 6 4 3 2 2 3" xfId="30359" xr:uid="{00000000-0005-0000-0000-00009A760000}"/>
    <cellStyle name="Normal 2 6 4 3 2 2 4" xfId="30360" xr:uid="{00000000-0005-0000-0000-00009B760000}"/>
    <cellStyle name="Normal 2 6 4 3 2 2 5" xfId="30361" xr:uid="{00000000-0005-0000-0000-00009C760000}"/>
    <cellStyle name="Normal 2 6 4 3 2 2 6" xfId="30362" xr:uid="{00000000-0005-0000-0000-00009D760000}"/>
    <cellStyle name="Normal 2 6 4 3 2 3" xfId="30363" xr:uid="{00000000-0005-0000-0000-00009E760000}"/>
    <cellStyle name="Normal 2 6 4 3 2 3 2" xfId="30364" xr:uid="{00000000-0005-0000-0000-00009F760000}"/>
    <cellStyle name="Normal 2 6 4 3 2 3 2 2" xfId="30365" xr:uid="{00000000-0005-0000-0000-0000A0760000}"/>
    <cellStyle name="Normal 2 6 4 3 2 3 3" xfId="30366" xr:uid="{00000000-0005-0000-0000-0000A1760000}"/>
    <cellStyle name="Normal 2 6 4 3 2 3 4" xfId="30367" xr:uid="{00000000-0005-0000-0000-0000A2760000}"/>
    <cellStyle name="Normal 2 6 4 3 2 3 5" xfId="30368" xr:uid="{00000000-0005-0000-0000-0000A3760000}"/>
    <cellStyle name="Normal 2 6 4 3 2 4" xfId="30369" xr:uid="{00000000-0005-0000-0000-0000A4760000}"/>
    <cellStyle name="Normal 2 6 4 3 2 4 2" xfId="30370" xr:uid="{00000000-0005-0000-0000-0000A5760000}"/>
    <cellStyle name="Normal 2 6 4 3 2 4 3" xfId="30371" xr:uid="{00000000-0005-0000-0000-0000A6760000}"/>
    <cellStyle name="Normal 2 6 4 3 2 4 4" xfId="30372" xr:uid="{00000000-0005-0000-0000-0000A7760000}"/>
    <cellStyle name="Normal 2 6 4 3 2 5" xfId="30373" xr:uid="{00000000-0005-0000-0000-0000A8760000}"/>
    <cellStyle name="Normal 2 6 4 3 2 5 2" xfId="30374" xr:uid="{00000000-0005-0000-0000-0000A9760000}"/>
    <cellStyle name="Normal 2 6 4 3 2 6" xfId="30375" xr:uid="{00000000-0005-0000-0000-0000AA760000}"/>
    <cellStyle name="Normal 2 6 4 3 2 7" xfId="30376" xr:uid="{00000000-0005-0000-0000-0000AB760000}"/>
    <cellStyle name="Normal 2 6 4 3 2 8" xfId="30377" xr:uid="{00000000-0005-0000-0000-0000AC760000}"/>
    <cellStyle name="Normal 2 6 4 3 2 9" xfId="30378" xr:uid="{00000000-0005-0000-0000-0000AD760000}"/>
    <cellStyle name="Normal 2 6 4 3 3" xfId="30379" xr:uid="{00000000-0005-0000-0000-0000AE760000}"/>
    <cellStyle name="Normal 2 6 4 3 3 2" xfId="30380" xr:uid="{00000000-0005-0000-0000-0000AF760000}"/>
    <cellStyle name="Normal 2 6 4 3 3 2 2" xfId="30381" xr:uid="{00000000-0005-0000-0000-0000B0760000}"/>
    <cellStyle name="Normal 2 6 4 3 3 2 2 2" xfId="30382" xr:uid="{00000000-0005-0000-0000-0000B1760000}"/>
    <cellStyle name="Normal 2 6 4 3 3 2 2 3" xfId="30383" xr:uid="{00000000-0005-0000-0000-0000B2760000}"/>
    <cellStyle name="Normal 2 6 4 3 3 2 3" xfId="30384" xr:uid="{00000000-0005-0000-0000-0000B3760000}"/>
    <cellStyle name="Normal 2 6 4 3 3 2 4" xfId="30385" xr:uid="{00000000-0005-0000-0000-0000B4760000}"/>
    <cellStyle name="Normal 2 6 4 3 3 2 5" xfId="30386" xr:uid="{00000000-0005-0000-0000-0000B5760000}"/>
    <cellStyle name="Normal 2 6 4 3 3 2 6" xfId="30387" xr:uid="{00000000-0005-0000-0000-0000B6760000}"/>
    <cellStyle name="Normal 2 6 4 3 3 3" xfId="30388" xr:uid="{00000000-0005-0000-0000-0000B7760000}"/>
    <cellStyle name="Normal 2 6 4 3 3 3 2" xfId="30389" xr:uid="{00000000-0005-0000-0000-0000B8760000}"/>
    <cellStyle name="Normal 2 6 4 3 3 3 2 2" xfId="30390" xr:uid="{00000000-0005-0000-0000-0000B9760000}"/>
    <cellStyle name="Normal 2 6 4 3 3 3 3" xfId="30391" xr:uid="{00000000-0005-0000-0000-0000BA760000}"/>
    <cellStyle name="Normal 2 6 4 3 3 3 4" xfId="30392" xr:uid="{00000000-0005-0000-0000-0000BB760000}"/>
    <cellStyle name="Normal 2 6 4 3 3 3 5" xfId="30393" xr:uid="{00000000-0005-0000-0000-0000BC760000}"/>
    <cellStyle name="Normal 2 6 4 3 3 4" xfId="30394" xr:uid="{00000000-0005-0000-0000-0000BD760000}"/>
    <cellStyle name="Normal 2 6 4 3 3 4 2" xfId="30395" xr:uid="{00000000-0005-0000-0000-0000BE760000}"/>
    <cellStyle name="Normal 2 6 4 3 3 4 3" xfId="30396" xr:uid="{00000000-0005-0000-0000-0000BF760000}"/>
    <cellStyle name="Normal 2 6 4 3 3 4 4" xfId="30397" xr:uid="{00000000-0005-0000-0000-0000C0760000}"/>
    <cellStyle name="Normal 2 6 4 3 3 5" xfId="30398" xr:uid="{00000000-0005-0000-0000-0000C1760000}"/>
    <cellStyle name="Normal 2 6 4 3 3 5 2" xfId="30399" xr:uid="{00000000-0005-0000-0000-0000C2760000}"/>
    <cellStyle name="Normal 2 6 4 3 3 6" xfId="30400" xr:uid="{00000000-0005-0000-0000-0000C3760000}"/>
    <cellStyle name="Normal 2 6 4 3 3 7" xfId="30401" xr:uid="{00000000-0005-0000-0000-0000C4760000}"/>
    <cellStyle name="Normal 2 6 4 3 3 8" xfId="30402" xr:uid="{00000000-0005-0000-0000-0000C5760000}"/>
    <cellStyle name="Normal 2 6 4 3 3 9" xfId="30403" xr:uid="{00000000-0005-0000-0000-0000C6760000}"/>
    <cellStyle name="Normal 2 6 4 3 4" xfId="30404" xr:uid="{00000000-0005-0000-0000-0000C7760000}"/>
    <cellStyle name="Normal 2 6 4 3 4 2" xfId="30405" xr:uid="{00000000-0005-0000-0000-0000C8760000}"/>
    <cellStyle name="Normal 2 6 4 3 4 2 2" xfId="30406" xr:uid="{00000000-0005-0000-0000-0000C9760000}"/>
    <cellStyle name="Normal 2 6 4 3 4 2 3" xfId="30407" xr:uid="{00000000-0005-0000-0000-0000CA760000}"/>
    <cellStyle name="Normal 2 6 4 3 4 3" xfId="30408" xr:uid="{00000000-0005-0000-0000-0000CB760000}"/>
    <cellStyle name="Normal 2 6 4 3 4 4" xfId="30409" xr:uid="{00000000-0005-0000-0000-0000CC760000}"/>
    <cellStyle name="Normal 2 6 4 3 4 5" xfId="30410" xr:uid="{00000000-0005-0000-0000-0000CD760000}"/>
    <cellStyle name="Normal 2 6 4 3 4 6" xfId="30411" xr:uid="{00000000-0005-0000-0000-0000CE760000}"/>
    <cellStyle name="Normal 2 6 4 3 5" xfId="30412" xr:uid="{00000000-0005-0000-0000-0000CF760000}"/>
    <cellStyle name="Normal 2 6 4 3 5 2" xfId="30413" xr:uid="{00000000-0005-0000-0000-0000D0760000}"/>
    <cellStyle name="Normal 2 6 4 3 5 2 2" xfId="30414" xr:uid="{00000000-0005-0000-0000-0000D1760000}"/>
    <cellStyle name="Normal 2 6 4 3 5 3" xfId="30415" xr:uid="{00000000-0005-0000-0000-0000D2760000}"/>
    <cellStyle name="Normal 2 6 4 3 5 4" xfId="30416" xr:uid="{00000000-0005-0000-0000-0000D3760000}"/>
    <cellStyle name="Normal 2 6 4 3 5 5" xfId="30417" xr:uid="{00000000-0005-0000-0000-0000D4760000}"/>
    <cellStyle name="Normal 2 6 4 3 6" xfId="30418" xr:uid="{00000000-0005-0000-0000-0000D5760000}"/>
    <cellStyle name="Normal 2 6 4 3 6 2" xfId="30419" xr:uid="{00000000-0005-0000-0000-0000D6760000}"/>
    <cellStyle name="Normal 2 6 4 3 6 3" xfId="30420" xr:uid="{00000000-0005-0000-0000-0000D7760000}"/>
    <cellStyle name="Normal 2 6 4 3 6 4" xfId="30421" xr:uid="{00000000-0005-0000-0000-0000D8760000}"/>
    <cellStyle name="Normal 2 6 4 3 7" xfId="30422" xr:uid="{00000000-0005-0000-0000-0000D9760000}"/>
    <cellStyle name="Normal 2 6 4 3 7 2" xfId="30423" xr:uid="{00000000-0005-0000-0000-0000DA760000}"/>
    <cellStyle name="Normal 2 6 4 3 8" xfId="30424" xr:uid="{00000000-0005-0000-0000-0000DB760000}"/>
    <cellStyle name="Normal 2 6 4 3 9" xfId="30425" xr:uid="{00000000-0005-0000-0000-0000DC760000}"/>
    <cellStyle name="Normal 2 6 4 4" xfId="30426" xr:uid="{00000000-0005-0000-0000-0000DD760000}"/>
    <cellStyle name="Normal 2 6 4 4 10" xfId="30427" xr:uid="{00000000-0005-0000-0000-0000DE760000}"/>
    <cellStyle name="Normal 2 6 4 4 11" xfId="30428" xr:uid="{00000000-0005-0000-0000-0000DF760000}"/>
    <cellStyle name="Normal 2 6 4 4 2" xfId="30429" xr:uid="{00000000-0005-0000-0000-0000E0760000}"/>
    <cellStyle name="Normal 2 6 4 4 2 2" xfId="30430" xr:uid="{00000000-0005-0000-0000-0000E1760000}"/>
    <cellStyle name="Normal 2 6 4 4 2 2 2" xfId="30431" xr:uid="{00000000-0005-0000-0000-0000E2760000}"/>
    <cellStyle name="Normal 2 6 4 4 2 2 2 2" xfId="30432" xr:uid="{00000000-0005-0000-0000-0000E3760000}"/>
    <cellStyle name="Normal 2 6 4 4 2 2 2 3" xfId="30433" xr:uid="{00000000-0005-0000-0000-0000E4760000}"/>
    <cellStyle name="Normal 2 6 4 4 2 2 3" xfId="30434" xr:uid="{00000000-0005-0000-0000-0000E5760000}"/>
    <cellStyle name="Normal 2 6 4 4 2 2 4" xfId="30435" xr:uid="{00000000-0005-0000-0000-0000E6760000}"/>
    <cellStyle name="Normal 2 6 4 4 2 2 5" xfId="30436" xr:uid="{00000000-0005-0000-0000-0000E7760000}"/>
    <cellStyle name="Normal 2 6 4 4 2 2 6" xfId="30437" xr:uid="{00000000-0005-0000-0000-0000E8760000}"/>
    <cellStyle name="Normal 2 6 4 4 2 3" xfId="30438" xr:uid="{00000000-0005-0000-0000-0000E9760000}"/>
    <cellStyle name="Normal 2 6 4 4 2 3 2" xfId="30439" xr:uid="{00000000-0005-0000-0000-0000EA760000}"/>
    <cellStyle name="Normal 2 6 4 4 2 3 2 2" xfId="30440" xr:uid="{00000000-0005-0000-0000-0000EB760000}"/>
    <cellStyle name="Normal 2 6 4 4 2 3 3" xfId="30441" xr:uid="{00000000-0005-0000-0000-0000EC760000}"/>
    <cellStyle name="Normal 2 6 4 4 2 3 4" xfId="30442" xr:uid="{00000000-0005-0000-0000-0000ED760000}"/>
    <cellStyle name="Normal 2 6 4 4 2 3 5" xfId="30443" xr:uid="{00000000-0005-0000-0000-0000EE760000}"/>
    <cellStyle name="Normal 2 6 4 4 2 4" xfId="30444" xr:uid="{00000000-0005-0000-0000-0000EF760000}"/>
    <cellStyle name="Normal 2 6 4 4 2 4 2" xfId="30445" xr:uid="{00000000-0005-0000-0000-0000F0760000}"/>
    <cellStyle name="Normal 2 6 4 4 2 4 3" xfId="30446" xr:uid="{00000000-0005-0000-0000-0000F1760000}"/>
    <cellStyle name="Normal 2 6 4 4 2 4 4" xfId="30447" xr:uid="{00000000-0005-0000-0000-0000F2760000}"/>
    <cellStyle name="Normal 2 6 4 4 2 5" xfId="30448" xr:uid="{00000000-0005-0000-0000-0000F3760000}"/>
    <cellStyle name="Normal 2 6 4 4 2 5 2" xfId="30449" xr:uid="{00000000-0005-0000-0000-0000F4760000}"/>
    <cellStyle name="Normal 2 6 4 4 2 6" xfId="30450" xr:uid="{00000000-0005-0000-0000-0000F5760000}"/>
    <cellStyle name="Normal 2 6 4 4 2 7" xfId="30451" xr:uid="{00000000-0005-0000-0000-0000F6760000}"/>
    <cellStyle name="Normal 2 6 4 4 2 8" xfId="30452" xr:uid="{00000000-0005-0000-0000-0000F7760000}"/>
    <cellStyle name="Normal 2 6 4 4 2 9" xfId="30453" xr:uid="{00000000-0005-0000-0000-0000F8760000}"/>
    <cellStyle name="Normal 2 6 4 4 3" xfId="30454" xr:uid="{00000000-0005-0000-0000-0000F9760000}"/>
    <cellStyle name="Normal 2 6 4 4 3 2" xfId="30455" xr:uid="{00000000-0005-0000-0000-0000FA760000}"/>
    <cellStyle name="Normal 2 6 4 4 3 2 2" xfId="30456" xr:uid="{00000000-0005-0000-0000-0000FB760000}"/>
    <cellStyle name="Normal 2 6 4 4 3 2 2 2" xfId="30457" xr:uid="{00000000-0005-0000-0000-0000FC760000}"/>
    <cellStyle name="Normal 2 6 4 4 3 2 2 3" xfId="30458" xr:uid="{00000000-0005-0000-0000-0000FD760000}"/>
    <cellStyle name="Normal 2 6 4 4 3 2 3" xfId="30459" xr:uid="{00000000-0005-0000-0000-0000FE760000}"/>
    <cellStyle name="Normal 2 6 4 4 3 2 4" xfId="30460" xr:uid="{00000000-0005-0000-0000-0000FF760000}"/>
    <cellStyle name="Normal 2 6 4 4 3 2 5" xfId="30461" xr:uid="{00000000-0005-0000-0000-000000770000}"/>
    <cellStyle name="Normal 2 6 4 4 3 2 6" xfId="30462" xr:uid="{00000000-0005-0000-0000-000001770000}"/>
    <cellStyle name="Normal 2 6 4 4 3 3" xfId="30463" xr:uid="{00000000-0005-0000-0000-000002770000}"/>
    <cellStyle name="Normal 2 6 4 4 3 3 2" xfId="30464" xr:uid="{00000000-0005-0000-0000-000003770000}"/>
    <cellStyle name="Normal 2 6 4 4 3 3 2 2" xfId="30465" xr:uid="{00000000-0005-0000-0000-000004770000}"/>
    <cellStyle name="Normal 2 6 4 4 3 3 3" xfId="30466" xr:uid="{00000000-0005-0000-0000-000005770000}"/>
    <cellStyle name="Normal 2 6 4 4 3 3 4" xfId="30467" xr:uid="{00000000-0005-0000-0000-000006770000}"/>
    <cellStyle name="Normal 2 6 4 4 3 3 5" xfId="30468" xr:uid="{00000000-0005-0000-0000-000007770000}"/>
    <cellStyle name="Normal 2 6 4 4 3 4" xfId="30469" xr:uid="{00000000-0005-0000-0000-000008770000}"/>
    <cellStyle name="Normal 2 6 4 4 3 4 2" xfId="30470" xr:uid="{00000000-0005-0000-0000-000009770000}"/>
    <cellStyle name="Normal 2 6 4 4 3 4 3" xfId="30471" xr:uid="{00000000-0005-0000-0000-00000A770000}"/>
    <cellStyle name="Normal 2 6 4 4 3 4 4" xfId="30472" xr:uid="{00000000-0005-0000-0000-00000B770000}"/>
    <cellStyle name="Normal 2 6 4 4 3 5" xfId="30473" xr:uid="{00000000-0005-0000-0000-00000C770000}"/>
    <cellStyle name="Normal 2 6 4 4 3 5 2" xfId="30474" xr:uid="{00000000-0005-0000-0000-00000D770000}"/>
    <cellStyle name="Normal 2 6 4 4 3 6" xfId="30475" xr:uid="{00000000-0005-0000-0000-00000E770000}"/>
    <cellStyle name="Normal 2 6 4 4 3 7" xfId="30476" xr:uid="{00000000-0005-0000-0000-00000F770000}"/>
    <cellStyle name="Normal 2 6 4 4 3 8" xfId="30477" xr:uid="{00000000-0005-0000-0000-000010770000}"/>
    <cellStyle name="Normal 2 6 4 4 3 9" xfId="30478" xr:uid="{00000000-0005-0000-0000-000011770000}"/>
    <cellStyle name="Normal 2 6 4 4 4" xfId="30479" xr:uid="{00000000-0005-0000-0000-000012770000}"/>
    <cellStyle name="Normal 2 6 4 4 4 2" xfId="30480" xr:uid="{00000000-0005-0000-0000-000013770000}"/>
    <cellStyle name="Normal 2 6 4 4 4 2 2" xfId="30481" xr:uid="{00000000-0005-0000-0000-000014770000}"/>
    <cellStyle name="Normal 2 6 4 4 4 2 3" xfId="30482" xr:uid="{00000000-0005-0000-0000-000015770000}"/>
    <cellStyle name="Normal 2 6 4 4 4 3" xfId="30483" xr:uid="{00000000-0005-0000-0000-000016770000}"/>
    <cellStyle name="Normal 2 6 4 4 4 4" xfId="30484" xr:uid="{00000000-0005-0000-0000-000017770000}"/>
    <cellStyle name="Normal 2 6 4 4 4 5" xfId="30485" xr:uid="{00000000-0005-0000-0000-000018770000}"/>
    <cellStyle name="Normal 2 6 4 4 4 6" xfId="30486" xr:uid="{00000000-0005-0000-0000-000019770000}"/>
    <cellStyle name="Normal 2 6 4 4 5" xfId="30487" xr:uid="{00000000-0005-0000-0000-00001A770000}"/>
    <cellStyle name="Normal 2 6 4 4 5 2" xfId="30488" xr:uid="{00000000-0005-0000-0000-00001B770000}"/>
    <cellStyle name="Normal 2 6 4 4 5 2 2" xfId="30489" xr:uid="{00000000-0005-0000-0000-00001C770000}"/>
    <cellStyle name="Normal 2 6 4 4 5 3" xfId="30490" xr:uid="{00000000-0005-0000-0000-00001D770000}"/>
    <cellStyle name="Normal 2 6 4 4 5 4" xfId="30491" xr:uid="{00000000-0005-0000-0000-00001E770000}"/>
    <cellStyle name="Normal 2 6 4 4 5 5" xfId="30492" xr:uid="{00000000-0005-0000-0000-00001F770000}"/>
    <cellStyle name="Normal 2 6 4 4 6" xfId="30493" xr:uid="{00000000-0005-0000-0000-000020770000}"/>
    <cellStyle name="Normal 2 6 4 4 6 2" xfId="30494" xr:uid="{00000000-0005-0000-0000-000021770000}"/>
    <cellStyle name="Normal 2 6 4 4 6 3" xfId="30495" xr:uid="{00000000-0005-0000-0000-000022770000}"/>
    <cellStyle name="Normal 2 6 4 4 6 4" xfId="30496" xr:uid="{00000000-0005-0000-0000-000023770000}"/>
    <cellStyle name="Normal 2 6 4 4 7" xfId="30497" xr:uid="{00000000-0005-0000-0000-000024770000}"/>
    <cellStyle name="Normal 2 6 4 4 7 2" xfId="30498" xr:uid="{00000000-0005-0000-0000-000025770000}"/>
    <cellStyle name="Normal 2 6 4 4 8" xfId="30499" xr:uid="{00000000-0005-0000-0000-000026770000}"/>
    <cellStyle name="Normal 2 6 4 4 9" xfId="30500" xr:uid="{00000000-0005-0000-0000-000027770000}"/>
    <cellStyle name="Normal 2 6 4 5" xfId="30501" xr:uid="{00000000-0005-0000-0000-000028770000}"/>
    <cellStyle name="Normal 2 6 4 5 10" xfId="30502" xr:uid="{00000000-0005-0000-0000-000029770000}"/>
    <cellStyle name="Normal 2 6 4 5 11" xfId="30503" xr:uid="{00000000-0005-0000-0000-00002A770000}"/>
    <cellStyle name="Normal 2 6 4 5 2" xfId="30504" xr:uid="{00000000-0005-0000-0000-00002B770000}"/>
    <cellStyle name="Normal 2 6 4 5 2 2" xfId="30505" xr:uid="{00000000-0005-0000-0000-00002C770000}"/>
    <cellStyle name="Normal 2 6 4 5 2 2 2" xfId="30506" xr:uid="{00000000-0005-0000-0000-00002D770000}"/>
    <cellStyle name="Normal 2 6 4 5 2 2 2 2" xfId="30507" xr:uid="{00000000-0005-0000-0000-00002E770000}"/>
    <cellStyle name="Normal 2 6 4 5 2 2 2 3" xfId="30508" xr:uid="{00000000-0005-0000-0000-00002F770000}"/>
    <cellStyle name="Normal 2 6 4 5 2 2 3" xfId="30509" xr:uid="{00000000-0005-0000-0000-000030770000}"/>
    <cellStyle name="Normal 2 6 4 5 2 2 4" xfId="30510" xr:uid="{00000000-0005-0000-0000-000031770000}"/>
    <cellStyle name="Normal 2 6 4 5 2 2 5" xfId="30511" xr:uid="{00000000-0005-0000-0000-000032770000}"/>
    <cellStyle name="Normal 2 6 4 5 2 2 6" xfId="30512" xr:uid="{00000000-0005-0000-0000-000033770000}"/>
    <cellStyle name="Normal 2 6 4 5 2 3" xfId="30513" xr:uid="{00000000-0005-0000-0000-000034770000}"/>
    <cellStyle name="Normal 2 6 4 5 2 3 2" xfId="30514" xr:uid="{00000000-0005-0000-0000-000035770000}"/>
    <cellStyle name="Normal 2 6 4 5 2 3 2 2" xfId="30515" xr:uid="{00000000-0005-0000-0000-000036770000}"/>
    <cellStyle name="Normal 2 6 4 5 2 3 3" xfId="30516" xr:uid="{00000000-0005-0000-0000-000037770000}"/>
    <cellStyle name="Normal 2 6 4 5 2 3 4" xfId="30517" xr:uid="{00000000-0005-0000-0000-000038770000}"/>
    <cellStyle name="Normal 2 6 4 5 2 3 5" xfId="30518" xr:uid="{00000000-0005-0000-0000-000039770000}"/>
    <cellStyle name="Normal 2 6 4 5 2 4" xfId="30519" xr:uid="{00000000-0005-0000-0000-00003A770000}"/>
    <cellStyle name="Normal 2 6 4 5 2 4 2" xfId="30520" xr:uid="{00000000-0005-0000-0000-00003B770000}"/>
    <cellStyle name="Normal 2 6 4 5 2 4 3" xfId="30521" xr:uid="{00000000-0005-0000-0000-00003C770000}"/>
    <cellStyle name="Normal 2 6 4 5 2 4 4" xfId="30522" xr:uid="{00000000-0005-0000-0000-00003D770000}"/>
    <cellStyle name="Normal 2 6 4 5 2 5" xfId="30523" xr:uid="{00000000-0005-0000-0000-00003E770000}"/>
    <cellStyle name="Normal 2 6 4 5 2 5 2" xfId="30524" xr:uid="{00000000-0005-0000-0000-00003F770000}"/>
    <cellStyle name="Normal 2 6 4 5 2 6" xfId="30525" xr:uid="{00000000-0005-0000-0000-000040770000}"/>
    <cellStyle name="Normal 2 6 4 5 2 7" xfId="30526" xr:uid="{00000000-0005-0000-0000-000041770000}"/>
    <cellStyle name="Normal 2 6 4 5 2 8" xfId="30527" xr:uid="{00000000-0005-0000-0000-000042770000}"/>
    <cellStyle name="Normal 2 6 4 5 2 9" xfId="30528" xr:uid="{00000000-0005-0000-0000-000043770000}"/>
    <cellStyle name="Normal 2 6 4 5 3" xfId="30529" xr:uid="{00000000-0005-0000-0000-000044770000}"/>
    <cellStyle name="Normal 2 6 4 5 3 2" xfId="30530" xr:uid="{00000000-0005-0000-0000-000045770000}"/>
    <cellStyle name="Normal 2 6 4 5 3 2 2" xfId="30531" xr:uid="{00000000-0005-0000-0000-000046770000}"/>
    <cellStyle name="Normal 2 6 4 5 3 2 2 2" xfId="30532" xr:uid="{00000000-0005-0000-0000-000047770000}"/>
    <cellStyle name="Normal 2 6 4 5 3 2 2 3" xfId="30533" xr:uid="{00000000-0005-0000-0000-000048770000}"/>
    <cellStyle name="Normal 2 6 4 5 3 2 3" xfId="30534" xr:uid="{00000000-0005-0000-0000-000049770000}"/>
    <cellStyle name="Normal 2 6 4 5 3 2 4" xfId="30535" xr:uid="{00000000-0005-0000-0000-00004A770000}"/>
    <cellStyle name="Normal 2 6 4 5 3 2 5" xfId="30536" xr:uid="{00000000-0005-0000-0000-00004B770000}"/>
    <cellStyle name="Normal 2 6 4 5 3 2 6" xfId="30537" xr:uid="{00000000-0005-0000-0000-00004C770000}"/>
    <cellStyle name="Normal 2 6 4 5 3 3" xfId="30538" xr:uid="{00000000-0005-0000-0000-00004D770000}"/>
    <cellStyle name="Normal 2 6 4 5 3 3 2" xfId="30539" xr:uid="{00000000-0005-0000-0000-00004E770000}"/>
    <cellStyle name="Normal 2 6 4 5 3 3 2 2" xfId="30540" xr:uid="{00000000-0005-0000-0000-00004F770000}"/>
    <cellStyle name="Normal 2 6 4 5 3 3 3" xfId="30541" xr:uid="{00000000-0005-0000-0000-000050770000}"/>
    <cellStyle name="Normal 2 6 4 5 3 3 4" xfId="30542" xr:uid="{00000000-0005-0000-0000-000051770000}"/>
    <cellStyle name="Normal 2 6 4 5 3 3 5" xfId="30543" xr:uid="{00000000-0005-0000-0000-000052770000}"/>
    <cellStyle name="Normal 2 6 4 5 3 4" xfId="30544" xr:uid="{00000000-0005-0000-0000-000053770000}"/>
    <cellStyle name="Normal 2 6 4 5 3 4 2" xfId="30545" xr:uid="{00000000-0005-0000-0000-000054770000}"/>
    <cellStyle name="Normal 2 6 4 5 3 4 3" xfId="30546" xr:uid="{00000000-0005-0000-0000-000055770000}"/>
    <cellStyle name="Normal 2 6 4 5 3 4 4" xfId="30547" xr:uid="{00000000-0005-0000-0000-000056770000}"/>
    <cellStyle name="Normal 2 6 4 5 3 5" xfId="30548" xr:uid="{00000000-0005-0000-0000-000057770000}"/>
    <cellStyle name="Normal 2 6 4 5 3 5 2" xfId="30549" xr:uid="{00000000-0005-0000-0000-000058770000}"/>
    <cellStyle name="Normal 2 6 4 5 3 6" xfId="30550" xr:uid="{00000000-0005-0000-0000-000059770000}"/>
    <cellStyle name="Normal 2 6 4 5 3 7" xfId="30551" xr:uid="{00000000-0005-0000-0000-00005A770000}"/>
    <cellStyle name="Normal 2 6 4 5 3 8" xfId="30552" xr:uid="{00000000-0005-0000-0000-00005B770000}"/>
    <cellStyle name="Normal 2 6 4 5 3 9" xfId="30553" xr:uid="{00000000-0005-0000-0000-00005C770000}"/>
    <cellStyle name="Normal 2 6 4 5 4" xfId="30554" xr:uid="{00000000-0005-0000-0000-00005D770000}"/>
    <cellStyle name="Normal 2 6 4 5 4 2" xfId="30555" xr:uid="{00000000-0005-0000-0000-00005E770000}"/>
    <cellStyle name="Normal 2 6 4 5 4 2 2" xfId="30556" xr:uid="{00000000-0005-0000-0000-00005F770000}"/>
    <cellStyle name="Normal 2 6 4 5 4 2 3" xfId="30557" xr:uid="{00000000-0005-0000-0000-000060770000}"/>
    <cellStyle name="Normal 2 6 4 5 4 3" xfId="30558" xr:uid="{00000000-0005-0000-0000-000061770000}"/>
    <cellStyle name="Normal 2 6 4 5 4 4" xfId="30559" xr:uid="{00000000-0005-0000-0000-000062770000}"/>
    <cellStyle name="Normal 2 6 4 5 4 5" xfId="30560" xr:uid="{00000000-0005-0000-0000-000063770000}"/>
    <cellStyle name="Normal 2 6 4 5 4 6" xfId="30561" xr:uid="{00000000-0005-0000-0000-000064770000}"/>
    <cellStyle name="Normal 2 6 4 5 5" xfId="30562" xr:uid="{00000000-0005-0000-0000-000065770000}"/>
    <cellStyle name="Normal 2 6 4 5 5 2" xfId="30563" xr:uid="{00000000-0005-0000-0000-000066770000}"/>
    <cellStyle name="Normal 2 6 4 5 5 2 2" xfId="30564" xr:uid="{00000000-0005-0000-0000-000067770000}"/>
    <cellStyle name="Normal 2 6 4 5 5 3" xfId="30565" xr:uid="{00000000-0005-0000-0000-000068770000}"/>
    <cellStyle name="Normal 2 6 4 5 5 4" xfId="30566" xr:uid="{00000000-0005-0000-0000-000069770000}"/>
    <cellStyle name="Normal 2 6 4 5 5 5" xfId="30567" xr:uid="{00000000-0005-0000-0000-00006A770000}"/>
    <cellStyle name="Normal 2 6 4 5 6" xfId="30568" xr:uid="{00000000-0005-0000-0000-00006B770000}"/>
    <cellStyle name="Normal 2 6 4 5 6 2" xfId="30569" xr:uid="{00000000-0005-0000-0000-00006C770000}"/>
    <cellStyle name="Normal 2 6 4 5 6 3" xfId="30570" xr:uid="{00000000-0005-0000-0000-00006D770000}"/>
    <cellStyle name="Normal 2 6 4 5 6 4" xfId="30571" xr:uid="{00000000-0005-0000-0000-00006E770000}"/>
    <cellStyle name="Normal 2 6 4 5 7" xfId="30572" xr:uid="{00000000-0005-0000-0000-00006F770000}"/>
    <cellStyle name="Normal 2 6 4 5 7 2" xfId="30573" xr:uid="{00000000-0005-0000-0000-000070770000}"/>
    <cellStyle name="Normal 2 6 4 5 8" xfId="30574" xr:uid="{00000000-0005-0000-0000-000071770000}"/>
    <cellStyle name="Normal 2 6 4 5 9" xfId="30575" xr:uid="{00000000-0005-0000-0000-000072770000}"/>
    <cellStyle name="Normal 2 6 4 6" xfId="30576" xr:uid="{00000000-0005-0000-0000-000073770000}"/>
    <cellStyle name="Normal 2 6 4 6 10" xfId="30577" xr:uid="{00000000-0005-0000-0000-000074770000}"/>
    <cellStyle name="Normal 2 6 4 6 11" xfId="30578" xr:uid="{00000000-0005-0000-0000-000075770000}"/>
    <cellStyle name="Normal 2 6 4 6 2" xfId="30579" xr:uid="{00000000-0005-0000-0000-000076770000}"/>
    <cellStyle name="Normal 2 6 4 6 2 2" xfId="30580" xr:uid="{00000000-0005-0000-0000-000077770000}"/>
    <cellStyle name="Normal 2 6 4 6 2 2 2" xfId="30581" xr:uid="{00000000-0005-0000-0000-000078770000}"/>
    <cellStyle name="Normal 2 6 4 6 2 2 2 2" xfId="30582" xr:uid="{00000000-0005-0000-0000-000079770000}"/>
    <cellStyle name="Normal 2 6 4 6 2 2 2 3" xfId="30583" xr:uid="{00000000-0005-0000-0000-00007A770000}"/>
    <cellStyle name="Normal 2 6 4 6 2 2 3" xfId="30584" xr:uid="{00000000-0005-0000-0000-00007B770000}"/>
    <cellStyle name="Normal 2 6 4 6 2 2 4" xfId="30585" xr:uid="{00000000-0005-0000-0000-00007C770000}"/>
    <cellStyle name="Normal 2 6 4 6 2 2 5" xfId="30586" xr:uid="{00000000-0005-0000-0000-00007D770000}"/>
    <cellStyle name="Normal 2 6 4 6 2 2 6" xfId="30587" xr:uid="{00000000-0005-0000-0000-00007E770000}"/>
    <cellStyle name="Normal 2 6 4 6 2 3" xfId="30588" xr:uid="{00000000-0005-0000-0000-00007F770000}"/>
    <cellStyle name="Normal 2 6 4 6 2 3 2" xfId="30589" xr:uid="{00000000-0005-0000-0000-000080770000}"/>
    <cellStyle name="Normal 2 6 4 6 2 3 2 2" xfId="30590" xr:uid="{00000000-0005-0000-0000-000081770000}"/>
    <cellStyle name="Normal 2 6 4 6 2 3 3" xfId="30591" xr:uid="{00000000-0005-0000-0000-000082770000}"/>
    <cellStyle name="Normal 2 6 4 6 2 3 4" xfId="30592" xr:uid="{00000000-0005-0000-0000-000083770000}"/>
    <cellStyle name="Normal 2 6 4 6 2 3 5" xfId="30593" xr:uid="{00000000-0005-0000-0000-000084770000}"/>
    <cellStyle name="Normal 2 6 4 6 2 4" xfId="30594" xr:uid="{00000000-0005-0000-0000-000085770000}"/>
    <cellStyle name="Normal 2 6 4 6 2 4 2" xfId="30595" xr:uid="{00000000-0005-0000-0000-000086770000}"/>
    <cellStyle name="Normal 2 6 4 6 2 4 3" xfId="30596" xr:uid="{00000000-0005-0000-0000-000087770000}"/>
    <cellStyle name="Normal 2 6 4 6 2 4 4" xfId="30597" xr:uid="{00000000-0005-0000-0000-000088770000}"/>
    <cellStyle name="Normal 2 6 4 6 2 5" xfId="30598" xr:uid="{00000000-0005-0000-0000-000089770000}"/>
    <cellStyle name="Normal 2 6 4 6 2 5 2" xfId="30599" xr:uid="{00000000-0005-0000-0000-00008A770000}"/>
    <cellStyle name="Normal 2 6 4 6 2 6" xfId="30600" xr:uid="{00000000-0005-0000-0000-00008B770000}"/>
    <cellStyle name="Normal 2 6 4 6 2 7" xfId="30601" xr:uid="{00000000-0005-0000-0000-00008C770000}"/>
    <cellStyle name="Normal 2 6 4 6 2 8" xfId="30602" xr:uid="{00000000-0005-0000-0000-00008D770000}"/>
    <cellStyle name="Normal 2 6 4 6 2 9" xfId="30603" xr:uid="{00000000-0005-0000-0000-00008E770000}"/>
    <cellStyle name="Normal 2 6 4 6 3" xfId="30604" xr:uid="{00000000-0005-0000-0000-00008F770000}"/>
    <cellStyle name="Normal 2 6 4 6 3 2" xfId="30605" xr:uid="{00000000-0005-0000-0000-000090770000}"/>
    <cellStyle name="Normal 2 6 4 6 3 2 2" xfId="30606" xr:uid="{00000000-0005-0000-0000-000091770000}"/>
    <cellStyle name="Normal 2 6 4 6 3 2 2 2" xfId="30607" xr:uid="{00000000-0005-0000-0000-000092770000}"/>
    <cellStyle name="Normal 2 6 4 6 3 2 2 3" xfId="30608" xr:uid="{00000000-0005-0000-0000-000093770000}"/>
    <cellStyle name="Normal 2 6 4 6 3 2 3" xfId="30609" xr:uid="{00000000-0005-0000-0000-000094770000}"/>
    <cellStyle name="Normal 2 6 4 6 3 2 4" xfId="30610" xr:uid="{00000000-0005-0000-0000-000095770000}"/>
    <cellStyle name="Normal 2 6 4 6 3 2 5" xfId="30611" xr:uid="{00000000-0005-0000-0000-000096770000}"/>
    <cellStyle name="Normal 2 6 4 6 3 2 6" xfId="30612" xr:uid="{00000000-0005-0000-0000-000097770000}"/>
    <cellStyle name="Normal 2 6 4 6 3 3" xfId="30613" xr:uid="{00000000-0005-0000-0000-000098770000}"/>
    <cellStyle name="Normal 2 6 4 6 3 3 2" xfId="30614" xr:uid="{00000000-0005-0000-0000-000099770000}"/>
    <cellStyle name="Normal 2 6 4 6 3 3 2 2" xfId="30615" xr:uid="{00000000-0005-0000-0000-00009A770000}"/>
    <cellStyle name="Normal 2 6 4 6 3 3 3" xfId="30616" xr:uid="{00000000-0005-0000-0000-00009B770000}"/>
    <cellStyle name="Normal 2 6 4 6 3 3 4" xfId="30617" xr:uid="{00000000-0005-0000-0000-00009C770000}"/>
    <cellStyle name="Normal 2 6 4 6 3 3 5" xfId="30618" xr:uid="{00000000-0005-0000-0000-00009D770000}"/>
    <cellStyle name="Normal 2 6 4 6 3 4" xfId="30619" xr:uid="{00000000-0005-0000-0000-00009E770000}"/>
    <cellStyle name="Normal 2 6 4 6 3 4 2" xfId="30620" xr:uid="{00000000-0005-0000-0000-00009F770000}"/>
    <cellStyle name="Normal 2 6 4 6 3 4 3" xfId="30621" xr:uid="{00000000-0005-0000-0000-0000A0770000}"/>
    <cellStyle name="Normal 2 6 4 6 3 4 4" xfId="30622" xr:uid="{00000000-0005-0000-0000-0000A1770000}"/>
    <cellStyle name="Normal 2 6 4 6 3 5" xfId="30623" xr:uid="{00000000-0005-0000-0000-0000A2770000}"/>
    <cellStyle name="Normal 2 6 4 6 3 5 2" xfId="30624" xr:uid="{00000000-0005-0000-0000-0000A3770000}"/>
    <cellStyle name="Normal 2 6 4 6 3 6" xfId="30625" xr:uid="{00000000-0005-0000-0000-0000A4770000}"/>
    <cellStyle name="Normal 2 6 4 6 3 7" xfId="30626" xr:uid="{00000000-0005-0000-0000-0000A5770000}"/>
    <cellStyle name="Normal 2 6 4 6 3 8" xfId="30627" xr:uid="{00000000-0005-0000-0000-0000A6770000}"/>
    <cellStyle name="Normal 2 6 4 6 3 9" xfId="30628" xr:uid="{00000000-0005-0000-0000-0000A7770000}"/>
    <cellStyle name="Normal 2 6 4 6 4" xfId="30629" xr:uid="{00000000-0005-0000-0000-0000A8770000}"/>
    <cellStyle name="Normal 2 6 4 6 4 2" xfId="30630" xr:uid="{00000000-0005-0000-0000-0000A9770000}"/>
    <cellStyle name="Normal 2 6 4 6 4 2 2" xfId="30631" xr:uid="{00000000-0005-0000-0000-0000AA770000}"/>
    <cellStyle name="Normal 2 6 4 6 4 2 3" xfId="30632" xr:uid="{00000000-0005-0000-0000-0000AB770000}"/>
    <cellStyle name="Normal 2 6 4 6 4 3" xfId="30633" xr:uid="{00000000-0005-0000-0000-0000AC770000}"/>
    <cellStyle name="Normal 2 6 4 6 4 4" xfId="30634" xr:uid="{00000000-0005-0000-0000-0000AD770000}"/>
    <cellStyle name="Normal 2 6 4 6 4 5" xfId="30635" xr:uid="{00000000-0005-0000-0000-0000AE770000}"/>
    <cellStyle name="Normal 2 6 4 6 4 6" xfId="30636" xr:uid="{00000000-0005-0000-0000-0000AF770000}"/>
    <cellStyle name="Normal 2 6 4 6 5" xfId="30637" xr:uid="{00000000-0005-0000-0000-0000B0770000}"/>
    <cellStyle name="Normal 2 6 4 6 5 2" xfId="30638" xr:uid="{00000000-0005-0000-0000-0000B1770000}"/>
    <cellStyle name="Normal 2 6 4 6 5 2 2" xfId="30639" xr:uid="{00000000-0005-0000-0000-0000B2770000}"/>
    <cellStyle name="Normal 2 6 4 6 5 3" xfId="30640" xr:uid="{00000000-0005-0000-0000-0000B3770000}"/>
    <cellStyle name="Normal 2 6 4 6 5 4" xfId="30641" xr:uid="{00000000-0005-0000-0000-0000B4770000}"/>
    <cellStyle name="Normal 2 6 4 6 5 5" xfId="30642" xr:uid="{00000000-0005-0000-0000-0000B5770000}"/>
    <cellStyle name="Normal 2 6 4 6 6" xfId="30643" xr:uid="{00000000-0005-0000-0000-0000B6770000}"/>
    <cellStyle name="Normal 2 6 4 6 6 2" xfId="30644" xr:uid="{00000000-0005-0000-0000-0000B7770000}"/>
    <cellStyle name="Normal 2 6 4 6 6 3" xfId="30645" xr:uid="{00000000-0005-0000-0000-0000B8770000}"/>
    <cellStyle name="Normal 2 6 4 6 6 4" xfId="30646" xr:uid="{00000000-0005-0000-0000-0000B9770000}"/>
    <cellStyle name="Normal 2 6 4 6 7" xfId="30647" xr:uid="{00000000-0005-0000-0000-0000BA770000}"/>
    <cellStyle name="Normal 2 6 4 6 7 2" xfId="30648" xr:uid="{00000000-0005-0000-0000-0000BB770000}"/>
    <cellStyle name="Normal 2 6 4 6 8" xfId="30649" xr:uid="{00000000-0005-0000-0000-0000BC770000}"/>
    <cellStyle name="Normal 2 6 4 6 9" xfId="30650" xr:uid="{00000000-0005-0000-0000-0000BD770000}"/>
    <cellStyle name="Normal 2 6 4 7" xfId="30651" xr:uid="{00000000-0005-0000-0000-0000BE770000}"/>
    <cellStyle name="Normal 2 6 4 7 10" xfId="30652" xr:uid="{00000000-0005-0000-0000-0000BF770000}"/>
    <cellStyle name="Normal 2 6 4 7 11" xfId="30653" xr:uid="{00000000-0005-0000-0000-0000C0770000}"/>
    <cellStyle name="Normal 2 6 4 7 2" xfId="30654" xr:uid="{00000000-0005-0000-0000-0000C1770000}"/>
    <cellStyle name="Normal 2 6 4 7 2 2" xfId="30655" xr:uid="{00000000-0005-0000-0000-0000C2770000}"/>
    <cellStyle name="Normal 2 6 4 7 2 2 2" xfId="30656" xr:uid="{00000000-0005-0000-0000-0000C3770000}"/>
    <cellStyle name="Normal 2 6 4 7 2 2 2 2" xfId="30657" xr:uid="{00000000-0005-0000-0000-0000C4770000}"/>
    <cellStyle name="Normal 2 6 4 7 2 2 2 3" xfId="30658" xr:uid="{00000000-0005-0000-0000-0000C5770000}"/>
    <cellStyle name="Normal 2 6 4 7 2 2 3" xfId="30659" xr:uid="{00000000-0005-0000-0000-0000C6770000}"/>
    <cellStyle name="Normal 2 6 4 7 2 2 4" xfId="30660" xr:uid="{00000000-0005-0000-0000-0000C7770000}"/>
    <cellStyle name="Normal 2 6 4 7 2 2 5" xfId="30661" xr:uid="{00000000-0005-0000-0000-0000C8770000}"/>
    <cellStyle name="Normal 2 6 4 7 2 2 6" xfId="30662" xr:uid="{00000000-0005-0000-0000-0000C9770000}"/>
    <cellStyle name="Normal 2 6 4 7 2 3" xfId="30663" xr:uid="{00000000-0005-0000-0000-0000CA770000}"/>
    <cellStyle name="Normal 2 6 4 7 2 3 2" xfId="30664" xr:uid="{00000000-0005-0000-0000-0000CB770000}"/>
    <cellStyle name="Normal 2 6 4 7 2 3 2 2" xfId="30665" xr:uid="{00000000-0005-0000-0000-0000CC770000}"/>
    <cellStyle name="Normal 2 6 4 7 2 3 3" xfId="30666" xr:uid="{00000000-0005-0000-0000-0000CD770000}"/>
    <cellStyle name="Normal 2 6 4 7 2 3 4" xfId="30667" xr:uid="{00000000-0005-0000-0000-0000CE770000}"/>
    <cellStyle name="Normal 2 6 4 7 2 3 5" xfId="30668" xr:uid="{00000000-0005-0000-0000-0000CF770000}"/>
    <cellStyle name="Normal 2 6 4 7 2 4" xfId="30669" xr:uid="{00000000-0005-0000-0000-0000D0770000}"/>
    <cellStyle name="Normal 2 6 4 7 2 4 2" xfId="30670" xr:uid="{00000000-0005-0000-0000-0000D1770000}"/>
    <cellStyle name="Normal 2 6 4 7 2 4 3" xfId="30671" xr:uid="{00000000-0005-0000-0000-0000D2770000}"/>
    <cellStyle name="Normal 2 6 4 7 2 4 4" xfId="30672" xr:uid="{00000000-0005-0000-0000-0000D3770000}"/>
    <cellStyle name="Normal 2 6 4 7 2 5" xfId="30673" xr:uid="{00000000-0005-0000-0000-0000D4770000}"/>
    <cellStyle name="Normal 2 6 4 7 2 5 2" xfId="30674" xr:uid="{00000000-0005-0000-0000-0000D5770000}"/>
    <cellStyle name="Normal 2 6 4 7 2 6" xfId="30675" xr:uid="{00000000-0005-0000-0000-0000D6770000}"/>
    <cellStyle name="Normal 2 6 4 7 2 7" xfId="30676" xr:uid="{00000000-0005-0000-0000-0000D7770000}"/>
    <cellStyle name="Normal 2 6 4 7 2 8" xfId="30677" xr:uid="{00000000-0005-0000-0000-0000D8770000}"/>
    <cellStyle name="Normal 2 6 4 7 2 9" xfId="30678" xr:uid="{00000000-0005-0000-0000-0000D9770000}"/>
    <cellStyle name="Normal 2 6 4 7 3" xfId="30679" xr:uid="{00000000-0005-0000-0000-0000DA770000}"/>
    <cellStyle name="Normal 2 6 4 7 3 2" xfId="30680" xr:uid="{00000000-0005-0000-0000-0000DB770000}"/>
    <cellStyle name="Normal 2 6 4 7 3 2 2" xfId="30681" xr:uid="{00000000-0005-0000-0000-0000DC770000}"/>
    <cellStyle name="Normal 2 6 4 7 3 2 2 2" xfId="30682" xr:uid="{00000000-0005-0000-0000-0000DD770000}"/>
    <cellStyle name="Normal 2 6 4 7 3 2 2 3" xfId="30683" xr:uid="{00000000-0005-0000-0000-0000DE770000}"/>
    <cellStyle name="Normal 2 6 4 7 3 2 3" xfId="30684" xr:uid="{00000000-0005-0000-0000-0000DF770000}"/>
    <cellStyle name="Normal 2 6 4 7 3 2 4" xfId="30685" xr:uid="{00000000-0005-0000-0000-0000E0770000}"/>
    <cellStyle name="Normal 2 6 4 7 3 2 5" xfId="30686" xr:uid="{00000000-0005-0000-0000-0000E1770000}"/>
    <cellStyle name="Normal 2 6 4 7 3 2 6" xfId="30687" xr:uid="{00000000-0005-0000-0000-0000E2770000}"/>
    <cellStyle name="Normal 2 6 4 7 3 3" xfId="30688" xr:uid="{00000000-0005-0000-0000-0000E3770000}"/>
    <cellStyle name="Normal 2 6 4 7 3 3 2" xfId="30689" xr:uid="{00000000-0005-0000-0000-0000E4770000}"/>
    <cellStyle name="Normal 2 6 4 7 3 3 2 2" xfId="30690" xr:uid="{00000000-0005-0000-0000-0000E5770000}"/>
    <cellStyle name="Normal 2 6 4 7 3 3 3" xfId="30691" xr:uid="{00000000-0005-0000-0000-0000E6770000}"/>
    <cellStyle name="Normal 2 6 4 7 3 3 4" xfId="30692" xr:uid="{00000000-0005-0000-0000-0000E7770000}"/>
    <cellStyle name="Normal 2 6 4 7 3 3 5" xfId="30693" xr:uid="{00000000-0005-0000-0000-0000E8770000}"/>
    <cellStyle name="Normal 2 6 4 7 3 4" xfId="30694" xr:uid="{00000000-0005-0000-0000-0000E9770000}"/>
    <cellStyle name="Normal 2 6 4 7 3 4 2" xfId="30695" xr:uid="{00000000-0005-0000-0000-0000EA770000}"/>
    <cellStyle name="Normal 2 6 4 7 3 4 3" xfId="30696" xr:uid="{00000000-0005-0000-0000-0000EB770000}"/>
    <cellStyle name="Normal 2 6 4 7 3 4 4" xfId="30697" xr:uid="{00000000-0005-0000-0000-0000EC770000}"/>
    <cellStyle name="Normal 2 6 4 7 3 5" xfId="30698" xr:uid="{00000000-0005-0000-0000-0000ED770000}"/>
    <cellStyle name="Normal 2 6 4 7 3 5 2" xfId="30699" xr:uid="{00000000-0005-0000-0000-0000EE770000}"/>
    <cellStyle name="Normal 2 6 4 7 3 6" xfId="30700" xr:uid="{00000000-0005-0000-0000-0000EF770000}"/>
    <cellStyle name="Normal 2 6 4 7 3 7" xfId="30701" xr:uid="{00000000-0005-0000-0000-0000F0770000}"/>
    <cellStyle name="Normal 2 6 4 7 3 8" xfId="30702" xr:uid="{00000000-0005-0000-0000-0000F1770000}"/>
    <cellStyle name="Normal 2 6 4 7 3 9" xfId="30703" xr:uid="{00000000-0005-0000-0000-0000F2770000}"/>
    <cellStyle name="Normal 2 6 4 7 4" xfId="30704" xr:uid="{00000000-0005-0000-0000-0000F3770000}"/>
    <cellStyle name="Normal 2 6 4 7 4 2" xfId="30705" xr:uid="{00000000-0005-0000-0000-0000F4770000}"/>
    <cellStyle name="Normal 2 6 4 7 4 2 2" xfId="30706" xr:uid="{00000000-0005-0000-0000-0000F5770000}"/>
    <cellStyle name="Normal 2 6 4 7 4 2 3" xfId="30707" xr:uid="{00000000-0005-0000-0000-0000F6770000}"/>
    <cellStyle name="Normal 2 6 4 7 4 3" xfId="30708" xr:uid="{00000000-0005-0000-0000-0000F7770000}"/>
    <cellStyle name="Normal 2 6 4 7 4 4" xfId="30709" xr:uid="{00000000-0005-0000-0000-0000F8770000}"/>
    <cellStyle name="Normal 2 6 4 7 4 5" xfId="30710" xr:uid="{00000000-0005-0000-0000-0000F9770000}"/>
    <cellStyle name="Normal 2 6 4 7 4 6" xfId="30711" xr:uid="{00000000-0005-0000-0000-0000FA770000}"/>
    <cellStyle name="Normal 2 6 4 7 5" xfId="30712" xr:uid="{00000000-0005-0000-0000-0000FB770000}"/>
    <cellStyle name="Normal 2 6 4 7 5 2" xfId="30713" xr:uid="{00000000-0005-0000-0000-0000FC770000}"/>
    <cellStyle name="Normal 2 6 4 7 5 2 2" xfId="30714" xr:uid="{00000000-0005-0000-0000-0000FD770000}"/>
    <cellStyle name="Normal 2 6 4 7 5 3" xfId="30715" xr:uid="{00000000-0005-0000-0000-0000FE770000}"/>
    <cellStyle name="Normal 2 6 4 7 5 4" xfId="30716" xr:uid="{00000000-0005-0000-0000-0000FF770000}"/>
    <cellStyle name="Normal 2 6 4 7 5 5" xfId="30717" xr:uid="{00000000-0005-0000-0000-000000780000}"/>
    <cellStyle name="Normal 2 6 4 7 6" xfId="30718" xr:uid="{00000000-0005-0000-0000-000001780000}"/>
    <cellStyle name="Normal 2 6 4 7 6 2" xfId="30719" xr:uid="{00000000-0005-0000-0000-000002780000}"/>
    <cellStyle name="Normal 2 6 4 7 6 3" xfId="30720" xr:uid="{00000000-0005-0000-0000-000003780000}"/>
    <cellStyle name="Normal 2 6 4 7 6 4" xfId="30721" xr:uid="{00000000-0005-0000-0000-000004780000}"/>
    <cellStyle name="Normal 2 6 4 7 7" xfId="30722" xr:uid="{00000000-0005-0000-0000-000005780000}"/>
    <cellStyle name="Normal 2 6 4 7 7 2" xfId="30723" xr:uid="{00000000-0005-0000-0000-000006780000}"/>
    <cellStyle name="Normal 2 6 4 7 8" xfId="30724" xr:uid="{00000000-0005-0000-0000-000007780000}"/>
    <cellStyle name="Normal 2 6 4 7 9" xfId="30725" xr:uid="{00000000-0005-0000-0000-000008780000}"/>
    <cellStyle name="Normal 2 6 4 8" xfId="30726" xr:uid="{00000000-0005-0000-0000-000009780000}"/>
    <cellStyle name="Normal 2 6 4 8 10" xfId="30727" xr:uid="{00000000-0005-0000-0000-00000A780000}"/>
    <cellStyle name="Normal 2 6 4 8 2" xfId="30728" xr:uid="{00000000-0005-0000-0000-00000B780000}"/>
    <cellStyle name="Normal 2 6 4 8 2 2" xfId="30729" xr:uid="{00000000-0005-0000-0000-00000C780000}"/>
    <cellStyle name="Normal 2 6 4 8 2 2 2" xfId="30730" xr:uid="{00000000-0005-0000-0000-00000D780000}"/>
    <cellStyle name="Normal 2 6 4 8 2 2 3" xfId="30731" xr:uid="{00000000-0005-0000-0000-00000E780000}"/>
    <cellStyle name="Normal 2 6 4 8 2 3" xfId="30732" xr:uid="{00000000-0005-0000-0000-00000F780000}"/>
    <cellStyle name="Normal 2 6 4 8 2 4" xfId="30733" xr:uid="{00000000-0005-0000-0000-000010780000}"/>
    <cellStyle name="Normal 2 6 4 8 2 5" xfId="30734" xr:uid="{00000000-0005-0000-0000-000011780000}"/>
    <cellStyle name="Normal 2 6 4 8 2 6" xfId="30735" xr:uid="{00000000-0005-0000-0000-000012780000}"/>
    <cellStyle name="Normal 2 6 4 8 3" xfId="30736" xr:uid="{00000000-0005-0000-0000-000013780000}"/>
    <cellStyle name="Normal 2 6 4 8 3 2" xfId="30737" xr:uid="{00000000-0005-0000-0000-000014780000}"/>
    <cellStyle name="Normal 2 6 4 8 3 2 2" xfId="30738" xr:uid="{00000000-0005-0000-0000-000015780000}"/>
    <cellStyle name="Normal 2 6 4 8 3 2 3" xfId="30739" xr:uid="{00000000-0005-0000-0000-000016780000}"/>
    <cellStyle name="Normal 2 6 4 8 3 3" xfId="30740" xr:uid="{00000000-0005-0000-0000-000017780000}"/>
    <cellStyle name="Normal 2 6 4 8 3 4" xfId="30741" xr:uid="{00000000-0005-0000-0000-000018780000}"/>
    <cellStyle name="Normal 2 6 4 8 3 5" xfId="30742" xr:uid="{00000000-0005-0000-0000-000019780000}"/>
    <cellStyle name="Normal 2 6 4 8 3 6" xfId="30743" xr:uid="{00000000-0005-0000-0000-00001A780000}"/>
    <cellStyle name="Normal 2 6 4 8 4" xfId="30744" xr:uid="{00000000-0005-0000-0000-00001B780000}"/>
    <cellStyle name="Normal 2 6 4 8 4 2" xfId="30745" xr:uid="{00000000-0005-0000-0000-00001C780000}"/>
    <cellStyle name="Normal 2 6 4 8 4 2 2" xfId="30746" xr:uid="{00000000-0005-0000-0000-00001D780000}"/>
    <cellStyle name="Normal 2 6 4 8 4 3" xfId="30747" xr:uid="{00000000-0005-0000-0000-00001E780000}"/>
    <cellStyle name="Normal 2 6 4 8 4 4" xfId="30748" xr:uid="{00000000-0005-0000-0000-00001F780000}"/>
    <cellStyle name="Normal 2 6 4 8 4 5" xfId="30749" xr:uid="{00000000-0005-0000-0000-000020780000}"/>
    <cellStyle name="Normal 2 6 4 8 5" xfId="30750" xr:uid="{00000000-0005-0000-0000-000021780000}"/>
    <cellStyle name="Normal 2 6 4 8 5 2" xfId="30751" xr:uid="{00000000-0005-0000-0000-000022780000}"/>
    <cellStyle name="Normal 2 6 4 8 5 3" xfId="30752" xr:uid="{00000000-0005-0000-0000-000023780000}"/>
    <cellStyle name="Normal 2 6 4 8 5 4" xfId="30753" xr:uid="{00000000-0005-0000-0000-000024780000}"/>
    <cellStyle name="Normal 2 6 4 8 6" xfId="30754" xr:uid="{00000000-0005-0000-0000-000025780000}"/>
    <cellStyle name="Normal 2 6 4 8 6 2" xfId="30755" xr:uid="{00000000-0005-0000-0000-000026780000}"/>
    <cellStyle name="Normal 2 6 4 8 7" xfId="30756" xr:uid="{00000000-0005-0000-0000-000027780000}"/>
    <cellStyle name="Normal 2 6 4 8 8" xfId="30757" xr:uid="{00000000-0005-0000-0000-000028780000}"/>
    <cellStyle name="Normal 2 6 4 8 9" xfId="30758" xr:uid="{00000000-0005-0000-0000-000029780000}"/>
    <cellStyle name="Normal 2 6 4 9" xfId="30759" xr:uid="{00000000-0005-0000-0000-00002A780000}"/>
    <cellStyle name="Normal 2 6 4 9 10" xfId="30760" xr:uid="{00000000-0005-0000-0000-00002B780000}"/>
    <cellStyle name="Normal 2 6 4 9 2" xfId="30761" xr:uid="{00000000-0005-0000-0000-00002C780000}"/>
    <cellStyle name="Normal 2 6 4 9 2 2" xfId="30762" xr:uid="{00000000-0005-0000-0000-00002D780000}"/>
    <cellStyle name="Normal 2 6 4 9 2 2 2" xfId="30763" xr:uid="{00000000-0005-0000-0000-00002E780000}"/>
    <cellStyle name="Normal 2 6 4 9 2 2 3" xfId="30764" xr:uid="{00000000-0005-0000-0000-00002F780000}"/>
    <cellStyle name="Normal 2 6 4 9 2 3" xfId="30765" xr:uid="{00000000-0005-0000-0000-000030780000}"/>
    <cellStyle name="Normal 2 6 4 9 2 4" xfId="30766" xr:uid="{00000000-0005-0000-0000-000031780000}"/>
    <cellStyle name="Normal 2 6 4 9 2 5" xfId="30767" xr:uid="{00000000-0005-0000-0000-000032780000}"/>
    <cellStyle name="Normal 2 6 4 9 2 6" xfId="30768" xr:uid="{00000000-0005-0000-0000-000033780000}"/>
    <cellStyle name="Normal 2 6 4 9 3" xfId="30769" xr:uid="{00000000-0005-0000-0000-000034780000}"/>
    <cellStyle name="Normal 2 6 4 9 3 2" xfId="30770" xr:uid="{00000000-0005-0000-0000-000035780000}"/>
    <cellStyle name="Normal 2 6 4 9 3 2 2" xfId="30771" xr:uid="{00000000-0005-0000-0000-000036780000}"/>
    <cellStyle name="Normal 2 6 4 9 3 2 3" xfId="30772" xr:uid="{00000000-0005-0000-0000-000037780000}"/>
    <cellStyle name="Normal 2 6 4 9 3 3" xfId="30773" xr:uid="{00000000-0005-0000-0000-000038780000}"/>
    <cellStyle name="Normal 2 6 4 9 3 4" xfId="30774" xr:uid="{00000000-0005-0000-0000-000039780000}"/>
    <cellStyle name="Normal 2 6 4 9 3 5" xfId="30775" xr:uid="{00000000-0005-0000-0000-00003A780000}"/>
    <cellStyle name="Normal 2 6 4 9 3 6" xfId="30776" xr:uid="{00000000-0005-0000-0000-00003B780000}"/>
    <cellStyle name="Normal 2 6 4 9 4" xfId="30777" xr:uid="{00000000-0005-0000-0000-00003C780000}"/>
    <cellStyle name="Normal 2 6 4 9 4 2" xfId="30778" xr:uid="{00000000-0005-0000-0000-00003D780000}"/>
    <cellStyle name="Normal 2 6 4 9 4 2 2" xfId="30779" xr:uid="{00000000-0005-0000-0000-00003E780000}"/>
    <cellStyle name="Normal 2 6 4 9 4 3" xfId="30780" xr:uid="{00000000-0005-0000-0000-00003F780000}"/>
    <cellStyle name="Normal 2 6 4 9 4 4" xfId="30781" xr:uid="{00000000-0005-0000-0000-000040780000}"/>
    <cellStyle name="Normal 2 6 4 9 4 5" xfId="30782" xr:uid="{00000000-0005-0000-0000-000041780000}"/>
    <cellStyle name="Normal 2 6 4 9 5" xfId="30783" xr:uid="{00000000-0005-0000-0000-000042780000}"/>
    <cellStyle name="Normal 2 6 4 9 5 2" xfId="30784" xr:uid="{00000000-0005-0000-0000-000043780000}"/>
    <cellStyle name="Normal 2 6 4 9 5 3" xfId="30785" xr:uid="{00000000-0005-0000-0000-000044780000}"/>
    <cellStyle name="Normal 2 6 4 9 5 4" xfId="30786" xr:uid="{00000000-0005-0000-0000-000045780000}"/>
    <cellStyle name="Normal 2 6 4 9 6" xfId="30787" xr:uid="{00000000-0005-0000-0000-000046780000}"/>
    <cellStyle name="Normal 2 6 4 9 6 2" xfId="30788" xr:uid="{00000000-0005-0000-0000-000047780000}"/>
    <cellStyle name="Normal 2 6 4 9 7" xfId="30789" xr:uid="{00000000-0005-0000-0000-000048780000}"/>
    <cellStyle name="Normal 2 6 4 9 8" xfId="30790" xr:uid="{00000000-0005-0000-0000-000049780000}"/>
    <cellStyle name="Normal 2 6 4 9 9" xfId="30791" xr:uid="{00000000-0005-0000-0000-00004A780000}"/>
    <cellStyle name="Normal 2 6 5" xfId="30792" xr:uid="{00000000-0005-0000-0000-00004B780000}"/>
    <cellStyle name="Normal 2 6 5 10" xfId="30793" xr:uid="{00000000-0005-0000-0000-00004C780000}"/>
    <cellStyle name="Normal 2 6 5 11" xfId="30794" xr:uid="{00000000-0005-0000-0000-00004D780000}"/>
    <cellStyle name="Normal 2 6 5 2" xfId="30795" xr:uid="{00000000-0005-0000-0000-00004E780000}"/>
    <cellStyle name="Normal 2 6 5 2 2" xfId="30796" xr:uid="{00000000-0005-0000-0000-00004F780000}"/>
    <cellStyle name="Normal 2 6 5 2 2 2" xfId="30797" xr:uid="{00000000-0005-0000-0000-000050780000}"/>
    <cellStyle name="Normal 2 6 5 2 2 2 2" xfId="30798" xr:uid="{00000000-0005-0000-0000-000051780000}"/>
    <cellStyle name="Normal 2 6 5 2 2 2 3" xfId="30799" xr:uid="{00000000-0005-0000-0000-000052780000}"/>
    <cellStyle name="Normal 2 6 5 2 2 3" xfId="30800" xr:uid="{00000000-0005-0000-0000-000053780000}"/>
    <cellStyle name="Normal 2 6 5 2 2 4" xfId="30801" xr:uid="{00000000-0005-0000-0000-000054780000}"/>
    <cellStyle name="Normal 2 6 5 2 2 5" xfId="30802" xr:uid="{00000000-0005-0000-0000-000055780000}"/>
    <cellStyle name="Normal 2 6 5 2 2 6" xfId="30803" xr:uid="{00000000-0005-0000-0000-000056780000}"/>
    <cellStyle name="Normal 2 6 5 2 3" xfId="30804" xr:uid="{00000000-0005-0000-0000-000057780000}"/>
    <cellStyle name="Normal 2 6 5 2 3 2" xfId="30805" xr:uid="{00000000-0005-0000-0000-000058780000}"/>
    <cellStyle name="Normal 2 6 5 2 3 2 2" xfId="30806" xr:uid="{00000000-0005-0000-0000-000059780000}"/>
    <cellStyle name="Normal 2 6 5 2 3 3" xfId="30807" xr:uid="{00000000-0005-0000-0000-00005A780000}"/>
    <cellStyle name="Normal 2 6 5 2 3 4" xfId="30808" xr:uid="{00000000-0005-0000-0000-00005B780000}"/>
    <cellStyle name="Normal 2 6 5 2 3 5" xfId="30809" xr:uid="{00000000-0005-0000-0000-00005C780000}"/>
    <cellStyle name="Normal 2 6 5 2 4" xfId="30810" xr:uid="{00000000-0005-0000-0000-00005D780000}"/>
    <cellStyle name="Normal 2 6 5 2 4 2" xfId="30811" xr:uid="{00000000-0005-0000-0000-00005E780000}"/>
    <cellStyle name="Normal 2 6 5 2 4 3" xfId="30812" xr:uid="{00000000-0005-0000-0000-00005F780000}"/>
    <cellStyle name="Normal 2 6 5 2 4 4" xfId="30813" xr:uid="{00000000-0005-0000-0000-000060780000}"/>
    <cellStyle name="Normal 2 6 5 2 5" xfId="30814" xr:uid="{00000000-0005-0000-0000-000061780000}"/>
    <cellStyle name="Normal 2 6 5 2 5 2" xfId="30815" xr:uid="{00000000-0005-0000-0000-000062780000}"/>
    <cellStyle name="Normal 2 6 5 2 6" xfId="30816" xr:uid="{00000000-0005-0000-0000-000063780000}"/>
    <cellStyle name="Normal 2 6 5 2 7" xfId="30817" xr:uid="{00000000-0005-0000-0000-000064780000}"/>
    <cellStyle name="Normal 2 6 5 2 8" xfId="30818" xr:uid="{00000000-0005-0000-0000-000065780000}"/>
    <cellStyle name="Normal 2 6 5 2 9" xfId="30819" xr:uid="{00000000-0005-0000-0000-000066780000}"/>
    <cellStyle name="Normal 2 6 5 3" xfId="30820" xr:uid="{00000000-0005-0000-0000-000067780000}"/>
    <cellStyle name="Normal 2 6 5 3 2" xfId="30821" xr:uid="{00000000-0005-0000-0000-000068780000}"/>
    <cellStyle name="Normal 2 6 5 3 2 2" xfId="30822" xr:uid="{00000000-0005-0000-0000-000069780000}"/>
    <cellStyle name="Normal 2 6 5 3 2 2 2" xfId="30823" xr:uid="{00000000-0005-0000-0000-00006A780000}"/>
    <cellStyle name="Normal 2 6 5 3 2 2 3" xfId="30824" xr:uid="{00000000-0005-0000-0000-00006B780000}"/>
    <cellStyle name="Normal 2 6 5 3 2 3" xfId="30825" xr:uid="{00000000-0005-0000-0000-00006C780000}"/>
    <cellStyle name="Normal 2 6 5 3 2 4" xfId="30826" xr:uid="{00000000-0005-0000-0000-00006D780000}"/>
    <cellStyle name="Normal 2 6 5 3 2 5" xfId="30827" xr:uid="{00000000-0005-0000-0000-00006E780000}"/>
    <cellStyle name="Normal 2 6 5 3 2 6" xfId="30828" xr:uid="{00000000-0005-0000-0000-00006F780000}"/>
    <cellStyle name="Normal 2 6 5 3 3" xfId="30829" xr:uid="{00000000-0005-0000-0000-000070780000}"/>
    <cellStyle name="Normal 2 6 5 3 3 2" xfId="30830" xr:uid="{00000000-0005-0000-0000-000071780000}"/>
    <cellStyle name="Normal 2 6 5 3 3 2 2" xfId="30831" xr:uid="{00000000-0005-0000-0000-000072780000}"/>
    <cellStyle name="Normal 2 6 5 3 3 3" xfId="30832" xr:uid="{00000000-0005-0000-0000-000073780000}"/>
    <cellStyle name="Normal 2 6 5 3 3 4" xfId="30833" xr:uid="{00000000-0005-0000-0000-000074780000}"/>
    <cellStyle name="Normal 2 6 5 3 3 5" xfId="30834" xr:uid="{00000000-0005-0000-0000-000075780000}"/>
    <cellStyle name="Normal 2 6 5 3 4" xfId="30835" xr:uid="{00000000-0005-0000-0000-000076780000}"/>
    <cellStyle name="Normal 2 6 5 3 4 2" xfId="30836" xr:uid="{00000000-0005-0000-0000-000077780000}"/>
    <cellStyle name="Normal 2 6 5 3 4 3" xfId="30837" xr:uid="{00000000-0005-0000-0000-000078780000}"/>
    <cellStyle name="Normal 2 6 5 3 4 4" xfId="30838" xr:uid="{00000000-0005-0000-0000-000079780000}"/>
    <cellStyle name="Normal 2 6 5 3 5" xfId="30839" xr:uid="{00000000-0005-0000-0000-00007A780000}"/>
    <cellStyle name="Normal 2 6 5 3 5 2" xfId="30840" xr:uid="{00000000-0005-0000-0000-00007B780000}"/>
    <cellStyle name="Normal 2 6 5 3 6" xfId="30841" xr:uid="{00000000-0005-0000-0000-00007C780000}"/>
    <cellStyle name="Normal 2 6 5 3 7" xfId="30842" xr:uid="{00000000-0005-0000-0000-00007D780000}"/>
    <cellStyle name="Normal 2 6 5 3 8" xfId="30843" xr:uid="{00000000-0005-0000-0000-00007E780000}"/>
    <cellStyle name="Normal 2 6 5 3 9" xfId="30844" xr:uid="{00000000-0005-0000-0000-00007F780000}"/>
    <cellStyle name="Normal 2 6 5 4" xfId="30845" xr:uid="{00000000-0005-0000-0000-000080780000}"/>
    <cellStyle name="Normal 2 6 5 4 2" xfId="30846" xr:uid="{00000000-0005-0000-0000-000081780000}"/>
    <cellStyle name="Normal 2 6 5 4 2 2" xfId="30847" xr:uid="{00000000-0005-0000-0000-000082780000}"/>
    <cellStyle name="Normal 2 6 5 4 2 3" xfId="30848" xr:uid="{00000000-0005-0000-0000-000083780000}"/>
    <cellStyle name="Normal 2 6 5 4 3" xfId="30849" xr:uid="{00000000-0005-0000-0000-000084780000}"/>
    <cellStyle name="Normal 2 6 5 4 4" xfId="30850" xr:uid="{00000000-0005-0000-0000-000085780000}"/>
    <cellStyle name="Normal 2 6 5 4 5" xfId="30851" xr:uid="{00000000-0005-0000-0000-000086780000}"/>
    <cellStyle name="Normal 2 6 5 4 6" xfId="30852" xr:uid="{00000000-0005-0000-0000-000087780000}"/>
    <cellStyle name="Normal 2 6 5 5" xfId="30853" xr:uid="{00000000-0005-0000-0000-000088780000}"/>
    <cellStyle name="Normal 2 6 5 5 2" xfId="30854" xr:uid="{00000000-0005-0000-0000-000089780000}"/>
    <cellStyle name="Normal 2 6 5 5 2 2" xfId="30855" xr:uid="{00000000-0005-0000-0000-00008A780000}"/>
    <cellStyle name="Normal 2 6 5 5 3" xfId="30856" xr:uid="{00000000-0005-0000-0000-00008B780000}"/>
    <cellStyle name="Normal 2 6 5 5 4" xfId="30857" xr:uid="{00000000-0005-0000-0000-00008C780000}"/>
    <cellStyle name="Normal 2 6 5 5 5" xfId="30858" xr:uid="{00000000-0005-0000-0000-00008D780000}"/>
    <cellStyle name="Normal 2 6 5 6" xfId="30859" xr:uid="{00000000-0005-0000-0000-00008E780000}"/>
    <cellStyle name="Normal 2 6 5 6 2" xfId="30860" xr:uid="{00000000-0005-0000-0000-00008F780000}"/>
    <cellStyle name="Normal 2 6 5 6 3" xfId="30861" xr:uid="{00000000-0005-0000-0000-000090780000}"/>
    <cellStyle name="Normal 2 6 5 6 4" xfId="30862" xr:uid="{00000000-0005-0000-0000-000091780000}"/>
    <cellStyle name="Normal 2 6 5 7" xfId="30863" xr:uid="{00000000-0005-0000-0000-000092780000}"/>
    <cellStyle name="Normal 2 6 5 7 2" xfId="30864" xr:uid="{00000000-0005-0000-0000-000093780000}"/>
    <cellStyle name="Normal 2 6 5 8" xfId="30865" xr:uid="{00000000-0005-0000-0000-000094780000}"/>
    <cellStyle name="Normal 2 6 5 9" xfId="30866" xr:uid="{00000000-0005-0000-0000-000095780000}"/>
    <cellStyle name="Normal 2 6 6" xfId="30867" xr:uid="{00000000-0005-0000-0000-000096780000}"/>
    <cellStyle name="Normal 2 6 6 10" xfId="30868" xr:uid="{00000000-0005-0000-0000-000097780000}"/>
    <cellStyle name="Normal 2 6 6 11" xfId="30869" xr:uid="{00000000-0005-0000-0000-000098780000}"/>
    <cellStyle name="Normal 2 6 6 2" xfId="30870" xr:uid="{00000000-0005-0000-0000-000099780000}"/>
    <cellStyle name="Normal 2 6 6 2 2" xfId="30871" xr:uid="{00000000-0005-0000-0000-00009A780000}"/>
    <cellStyle name="Normal 2 6 6 2 2 2" xfId="30872" xr:uid="{00000000-0005-0000-0000-00009B780000}"/>
    <cellStyle name="Normal 2 6 6 2 2 2 2" xfId="30873" xr:uid="{00000000-0005-0000-0000-00009C780000}"/>
    <cellStyle name="Normal 2 6 6 2 2 2 3" xfId="30874" xr:uid="{00000000-0005-0000-0000-00009D780000}"/>
    <cellStyle name="Normal 2 6 6 2 2 3" xfId="30875" xr:uid="{00000000-0005-0000-0000-00009E780000}"/>
    <cellStyle name="Normal 2 6 6 2 2 4" xfId="30876" xr:uid="{00000000-0005-0000-0000-00009F780000}"/>
    <cellStyle name="Normal 2 6 6 2 2 5" xfId="30877" xr:uid="{00000000-0005-0000-0000-0000A0780000}"/>
    <cellStyle name="Normal 2 6 6 2 2 6" xfId="30878" xr:uid="{00000000-0005-0000-0000-0000A1780000}"/>
    <cellStyle name="Normal 2 6 6 2 3" xfId="30879" xr:uid="{00000000-0005-0000-0000-0000A2780000}"/>
    <cellStyle name="Normal 2 6 6 2 3 2" xfId="30880" xr:uid="{00000000-0005-0000-0000-0000A3780000}"/>
    <cellStyle name="Normal 2 6 6 2 3 2 2" xfId="30881" xr:uid="{00000000-0005-0000-0000-0000A4780000}"/>
    <cellStyle name="Normal 2 6 6 2 3 3" xfId="30882" xr:uid="{00000000-0005-0000-0000-0000A5780000}"/>
    <cellStyle name="Normal 2 6 6 2 3 4" xfId="30883" xr:uid="{00000000-0005-0000-0000-0000A6780000}"/>
    <cellStyle name="Normal 2 6 6 2 3 5" xfId="30884" xr:uid="{00000000-0005-0000-0000-0000A7780000}"/>
    <cellStyle name="Normal 2 6 6 2 4" xfId="30885" xr:uid="{00000000-0005-0000-0000-0000A8780000}"/>
    <cellStyle name="Normal 2 6 6 2 4 2" xfId="30886" xr:uid="{00000000-0005-0000-0000-0000A9780000}"/>
    <cellStyle name="Normal 2 6 6 2 4 3" xfId="30887" xr:uid="{00000000-0005-0000-0000-0000AA780000}"/>
    <cellStyle name="Normal 2 6 6 2 4 4" xfId="30888" xr:uid="{00000000-0005-0000-0000-0000AB780000}"/>
    <cellStyle name="Normal 2 6 6 2 5" xfId="30889" xr:uid="{00000000-0005-0000-0000-0000AC780000}"/>
    <cellStyle name="Normal 2 6 6 2 5 2" xfId="30890" xr:uid="{00000000-0005-0000-0000-0000AD780000}"/>
    <cellStyle name="Normal 2 6 6 2 6" xfId="30891" xr:uid="{00000000-0005-0000-0000-0000AE780000}"/>
    <cellStyle name="Normal 2 6 6 2 7" xfId="30892" xr:uid="{00000000-0005-0000-0000-0000AF780000}"/>
    <cellStyle name="Normal 2 6 6 2 8" xfId="30893" xr:uid="{00000000-0005-0000-0000-0000B0780000}"/>
    <cellStyle name="Normal 2 6 6 2 9" xfId="30894" xr:uid="{00000000-0005-0000-0000-0000B1780000}"/>
    <cellStyle name="Normal 2 6 6 3" xfId="30895" xr:uid="{00000000-0005-0000-0000-0000B2780000}"/>
    <cellStyle name="Normal 2 6 6 3 2" xfId="30896" xr:uid="{00000000-0005-0000-0000-0000B3780000}"/>
    <cellStyle name="Normal 2 6 6 3 2 2" xfId="30897" xr:uid="{00000000-0005-0000-0000-0000B4780000}"/>
    <cellStyle name="Normal 2 6 6 3 2 2 2" xfId="30898" xr:uid="{00000000-0005-0000-0000-0000B5780000}"/>
    <cellStyle name="Normal 2 6 6 3 2 2 3" xfId="30899" xr:uid="{00000000-0005-0000-0000-0000B6780000}"/>
    <cellStyle name="Normal 2 6 6 3 2 3" xfId="30900" xr:uid="{00000000-0005-0000-0000-0000B7780000}"/>
    <cellStyle name="Normal 2 6 6 3 2 4" xfId="30901" xr:uid="{00000000-0005-0000-0000-0000B8780000}"/>
    <cellStyle name="Normal 2 6 6 3 2 5" xfId="30902" xr:uid="{00000000-0005-0000-0000-0000B9780000}"/>
    <cellStyle name="Normal 2 6 6 3 2 6" xfId="30903" xr:uid="{00000000-0005-0000-0000-0000BA780000}"/>
    <cellStyle name="Normal 2 6 6 3 3" xfId="30904" xr:uid="{00000000-0005-0000-0000-0000BB780000}"/>
    <cellStyle name="Normal 2 6 6 3 3 2" xfId="30905" xr:uid="{00000000-0005-0000-0000-0000BC780000}"/>
    <cellStyle name="Normal 2 6 6 3 3 2 2" xfId="30906" xr:uid="{00000000-0005-0000-0000-0000BD780000}"/>
    <cellStyle name="Normal 2 6 6 3 3 3" xfId="30907" xr:uid="{00000000-0005-0000-0000-0000BE780000}"/>
    <cellStyle name="Normal 2 6 6 3 3 4" xfId="30908" xr:uid="{00000000-0005-0000-0000-0000BF780000}"/>
    <cellStyle name="Normal 2 6 6 3 3 5" xfId="30909" xr:uid="{00000000-0005-0000-0000-0000C0780000}"/>
    <cellStyle name="Normal 2 6 6 3 4" xfId="30910" xr:uid="{00000000-0005-0000-0000-0000C1780000}"/>
    <cellStyle name="Normal 2 6 6 3 4 2" xfId="30911" xr:uid="{00000000-0005-0000-0000-0000C2780000}"/>
    <cellStyle name="Normal 2 6 6 3 4 3" xfId="30912" xr:uid="{00000000-0005-0000-0000-0000C3780000}"/>
    <cellStyle name="Normal 2 6 6 3 4 4" xfId="30913" xr:uid="{00000000-0005-0000-0000-0000C4780000}"/>
    <cellStyle name="Normal 2 6 6 3 5" xfId="30914" xr:uid="{00000000-0005-0000-0000-0000C5780000}"/>
    <cellStyle name="Normal 2 6 6 3 5 2" xfId="30915" xr:uid="{00000000-0005-0000-0000-0000C6780000}"/>
    <cellStyle name="Normal 2 6 6 3 6" xfId="30916" xr:uid="{00000000-0005-0000-0000-0000C7780000}"/>
    <cellStyle name="Normal 2 6 6 3 7" xfId="30917" xr:uid="{00000000-0005-0000-0000-0000C8780000}"/>
    <cellStyle name="Normal 2 6 6 3 8" xfId="30918" xr:uid="{00000000-0005-0000-0000-0000C9780000}"/>
    <cellStyle name="Normal 2 6 6 3 9" xfId="30919" xr:uid="{00000000-0005-0000-0000-0000CA780000}"/>
    <cellStyle name="Normal 2 6 6 4" xfId="30920" xr:uid="{00000000-0005-0000-0000-0000CB780000}"/>
    <cellStyle name="Normal 2 6 6 4 2" xfId="30921" xr:uid="{00000000-0005-0000-0000-0000CC780000}"/>
    <cellStyle name="Normal 2 6 6 4 2 2" xfId="30922" xr:uid="{00000000-0005-0000-0000-0000CD780000}"/>
    <cellStyle name="Normal 2 6 6 4 2 3" xfId="30923" xr:uid="{00000000-0005-0000-0000-0000CE780000}"/>
    <cellStyle name="Normal 2 6 6 4 3" xfId="30924" xr:uid="{00000000-0005-0000-0000-0000CF780000}"/>
    <cellStyle name="Normal 2 6 6 4 4" xfId="30925" xr:uid="{00000000-0005-0000-0000-0000D0780000}"/>
    <cellStyle name="Normal 2 6 6 4 5" xfId="30926" xr:uid="{00000000-0005-0000-0000-0000D1780000}"/>
    <cellStyle name="Normal 2 6 6 4 6" xfId="30927" xr:uid="{00000000-0005-0000-0000-0000D2780000}"/>
    <cellStyle name="Normal 2 6 6 5" xfId="30928" xr:uid="{00000000-0005-0000-0000-0000D3780000}"/>
    <cellStyle name="Normal 2 6 6 5 2" xfId="30929" xr:uid="{00000000-0005-0000-0000-0000D4780000}"/>
    <cellStyle name="Normal 2 6 6 5 2 2" xfId="30930" xr:uid="{00000000-0005-0000-0000-0000D5780000}"/>
    <cellStyle name="Normal 2 6 6 5 3" xfId="30931" xr:uid="{00000000-0005-0000-0000-0000D6780000}"/>
    <cellStyle name="Normal 2 6 6 5 4" xfId="30932" xr:uid="{00000000-0005-0000-0000-0000D7780000}"/>
    <cellStyle name="Normal 2 6 6 5 5" xfId="30933" xr:uid="{00000000-0005-0000-0000-0000D8780000}"/>
    <cellStyle name="Normal 2 6 6 6" xfId="30934" xr:uid="{00000000-0005-0000-0000-0000D9780000}"/>
    <cellStyle name="Normal 2 6 6 6 2" xfId="30935" xr:uid="{00000000-0005-0000-0000-0000DA780000}"/>
    <cellStyle name="Normal 2 6 6 6 3" xfId="30936" xr:uid="{00000000-0005-0000-0000-0000DB780000}"/>
    <cellStyle name="Normal 2 6 6 6 4" xfId="30937" xr:uid="{00000000-0005-0000-0000-0000DC780000}"/>
    <cellStyle name="Normal 2 6 6 7" xfId="30938" xr:uid="{00000000-0005-0000-0000-0000DD780000}"/>
    <cellStyle name="Normal 2 6 6 7 2" xfId="30939" xr:uid="{00000000-0005-0000-0000-0000DE780000}"/>
    <cellStyle name="Normal 2 6 6 8" xfId="30940" xr:uid="{00000000-0005-0000-0000-0000DF780000}"/>
    <cellStyle name="Normal 2 6 6 9" xfId="30941" xr:uid="{00000000-0005-0000-0000-0000E0780000}"/>
    <cellStyle name="Normal 2 6 7" xfId="30942" xr:uid="{00000000-0005-0000-0000-0000E1780000}"/>
    <cellStyle name="Normal 2 6 7 10" xfId="30943" xr:uid="{00000000-0005-0000-0000-0000E2780000}"/>
    <cellStyle name="Normal 2 6 7 11" xfId="30944" xr:uid="{00000000-0005-0000-0000-0000E3780000}"/>
    <cellStyle name="Normal 2 6 7 2" xfId="30945" xr:uid="{00000000-0005-0000-0000-0000E4780000}"/>
    <cellStyle name="Normal 2 6 7 2 2" xfId="30946" xr:uid="{00000000-0005-0000-0000-0000E5780000}"/>
    <cellStyle name="Normal 2 6 7 2 2 2" xfId="30947" xr:uid="{00000000-0005-0000-0000-0000E6780000}"/>
    <cellStyle name="Normal 2 6 7 2 2 2 2" xfId="30948" xr:uid="{00000000-0005-0000-0000-0000E7780000}"/>
    <cellStyle name="Normal 2 6 7 2 2 2 3" xfId="30949" xr:uid="{00000000-0005-0000-0000-0000E8780000}"/>
    <cellStyle name="Normal 2 6 7 2 2 3" xfId="30950" xr:uid="{00000000-0005-0000-0000-0000E9780000}"/>
    <cellStyle name="Normal 2 6 7 2 2 4" xfId="30951" xr:uid="{00000000-0005-0000-0000-0000EA780000}"/>
    <cellStyle name="Normal 2 6 7 2 2 5" xfId="30952" xr:uid="{00000000-0005-0000-0000-0000EB780000}"/>
    <cellStyle name="Normal 2 6 7 2 2 6" xfId="30953" xr:uid="{00000000-0005-0000-0000-0000EC780000}"/>
    <cellStyle name="Normal 2 6 7 2 3" xfId="30954" xr:uid="{00000000-0005-0000-0000-0000ED780000}"/>
    <cellStyle name="Normal 2 6 7 2 3 2" xfId="30955" xr:uid="{00000000-0005-0000-0000-0000EE780000}"/>
    <cellStyle name="Normal 2 6 7 2 3 2 2" xfId="30956" xr:uid="{00000000-0005-0000-0000-0000EF780000}"/>
    <cellStyle name="Normal 2 6 7 2 3 3" xfId="30957" xr:uid="{00000000-0005-0000-0000-0000F0780000}"/>
    <cellStyle name="Normal 2 6 7 2 3 4" xfId="30958" xr:uid="{00000000-0005-0000-0000-0000F1780000}"/>
    <cellStyle name="Normal 2 6 7 2 3 5" xfId="30959" xr:uid="{00000000-0005-0000-0000-0000F2780000}"/>
    <cellStyle name="Normal 2 6 7 2 4" xfId="30960" xr:uid="{00000000-0005-0000-0000-0000F3780000}"/>
    <cellStyle name="Normal 2 6 7 2 4 2" xfId="30961" xr:uid="{00000000-0005-0000-0000-0000F4780000}"/>
    <cellStyle name="Normal 2 6 7 2 4 3" xfId="30962" xr:uid="{00000000-0005-0000-0000-0000F5780000}"/>
    <cellStyle name="Normal 2 6 7 2 4 4" xfId="30963" xr:uid="{00000000-0005-0000-0000-0000F6780000}"/>
    <cellStyle name="Normal 2 6 7 2 5" xfId="30964" xr:uid="{00000000-0005-0000-0000-0000F7780000}"/>
    <cellStyle name="Normal 2 6 7 2 5 2" xfId="30965" xr:uid="{00000000-0005-0000-0000-0000F8780000}"/>
    <cellStyle name="Normal 2 6 7 2 6" xfId="30966" xr:uid="{00000000-0005-0000-0000-0000F9780000}"/>
    <cellStyle name="Normal 2 6 7 2 7" xfId="30967" xr:uid="{00000000-0005-0000-0000-0000FA780000}"/>
    <cellStyle name="Normal 2 6 7 2 8" xfId="30968" xr:uid="{00000000-0005-0000-0000-0000FB780000}"/>
    <cellStyle name="Normal 2 6 7 2 9" xfId="30969" xr:uid="{00000000-0005-0000-0000-0000FC780000}"/>
    <cellStyle name="Normal 2 6 7 3" xfId="30970" xr:uid="{00000000-0005-0000-0000-0000FD780000}"/>
    <cellStyle name="Normal 2 6 7 3 2" xfId="30971" xr:uid="{00000000-0005-0000-0000-0000FE780000}"/>
    <cellStyle name="Normal 2 6 7 3 2 2" xfId="30972" xr:uid="{00000000-0005-0000-0000-0000FF780000}"/>
    <cellStyle name="Normal 2 6 7 3 2 2 2" xfId="30973" xr:uid="{00000000-0005-0000-0000-000000790000}"/>
    <cellStyle name="Normal 2 6 7 3 2 2 3" xfId="30974" xr:uid="{00000000-0005-0000-0000-000001790000}"/>
    <cellStyle name="Normal 2 6 7 3 2 3" xfId="30975" xr:uid="{00000000-0005-0000-0000-000002790000}"/>
    <cellStyle name="Normal 2 6 7 3 2 4" xfId="30976" xr:uid="{00000000-0005-0000-0000-000003790000}"/>
    <cellStyle name="Normal 2 6 7 3 2 5" xfId="30977" xr:uid="{00000000-0005-0000-0000-000004790000}"/>
    <cellStyle name="Normal 2 6 7 3 2 6" xfId="30978" xr:uid="{00000000-0005-0000-0000-000005790000}"/>
    <cellStyle name="Normal 2 6 7 3 3" xfId="30979" xr:uid="{00000000-0005-0000-0000-000006790000}"/>
    <cellStyle name="Normal 2 6 7 3 3 2" xfId="30980" xr:uid="{00000000-0005-0000-0000-000007790000}"/>
    <cellStyle name="Normal 2 6 7 3 3 2 2" xfId="30981" xr:uid="{00000000-0005-0000-0000-000008790000}"/>
    <cellStyle name="Normal 2 6 7 3 3 3" xfId="30982" xr:uid="{00000000-0005-0000-0000-000009790000}"/>
    <cellStyle name="Normal 2 6 7 3 3 4" xfId="30983" xr:uid="{00000000-0005-0000-0000-00000A790000}"/>
    <cellStyle name="Normal 2 6 7 3 3 5" xfId="30984" xr:uid="{00000000-0005-0000-0000-00000B790000}"/>
    <cellStyle name="Normal 2 6 7 3 4" xfId="30985" xr:uid="{00000000-0005-0000-0000-00000C790000}"/>
    <cellStyle name="Normal 2 6 7 3 4 2" xfId="30986" xr:uid="{00000000-0005-0000-0000-00000D790000}"/>
    <cellStyle name="Normal 2 6 7 3 4 3" xfId="30987" xr:uid="{00000000-0005-0000-0000-00000E790000}"/>
    <cellStyle name="Normal 2 6 7 3 4 4" xfId="30988" xr:uid="{00000000-0005-0000-0000-00000F790000}"/>
    <cellStyle name="Normal 2 6 7 3 5" xfId="30989" xr:uid="{00000000-0005-0000-0000-000010790000}"/>
    <cellStyle name="Normal 2 6 7 3 5 2" xfId="30990" xr:uid="{00000000-0005-0000-0000-000011790000}"/>
    <cellStyle name="Normal 2 6 7 3 6" xfId="30991" xr:uid="{00000000-0005-0000-0000-000012790000}"/>
    <cellStyle name="Normal 2 6 7 3 7" xfId="30992" xr:uid="{00000000-0005-0000-0000-000013790000}"/>
    <cellStyle name="Normal 2 6 7 3 8" xfId="30993" xr:uid="{00000000-0005-0000-0000-000014790000}"/>
    <cellStyle name="Normal 2 6 7 3 9" xfId="30994" xr:uid="{00000000-0005-0000-0000-000015790000}"/>
    <cellStyle name="Normal 2 6 7 4" xfId="30995" xr:uid="{00000000-0005-0000-0000-000016790000}"/>
    <cellStyle name="Normal 2 6 7 4 2" xfId="30996" xr:uid="{00000000-0005-0000-0000-000017790000}"/>
    <cellStyle name="Normal 2 6 7 4 2 2" xfId="30997" xr:uid="{00000000-0005-0000-0000-000018790000}"/>
    <cellStyle name="Normal 2 6 7 4 2 3" xfId="30998" xr:uid="{00000000-0005-0000-0000-000019790000}"/>
    <cellStyle name="Normal 2 6 7 4 3" xfId="30999" xr:uid="{00000000-0005-0000-0000-00001A790000}"/>
    <cellStyle name="Normal 2 6 7 4 4" xfId="31000" xr:uid="{00000000-0005-0000-0000-00001B790000}"/>
    <cellStyle name="Normal 2 6 7 4 5" xfId="31001" xr:uid="{00000000-0005-0000-0000-00001C790000}"/>
    <cellStyle name="Normal 2 6 7 4 6" xfId="31002" xr:uid="{00000000-0005-0000-0000-00001D790000}"/>
    <cellStyle name="Normal 2 6 7 5" xfId="31003" xr:uid="{00000000-0005-0000-0000-00001E790000}"/>
    <cellStyle name="Normal 2 6 7 5 2" xfId="31004" xr:uid="{00000000-0005-0000-0000-00001F790000}"/>
    <cellStyle name="Normal 2 6 7 5 2 2" xfId="31005" xr:uid="{00000000-0005-0000-0000-000020790000}"/>
    <cellStyle name="Normal 2 6 7 5 3" xfId="31006" xr:uid="{00000000-0005-0000-0000-000021790000}"/>
    <cellStyle name="Normal 2 6 7 5 4" xfId="31007" xr:uid="{00000000-0005-0000-0000-000022790000}"/>
    <cellStyle name="Normal 2 6 7 5 5" xfId="31008" xr:uid="{00000000-0005-0000-0000-000023790000}"/>
    <cellStyle name="Normal 2 6 7 6" xfId="31009" xr:uid="{00000000-0005-0000-0000-000024790000}"/>
    <cellStyle name="Normal 2 6 7 6 2" xfId="31010" xr:uid="{00000000-0005-0000-0000-000025790000}"/>
    <cellStyle name="Normal 2 6 7 6 3" xfId="31011" xr:uid="{00000000-0005-0000-0000-000026790000}"/>
    <cellStyle name="Normal 2 6 7 6 4" xfId="31012" xr:uid="{00000000-0005-0000-0000-000027790000}"/>
    <cellStyle name="Normal 2 6 7 7" xfId="31013" xr:uid="{00000000-0005-0000-0000-000028790000}"/>
    <cellStyle name="Normal 2 6 7 7 2" xfId="31014" xr:uid="{00000000-0005-0000-0000-000029790000}"/>
    <cellStyle name="Normal 2 6 7 8" xfId="31015" xr:uid="{00000000-0005-0000-0000-00002A790000}"/>
    <cellStyle name="Normal 2 6 7 9" xfId="31016" xr:uid="{00000000-0005-0000-0000-00002B790000}"/>
    <cellStyle name="Normal 2 6 8" xfId="31017" xr:uid="{00000000-0005-0000-0000-00002C790000}"/>
    <cellStyle name="Normal 2 6 8 10" xfId="31018" xr:uid="{00000000-0005-0000-0000-00002D790000}"/>
    <cellStyle name="Normal 2 6 8 11" xfId="31019" xr:uid="{00000000-0005-0000-0000-00002E790000}"/>
    <cellStyle name="Normal 2 6 8 2" xfId="31020" xr:uid="{00000000-0005-0000-0000-00002F790000}"/>
    <cellStyle name="Normal 2 6 8 2 2" xfId="31021" xr:uid="{00000000-0005-0000-0000-000030790000}"/>
    <cellStyle name="Normal 2 6 8 2 2 2" xfId="31022" xr:uid="{00000000-0005-0000-0000-000031790000}"/>
    <cellStyle name="Normal 2 6 8 2 2 2 2" xfId="31023" xr:uid="{00000000-0005-0000-0000-000032790000}"/>
    <cellStyle name="Normal 2 6 8 2 2 2 3" xfId="31024" xr:uid="{00000000-0005-0000-0000-000033790000}"/>
    <cellStyle name="Normal 2 6 8 2 2 3" xfId="31025" xr:uid="{00000000-0005-0000-0000-000034790000}"/>
    <cellStyle name="Normal 2 6 8 2 2 4" xfId="31026" xr:uid="{00000000-0005-0000-0000-000035790000}"/>
    <cellStyle name="Normal 2 6 8 2 2 5" xfId="31027" xr:uid="{00000000-0005-0000-0000-000036790000}"/>
    <cellStyle name="Normal 2 6 8 2 2 6" xfId="31028" xr:uid="{00000000-0005-0000-0000-000037790000}"/>
    <cellStyle name="Normal 2 6 8 2 3" xfId="31029" xr:uid="{00000000-0005-0000-0000-000038790000}"/>
    <cellStyle name="Normal 2 6 8 2 3 2" xfId="31030" xr:uid="{00000000-0005-0000-0000-000039790000}"/>
    <cellStyle name="Normal 2 6 8 2 3 2 2" xfId="31031" xr:uid="{00000000-0005-0000-0000-00003A790000}"/>
    <cellStyle name="Normal 2 6 8 2 3 3" xfId="31032" xr:uid="{00000000-0005-0000-0000-00003B790000}"/>
    <cellStyle name="Normal 2 6 8 2 3 4" xfId="31033" xr:uid="{00000000-0005-0000-0000-00003C790000}"/>
    <cellStyle name="Normal 2 6 8 2 3 5" xfId="31034" xr:uid="{00000000-0005-0000-0000-00003D790000}"/>
    <cellStyle name="Normal 2 6 8 2 4" xfId="31035" xr:uid="{00000000-0005-0000-0000-00003E790000}"/>
    <cellStyle name="Normal 2 6 8 2 4 2" xfId="31036" xr:uid="{00000000-0005-0000-0000-00003F790000}"/>
    <cellStyle name="Normal 2 6 8 2 4 3" xfId="31037" xr:uid="{00000000-0005-0000-0000-000040790000}"/>
    <cellStyle name="Normal 2 6 8 2 4 4" xfId="31038" xr:uid="{00000000-0005-0000-0000-000041790000}"/>
    <cellStyle name="Normal 2 6 8 2 5" xfId="31039" xr:uid="{00000000-0005-0000-0000-000042790000}"/>
    <cellStyle name="Normal 2 6 8 2 5 2" xfId="31040" xr:uid="{00000000-0005-0000-0000-000043790000}"/>
    <cellStyle name="Normal 2 6 8 2 6" xfId="31041" xr:uid="{00000000-0005-0000-0000-000044790000}"/>
    <cellStyle name="Normal 2 6 8 2 7" xfId="31042" xr:uid="{00000000-0005-0000-0000-000045790000}"/>
    <cellStyle name="Normal 2 6 8 2 8" xfId="31043" xr:uid="{00000000-0005-0000-0000-000046790000}"/>
    <cellStyle name="Normal 2 6 8 2 9" xfId="31044" xr:uid="{00000000-0005-0000-0000-000047790000}"/>
    <cellStyle name="Normal 2 6 8 3" xfId="31045" xr:uid="{00000000-0005-0000-0000-000048790000}"/>
    <cellStyle name="Normal 2 6 8 3 2" xfId="31046" xr:uid="{00000000-0005-0000-0000-000049790000}"/>
    <cellStyle name="Normal 2 6 8 3 2 2" xfId="31047" xr:uid="{00000000-0005-0000-0000-00004A790000}"/>
    <cellStyle name="Normal 2 6 8 3 2 2 2" xfId="31048" xr:uid="{00000000-0005-0000-0000-00004B790000}"/>
    <cellStyle name="Normal 2 6 8 3 2 2 3" xfId="31049" xr:uid="{00000000-0005-0000-0000-00004C790000}"/>
    <cellStyle name="Normal 2 6 8 3 2 3" xfId="31050" xr:uid="{00000000-0005-0000-0000-00004D790000}"/>
    <cellStyle name="Normal 2 6 8 3 2 4" xfId="31051" xr:uid="{00000000-0005-0000-0000-00004E790000}"/>
    <cellStyle name="Normal 2 6 8 3 2 5" xfId="31052" xr:uid="{00000000-0005-0000-0000-00004F790000}"/>
    <cellStyle name="Normal 2 6 8 3 2 6" xfId="31053" xr:uid="{00000000-0005-0000-0000-000050790000}"/>
    <cellStyle name="Normal 2 6 8 3 3" xfId="31054" xr:uid="{00000000-0005-0000-0000-000051790000}"/>
    <cellStyle name="Normal 2 6 8 3 3 2" xfId="31055" xr:uid="{00000000-0005-0000-0000-000052790000}"/>
    <cellStyle name="Normal 2 6 8 3 3 2 2" xfId="31056" xr:uid="{00000000-0005-0000-0000-000053790000}"/>
    <cellStyle name="Normal 2 6 8 3 3 3" xfId="31057" xr:uid="{00000000-0005-0000-0000-000054790000}"/>
    <cellStyle name="Normal 2 6 8 3 3 4" xfId="31058" xr:uid="{00000000-0005-0000-0000-000055790000}"/>
    <cellStyle name="Normal 2 6 8 3 3 5" xfId="31059" xr:uid="{00000000-0005-0000-0000-000056790000}"/>
    <cellStyle name="Normal 2 6 8 3 4" xfId="31060" xr:uid="{00000000-0005-0000-0000-000057790000}"/>
    <cellStyle name="Normal 2 6 8 3 4 2" xfId="31061" xr:uid="{00000000-0005-0000-0000-000058790000}"/>
    <cellStyle name="Normal 2 6 8 3 4 3" xfId="31062" xr:uid="{00000000-0005-0000-0000-000059790000}"/>
    <cellStyle name="Normal 2 6 8 3 4 4" xfId="31063" xr:uid="{00000000-0005-0000-0000-00005A790000}"/>
    <cellStyle name="Normal 2 6 8 3 5" xfId="31064" xr:uid="{00000000-0005-0000-0000-00005B790000}"/>
    <cellStyle name="Normal 2 6 8 3 5 2" xfId="31065" xr:uid="{00000000-0005-0000-0000-00005C790000}"/>
    <cellStyle name="Normal 2 6 8 3 6" xfId="31066" xr:uid="{00000000-0005-0000-0000-00005D790000}"/>
    <cellStyle name="Normal 2 6 8 3 7" xfId="31067" xr:uid="{00000000-0005-0000-0000-00005E790000}"/>
    <cellStyle name="Normal 2 6 8 3 8" xfId="31068" xr:uid="{00000000-0005-0000-0000-00005F790000}"/>
    <cellStyle name="Normal 2 6 8 3 9" xfId="31069" xr:uid="{00000000-0005-0000-0000-000060790000}"/>
    <cellStyle name="Normal 2 6 8 4" xfId="31070" xr:uid="{00000000-0005-0000-0000-000061790000}"/>
    <cellStyle name="Normal 2 6 8 4 2" xfId="31071" xr:uid="{00000000-0005-0000-0000-000062790000}"/>
    <cellStyle name="Normal 2 6 8 4 2 2" xfId="31072" xr:uid="{00000000-0005-0000-0000-000063790000}"/>
    <cellStyle name="Normal 2 6 8 4 2 3" xfId="31073" xr:uid="{00000000-0005-0000-0000-000064790000}"/>
    <cellStyle name="Normal 2 6 8 4 3" xfId="31074" xr:uid="{00000000-0005-0000-0000-000065790000}"/>
    <cellStyle name="Normal 2 6 8 4 4" xfId="31075" xr:uid="{00000000-0005-0000-0000-000066790000}"/>
    <cellStyle name="Normal 2 6 8 4 5" xfId="31076" xr:uid="{00000000-0005-0000-0000-000067790000}"/>
    <cellStyle name="Normal 2 6 8 4 6" xfId="31077" xr:uid="{00000000-0005-0000-0000-000068790000}"/>
    <cellStyle name="Normal 2 6 8 5" xfId="31078" xr:uid="{00000000-0005-0000-0000-000069790000}"/>
    <cellStyle name="Normal 2 6 8 5 2" xfId="31079" xr:uid="{00000000-0005-0000-0000-00006A790000}"/>
    <cellStyle name="Normal 2 6 8 5 2 2" xfId="31080" xr:uid="{00000000-0005-0000-0000-00006B790000}"/>
    <cellStyle name="Normal 2 6 8 5 3" xfId="31081" xr:uid="{00000000-0005-0000-0000-00006C790000}"/>
    <cellStyle name="Normal 2 6 8 5 4" xfId="31082" xr:uid="{00000000-0005-0000-0000-00006D790000}"/>
    <cellStyle name="Normal 2 6 8 5 5" xfId="31083" xr:uid="{00000000-0005-0000-0000-00006E790000}"/>
    <cellStyle name="Normal 2 6 8 6" xfId="31084" xr:uid="{00000000-0005-0000-0000-00006F790000}"/>
    <cellStyle name="Normal 2 6 8 6 2" xfId="31085" xr:uid="{00000000-0005-0000-0000-000070790000}"/>
    <cellStyle name="Normal 2 6 8 6 3" xfId="31086" xr:uid="{00000000-0005-0000-0000-000071790000}"/>
    <cellStyle name="Normal 2 6 8 6 4" xfId="31087" xr:uid="{00000000-0005-0000-0000-000072790000}"/>
    <cellStyle name="Normal 2 6 8 7" xfId="31088" xr:uid="{00000000-0005-0000-0000-000073790000}"/>
    <cellStyle name="Normal 2 6 8 7 2" xfId="31089" xr:uid="{00000000-0005-0000-0000-000074790000}"/>
    <cellStyle name="Normal 2 6 8 8" xfId="31090" xr:uid="{00000000-0005-0000-0000-000075790000}"/>
    <cellStyle name="Normal 2 6 8 9" xfId="31091" xr:uid="{00000000-0005-0000-0000-000076790000}"/>
    <cellStyle name="Normal 2 6 9" xfId="31092" xr:uid="{00000000-0005-0000-0000-000077790000}"/>
    <cellStyle name="Normal 2 6 9 10" xfId="31093" xr:uid="{00000000-0005-0000-0000-000078790000}"/>
    <cellStyle name="Normal 2 6 9 11" xfId="31094" xr:uid="{00000000-0005-0000-0000-000079790000}"/>
    <cellStyle name="Normal 2 6 9 2" xfId="31095" xr:uid="{00000000-0005-0000-0000-00007A790000}"/>
    <cellStyle name="Normal 2 6 9 2 2" xfId="31096" xr:uid="{00000000-0005-0000-0000-00007B790000}"/>
    <cellStyle name="Normal 2 6 9 2 2 2" xfId="31097" xr:uid="{00000000-0005-0000-0000-00007C790000}"/>
    <cellStyle name="Normal 2 6 9 2 2 2 2" xfId="31098" xr:uid="{00000000-0005-0000-0000-00007D790000}"/>
    <cellStyle name="Normal 2 6 9 2 2 2 3" xfId="31099" xr:uid="{00000000-0005-0000-0000-00007E790000}"/>
    <cellStyle name="Normal 2 6 9 2 2 3" xfId="31100" xr:uid="{00000000-0005-0000-0000-00007F790000}"/>
    <cellStyle name="Normal 2 6 9 2 2 4" xfId="31101" xr:uid="{00000000-0005-0000-0000-000080790000}"/>
    <cellStyle name="Normal 2 6 9 2 2 5" xfId="31102" xr:uid="{00000000-0005-0000-0000-000081790000}"/>
    <cellStyle name="Normal 2 6 9 2 2 6" xfId="31103" xr:uid="{00000000-0005-0000-0000-000082790000}"/>
    <cellStyle name="Normal 2 6 9 2 3" xfId="31104" xr:uid="{00000000-0005-0000-0000-000083790000}"/>
    <cellStyle name="Normal 2 6 9 2 3 2" xfId="31105" xr:uid="{00000000-0005-0000-0000-000084790000}"/>
    <cellStyle name="Normal 2 6 9 2 3 2 2" xfId="31106" xr:uid="{00000000-0005-0000-0000-000085790000}"/>
    <cellStyle name="Normal 2 6 9 2 3 3" xfId="31107" xr:uid="{00000000-0005-0000-0000-000086790000}"/>
    <cellStyle name="Normal 2 6 9 2 3 4" xfId="31108" xr:uid="{00000000-0005-0000-0000-000087790000}"/>
    <cellStyle name="Normal 2 6 9 2 3 5" xfId="31109" xr:uid="{00000000-0005-0000-0000-000088790000}"/>
    <cellStyle name="Normal 2 6 9 2 4" xfId="31110" xr:uid="{00000000-0005-0000-0000-000089790000}"/>
    <cellStyle name="Normal 2 6 9 2 4 2" xfId="31111" xr:uid="{00000000-0005-0000-0000-00008A790000}"/>
    <cellStyle name="Normal 2 6 9 2 4 3" xfId="31112" xr:uid="{00000000-0005-0000-0000-00008B790000}"/>
    <cellStyle name="Normal 2 6 9 2 4 4" xfId="31113" xr:uid="{00000000-0005-0000-0000-00008C790000}"/>
    <cellStyle name="Normal 2 6 9 2 5" xfId="31114" xr:uid="{00000000-0005-0000-0000-00008D790000}"/>
    <cellStyle name="Normal 2 6 9 2 5 2" xfId="31115" xr:uid="{00000000-0005-0000-0000-00008E790000}"/>
    <cellStyle name="Normal 2 6 9 2 6" xfId="31116" xr:uid="{00000000-0005-0000-0000-00008F790000}"/>
    <cellStyle name="Normal 2 6 9 2 7" xfId="31117" xr:uid="{00000000-0005-0000-0000-000090790000}"/>
    <cellStyle name="Normal 2 6 9 2 8" xfId="31118" xr:uid="{00000000-0005-0000-0000-000091790000}"/>
    <cellStyle name="Normal 2 6 9 2 9" xfId="31119" xr:uid="{00000000-0005-0000-0000-000092790000}"/>
    <cellStyle name="Normal 2 6 9 3" xfId="31120" xr:uid="{00000000-0005-0000-0000-000093790000}"/>
    <cellStyle name="Normal 2 6 9 3 2" xfId="31121" xr:uid="{00000000-0005-0000-0000-000094790000}"/>
    <cellStyle name="Normal 2 6 9 3 2 2" xfId="31122" xr:uid="{00000000-0005-0000-0000-000095790000}"/>
    <cellStyle name="Normal 2 6 9 3 2 2 2" xfId="31123" xr:uid="{00000000-0005-0000-0000-000096790000}"/>
    <cellStyle name="Normal 2 6 9 3 2 2 3" xfId="31124" xr:uid="{00000000-0005-0000-0000-000097790000}"/>
    <cellStyle name="Normal 2 6 9 3 2 3" xfId="31125" xr:uid="{00000000-0005-0000-0000-000098790000}"/>
    <cellStyle name="Normal 2 6 9 3 2 4" xfId="31126" xr:uid="{00000000-0005-0000-0000-000099790000}"/>
    <cellStyle name="Normal 2 6 9 3 2 5" xfId="31127" xr:uid="{00000000-0005-0000-0000-00009A790000}"/>
    <cellStyle name="Normal 2 6 9 3 2 6" xfId="31128" xr:uid="{00000000-0005-0000-0000-00009B790000}"/>
    <cellStyle name="Normal 2 6 9 3 3" xfId="31129" xr:uid="{00000000-0005-0000-0000-00009C790000}"/>
    <cellStyle name="Normal 2 6 9 3 3 2" xfId="31130" xr:uid="{00000000-0005-0000-0000-00009D790000}"/>
    <cellStyle name="Normal 2 6 9 3 3 2 2" xfId="31131" xr:uid="{00000000-0005-0000-0000-00009E790000}"/>
    <cellStyle name="Normal 2 6 9 3 3 3" xfId="31132" xr:uid="{00000000-0005-0000-0000-00009F790000}"/>
    <cellStyle name="Normal 2 6 9 3 3 4" xfId="31133" xr:uid="{00000000-0005-0000-0000-0000A0790000}"/>
    <cellStyle name="Normal 2 6 9 3 3 5" xfId="31134" xr:uid="{00000000-0005-0000-0000-0000A1790000}"/>
    <cellStyle name="Normal 2 6 9 3 4" xfId="31135" xr:uid="{00000000-0005-0000-0000-0000A2790000}"/>
    <cellStyle name="Normal 2 6 9 3 4 2" xfId="31136" xr:uid="{00000000-0005-0000-0000-0000A3790000}"/>
    <cellStyle name="Normal 2 6 9 3 4 3" xfId="31137" xr:uid="{00000000-0005-0000-0000-0000A4790000}"/>
    <cellStyle name="Normal 2 6 9 3 4 4" xfId="31138" xr:uid="{00000000-0005-0000-0000-0000A5790000}"/>
    <cellStyle name="Normal 2 6 9 3 5" xfId="31139" xr:uid="{00000000-0005-0000-0000-0000A6790000}"/>
    <cellStyle name="Normal 2 6 9 3 5 2" xfId="31140" xr:uid="{00000000-0005-0000-0000-0000A7790000}"/>
    <cellStyle name="Normal 2 6 9 3 6" xfId="31141" xr:uid="{00000000-0005-0000-0000-0000A8790000}"/>
    <cellStyle name="Normal 2 6 9 3 7" xfId="31142" xr:uid="{00000000-0005-0000-0000-0000A9790000}"/>
    <cellStyle name="Normal 2 6 9 3 8" xfId="31143" xr:uid="{00000000-0005-0000-0000-0000AA790000}"/>
    <cellStyle name="Normal 2 6 9 3 9" xfId="31144" xr:uid="{00000000-0005-0000-0000-0000AB790000}"/>
    <cellStyle name="Normal 2 6 9 4" xfId="31145" xr:uid="{00000000-0005-0000-0000-0000AC790000}"/>
    <cellStyle name="Normal 2 6 9 4 2" xfId="31146" xr:uid="{00000000-0005-0000-0000-0000AD790000}"/>
    <cellStyle name="Normal 2 6 9 4 2 2" xfId="31147" xr:uid="{00000000-0005-0000-0000-0000AE790000}"/>
    <cellStyle name="Normal 2 6 9 4 2 3" xfId="31148" xr:uid="{00000000-0005-0000-0000-0000AF790000}"/>
    <cellStyle name="Normal 2 6 9 4 3" xfId="31149" xr:uid="{00000000-0005-0000-0000-0000B0790000}"/>
    <cellStyle name="Normal 2 6 9 4 4" xfId="31150" xr:uid="{00000000-0005-0000-0000-0000B1790000}"/>
    <cellStyle name="Normal 2 6 9 4 5" xfId="31151" xr:uid="{00000000-0005-0000-0000-0000B2790000}"/>
    <cellStyle name="Normal 2 6 9 4 6" xfId="31152" xr:uid="{00000000-0005-0000-0000-0000B3790000}"/>
    <cellStyle name="Normal 2 6 9 5" xfId="31153" xr:uid="{00000000-0005-0000-0000-0000B4790000}"/>
    <cellStyle name="Normal 2 6 9 5 2" xfId="31154" xr:uid="{00000000-0005-0000-0000-0000B5790000}"/>
    <cellStyle name="Normal 2 6 9 5 2 2" xfId="31155" xr:uid="{00000000-0005-0000-0000-0000B6790000}"/>
    <cellStyle name="Normal 2 6 9 5 3" xfId="31156" xr:uid="{00000000-0005-0000-0000-0000B7790000}"/>
    <cellStyle name="Normal 2 6 9 5 4" xfId="31157" xr:uid="{00000000-0005-0000-0000-0000B8790000}"/>
    <cellStyle name="Normal 2 6 9 5 5" xfId="31158" xr:uid="{00000000-0005-0000-0000-0000B9790000}"/>
    <cellStyle name="Normal 2 6 9 6" xfId="31159" xr:uid="{00000000-0005-0000-0000-0000BA790000}"/>
    <cellStyle name="Normal 2 6 9 6 2" xfId="31160" xr:uid="{00000000-0005-0000-0000-0000BB790000}"/>
    <cellStyle name="Normal 2 6 9 6 3" xfId="31161" xr:uid="{00000000-0005-0000-0000-0000BC790000}"/>
    <cellStyle name="Normal 2 6 9 6 4" xfId="31162" xr:uid="{00000000-0005-0000-0000-0000BD790000}"/>
    <cellStyle name="Normal 2 6 9 7" xfId="31163" xr:uid="{00000000-0005-0000-0000-0000BE790000}"/>
    <cellStyle name="Normal 2 6 9 7 2" xfId="31164" xr:uid="{00000000-0005-0000-0000-0000BF790000}"/>
    <cellStyle name="Normal 2 6 9 8" xfId="31165" xr:uid="{00000000-0005-0000-0000-0000C0790000}"/>
    <cellStyle name="Normal 2 6 9 9" xfId="31166" xr:uid="{00000000-0005-0000-0000-0000C1790000}"/>
    <cellStyle name="Normal 2 60" xfId="31167" xr:uid="{00000000-0005-0000-0000-0000C2790000}"/>
    <cellStyle name="Normal 2 60 10" xfId="31168" xr:uid="{00000000-0005-0000-0000-0000C3790000}"/>
    <cellStyle name="Normal 2 60 2" xfId="31169" xr:uid="{00000000-0005-0000-0000-0000C4790000}"/>
    <cellStyle name="Normal 2 60 2 2" xfId="31170" xr:uid="{00000000-0005-0000-0000-0000C5790000}"/>
    <cellStyle name="Normal 2 60 2 2 2" xfId="31171" xr:uid="{00000000-0005-0000-0000-0000C6790000}"/>
    <cellStyle name="Normal 2 60 2 2 3" xfId="31172" xr:uid="{00000000-0005-0000-0000-0000C7790000}"/>
    <cellStyle name="Normal 2 60 2 3" xfId="31173" xr:uid="{00000000-0005-0000-0000-0000C8790000}"/>
    <cellStyle name="Normal 2 60 2 4" xfId="31174" xr:uid="{00000000-0005-0000-0000-0000C9790000}"/>
    <cellStyle name="Normal 2 60 2 5" xfId="31175" xr:uid="{00000000-0005-0000-0000-0000CA790000}"/>
    <cellStyle name="Normal 2 60 2 6" xfId="31176" xr:uid="{00000000-0005-0000-0000-0000CB790000}"/>
    <cellStyle name="Normal 2 60 3" xfId="31177" xr:uid="{00000000-0005-0000-0000-0000CC790000}"/>
    <cellStyle name="Normal 2 60 3 2" xfId="31178" xr:uid="{00000000-0005-0000-0000-0000CD790000}"/>
    <cellStyle name="Normal 2 60 3 2 2" xfId="31179" xr:uid="{00000000-0005-0000-0000-0000CE790000}"/>
    <cellStyle name="Normal 2 60 3 2 3" xfId="31180" xr:uid="{00000000-0005-0000-0000-0000CF790000}"/>
    <cellStyle name="Normal 2 60 3 3" xfId="31181" xr:uid="{00000000-0005-0000-0000-0000D0790000}"/>
    <cellStyle name="Normal 2 60 3 4" xfId="31182" xr:uid="{00000000-0005-0000-0000-0000D1790000}"/>
    <cellStyle name="Normal 2 60 3 5" xfId="31183" xr:uid="{00000000-0005-0000-0000-0000D2790000}"/>
    <cellStyle name="Normal 2 60 3 6" xfId="31184" xr:uid="{00000000-0005-0000-0000-0000D3790000}"/>
    <cellStyle name="Normal 2 60 4" xfId="31185" xr:uid="{00000000-0005-0000-0000-0000D4790000}"/>
    <cellStyle name="Normal 2 60 4 2" xfId="31186" xr:uid="{00000000-0005-0000-0000-0000D5790000}"/>
    <cellStyle name="Normal 2 60 4 2 2" xfId="31187" xr:uid="{00000000-0005-0000-0000-0000D6790000}"/>
    <cellStyle name="Normal 2 60 4 3" xfId="31188" xr:uid="{00000000-0005-0000-0000-0000D7790000}"/>
    <cellStyle name="Normal 2 60 4 4" xfId="31189" xr:uid="{00000000-0005-0000-0000-0000D8790000}"/>
    <cellStyle name="Normal 2 60 4 5" xfId="31190" xr:uid="{00000000-0005-0000-0000-0000D9790000}"/>
    <cellStyle name="Normal 2 60 5" xfId="31191" xr:uid="{00000000-0005-0000-0000-0000DA790000}"/>
    <cellStyle name="Normal 2 60 5 2" xfId="31192" xr:uid="{00000000-0005-0000-0000-0000DB790000}"/>
    <cellStyle name="Normal 2 60 5 3" xfId="31193" xr:uid="{00000000-0005-0000-0000-0000DC790000}"/>
    <cellStyle name="Normal 2 60 5 4" xfId="31194" xr:uid="{00000000-0005-0000-0000-0000DD790000}"/>
    <cellStyle name="Normal 2 60 6" xfId="31195" xr:uid="{00000000-0005-0000-0000-0000DE790000}"/>
    <cellStyle name="Normal 2 60 6 2" xfId="31196" xr:uid="{00000000-0005-0000-0000-0000DF790000}"/>
    <cellStyle name="Normal 2 60 7" xfId="31197" xr:uid="{00000000-0005-0000-0000-0000E0790000}"/>
    <cellStyle name="Normal 2 60 8" xfId="31198" xr:uid="{00000000-0005-0000-0000-0000E1790000}"/>
    <cellStyle name="Normal 2 60 9" xfId="31199" xr:uid="{00000000-0005-0000-0000-0000E2790000}"/>
    <cellStyle name="Normal 2 61" xfId="31200" xr:uid="{00000000-0005-0000-0000-0000E3790000}"/>
    <cellStyle name="Normal 2 61 2" xfId="31201" xr:uid="{00000000-0005-0000-0000-0000E4790000}"/>
    <cellStyle name="Normal 2 61 2 2" xfId="31202" xr:uid="{00000000-0005-0000-0000-0000E5790000}"/>
    <cellStyle name="Normal 2 61 2 2 2" xfId="31203" xr:uid="{00000000-0005-0000-0000-0000E6790000}"/>
    <cellStyle name="Normal 2 61 2 2 3" xfId="31204" xr:uid="{00000000-0005-0000-0000-0000E7790000}"/>
    <cellStyle name="Normal 2 61 2 3" xfId="31205" xr:uid="{00000000-0005-0000-0000-0000E8790000}"/>
    <cellStyle name="Normal 2 61 2 4" xfId="31206" xr:uid="{00000000-0005-0000-0000-0000E9790000}"/>
    <cellStyle name="Normal 2 61 2 5" xfId="31207" xr:uid="{00000000-0005-0000-0000-0000EA790000}"/>
    <cellStyle name="Normal 2 61 2 6" xfId="31208" xr:uid="{00000000-0005-0000-0000-0000EB790000}"/>
    <cellStyle name="Normal 2 61 3" xfId="31209" xr:uid="{00000000-0005-0000-0000-0000EC790000}"/>
    <cellStyle name="Normal 2 61 3 2" xfId="31210" xr:uid="{00000000-0005-0000-0000-0000ED790000}"/>
    <cellStyle name="Normal 2 61 3 2 2" xfId="31211" xr:uid="{00000000-0005-0000-0000-0000EE790000}"/>
    <cellStyle name="Normal 2 61 3 3" xfId="31212" xr:uid="{00000000-0005-0000-0000-0000EF790000}"/>
    <cellStyle name="Normal 2 61 3 4" xfId="31213" xr:uid="{00000000-0005-0000-0000-0000F0790000}"/>
    <cellStyle name="Normal 2 61 3 5" xfId="31214" xr:uid="{00000000-0005-0000-0000-0000F1790000}"/>
    <cellStyle name="Normal 2 61 4" xfId="31215" xr:uid="{00000000-0005-0000-0000-0000F2790000}"/>
    <cellStyle name="Normal 2 61 4 2" xfId="31216" xr:uid="{00000000-0005-0000-0000-0000F3790000}"/>
    <cellStyle name="Normal 2 61 4 3" xfId="31217" xr:uid="{00000000-0005-0000-0000-0000F4790000}"/>
    <cellStyle name="Normal 2 61 4 4" xfId="31218" xr:uid="{00000000-0005-0000-0000-0000F5790000}"/>
    <cellStyle name="Normal 2 61 5" xfId="31219" xr:uid="{00000000-0005-0000-0000-0000F6790000}"/>
    <cellStyle name="Normal 2 61 5 2" xfId="31220" xr:uid="{00000000-0005-0000-0000-0000F7790000}"/>
    <cellStyle name="Normal 2 61 6" xfId="31221" xr:uid="{00000000-0005-0000-0000-0000F8790000}"/>
    <cellStyle name="Normal 2 61 7" xfId="31222" xr:uid="{00000000-0005-0000-0000-0000F9790000}"/>
    <cellStyle name="Normal 2 61 8" xfId="31223" xr:uid="{00000000-0005-0000-0000-0000FA790000}"/>
    <cellStyle name="Normal 2 61 9" xfId="31224" xr:uid="{00000000-0005-0000-0000-0000FB790000}"/>
    <cellStyle name="Normal 2 62" xfId="31225" xr:uid="{00000000-0005-0000-0000-0000FC790000}"/>
    <cellStyle name="Normal 2 62 2" xfId="31226" xr:uid="{00000000-0005-0000-0000-0000FD790000}"/>
    <cellStyle name="Normal 2 62 2 2" xfId="31227" xr:uid="{00000000-0005-0000-0000-0000FE790000}"/>
    <cellStyle name="Normal 2 62 2 2 2" xfId="31228" xr:uid="{00000000-0005-0000-0000-0000FF790000}"/>
    <cellStyle name="Normal 2 62 2 3" xfId="31229" xr:uid="{00000000-0005-0000-0000-0000007A0000}"/>
    <cellStyle name="Normal 2 62 2 4" xfId="31230" xr:uid="{00000000-0005-0000-0000-0000017A0000}"/>
    <cellStyle name="Normal 2 62 2 5" xfId="31231" xr:uid="{00000000-0005-0000-0000-0000027A0000}"/>
    <cellStyle name="Normal 2 62 3" xfId="31232" xr:uid="{00000000-0005-0000-0000-0000037A0000}"/>
    <cellStyle name="Normal 2 62 3 2" xfId="31233" xr:uid="{00000000-0005-0000-0000-0000047A0000}"/>
    <cellStyle name="Normal 2 62 3 3" xfId="31234" xr:uid="{00000000-0005-0000-0000-0000057A0000}"/>
    <cellStyle name="Normal 2 62 3 4" xfId="31235" xr:uid="{00000000-0005-0000-0000-0000067A0000}"/>
    <cellStyle name="Normal 2 62 4" xfId="31236" xr:uid="{00000000-0005-0000-0000-0000077A0000}"/>
    <cellStyle name="Normal 2 62 4 2" xfId="31237" xr:uid="{00000000-0005-0000-0000-0000087A0000}"/>
    <cellStyle name="Normal 2 62 5" xfId="31238" xr:uid="{00000000-0005-0000-0000-0000097A0000}"/>
    <cellStyle name="Normal 2 62 6" xfId="31239" xr:uid="{00000000-0005-0000-0000-00000A7A0000}"/>
    <cellStyle name="Normal 2 62 7" xfId="31240" xr:uid="{00000000-0005-0000-0000-00000B7A0000}"/>
    <cellStyle name="Normal 2 62 8" xfId="31241" xr:uid="{00000000-0005-0000-0000-00000C7A0000}"/>
    <cellStyle name="Normal 2 63" xfId="31242" xr:uid="{00000000-0005-0000-0000-00000D7A0000}"/>
    <cellStyle name="Normal 2 63 2" xfId="31243" xr:uid="{00000000-0005-0000-0000-00000E7A0000}"/>
    <cellStyle name="Normal 2 63 2 2" xfId="31244" xr:uid="{00000000-0005-0000-0000-00000F7A0000}"/>
    <cellStyle name="Normal 2 63 2 3" xfId="31245" xr:uid="{00000000-0005-0000-0000-0000107A0000}"/>
    <cellStyle name="Normal 2 63 2 4" xfId="31246" xr:uid="{00000000-0005-0000-0000-0000117A0000}"/>
    <cellStyle name="Normal 2 63 3" xfId="31247" xr:uid="{00000000-0005-0000-0000-0000127A0000}"/>
    <cellStyle name="Normal 2 63 3 2" xfId="31248" xr:uid="{00000000-0005-0000-0000-0000137A0000}"/>
    <cellStyle name="Normal 2 63 4" xfId="31249" xr:uid="{00000000-0005-0000-0000-0000147A0000}"/>
    <cellStyle name="Normal 2 63 5" xfId="31250" xr:uid="{00000000-0005-0000-0000-0000157A0000}"/>
    <cellStyle name="Normal 2 63 6" xfId="31251" xr:uid="{00000000-0005-0000-0000-0000167A0000}"/>
    <cellStyle name="Normal 2 63 7" xfId="31252" xr:uid="{00000000-0005-0000-0000-0000177A0000}"/>
    <cellStyle name="Normal 2 64" xfId="31253" xr:uid="{00000000-0005-0000-0000-0000187A0000}"/>
    <cellStyle name="Normal 2 64 2" xfId="31254" xr:uid="{00000000-0005-0000-0000-0000197A0000}"/>
    <cellStyle name="Normal 2 64 2 2" xfId="31255" xr:uid="{00000000-0005-0000-0000-00001A7A0000}"/>
    <cellStyle name="Normal 2 64 3" xfId="31256" xr:uid="{00000000-0005-0000-0000-00001B7A0000}"/>
    <cellStyle name="Normal 2 64 4" xfId="31257" xr:uid="{00000000-0005-0000-0000-00001C7A0000}"/>
    <cellStyle name="Normal 2 64 5" xfId="31258" xr:uid="{00000000-0005-0000-0000-00001D7A0000}"/>
    <cellStyle name="Normal 2 65" xfId="31259" xr:uid="{00000000-0005-0000-0000-00001E7A0000}"/>
    <cellStyle name="Normal 2 65 2" xfId="31260" xr:uid="{00000000-0005-0000-0000-00001F7A0000}"/>
    <cellStyle name="Normal 2 65 3" xfId="31261" xr:uid="{00000000-0005-0000-0000-0000207A0000}"/>
    <cellStyle name="Normal 2 65 4" xfId="31262" xr:uid="{00000000-0005-0000-0000-0000217A0000}"/>
    <cellStyle name="Normal 2 66" xfId="31263" xr:uid="{00000000-0005-0000-0000-0000227A0000}"/>
    <cellStyle name="Normal 2 66 2" xfId="31264" xr:uid="{00000000-0005-0000-0000-0000237A0000}"/>
    <cellStyle name="Normal 2 67" xfId="31265" xr:uid="{00000000-0005-0000-0000-0000247A0000}"/>
    <cellStyle name="Normal 2 68" xfId="31266" xr:uid="{00000000-0005-0000-0000-0000257A0000}"/>
    <cellStyle name="Normal 2 69" xfId="31267" xr:uid="{00000000-0005-0000-0000-0000267A0000}"/>
    <cellStyle name="Normal 2 7" xfId="31268" xr:uid="{00000000-0005-0000-0000-0000277A0000}"/>
    <cellStyle name="Normal 2 7 10" xfId="31269" xr:uid="{00000000-0005-0000-0000-0000287A0000}"/>
    <cellStyle name="Normal 2 7 10 10" xfId="31270" xr:uid="{00000000-0005-0000-0000-0000297A0000}"/>
    <cellStyle name="Normal 2 7 10 11" xfId="31271" xr:uid="{00000000-0005-0000-0000-00002A7A0000}"/>
    <cellStyle name="Normal 2 7 10 2" xfId="31272" xr:uid="{00000000-0005-0000-0000-00002B7A0000}"/>
    <cellStyle name="Normal 2 7 10 2 2" xfId="31273" xr:uid="{00000000-0005-0000-0000-00002C7A0000}"/>
    <cellStyle name="Normal 2 7 10 2 2 2" xfId="31274" xr:uid="{00000000-0005-0000-0000-00002D7A0000}"/>
    <cellStyle name="Normal 2 7 10 2 2 2 2" xfId="31275" xr:uid="{00000000-0005-0000-0000-00002E7A0000}"/>
    <cellStyle name="Normal 2 7 10 2 2 2 3" xfId="31276" xr:uid="{00000000-0005-0000-0000-00002F7A0000}"/>
    <cellStyle name="Normal 2 7 10 2 2 3" xfId="31277" xr:uid="{00000000-0005-0000-0000-0000307A0000}"/>
    <cellStyle name="Normal 2 7 10 2 2 4" xfId="31278" xr:uid="{00000000-0005-0000-0000-0000317A0000}"/>
    <cellStyle name="Normal 2 7 10 2 2 5" xfId="31279" xr:uid="{00000000-0005-0000-0000-0000327A0000}"/>
    <cellStyle name="Normal 2 7 10 2 2 6" xfId="31280" xr:uid="{00000000-0005-0000-0000-0000337A0000}"/>
    <cellStyle name="Normal 2 7 10 2 3" xfId="31281" xr:uid="{00000000-0005-0000-0000-0000347A0000}"/>
    <cellStyle name="Normal 2 7 10 2 3 2" xfId="31282" xr:uid="{00000000-0005-0000-0000-0000357A0000}"/>
    <cellStyle name="Normal 2 7 10 2 3 2 2" xfId="31283" xr:uid="{00000000-0005-0000-0000-0000367A0000}"/>
    <cellStyle name="Normal 2 7 10 2 3 3" xfId="31284" xr:uid="{00000000-0005-0000-0000-0000377A0000}"/>
    <cellStyle name="Normal 2 7 10 2 3 4" xfId="31285" xr:uid="{00000000-0005-0000-0000-0000387A0000}"/>
    <cellStyle name="Normal 2 7 10 2 3 5" xfId="31286" xr:uid="{00000000-0005-0000-0000-0000397A0000}"/>
    <cellStyle name="Normal 2 7 10 2 4" xfId="31287" xr:uid="{00000000-0005-0000-0000-00003A7A0000}"/>
    <cellStyle name="Normal 2 7 10 2 4 2" xfId="31288" xr:uid="{00000000-0005-0000-0000-00003B7A0000}"/>
    <cellStyle name="Normal 2 7 10 2 4 3" xfId="31289" xr:uid="{00000000-0005-0000-0000-00003C7A0000}"/>
    <cellStyle name="Normal 2 7 10 2 4 4" xfId="31290" xr:uid="{00000000-0005-0000-0000-00003D7A0000}"/>
    <cellStyle name="Normal 2 7 10 2 5" xfId="31291" xr:uid="{00000000-0005-0000-0000-00003E7A0000}"/>
    <cellStyle name="Normal 2 7 10 2 5 2" xfId="31292" xr:uid="{00000000-0005-0000-0000-00003F7A0000}"/>
    <cellStyle name="Normal 2 7 10 2 6" xfId="31293" xr:uid="{00000000-0005-0000-0000-0000407A0000}"/>
    <cellStyle name="Normal 2 7 10 2 7" xfId="31294" xr:uid="{00000000-0005-0000-0000-0000417A0000}"/>
    <cellStyle name="Normal 2 7 10 2 8" xfId="31295" xr:uid="{00000000-0005-0000-0000-0000427A0000}"/>
    <cellStyle name="Normal 2 7 10 2 9" xfId="31296" xr:uid="{00000000-0005-0000-0000-0000437A0000}"/>
    <cellStyle name="Normal 2 7 10 3" xfId="31297" xr:uid="{00000000-0005-0000-0000-0000447A0000}"/>
    <cellStyle name="Normal 2 7 10 3 2" xfId="31298" xr:uid="{00000000-0005-0000-0000-0000457A0000}"/>
    <cellStyle name="Normal 2 7 10 3 2 2" xfId="31299" xr:uid="{00000000-0005-0000-0000-0000467A0000}"/>
    <cellStyle name="Normal 2 7 10 3 2 2 2" xfId="31300" xr:uid="{00000000-0005-0000-0000-0000477A0000}"/>
    <cellStyle name="Normal 2 7 10 3 2 2 3" xfId="31301" xr:uid="{00000000-0005-0000-0000-0000487A0000}"/>
    <cellStyle name="Normal 2 7 10 3 2 3" xfId="31302" xr:uid="{00000000-0005-0000-0000-0000497A0000}"/>
    <cellStyle name="Normal 2 7 10 3 2 4" xfId="31303" xr:uid="{00000000-0005-0000-0000-00004A7A0000}"/>
    <cellStyle name="Normal 2 7 10 3 2 5" xfId="31304" xr:uid="{00000000-0005-0000-0000-00004B7A0000}"/>
    <cellStyle name="Normal 2 7 10 3 2 6" xfId="31305" xr:uid="{00000000-0005-0000-0000-00004C7A0000}"/>
    <cellStyle name="Normal 2 7 10 3 3" xfId="31306" xr:uid="{00000000-0005-0000-0000-00004D7A0000}"/>
    <cellStyle name="Normal 2 7 10 3 3 2" xfId="31307" xr:uid="{00000000-0005-0000-0000-00004E7A0000}"/>
    <cellStyle name="Normal 2 7 10 3 3 2 2" xfId="31308" xr:uid="{00000000-0005-0000-0000-00004F7A0000}"/>
    <cellStyle name="Normal 2 7 10 3 3 3" xfId="31309" xr:uid="{00000000-0005-0000-0000-0000507A0000}"/>
    <cellStyle name="Normal 2 7 10 3 3 4" xfId="31310" xr:uid="{00000000-0005-0000-0000-0000517A0000}"/>
    <cellStyle name="Normal 2 7 10 3 3 5" xfId="31311" xr:uid="{00000000-0005-0000-0000-0000527A0000}"/>
    <cellStyle name="Normal 2 7 10 3 4" xfId="31312" xr:uid="{00000000-0005-0000-0000-0000537A0000}"/>
    <cellStyle name="Normal 2 7 10 3 4 2" xfId="31313" xr:uid="{00000000-0005-0000-0000-0000547A0000}"/>
    <cellStyle name="Normal 2 7 10 3 4 3" xfId="31314" xr:uid="{00000000-0005-0000-0000-0000557A0000}"/>
    <cellStyle name="Normal 2 7 10 3 4 4" xfId="31315" xr:uid="{00000000-0005-0000-0000-0000567A0000}"/>
    <cellStyle name="Normal 2 7 10 3 5" xfId="31316" xr:uid="{00000000-0005-0000-0000-0000577A0000}"/>
    <cellStyle name="Normal 2 7 10 3 5 2" xfId="31317" xr:uid="{00000000-0005-0000-0000-0000587A0000}"/>
    <cellStyle name="Normal 2 7 10 3 6" xfId="31318" xr:uid="{00000000-0005-0000-0000-0000597A0000}"/>
    <cellStyle name="Normal 2 7 10 3 7" xfId="31319" xr:uid="{00000000-0005-0000-0000-00005A7A0000}"/>
    <cellStyle name="Normal 2 7 10 3 8" xfId="31320" xr:uid="{00000000-0005-0000-0000-00005B7A0000}"/>
    <cellStyle name="Normal 2 7 10 3 9" xfId="31321" xr:uid="{00000000-0005-0000-0000-00005C7A0000}"/>
    <cellStyle name="Normal 2 7 10 4" xfId="31322" xr:uid="{00000000-0005-0000-0000-00005D7A0000}"/>
    <cellStyle name="Normal 2 7 10 4 2" xfId="31323" xr:uid="{00000000-0005-0000-0000-00005E7A0000}"/>
    <cellStyle name="Normal 2 7 10 4 2 2" xfId="31324" xr:uid="{00000000-0005-0000-0000-00005F7A0000}"/>
    <cellStyle name="Normal 2 7 10 4 2 3" xfId="31325" xr:uid="{00000000-0005-0000-0000-0000607A0000}"/>
    <cellStyle name="Normal 2 7 10 4 3" xfId="31326" xr:uid="{00000000-0005-0000-0000-0000617A0000}"/>
    <cellStyle name="Normal 2 7 10 4 4" xfId="31327" xr:uid="{00000000-0005-0000-0000-0000627A0000}"/>
    <cellStyle name="Normal 2 7 10 4 5" xfId="31328" xr:uid="{00000000-0005-0000-0000-0000637A0000}"/>
    <cellStyle name="Normal 2 7 10 4 6" xfId="31329" xr:uid="{00000000-0005-0000-0000-0000647A0000}"/>
    <cellStyle name="Normal 2 7 10 5" xfId="31330" xr:uid="{00000000-0005-0000-0000-0000657A0000}"/>
    <cellStyle name="Normal 2 7 10 5 2" xfId="31331" xr:uid="{00000000-0005-0000-0000-0000667A0000}"/>
    <cellStyle name="Normal 2 7 10 5 2 2" xfId="31332" xr:uid="{00000000-0005-0000-0000-0000677A0000}"/>
    <cellStyle name="Normal 2 7 10 5 3" xfId="31333" xr:uid="{00000000-0005-0000-0000-0000687A0000}"/>
    <cellStyle name="Normal 2 7 10 5 4" xfId="31334" xr:uid="{00000000-0005-0000-0000-0000697A0000}"/>
    <cellStyle name="Normal 2 7 10 5 5" xfId="31335" xr:uid="{00000000-0005-0000-0000-00006A7A0000}"/>
    <cellStyle name="Normal 2 7 10 6" xfId="31336" xr:uid="{00000000-0005-0000-0000-00006B7A0000}"/>
    <cellStyle name="Normal 2 7 10 6 2" xfId="31337" xr:uid="{00000000-0005-0000-0000-00006C7A0000}"/>
    <cellStyle name="Normal 2 7 10 6 3" xfId="31338" xr:uid="{00000000-0005-0000-0000-00006D7A0000}"/>
    <cellStyle name="Normal 2 7 10 6 4" xfId="31339" xr:uid="{00000000-0005-0000-0000-00006E7A0000}"/>
    <cellStyle name="Normal 2 7 10 7" xfId="31340" xr:uid="{00000000-0005-0000-0000-00006F7A0000}"/>
    <cellStyle name="Normal 2 7 10 7 2" xfId="31341" xr:uid="{00000000-0005-0000-0000-0000707A0000}"/>
    <cellStyle name="Normal 2 7 10 8" xfId="31342" xr:uid="{00000000-0005-0000-0000-0000717A0000}"/>
    <cellStyle name="Normal 2 7 10 9" xfId="31343" xr:uid="{00000000-0005-0000-0000-0000727A0000}"/>
    <cellStyle name="Normal 2 7 11" xfId="31344" xr:uid="{00000000-0005-0000-0000-0000737A0000}"/>
    <cellStyle name="Normal 2 7 11 10" xfId="31345" xr:uid="{00000000-0005-0000-0000-0000747A0000}"/>
    <cellStyle name="Normal 2 7 11 2" xfId="31346" xr:uid="{00000000-0005-0000-0000-0000757A0000}"/>
    <cellStyle name="Normal 2 7 11 2 2" xfId="31347" xr:uid="{00000000-0005-0000-0000-0000767A0000}"/>
    <cellStyle name="Normal 2 7 11 2 2 2" xfId="31348" xr:uid="{00000000-0005-0000-0000-0000777A0000}"/>
    <cellStyle name="Normal 2 7 11 2 2 3" xfId="31349" xr:uid="{00000000-0005-0000-0000-0000787A0000}"/>
    <cellStyle name="Normal 2 7 11 2 3" xfId="31350" xr:uid="{00000000-0005-0000-0000-0000797A0000}"/>
    <cellStyle name="Normal 2 7 11 2 4" xfId="31351" xr:uid="{00000000-0005-0000-0000-00007A7A0000}"/>
    <cellStyle name="Normal 2 7 11 2 5" xfId="31352" xr:uid="{00000000-0005-0000-0000-00007B7A0000}"/>
    <cellStyle name="Normal 2 7 11 2 6" xfId="31353" xr:uid="{00000000-0005-0000-0000-00007C7A0000}"/>
    <cellStyle name="Normal 2 7 11 3" xfId="31354" xr:uid="{00000000-0005-0000-0000-00007D7A0000}"/>
    <cellStyle name="Normal 2 7 11 3 2" xfId="31355" xr:uid="{00000000-0005-0000-0000-00007E7A0000}"/>
    <cellStyle name="Normal 2 7 11 3 2 2" xfId="31356" xr:uid="{00000000-0005-0000-0000-00007F7A0000}"/>
    <cellStyle name="Normal 2 7 11 3 2 3" xfId="31357" xr:uid="{00000000-0005-0000-0000-0000807A0000}"/>
    <cellStyle name="Normal 2 7 11 3 3" xfId="31358" xr:uid="{00000000-0005-0000-0000-0000817A0000}"/>
    <cellStyle name="Normal 2 7 11 3 4" xfId="31359" xr:uid="{00000000-0005-0000-0000-0000827A0000}"/>
    <cellStyle name="Normal 2 7 11 3 5" xfId="31360" xr:uid="{00000000-0005-0000-0000-0000837A0000}"/>
    <cellStyle name="Normal 2 7 11 3 6" xfId="31361" xr:uid="{00000000-0005-0000-0000-0000847A0000}"/>
    <cellStyle name="Normal 2 7 11 4" xfId="31362" xr:uid="{00000000-0005-0000-0000-0000857A0000}"/>
    <cellStyle name="Normal 2 7 11 4 2" xfId="31363" xr:uid="{00000000-0005-0000-0000-0000867A0000}"/>
    <cellStyle name="Normal 2 7 11 4 2 2" xfId="31364" xr:uid="{00000000-0005-0000-0000-0000877A0000}"/>
    <cellStyle name="Normal 2 7 11 4 3" xfId="31365" xr:uid="{00000000-0005-0000-0000-0000887A0000}"/>
    <cellStyle name="Normal 2 7 11 4 4" xfId="31366" xr:uid="{00000000-0005-0000-0000-0000897A0000}"/>
    <cellStyle name="Normal 2 7 11 4 5" xfId="31367" xr:uid="{00000000-0005-0000-0000-00008A7A0000}"/>
    <cellStyle name="Normal 2 7 11 5" xfId="31368" xr:uid="{00000000-0005-0000-0000-00008B7A0000}"/>
    <cellStyle name="Normal 2 7 11 5 2" xfId="31369" xr:uid="{00000000-0005-0000-0000-00008C7A0000}"/>
    <cellStyle name="Normal 2 7 11 5 3" xfId="31370" xr:uid="{00000000-0005-0000-0000-00008D7A0000}"/>
    <cellStyle name="Normal 2 7 11 5 4" xfId="31371" xr:uid="{00000000-0005-0000-0000-00008E7A0000}"/>
    <cellStyle name="Normal 2 7 11 6" xfId="31372" xr:uid="{00000000-0005-0000-0000-00008F7A0000}"/>
    <cellStyle name="Normal 2 7 11 6 2" xfId="31373" xr:uid="{00000000-0005-0000-0000-0000907A0000}"/>
    <cellStyle name="Normal 2 7 11 7" xfId="31374" xr:uid="{00000000-0005-0000-0000-0000917A0000}"/>
    <cellStyle name="Normal 2 7 11 8" xfId="31375" xr:uid="{00000000-0005-0000-0000-0000927A0000}"/>
    <cellStyle name="Normal 2 7 11 9" xfId="31376" xr:uid="{00000000-0005-0000-0000-0000937A0000}"/>
    <cellStyle name="Normal 2 7 12" xfId="31377" xr:uid="{00000000-0005-0000-0000-0000947A0000}"/>
    <cellStyle name="Normal 2 7 12 10" xfId="31378" xr:uid="{00000000-0005-0000-0000-0000957A0000}"/>
    <cellStyle name="Normal 2 7 12 2" xfId="31379" xr:uid="{00000000-0005-0000-0000-0000967A0000}"/>
    <cellStyle name="Normal 2 7 12 2 2" xfId="31380" xr:uid="{00000000-0005-0000-0000-0000977A0000}"/>
    <cellStyle name="Normal 2 7 12 2 2 2" xfId="31381" xr:uid="{00000000-0005-0000-0000-0000987A0000}"/>
    <cellStyle name="Normal 2 7 12 2 2 3" xfId="31382" xr:uid="{00000000-0005-0000-0000-0000997A0000}"/>
    <cellStyle name="Normal 2 7 12 2 3" xfId="31383" xr:uid="{00000000-0005-0000-0000-00009A7A0000}"/>
    <cellStyle name="Normal 2 7 12 2 4" xfId="31384" xr:uid="{00000000-0005-0000-0000-00009B7A0000}"/>
    <cellStyle name="Normal 2 7 12 2 5" xfId="31385" xr:uid="{00000000-0005-0000-0000-00009C7A0000}"/>
    <cellStyle name="Normal 2 7 12 2 6" xfId="31386" xr:uid="{00000000-0005-0000-0000-00009D7A0000}"/>
    <cellStyle name="Normal 2 7 12 3" xfId="31387" xr:uid="{00000000-0005-0000-0000-00009E7A0000}"/>
    <cellStyle name="Normal 2 7 12 3 2" xfId="31388" xr:uid="{00000000-0005-0000-0000-00009F7A0000}"/>
    <cellStyle name="Normal 2 7 12 3 2 2" xfId="31389" xr:uid="{00000000-0005-0000-0000-0000A07A0000}"/>
    <cellStyle name="Normal 2 7 12 3 2 3" xfId="31390" xr:uid="{00000000-0005-0000-0000-0000A17A0000}"/>
    <cellStyle name="Normal 2 7 12 3 3" xfId="31391" xr:uid="{00000000-0005-0000-0000-0000A27A0000}"/>
    <cellStyle name="Normal 2 7 12 3 4" xfId="31392" xr:uid="{00000000-0005-0000-0000-0000A37A0000}"/>
    <cellStyle name="Normal 2 7 12 3 5" xfId="31393" xr:uid="{00000000-0005-0000-0000-0000A47A0000}"/>
    <cellStyle name="Normal 2 7 12 3 6" xfId="31394" xr:uid="{00000000-0005-0000-0000-0000A57A0000}"/>
    <cellStyle name="Normal 2 7 12 4" xfId="31395" xr:uid="{00000000-0005-0000-0000-0000A67A0000}"/>
    <cellStyle name="Normal 2 7 12 4 2" xfId="31396" xr:uid="{00000000-0005-0000-0000-0000A77A0000}"/>
    <cellStyle name="Normal 2 7 12 4 2 2" xfId="31397" xr:uid="{00000000-0005-0000-0000-0000A87A0000}"/>
    <cellStyle name="Normal 2 7 12 4 3" xfId="31398" xr:uid="{00000000-0005-0000-0000-0000A97A0000}"/>
    <cellStyle name="Normal 2 7 12 4 4" xfId="31399" xr:uid="{00000000-0005-0000-0000-0000AA7A0000}"/>
    <cellStyle name="Normal 2 7 12 4 5" xfId="31400" xr:uid="{00000000-0005-0000-0000-0000AB7A0000}"/>
    <cellStyle name="Normal 2 7 12 5" xfId="31401" xr:uid="{00000000-0005-0000-0000-0000AC7A0000}"/>
    <cellStyle name="Normal 2 7 12 5 2" xfId="31402" xr:uid="{00000000-0005-0000-0000-0000AD7A0000}"/>
    <cellStyle name="Normal 2 7 12 5 3" xfId="31403" xr:uid="{00000000-0005-0000-0000-0000AE7A0000}"/>
    <cellStyle name="Normal 2 7 12 5 4" xfId="31404" xr:uid="{00000000-0005-0000-0000-0000AF7A0000}"/>
    <cellStyle name="Normal 2 7 12 6" xfId="31405" xr:uid="{00000000-0005-0000-0000-0000B07A0000}"/>
    <cellStyle name="Normal 2 7 12 6 2" xfId="31406" xr:uid="{00000000-0005-0000-0000-0000B17A0000}"/>
    <cellStyle name="Normal 2 7 12 7" xfId="31407" xr:uid="{00000000-0005-0000-0000-0000B27A0000}"/>
    <cellStyle name="Normal 2 7 12 8" xfId="31408" xr:uid="{00000000-0005-0000-0000-0000B37A0000}"/>
    <cellStyle name="Normal 2 7 12 9" xfId="31409" xr:uid="{00000000-0005-0000-0000-0000B47A0000}"/>
    <cellStyle name="Normal 2 7 13" xfId="31410" xr:uid="{00000000-0005-0000-0000-0000B57A0000}"/>
    <cellStyle name="Normal 2 7 13 10" xfId="31411" xr:uid="{00000000-0005-0000-0000-0000B67A0000}"/>
    <cellStyle name="Normal 2 7 13 2" xfId="31412" xr:uid="{00000000-0005-0000-0000-0000B77A0000}"/>
    <cellStyle name="Normal 2 7 13 2 2" xfId="31413" xr:uid="{00000000-0005-0000-0000-0000B87A0000}"/>
    <cellStyle name="Normal 2 7 13 2 2 2" xfId="31414" xr:uid="{00000000-0005-0000-0000-0000B97A0000}"/>
    <cellStyle name="Normal 2 7 13 2 2 3" xfId="31415" xr:uid="{00000000-0005-0000-0000-0000BA7A0000}"/>
    <cellStyle name="Normal 2 7 13 2 3" xfId="31416" xr:uid="{00000000-0005-0000-0000-0000BB7A0000}"/>
    <cellStyle name="Normal 2 7 13 2 4" xfId="31417" xr:uid="{00000000-0005-0000-0000-0000BC7A0000}"/>
    <cellStyle name="Normal 2 7 13 2 5" xfId="31418" xr:uid="{00000000-0005-0000-0000-0000BD7A0000}"/>
    <cellStyle name="Normal 2 7 13 2 6" xfId="31419" xr:uid="{00000000-0005-0000-0000-0000BE7A0000}"/>
    <cellStyle name="Normal 2 7 13 3" xfId="31420" xr:uid="{00000000-0005-0000-0000-0000BF7A0000}"/>
    <cellStyle name="Normal 2 7 13 3 2" xfId="31421" xr:uid="{00000000-0005-0000-0000-0000C07A0000}"/>
    <cellStyle name="Normal 2 7 13 3 2 2" xfId="31422" xr:uid="{00000000-0005-0000-0000-0000C17A0000}"/>
    <cellStyle name="Normal 2 7 13 3 2 3" xfId="31423" xr:uid="{00000000-0005-0000-0000-0000C27A0000}"/>
    <cellStyle name="Normal 2 7 13 3 3" xfId="31424" xr:uid="{00000000-0005-0000-0000-0000C37A0000}"/>
    <cellStyle name="Normal 2 7 13 3 4" xfId="31425" xr:uid="{00000000-0005-0000-0000-0000C47A0000}"/>
    <cellStyle name="Normal 2 7 13 3 5" xfId="31426" xr:uid="{00000000-0005-0000-0000-0000C57A0000}"/>
    <cellStyle name="Normal 2 7 13 3 6" xfId="31427" xr:uid="{00000000-0005-0000-0000-0000C67A0000}"/>
    <cellStyle name="Normal 2 7 13 4" xfId="31428" xr:uid="{00000000-0005-0000-0000-0000C77A0000}"/>
    <cellStyle name="Normal 2 7 13 4 2" xfId="31429" xr:uid="{00000000-0005-0000-0000-0000C87A0000}"/>
    <cellStyle name="Normal 2 7 13 4 2 2" xfId="31430" xr:uid="{00000000-0005-0000-0000-0000C97A0000}"/>
    <cellStyle name="Normal 2 7 13 4 3" xfId="31431" xr:uid="{00000000-0005-0000-0000-0000CA7A0000}"/>
    <cellStyle name="Normal 2 7 13 4 4" xfId="31432" xr:uid="{00000000-0005-0000-0000-0000CB7A0000}"/>
    <cellStyle name="Normal 2 7 13 4 5" xfId="31433" xr:uid="{00000000-0005-0000-0000-0000CC7A0000}"/>
    <cellStyle name="Normal 2 7 13 5" xfId="31434" xr:uid="{00000000-0005-0000-0000-0000CD7A0000}"/>
    <cellStyle name="Normal 2 7 13 5 2" xfId="31435" xr:uid="{00000000-0005-0000-0000-0000CE7A0000}"/>
    <cellStyle name="Normal 2 7 13 5 3" xfId="31436" xr:uid="{00000000-0005-0000-0000-0000CF7A0000}"/>
    <cellStyle name="Normal 2 7 13 5 4" xfId="31437" xr:uid="{00000000-0005-0000-0000-0000D07A0000}"/>
    <cellStyle name="Normal 2 7 13 6" xfId="31438" xr:uid="{00000000-0005-0000-0000-0000D17A0000}"/>
    <cellStyle name="Normal 2 7 13 6 2" xfId="31439" xr:uid="{00000000-0005-0000-0000-0000D27A0000}"/>
    <cellStyle name="Normal 2 7 13 7" xfId="31440" xr:uid="{00000000-0005-0000-0000-0000D37A0000}"/>
    <cellStyle name="Normal 2 7 13 8" xfId="31441" xr:uid="{00000000-0005-0000-0000-0000D47A0000}"/>
    <cellStyle name="Normal 2 7 13 9" xfId="31442" xr:uid="{00000000-0005-0000-0000-0000D57A0000}"/>
    <cellStyle name="Normal 2 7 14" xfId="31443" xr:uid="{00000000-0005-0000-0000-0000D67A0000}"/>
    <cellStyle name="Normal 2 7 14 10" xfId="31444" xr:uid="{00000000-0005-0000-0000-0000D77A0000}"/>
    <cellStyle name="Normal 2 7 14 2" xfId="31445" xr:uid="{00000000-0005-0000-0000-0000D87A0000}"/>
    <cellStyle name="Normal 2 7 14 2 2" xfId="31446" xr:uid="{00000000-0005-0000-0000-0000D97A0000}"/>
    <cellStyle name="Normal 2 7 14 2 2 2" xfId="31447" xr:uid="{00000000-0005-0000-0000-0000DA7A0000}"/>
    <cellStyle name="Normal 2 7 14 2 2 3" xfId="31448" xr:uid="{00000000-0005-0000-0000-0000DB7A0000}"/>
    <cellStyle name="Normal 2 7 14 2 3" xfId="31449" xr:uid="{00000000-0005-0000-0000-0000DC7A0000}"/>
    <cellStyle name="Normal 2 7 14 2 4" xfId="31450" xr:uid="{00000000-0005-0000-0000-0000DD7A0000}"/>
    <cellStyle name="Normal 2 7 14 2 5" xfId="31451" xr:uid="{00000000-0005-0000-0000-0000DE7A0000}"/>
    <cellStyle name="Normal 2 7 14 2 6" xfId="31452" xr:uid="{00000000-0005-0000-0000-0000DF7A0000}"/>
    <cellStyle name="Normal 2 7 14 3" xfId="31453" xr:uid="{00000000-0005-0000-0000-0000E07A0000}"/>
    <cellStyle name="Normal 2 7 14 3 2" xfId="31454" xr:uid="{00000000-0005-0000-0000-0000E17A0000}"/>
    <cellStyle name="Normal 2 7 14 3 2 2" xfId="31455" xr:uid="{00000000-0005-0000-0000-0000E27A0000}"/>
    <cellStyle name="Normal 2 7 14 3 2 3" xfId="31456" xr:uid="{00000000-0005-0000-0000-0000E37A0000}"/>
    <cellStyle name="Normal 2 7 14 3 3" xfId="31457" xr:uid="{00000000-0005-0000-0000-0000E47A0000}"/>
    <cellStyle name="Normal 2 7 14 3 4" xfId="31458" xr:uid="{00000000-0005-0000-0000-0000E57A0000}"/>
    <cellStyle name="Normal 2 7 14 3 5" xfId="31459" xr:uid="{00000000-0005-0000-0000-0000E67A0000}"/>
    <cellStyle name="Normal 2 7 14 3 6" xfId="31460" xr:uid="{00000000-0005-0000-0000-0000E77A0000}"/>
    <cellStyle name="Normal 2 7 14 4" xfId="31461" xr:uid="{00000000-0005-0000-0000-0000E87A0000}"/>
    <cellStyle name="Normal 2 7 14 4 2" xfId="31462" xr:uid="{00000000-0005-0000-0000-0000E97A0000}"/>
    <cellStyle name="Normal 2 7 14 4 2 2" xfId="31463" xr:uid="{00000000-0005-0000-0000-0000EA7A0000}"/>
    <cellStyle name="Normal 2 7 14 4 3" xfId="31464" xr:uid="{00000000-0005-0000-0000-0000EB7A0000}"/>
    <cellStyle name="Normal 2 7 14 4 4" xfId="31465" xr:uid="{00000000-0005-0000-0000-0000EC7A0000}"/>
    <cellStyle name="Normal 2 7 14 4 5" xfId="31466" xr:uid="{00000000-0005-0000-0000-0000ED7A0000}"/>
    <cellStyle name="Normal 2 7 14 5" xfId="31467" xr:uid="{00000000-0005-0000-0000-0000EE7A0000}"/>
    <cellStyle name="Normal 2 7 14 5 2" xfId="31468" xr:uid="{00000000-0005-0000-0000-0000EF7A0000}"/>
    <cellStyle name="Normal 2 7 14 5 3" xfId="31469" xr:uid="{00000000-0005-0000-0000-0000F07A0000}"/>
    <cellStyle name="Normal 2 7 14 5 4" xfId="31470" xr:uid="{00000000-0005-0000-0000-0000F17A0000}"/>
    <cellStyle name="Normal 2 7 14 6" xfId="31471" xr:uid="{00000000-0005-0000-0000-0000F27A0000}"/>
    <cellStyle name="Normal 2 7 14 6 2" xfId="31472" xr:uid="{00000000-0005-0000-0000-0000F37A0000}"/>
    <cellStyle name="Normal 2 7 14 7" xfId="31473" xr:uid="{00000000-0005-0000-0000-0000F47A0000}"/>
    <cellStyle name="Normal 2 7 14 8" xfId="31474" xr:uid="{00000000-0005-0000-0000-0000F57A0000}"/>
    <cellStyle name="Normal 2 7 14 9" xfId="31475" xr:uid="{00000000-0005-0000-0000-0000F67A0000}"/>
    <cellStyle name="Normal 2 7 15" xfId="31476" xr:uid="{00000000-0005-0000-0000-0000F77A0000}"/>
    <cellStyle name="Normal 2 7 15 10" xfId="31477" xr:uid="{00000000-0005-0000-0000-0000F87A0000}"/>
    <cellStyle name="Normal 2 7 15 2" xfId="31478" xr:uid="{00000000-0005-0000-0000-0000F97A0000}"/>
    <cellStyle name="Normal 2 7 15 2 2" xfId="31479" xr:uid="{00000000-0005-0000-0000-0000FA7A0000}"/>
    <cellStyle name="Normal 2 7 15 2 2 2" xfId="31480" xr:uid="{00000000-0005-0000-0000-0000FB7A0000}"/>
    <cellStyle name="Normal 2 7 15 2 2 3" xfId="31481" xr:uid="{00000000-0005-0000-0000-0000FC7A0000}"/>
    <cellStyle name="Normal 2 7 15 2 3" xfId="31482" xr:uid="{00000000-0005-0000-0000-0000FD7A0000}"/>
    <cellStyle name="Normal 2 7 15 2 4" xfId="31483" xr:uid="{00000000-0005-0000-0000-0000FE7A0000}"/>
    <cellStyle name="Normal 2 7 15 2 5" xfId="31484" xr:uid="{00000000-0005-0000-0000-0000FF7A0000}"/>
    <cellStyle name="Normal 2 7 15 2 6" xfId="31485" xr:uid="{00000000-0005-0000-0000-0000007B0000}"/>
    <cellStyle name="Normal 2 7 15 3" xfId="31486" xr:uid="{00000000-0005-0000-0000-0000017B0000}"/>
    <cellStyle name="Normal 2 7 15 3 2" xfId="31487" xr:uid="{00000000-0005-0000-0000-0000027B0000}"/>
    <cellStyle name="Normal 2 7 15 3 2 2" xfId="31488" xr:uid="{00000000-0005-0000-0000-0000037B0000}"/>
    <cellStyle name="Normal 2 7 15 3 2 3" xfId="31489" xr:uid="{00000000-0005-0000-0000-0000047B0000}"/>
    <cellStyle name="Normal 2 7 15 3 3" xfId="31490" xr:uid="{00000000-0005-0000-0000-0000057B0000}"/>
    <cellStyle name="Normal 2 7 15 3 4" xfId="31491" xr:uid="{00000000-0005-0000-0000-0000067B0000}"/>
    <cellStyle name="Normal 2 7 15 3 5" xfId="31492" xr:uid="{00000000-0005-0000-0000-0000077B0000}"/>
    <cellStyle name="Normal 2 7 15 3 6" xfId="31493" xr:uid="{00000000-0005-0000-0000-0000087B0000}"/>
    <cellStyle name="Normal 2 7 15 4" xfId="31494" xr:uid="{00000000-0005-0000-0000-0000097B0000}"/>
    <cellStyle name="Normal 2 7 15 4 2" xfId="31495" xr:uid="{00000000-0005-0000-0000-00000A7B0000}"/>
    <cellStyle name="Normal 2 7 15 4 2 2" xfId="31496" xr:uid="{00000000-0005-0000-0000-00000B7B0000}"/>
    <cellStyle name="Normal 2 7 15 4 3" xfId="31497" xr:uid="{00000000-0005-0000-0000-00000C7B0000}"/>
    <cellStyle name="Normal 2 7 15 4 4" xfId="31498" xr:uid="{00000000-0005-0000-0000-00000D7B0000}"/>
    <cellStyle name="Normal 2 7 15 4 5" xfId="31499" xr:uid="{00000000-0005-0000-0000-00000E7B0000}"/>
    <cellStyle name="Normal 2 7 15 5" xfId="31500" xr:uid="{00000000-0005-0000-0000-00000F7B0000}"/>
    <cellStyle name="Normal 2 7 15 5 2" xfId="31501" xr:uid="{00000000-0005-0000-0000-0000107B0000}"/>
    <cellStyle name="Normal 2 7 15 5 3" xfId="31502" xr:uid="{00000000-0005-0000-0000-0000117B0000}"/>
    <cellStyle name="Normal 2 7 15 5 4" xfId="31503" xr:uid="{00000000-0005-0000-0000-0000127B0000}"/>
    <cellStyle name="Normal 2 7 15 6" xfId="31504" xr:uid="{00000000-0005-0000-0000-0000137B0000}"/>
    <cellStyle name="Normal 2 7 15 6 2" xfId="31505" xr:uid="{00000000-0005-0000-0000-0000147B0000}"/>
    <cellStyle name="Normal 2 7 15 7" xfId="31506" xr:uid="{00000000-0005-0000-0000-0000157B0000}"/>
    <cellStyle name="Normal 2 7 15 8" xfId="31507" xr:uid="{00000000-0005-0000-0000-0000167B0000}"/>
    <cellStyle name="Normal 2 7 15 9" xfId="31508" xr:uid="{00000000-0005-0000-0000-0000177B0000}"/>
    <cellStyle name="Normal 2 7 16" xfId="31509" xr:uid="{00000000-0005-0000-0000-0000187B0000}"/>
    <cellStyle name="Normal 2 7 16 10" xfId="31510" xr:uid="{00000000-0005-0000-0000-0000197B0000}"/>
    <cellStyle name="Normal 2 7 16 2" xfId="31511" xr:uid="{00000000-0005-0000-0000-00001A7B0000}"/>
    <cellStyle name="Normal 2 7 16 2 2" xfId="31512" xr:uid="{00000000-0005-0000-0000-00001B7B0000}"/>
    <cellStyle name="Normal 2 7 16 2 2 2" xfId="31513" xr:uid="{00000000-0005-0000-0000-00001C7B0000}"/>
    <cellStyle name="Normal 2 7 16 2 2 3" xfId="31514" xr:uid="{00000000-0005-0000-0000-00001D7B0000}"/>
    <cellStyle name="Normal 2 7 16 2 3" xfId="31515" xr:uid="{00000000-0005-0000-0000-00001E7B0000}"/>
    <cellStyle name="Normal 2 7 16 2 4" xfId="31516" xr:uid="{00000000-0005-0000-0000-00001F7B0000}"/>
    <cellStyle name="Normal 2 7 16 2 5" xfId="31517" xr:uid="{00000000-0005-0000-0000-0000207B0000}"/>
    <cellStyle name="Normal 2 7 16 2 6" xfId="31518" xr:uid="{00000000-0005-0000-0000-0000217B0000}"/>
    <cellStyle name="Normal 2 7 16 3" xfId="31519" xr:uid="{00000000-0005-0000-0000-0000227B0000}"/>
    <cellStyle name="Normal 2 7 16 3 2" xfId="31520" xr:uid="{00000000-0005-0000-0000-0000237B0000}"/>
    <cellStyle name="Normal 2 7 16 3 2 2" xfId="31521" xr:uid="{00000000-0005-0000-0000-0000247B0000}"/>
    <cellStyle name="Normal 2 7 16 3 2 3" xfId="31522" xr:uid="{00000000-0005-0000-0000-0000257B0000}"/>
    <cellStyle name="Normal 2 7 16 3 3" xfId="31523" xr:uid="{00000000-0005-0000-0000-0000267B0000}"/>
    <cellStyle name="Normal 2 7 16 3 4" xfId="31524" xr:uid="{00000000-0005-0000-0000-0000277B0000}"/>
    <cellStyle name="Normal 2 7 16 3 5" xfId="31525" xr:uid="{00000000-0005-0000-0000-0000287B0000}"/>
    <cellStyle name="Normal 2 7 16 3 6" xfId="31526" xr:uid="{00000000-0005-0000-0000-0000297B0000}"/>
    <cellStyle name="Normal 2 7 16 4" xfId="31527" xr:uid="{00000000-0005-0000-0000-00002A7B0000}"/>
    <cellStyle name="Normal 2 7 16 4 2" xfId="31528" xr:uid="{00000000-0005-0000-0000-00002B7B0000}"/>
    <cellStyle name="Normal 2 7 16 4 2 2" xfId="31529" xr:uid="{00000000-0005-0000-0000-00002C7B0000}"/>
    <cellStyle name="Normal 2 7 16 4 3" xfId="31530" xr:uid="{00000000-0005-0000-0000-00002D7B0000}"/>
    <cellStyle name="Normal 2 7 16 4 4" xfId="31531" xr:uid="{00000000-0005-0000-0000-00002E7B0000}"/>
    <cellStyle name="Normal 2 7 16 4 5" xfId="31532" xr:uid="{00000000-0005-0000-0000-00002F7B0000}"/>
    <cellStyle name="Normal 2 7 16 5" xfId="31533" xr:uid="{00000000-0005-0000-0000-0000307B0000}"/>
    <cellStyle name="Normal 2 7 16 5 2" xfId="31534" xr:uid="{00000000-0005-0000-0000-0000317B0000}"/>
    <cellStyle name="Normal 2 7 16 5 3" xfId="31535" xr:uid="{00000000-0005-0000-0000-0000327B0000}"/>
    <cellStyle name="Normal 2 7 16 5 4" xfId="31536" xr:uid="{00000000-0005-0000-0000-0000337B0000}"/>
    <cellStyle name="Normal 2 7 16 6" xfId="31537" xr:uid="{00000000-0005-0000-0000-0000347B0000}"/>
    <cellStyle name="Normal 2 7 16 6 2" xfId="31538" xr:uid="{00000000-0005-0000-0000-0000357B0000}"/>
    <cellStyle name="Normal 2 7 16 7" xfId="31539" xr:uid="{00000000-0005-0000-0000-0000367B0000}"/>
    <cellStyle name="Normal 2 7 16 8" xfId="31540" xr:uid="{00000000-0005-0000-0000-0000377B0000}"/>
    <cellStyle name="Normal 2 7 16 9" xfId="31541" xr:uid="{00000000-0005-0000-0000-0000387B0000}"/>
    <cellStyle name="Normal 2 7 17" xfId="31542" xr:uid="{00000000-0005-0000-0000-0000397B0000}"/>
    <cellStyle name="Normal 2 7 17 10" xfId="31543" xr:uid="{00000000-0005-0000-0000-00003A7B0000}"/>
    <cellStyle name="Normal 2 7 17 2" xfId="31544" xr:uid="{00000000-0005-0000-0000-00003B7B0000}"/>
    <cellStyle name="Normal 2 7 17 2 2" xfId="31545" xr:uid="{00000000-0005-0000-0000-00003C7B0000}"/>
    <cellStyle name="Normal 2 7 17 2 2 2" xfId="31546" xr:uid="{00000000-0005-0000-0000-00003D7B0000}"/>
    <cellStyle name="Normal 2 7 17 2 2 3" xfId="31547" xr:uid="{00000000-0005-0000-0000-00003E7B0000}"/>
    <cellStyle name="Normal 2 7 17 2 3" xfId="31548" xr:uid="{00000000-0005-0000-0000-00003F7B0000}"/>
    <cellStyle name="Normal 2 7 17 2 4" xfId="31549" xr:uid="{00000000-0005-0000-0000-0000407B0000}"/>
    <cellStyle name="Normal 2 7 17 2 5" xfId="31550" xr:uid="{00000000-0005-0000-0000-0000417B0000}"/>
    <cellStyle name="Normal 2 7 17 2 6" xfId="31551" xr:uid="{00000000-0005-0000-0000-0000427B0000}"/>
    <cellStyle name="Normal 2 7 17 3" xfId="31552" xr:uid="{00000000-0005-0000-0000-0000437B0000}"/>
    <cellStyle name="Normal 2 7 17 3 2" xfId="31553" xr:uid="{00000000-0005-0000-0000-0000447B0000}"/>
    <cellStyle name="Normal 2 7 17 3 2 2" xfId="31554" xr:uid="{00000000-0005-0000-0000-0000457B0000}"/>
    <cellStyle name="Normal 2 7 17 3 2 3" xfId="31555" xr:uid="{00000000-0005-0000-0000-0000467B0000}"/>
    <cellStyle name="Normal 2 7 17 3 3" xfId="31556" xr:uid="{00000000-0005-0000-0000-0000477B0000}"/>
    <cellStyle name="Normal 2 7 17 3 4" xfId="31557" xr:uid="{00000000-0005-0000-0000-0000487B0000}"/>
    <cellStyle name="Normal 2 7 17 3 5" xfId="31558" xr:uid="{00000000-0005-0000-0000-0000497B0000}"/>
    <cellStyle name="Normal 2 7 17 3 6" xfId="31559" xr:uid="{00000000-0005-0000-0000-00004A7B0000}"/>
    <cellStyle name="Normal 2 7 17 4" xfId="31560" xr:uid="{00000000-0005-0000-0000-00004B7B0000}"/>
    <cellStyle name="Normal 2 7 17 4 2" xfId="31561" xr:uid="{00000000-0005-0000-0000-00004C7B0000}"/>
    <cellStyle name="Normal 2 7 17 4 2 2" xfId="31562" xr:uid="{00000000-0005-0000-0000-00004D7B0000}"/>
    <cellStyle name="Normal 2 7 17 4 3" xfId="31563" xr:uid="{00000000-0005-0000-0000-00004E7B0000}"/>
    <cellStyle name="Normal 2 7 17 4 4" xfId="31564" xr:uid="{00000000-0005-0000-0000-00004F7B0000}"/>
    <cellStyle name="Normal 2 7 17 4 5" xfId="31565" xr:uid="{00000000-0005-0000-0000-0000507B0000}"/>
    <cellStyle name="Normal 2 7 17 5" xfId="31566" xr:uid="{00000000-0005-0000-0000-0000517B0000}"/>
    <cellStyle name="Normal 2 7 17 5 2" xfId="31567" xr:uid="{00000000-0005-0000-0000-0000527B0000}"/>
    <cellStyle name="Normal 2 7 17 5 3" xfId="31568" xr:uid="{00000000-0005-0000-0000-0000537B0000}"/>
    <cellStyle name="Normal 2 7 17 5 4" xfId="31569" xr:uid="{00000000-0005-0000-0000-0000547B0000}"/>
    <cellStyle name="Normal 2 7 17 6" xfId="31570" xr:uid="{00000000-0005-0000-0000-0000557B0000}"/>
    <cellStyle name="Normal 2 7 17 6 2" xfId="31571" xr:uid="{00000000-0005-0000-0000-0000567B0000}"/>
    <cellStyle name="Normal 2 7 17 7" xfId="31572" xr:uid="{00000000-0005-0000-0000-0000577B0000}"/>
    <cellStyle name="Normal 2 7 17 8" xfId="31573" xr:uid="{00000000-0005-0000-0000-0000587B0000}"/>
    <cellStyle name="Normal 2 7 17 9" xfId="31574" xr:uid="{00000000-0005-0000-0000-0000597B0000}"/>
    <cellStyle name="Normal 2 7 18" xfId="31575" xr:uid="{00000000-0005-0000-0000-00005A7B0000}"/>
    <cellStyle name="Normal 2 7 18 10" xfId="31576" xr:uid="{00000000-0005-0000-0000-00005B7B0000}"/>
    <cellStyle name="Normal 2 7 18 2" xfId="31577" xr:uid="{00000000-0005-0000-0000-00005C7B0000}"/>
    <cellStyle name="Normal 2 7 18 2 2" xfId="31578" xr:uid="{00000000-0005-0000-0000-00005D7B0000}"/>
    <cellStyle name="Normal 2 7 18 2 2 2" xfId="31579" xr:uid="{00000000-0005-0000-0000-00005E7B0000}"/>
    <cellStyle name="Normal 2 7 18 2 2 3" xfId="31580" xr:uid="{00000000-0005-0000-0000-00005F7B0000}"/>
    <cellStyle name="Normal 2 7 18 2 3" xfId="31581" xr:uid="{00000000-0005-0000-0000-0000607B0000}"/>
    <cellStyle name="Normal 2 7 18 2 4" xfId="31582" xr:uid="{00000000-0005-0000-0000-0000617B0000}"/>
    <cellStyle name="Normal 2 7 18 2 5" xfId="31583" xr:uid="{00000000-0005-0000-0000-0000627B0000}"/>
    <cellStyle name="Normal 2 7 18 2 6" xfId="31584" xr:uid="{00000000-0005-0000-0000-0000637B0000}"/>
    <cellStyle name="Normal 2 7 18 3" xfId="31585" xr:uid="{00000000-0005-0000-0000-0000647B0000}"/>
    <cellStyle name="Normal 2 7 18 3 2" xfId="31586" xr:uid="{00000000-0005-0000-0000-0000657B0000}"/>
    <cellStyle name="Normal 2 7 18 3 2 2" xfId="31587" xr:uid="{00000000-0005-0000-0000-0000667B0000}"/>
    <cellStyle name="Normal 2 7 18 3 2 3" xfId="31588" xr:uid="{00000000-0005-0000-0000-0000677B0000}"/>
    <cellStyle name="Normal 2 7 18 3 3" xfId="31589" xr:uid="{00000000-0005-0000-0000-0000687B0000}"/>
    <cellStyle name="Normal 2 7 18 3 4" xfId="31590" xr:uid="{00000000-0005-0000-0000-0000697B0000}"/>
    <cellStyle name="Normal 2 7 18 3 5" xfId="31591" xr:uid="{00000000-0005-0000-0000-00006A7B0000}"/>
    <cellStyle name="Normal 2 7 18 3 6" xfId="31592" xr:uid="{00000000-0005-0000-0000-00006B7B0000}"/>
    <cellStyle name="Normal 2 7 18 4" xfId="31593" xr:uid="{00000000-0005-0000-0000-00006C7B0000}"/>
    <cellStyle name="Normal 2 7 18 4 2" xfId="31594" xr:uid="{00000000-0005-0000-0000-00006D7B0000}"/>
    <cellStyle name="Normal 2 7 18 4 2 2" xfId="31595" xr:uid="{00000000-0005-0000-0000-00006E7B0000}"/>
    <cellStyle name="Normal 2 7 18 4 3" xfId="31596" xr:uid="{00000000-0005-0000-0000-00006F7B0000}"/>
    <cellStyle name="Normal 2 7 18 4 4" xfId="31597" xr:uid="{00000000-0005-0000-0000-0000707B0000}"/>
    <cellStyle name="Normal 2 7 18 4 5" xfId="31598" xr:uid="{00000000-0005-0000-0000-0000717B0000}"/>
    <cellStyle name="Normal 2 7 18 5" xfId="31599" xr:uid="{00000000-0005-0000-0000-0000727B0000}"/>
    <cellStyle name="Normal 2 7 18 5 2" xfId="31600" xr:uid="{00000000-0005-0000-0000-0000737B0000}"/>
    <cellStyle name="Normal 2 7 18 5 3" xfId="31601" xr:uid="{00000000-0005-0000-0000-0000747B0000}"/>
    <cellStyle name="Normal 2 7 18 5 4" xfId="31602" xr:uid="{00000000-0005-0000-0000-0000757B0000}"/>
    <cellStyle name="Normal 2 7 18 6" xfId="31603" xr:uid="{00000000-0005-0000-0000-0000767B0000}"/>
    <cellStyle name="Normal 2 7 18 6 2" xfId="31604" xr:uid="{00000000-0005-0000-0000-0000777B0000}"/>
    <cellStyle name="Normal 2 7 18 7" xfId="31605" xr:uid="{00000000-0005-0000-0000-0000787B0000}"/>
    <cellStyle name="Normal 2 7 18 8" xfId="31606" xr:uid="{00000000-0005-0000-0000-0000797B0000}"/>
    <cellStyle name="Normal 2 7 18 9" xfId="31607" xr:uid="{00000000-0005-0000-0000-00007A7B0000}"/>
    <cellStyle name="Normal 2 7 19" xfId="31608" xr:uid="{00000000-0005-0000-0000-00007B7B0000}"/>
    <cellStyle name="Normal 2 7 19 10" xfId="31609" xr:uid="{00000000-0005-0000-0000-00007C7B0000}"/>
    <cellStyle name="Normal 2 7 19 2" xfId="31610" xr:uid="{00000000-0005-0000-0000-00007D7B0000}"/>
    <cellStyle name="Normal 2 7 19 2 2" xfId="31611" xr:uid="{00000000-0005-0000-0000-00007E7B0000}"/>
    <cellStyle name="Normal 2 7 19 2 2 2" xfId="31612" xr:uid="{00000000-0005-0000-0000-00007F7B0000}"/>
    <cellStyle name="Normal 2 7 19 2 2 3" xfId="31613" xr:uid="{00000000-0005-0000-0000-0000807B0000}"/>
    <cellStyle name="Normal 2 7 19 2 3" xfId="31614" xr:uid="{00000000-0005-0000-0000-0000817B0000}"/>
    <cellStyle name="Normal 2 7 19 2 4" xfId="31615" xr:uid="{00000000-0005-0000-0000-0000827B0000}"/>
    <cellStyle name="Normal 2 7 19 2 5" xfId="31616" xr:uid="{00000000-0005-0000-0000-0000837B0000}"/>
    <cellStyle name="Normal 2 7 19 2 6" xfId="31617" xr:uid="{00000000-0005-0000-0000-0000847B0000}"/>
    <cellStyle name="Normal 2 7 19 3" xfId="31618" xr:uid="{00000000-0005-0000-0000-0000857B0000}"/>
    <cellStyle name="Normal 2 7 19 3 2" xfId="31619" xr:uid="{00000000-0005-0000-0000-0000867B0000}"/>
    <cellStyle name="Normal 2 7 19 3 2 2" xfId="31620" xr:uid="{00000000-0005-0000-0000-0000877B0000}"/>
    <cellStyle name="Normal 2 7 19 3 2 3" xfId="31621" xr:uid="{00000000-0005-0000-0000-0000887B0000}"/>
    <cellStyle name="Normal 2 7 19 3 3" xfId="31622" xr:uid="{00000000-0005-0000-0000-0000897B0000}"/>
    <cellStyle name="Normal 2 7 19 3 4" xfId="31623" xr:uid="{00000000-0005-0000-0000-00008A7B0000}"/>
    <cellStyle name="Normal 2 7 19 3 5" xfId="31624" xr:uid="{00000000-0005-0000-0000-00008B7B0000}"/>
    <cellStyle name="Normal 2 7 19 3 6" xfId="31625" xr:uid="{00000000-0005-0000-0000-00008C7B0000}"/>
    <cellStyle name="Normal 2 7 19 4" xfId="31626" xr:uid="{00000000-0005-0000-0000-00008D7B0000}"/>
    <cellStyle name="Normal 2 7 19 4 2" xfId="31627" xr:uid="{00000000-0005-0000-0000-00008E7B0000}"/>
    <cellStyle name="Normal 2 7 19 4 2 2" xfId="31628" xr:uid="{00000000-0005-0000-0000-00008F7B0000}"/>
    <cellStyle name="Normal 2 7 19 4 3" xfId="31629" xr:uid="{00000000-0005-0000-0000-0000907B0000}"/>
    <cellStyle name="Normal 2 7 19 4 4" xfId="31630" xr:uid="{00000000-0005-0000-0000-0000917B0000}"/>
    <cellStyle name="Normal 2 7 19 4 5" xfId="31631" xr:uid="{00000000-0005-0000-0000-0000927B0000}"/>
    <cellStyle name="Normal 2 7 19 5" xfId="31632" xr:uid="{00000000-0005-0000-0000-0000937B0000}"/>
    <cellStyle name="Normal 2 7 19 5 2" xfId="31633" xr:uid="{00000000-0005-0000-0000-0000947B0000}"/>
    <cellStyle name="Normal 2 7 19 5 3" xfId="31634" xr:uid="{00000000-0005-0000-0000-0000957B0000}"/>
    <cellStyle name="Normal 2 7 19 5 4" xfId="31635" xr:uid="{00000000-0005-0000-0000-0000967B0000}"/>
    <cellStyle name="Normal 2 7 19 6" xfId="31636" xr:uid="{00000000-0005-0000-0000-0000977B0000}"/>
    <cellStyle name="Normal 2 7 19 6 2" xfId="31637" xr:uid="{00000000-0005-0000-0000-0000987B0000}"/>
    <cellStyle name="Normal 2 7 19 7" xfId="31638" xr:uid="{00000000-0005-0000-0000-0000997B0000}"/>
    <cellStyle name="Normal 2 7 19 8" xfId="31639" xr:uid="{00000000-0005-0000-0000-00009A7B0000}"/>
    <cellStyle name="Normal 2 7 19 9" xfId="31640" xr:uid="{00000000-0005-0000-0000-00009B7B0000}"/>
    <cellStyle name="Normal 2 7 2" xfId="31641" xr:uid="{00000000-0005-0000-0000-00009C7B0000}"/>
    <cellStyle name="Normal 2 7 2 10" xfId="31642" xr:uid="{00000000-0005-0000-0000-00009D7B0000}"/>
    <cellStyle name="Normal 2 7 2 10 10" xfId="31643" xr:uid="{00000000-0005-0000-0000-00009E7B0000}"/>
    <cellStyle name="Normal 2 7 2 10 2" xfId="31644" xr:uid="{00000000-0005-0000-0000-00009F7B0000}"/>
    <cellStyle name="Normal 2 7 2 10 2 2" xfId="31645" xr:uid="{00000000-0005-0000-0000-0000A07B0000}"/>
    <cellStyle name="Normal 2 7 2 10 2 2 2" xfId="31646" xr:uid="{00000000-0005-0000-0000-0000A17B0000}"/>
    <cellStyle name="Normal 2 7 2 10 2 2 3" xfId="31647" xr:uid="{00000000-0005-0000-0000-0000A27B0000}"/>
    <cellStyle name="Normal 2 7 2 10 2 3" xfId="31648" xr:uid="{00000000-0005-0000-0000-0000A37B0000}"/>
    <cellStyle name="Normal 2 7 2 10 2 4" xfId="31649" xr:uid="{00000000-0005-0000-0000-0000A47B0000}"/>
    <cellStyle name="Normal 2 7 2 10 2 5" xfId="31650" xr:uid="{00000000-0005-0000-0000-0000A57B0000}"/>
    <cellStyle name="Normal 2 7 2 10 2 6" xfId="31651" xr:uid="{00000000-0005-0000-0000-0000A67B0000}"/>
    <cellStyle name="Normal 2 7 2 10 3" xfId="31652" xr:uid="{00000000-0005-0000-0000-0000A77B0000}"/>
    <cellStyle name="Normal 2 7 2 10 3 2" xfId="31653" xr:uid="{00000000-0005-0000-0000-0000A87B0000}"/>
    <cellStyle name="Normal 2 7 2 10 3 2 2" xfId="31654" xr:uid="{00000000-0005-0000-0000-0000A97B0000}"/>
    <cellStyle name="Normal 2 7 2 10 3 2 3" xfId="31655" xr:uid="{00000000-0005-0000-0000-0000AA7B0000}"/>
    <cellStyle name="Normal 2 7 2 10 3 3" xfId="31656" xr:uid="{00000000-0005-0000-0000-0000AB7B0000}"/>
    <cellStyle name="Normal 2 7 2 10 3 4" xfId="31657" xr:uid="{00000000-0005-0000-0000-0000AC7B0000}"/>
    <cellStyle name="Normal 2 7 2 10 3 5" xfId="31658" xr:uid="{00000000-0005-0000-0000-0000AD7B0000}"/>
    <cellStyle name="Normal 2 7 2 10 3 6" xfId="31659" xr:uid="{00000000-0005-0000-0000-0000AE7B0000}"/>
    <cellStyle name="Normal 2 7 2 10 4" xfId="31660" xr:uid="{00000000-0005-0000-0000-0000AF7B0000}"/>
    <cellStyle name="Normal 2 7 2 10 4 2" xfId="31661" xr:uid="{00000000-0005-0000-0000-0000B07B0000}"/>
    <cellStyle name="Normal 2 7 2 10 4 2 2" xfId="31662" xr:uid="{00000000-0005-0000-0000-0000B17B0000}"/>
    <cellStyle name="Normal 2 7 2 10 4 3" xfId="31663" xr:uid="{00000000-0005-0000-0000-0000B27B0000}"/>
    <cellStyle name="Normal 2 7 2 10 4 4" xfId="31664" xr:uid="{00000000-0005-0000-0000-0000B37B0000}"/>
    <cellStyle name="Normal 2 7 2 10 4 5" xfId="31665" xr:uid="{00000000-0005-0000-0000-0000B47B0000}"/>
    <cellStyle name="Normal 2 7 2 10 5" xfId="31666" xr:uid="{00000000-0005-0000-0000-0000B57B0000}"/>
    <cellStyle name="Normal 2 7 2 10 5 2" xfId="31667" xr:uid="{00000000-0005-0000-0000-0000B67B0000}"/>
    <cellStyle name="Normal 2 7 2 10 5 3" xfId="31668" xr:uid="{00000000-0005-0000-0000-0000B77B0000}"/>
    <cellStyle name="Normal 2 7 2 10 5 4" xfId="31669" xr:uid="{00000000-0005-0000-0000-0000B87B0000}"/>
    <cellStyle name="Normal 2 7 2 10 6" xfId="31670" xr:uid="{00000000-0005-0000-0000-0000B97B0000}"/>
    <cellStyle name="Normal 2 7 2 10 6 2" xfId="31671" xr:uid="{00000000-0005-0000-0000-0000BA7B0000}"/>
    <cellStyle name="Normal 2 7 2 10 7" xfId="31672" xr:uid="{00000000-0005-0000-0000-0000BB7B0000}"/>
    <cellStyle name="Normal 2 7 2 10 8" xfId="31673" xr:uid="{00000000-0005-0000-0000-0000BC7B0000}"/>
    <cellStyle name="Normal 2 7 2 10 9" xfId="31674" xr:uid="{00000000-0005-0000-0000-0000BD7B0000}"/>
    <cellStyle name="Normal 2 7 2 11" xfId="31675" xr:uid="{00000000-0005-0000-0000-0000BE7B0000}"/>
    <cellStyle name="Normal 2 7 2 11 10" xfId="31676" xr:uid="{00000000-0005-0000-0000-0000BF7B0000}"/>
    <cellStyle name="Normal 2 7 2 11 2" xfId="31677" xr:uid="{00000000-0005-0000-0000-0000C07B0000}"/>
    <cellStyle name="Normal 2 7 2 11 2 2" xfId="31678" xr:uid="{00000000-0005-0000-0000-0000C17B0000}"/>
    <cellStyle name="Normal 2 7 2 11 2 2 2" xfId="31679" xr:uid="{00000000-0005-0000-0000-0000C27B0000}"/>
    <cellStyle name="Normal 2 7 2 11 2 2 3" xfId="31680" xr:uid="{00000000-0005-0000-0000-0000C37B0000}"/>
    <cellStyle name="Normal 2 7 2 11 2 3" xfId="31681" xr:uid="{00000000-0005-0000-0000-0000C47B0000}"/>
    <cellStyle name="Normal 2 7 2 11 2 4" xfId="31682" xr:uid="{00000000-0005-0000-0000-0000C57B0000}"/>
    <cellStyle name="Normal 2 7 2 11 2 5" xfId="31683" xr:uid="{00000000-0005-0000-0000-0000C67B0000}"/>
    <cellStyle name="Normal 2 7 2 11 2 6" xfId="31684" xr:uid="{00000000-0005-0000-0000-0000C77B0000}"/>
    <cellStyle name="Normal 2 7 2 11 3" xfId="31685" xr:uid="{00000000-0005-0000-0000-0000C87B0000}"/>
    <cellStyle name="Normal 2 7 2 11 3 2" xfId="31686" xr:uid="{00000000-0005-0000-0000-0000C97B0000}"/>
    <cellStyle name="Normal 2 7 2 11 3 2 2" xfId="31687" xr:uid="{00000000-0005-0000-0000-0000CA7B0000}"/>
    <cellStyle name="Normal 2 7 2 11 3 2 3" xfId="31688" xr:uid="{00000000-0005-0000-0000-0000CB7B0000}"/>
    <cellStyle name="Normal 2 7 2 11 3 3" xfId="31689" xr:uid="{00000000-0005-0000-0000-0000CC7B0000}"/>
    <cellStyle name="Normal 2 7 2 11 3 4" xfId="31690" xr:uid="{00000000-0005-0000-0000-0000CD7B0000}"/>
    <cellStyle name="Normal 2 7 2 11 3 5" xfId="31691" xr:uid="{00000000-0005-0000-0000-0000CE7B0000}"/>
    <cellStyle name="Normal 2 7 2 11 3 6" xfId="31692" xr:uid="{00000000-0005-0000-0000-0000CF7B0000}"/>
    <cellStyle name="Normal 2 7 2 11 4" xfId="31693" xr:uid="{00000000-0005-0000-0000-0000D07B0000}"/>
    <cellStyle name="Normal 2 7 2 11 4 2" xfId="31694" xr:uid="{00000000-0005-0000-0000-0000D17B0000}"/>
    <cellStyle name="Normal 2 7 2 11 4 2 2" xfId="31695" xr:uid="{00000000-0005-0000-0000-0000D27B0000}"/>
    <cellStyle name="Normal 2 7 2 11 4 3" xfId="31696" xr:uid="{00000000-0005-0000-0000-0000D37B0000}"/>
    <cellStyle name="Normal 2 7 2 11 4 4" xfId="31697" xr:uid="{00000000-0005-0000-0000-0000D47B0000}"/>
    <cellStyle name="Normal 2 7 2 11 4 5" xfId="31698" xr:uid="{00000000-0005-0000-0000-0000D57B0000}"/>
    <cellStyle name="Normal 2 7 2 11 5" xfId="31699" xr:uid="{00000000-0005-0000-0000-0000D67B0000}"/>
    <cellStyle name="Normal 2 7 2 11 5 2" xfId="31700" xr:uid="{00000000-0005-0000-0000-0000D77B0000}"/>
    <cellStyle name="Normal 2 7 2 11 5 3" xfId="31701" xr:uid="{00000000-0005-0000-0000-0000D87B0000}"/>
    <cellStyle name="Normal 2 7 2 11 5 4" xfId="31702" xr:uid="{00000000-0005-0000-0000-0000D97B0000}"/>
    <cellStyle name="Normal 2 7 2 11 6" xfId="31703" xr:uid="{00000000-0005-0000-0000-0000DA7B0000}"/>
    <cellStyle name="Normal 2 7 2 11 6 2" xfId="31704" xr:uid="{00000000-0005-0000-0000-0000DB7B0000}"/>
    <cellStyle name="Normal 2 7 2 11 7" xfId="31705" xr:uid="{00000000-0005-0000-0000-0000DC7B0000}"/>
    <cellStyle name="Normal 2 7 2 11 8" xfId="31706" xr:uid="{00000000-0005-0000-0000-0000DD7B0000}"/>
    <cellStyle name="Normal 2 7 2 11 9" xfId="31707" xr:uid="{00000000-0005-0000-0000-0000DE7B0000}"/>
    <cellStyle name="Normal 2 7 2 12" xfId="31708" xr:uid="{00000000-0005-0000-0000-0000DF7B0000}"/>
    <cellStyle name="Normal 2 7 2 12 10" xfId="31709" xr:uid="{00000000-0005-0000-0000-0000E07B0000}"/>
    <cellStyle name="Normal 2 7 2 12 2" xfId="31710" xr:uid="{00000000-0005-0000-0000-0000E17B0000}"/>
    <cellStyle name="Normal 2 7 2 12 2 2" xfId="31711" xr:uid="{00000000-0005-0000-0000-0000E27B0000}"/>
    <cellStyle name="Normal 2 7 2 12 2 2 2" xfId="31712" xr:uid="{00000000-0005-0000-0000-0000E37B0000}"/>
    <cellStyle name="Normal 2 7 2 12 2 2 3" xfId="31713" xr:uid="{00000000-0005-0000-0000-0000E47B0000}"/>
    <cellStyle name="Normal 2 7 2 12 2 3" xfId="31714" xr:uid="{00000000-0005-0000-0000-0000E57B0000}"/>
    <cellStyle name="Normal 2 7 2 12 2 4" xfId="31715" xr:uid="{00000000-0005-0000-0000-0000E67B0000}"/>
    <cellStyle name="Normal 2 7 2 12 2 5" xfId="31716" xr:uid="{00000000-0005-0000-0000-0000E77B0000}"/>
    <cellStyle name="Normal 2 7 2 12 2 6" xfId="31717" xr:uid="{00000000-0005-0000-0000-0000E87B0000}"/>
    <cellStyle name="Normal 2 7 2 12 3" xfId="31718" xr:uid="{00000000-0005-0000-0000-0000E97B0000}"/>
    <cellStyle name="Normal 2 7 2 12 3 2" xfId="31719" xr:uid="{00000000-0005-0000-0000-0000EA7B0000}"/>
    <cellStyle name="Normal 2 7 2 12 3 2 2" xfId="31720" xr:uid="{00000000-0005-0000-0000-0000EB7B0000}"/>
    <cellStyle name="Normal 2 7 2 12 3 2 3" xfId="31721" xr:uid="{00000000-0005-0000-0000-0000EC7B0000}"/>
    <cellStyle name="Normal 2 7 2 12 3 3" xfId="31722" xr:uid="{00000000-0005-0000-0000-0000ED7B0000}"/>
    <cellStyle name="Normal 2 7 2 12 3 4" xfId="31723" xr:uid="{00000000-0005-0000-0000-0000EE7B0000}"/>
    <cellStyle name="Normal 2 7 2 12 3 5" xfId="31724" xr:uid="{00000000-0005-0000-0000-0000EF7B0000}"/>
    <cellStyle name="Normal 2 7 2 12 3 6" xfId="31725" xr:uid="{00000000-0005-0000-0000-0000F07B0000}"/>
    <cellStyle name="Normal 2 7 2 12 4" xfId="31726" xr:uid="{00000000-0005-0000-0000-0000F17B0000}"/>
    <cellStyle name="Normal 2 7 2 12 4 2" xfId="31727" xr:uid="{00000000-0005-0000-0000-0000F27B0000}"/>
    <cellStyle name="Normal 2 7 2 12 4 2 2" xfId="31728" xr:uid="{00000000-0005-0000-0000-0000F37B0000}"/>
    <cellStyle name="Normal 2 7 2 12 4 3" xfId="31729" xr:uid="{00000000-0005-0000-0000-0000F47B0000}"/>
    <cellStyle name="Normal 2 7 2 12 4 4" xfId="31730" xr:uid="{00000000-0005-0000-0000-0000F57B0000}"/>
    <cellStyle name="Normal 2 7 2 12 4 5" xfId="31731" xr:uid="{00000000-0005-0000-0000-0000F67B0000}"/>
    <cellStyle name="Normal 2 7 2 12 5" xfId="31732" xr:uid="{00000000-0005-0000-0000-0000F77B0000}"/>
    <cellStyle name="Normal 2 7 2 12 5 2" xfId="31733" xr:uid="{00000000-0005-0000-0000-0000F87B0000}"/>
    <cellStyle name="Normal 2 7 2 12 5 3" xfId="31734" xr:uid="{00000000-0005-0000-0000-0000F97B0000}"/>
    <cellStyle name="Normal 2 7 2 12 5 4" xfId="31735" xr:uid="{00000000-0005-0000-0000-0000FA7B0000}"/>
    <cellStyle name="Normal 2 7 2 12 6" xfId="31736" xr:uid="{00000000-0005-0000-0000-0000FB7B0000}"/>
    <cellStyle name="Normal 2 7 2 12 6 2" xfId="31737" xr:uid="{00000000-0005-0000-0000-0000FC7B0000}"/>
    <cellStyle name="Normal 2 7 2 12 7" xfId="31738" xr:uid="{00000000-0005-0000-0000-0000FD7B0000}"/>
    <cellStyle name="Normal 2 7 2 12 8" xfId="31739" xr:uid="{00000000-0005-0000-0000-0000FE7B0000}"/>
    <cellStyle name="Normal 2 7 2 12 9" xfId="31740" xr:uid="{00000000-0005-0000-0000-0000FF7B0000}"/>
    <cellStyle name="Normal 2 7 2 13" xfId="31741" xr:uid="{00000000-0005-0000-0000-0000007C0000}"/>
    <cellStyle name="Normal 2 7 2 13 2" xfId="31742" xr:uid="{00000000-0005-0000-0000-0000017C0000}"/>
    <cellStyle name="Normal 2 7 2 13 2 2" xfId="31743" xr:uid="{00000000-0005-0000-0000-0000027C0000}"/>
    <cellStyle name="Normal 2 7 2 13 2 2 2" xfId="31744" xr:uid="{00000000-0005-0000-0000-0000037C0000}"/>
    <cellStyle name="Normal 2 7 2 13 2 2 3" xfId="31745" xr:uid="{00000000-0005-0000-0000-0000047C0000}"/>
    <cellStyle name="Normal 2 7 2 13 2 3" xfId="31746" xr:uid="{00000000-0005-0000-0000-0000057C0000}"/>
    <cellStyle name="Normal 2 7 2 13 2 4" xfId="31747" xr:uid="{00000000-0005-0000-0000-0000067C0000}"/>
    <cellStyle name="Normal 2 7 2 13 2 5" xfId="31748" xr:uid="{00000000-0005-0000-0000-0000077C0000}"/>
    <cellStyle name="Normal 2 7 2 13 2 6" xfId="31749" xr:uid="{00000000-0005-0000-0000-0000087C0000}"/>
    <cellStyle name="Normal 2 7 2 13 3" xfId="31750" xr:uid="{00000000-0005-0000-0000-0000097C0000}"/>
    <cellStyle name="Normal 2 7 2 13 3 2" xfId="31751" xr:uid="{00000000-0005-0000-0000-00000A7C0000}"/>
    <cellStyle name="Normal 2 7 2 13 3 2 2" xfId="31752" xr:uid="{00000000-0005-0000-0000-00000B7C0000}"/>
    <cellStyle name="Normal 2 7 2 13 3 3" xfId="31753" xr:uid="{00000000-0005-0000-0000-00000C7C0000}"/>
    <cellStyle name="Normal 2 7 2 13 3 4" xfId="31754" xr:uid="{00000000-0005-0000-0000-00000D7C0000}"/>
    <cellStyle name="Normal 2 7 2 13 3 5" xfId="31755" xr:uid="{00000000-0005-0000-0000-00000E7C0000}"/>
    <cellStyle name="Normal 2 7 2 13 4" xfId="31756" xr:uid="{00000000-0005-0000-0000-00000F7C0000}"/>
    <cellStyle name="Normal 2 7 2 13 4 2" xfId="31757" xr:uid="{00000000-0005-0000-0000-0000107C0000}"/>
    <cellStyle name="Normal 2 7 2 13 4 3" xfId="31758" xr:uid="{00000000-0005-0000-0000-0000117C0000}"/>
    <cellStyle name="Normal 2 7 2 13 4 4" xfId="31759" xr:uid="{00000000-0005-0000-0000-0000127C0000}"/>
    <cellStyle name="Normal 2 7 2 13 5" xfId="31760" xr:uid="{00000000-0005-0000-0000-0000137C0000}"/>
    <cellStyle name="Normal 2 7 2 13 5 2" xfId="31761" xr:uid="{00000000-0005-0000-0000-0000147C0000}"/>
    <cellStyle name="Normal 2 7 2 13 6" xfId="31762" xr:uid="{00000000-0005-0000-0000-0000157C0000}"/>
    <cellStyle name="Normal 2 7 2 13 7" xfId="31763" xr:uid="{00000000-0005-0000-0000-0000167C0000}"/>
    <cellStyle name="Normal 2 7 2 13 8" xfId="31764" xr:uid="{00000000-0005-0000-0000-0000177C0000}"/>
    <cellStyle name="Normal 2 7 2 13 9" xfId="31765" xr:uid="{00000000-0005-0000-0000-0000187C0000}"/>
    <cellStyle name="Normal 2 7 2 14" xfId="31766" xr:uid="{00000000-0005-0000-0000-0000197C0000}"/>
    <cellStyle name="Normal 2 7 2 14 2" xfId="31767" xr:uid="{00000000-0005-0000-0000-00001A7C0000}"/>
    <cellStyle name="Normal 2 7 2 14 2 2" xfId="31768" xr:uid="{00000000-0005-0000-0000-00001B7C0000}"/>
    <cellStyle name="Normal 2 7 2 14 2 2 2" xfId="31769" xr:uid="{00000000-0005-0000-0000-00001C7C0000}"/>
    <cellStyle name="Normal 2 7 2 14 2 2 3" xfId="31770" xr:uid="{00000000-0005-0000-0000-00001D7C0000}"/>
    <cellStyle name="Normal 2 7 2 14 2 3" xfId="31771" xr:uid="{00000000-0005-0000-0000-00001E7C0000}"/>
    <cellStyle name="Normal 2 7 2 14 2 4" xfId="31772" xr:uid="{00000000-0005-0000-0000-00001F7C0000}"/>
    <cellStyle name="Normal 2 7 2 14 2 5" xfId="31773" xr:uid="{00000000-0005-0000-0000-0000207C0000}"/>
    <cellStyle name="Normal 2 7 2 14 2 6" xfId="31774" xr:uid="{00000000-0005-0000-0000-0000217C0000}"/>
    <cellStyle name="Normal 2 7 2 14 3" xfId="31775" xr:uid="{00000000-0005-0000-0000-0000227C0000}"/>
    <cellStyle name="Normal 2 7 2 14 3 2" xfId="31776" xr:uid="{00000000-0005-0000-0000-0000237C0000}"/>
    <cellStyle name="Normal 2 7 2 14 3 2 2" xfId="31777" xr:uid="{00000000-0005-0000-0000-0000247C0000}"/>
    <cellStyle name="Normal 2 7 2 14 3 3" xfId="31778" xr:uid="{00000000-0005-0000-0000-0000257C0000}"/>
    <cellStyle name="Normal 2 7 2 14 3 4" xfId="31779" xr:uid="{00000000-0005-0000-0000-0000267C0000}"/>
    <cellStyle name="Normal 2 7 2 14 3 5" xfId="31780" xr:uid="{00000000-0005-0000-0000-0000277C0000}"/>
    <cellStyle name="Normal 2 7 2 14 4" xfId="31781" xr:uid="{00000000-0005-0000-0000-0000287C0000}"/>
    <cellStyle name="Normal 2 7 2 14 4 2" xfId="31782" xr:uid="{00000000-0005-0000-0000-0000297C0000}"/>
    <cellStyle name="Normal 2 7 2 14 4 3" xfId="31783" xr:uid="{00000000-0005-0000-0000-00002A7C0000}"/>
    <cellStyle name="Normal 2 7 2 14 4 4" xfId="31784" xr:uid="{00000000-0005-0000-0000-00002B7C0000}"/>
    <cellStyle name="Normal 2 7 2 14 5" xfId="31785" xr:uid="{00000000-0005-0000-0000-00002C7C0000}"/>
    <cellStyle name="Normal 2 7 2 14 5 2" xfId="31786" xr:uid="{00000000-0005-0000-0000-00002D7C0000}"/>
    <cellStyle name="Normal 2 7 2 14 6" xfId="31787" xr:uid="{00000000-0005-0000-0000-00002E7C0000}"/>
    <cellStyle name="Normal 2 7 2 14 7" xfId="31788" xr:uid="{00000000-0005-0000-0000-00002F7C0000}"/>
    <cellStyle name="Normal 2 7 2 14 8" xfId="31789" xr:uid="{00000000-0005-0000-0000-0000307C0000}"/>
    <cellStyle name="Normal 2 7 2 14 9" xfId="31790" xr:uid="{00000000-0005-0000-0000-0000317C0000}"/>
    <cellStyle name="Normal 2 7 2 15" xfId="31791" xr:uid="{00000000-0005-0000-0000-0000327C0000}"/>
    <cellStyle name="Normal 2 7 2 15 2" xfId="31792" xr:uid="{00000000-0005-0000-0000-0000337C0000}"/>
    <cellStyle name="Normal 2 7 2 15 2 2" xfId="31793" xr:uid="{00000000-0005-0000-0000-0000347C0000}"/>
    <cellStyle name="Normal 2 7 2 15 2 3" xfId="31794" xr:uid="{00000000-0005-0000-0000-0000357C0000}"/>
    <cellStyle name="Normal 2 7 2 15 3" xfId="31795" xr:uid="{00000000-0005-0000-0000-0000367C0000}"/>
    <cellStyle name="Normal 2 7 2 15 4" xfId="31796" xr:uid="{00000000-0005-0000-0000-0000377C0000}"/>
    <cellStyle name="Normal 2 7 2 15 5" xfId="31797" xr:uid="{00000000-0005-0000-0000-0000387C0000}"/>
    <cellStyle name="Normal 2 7 2 15 6" xfId="31798" xr:uid="{00000000-0005-0000-0000-0000397C0000}"/>
    <cellStyle name="Normal 2 7 2 16" xfId="31799" xr:uid="{00000000-0005-0000-0000-00003A7C0000}"/>
    <cellStyle name="Normal 2 7 2 16 2" xfId="31800" xr:uid="{00000000-0005-0000-0000-00003B7C0000}"/>
    <cellStyle name="Normal 2 7 2 16 2 2" xfId="31801" xr:uid="{00000000-0005-0000-0000-00003C7C0000}"/>
    <cellStyle name="Normal 2 7 2 16 3" xfId="31802" xr:uid="{00000000-0005-0000-0000-00003D7C0000}"/>
    <cellStyle name="Normal 2 7 2 16 4" xfId="31803" xr:uid="{00000000-0005-0000-0000-00003E7C0000}"/>
    <cellStyle name="Normal 2 7 2 16 5" xfId="31804" xr:uid="{00000000-0005-0000-0000-00003F7C0000}"/>
    <cellStyle name="Normal 2 7 2 17" xfId="31805" xr:uid="{00000000-0005-0000-0000-0000407C0000}"/>
    <cellStyle name="Normal 2 7 2 17 2" xfId="31806" xr:uid="{00000000-0005-0000-0000-0000417C0000}"/>
    <cellStyle name="Normal 2 7 2 17 2 2" xfId="31807" xr:uid="{00000000-0005-0000-0000-0000427C0000}"/>
    <cellStyle name="Normal 2 7 2 17 3" xfId="31808" xr:uid="{00000000-0005-0000-0000-0000437C0000}"/>
    <cellStyle name="Normal 2 7 2 17 4" xfId="31809" xr:uid="{00000000-0005-0000-0000-0000447C0000}"/>
    <cellStyle name="Normal 2 7 2 17 5" xfId="31810" xr:uid="{00000000-0005-0000-0000-0000457C0000}"/>
    <cellStyle name="Normal 2 7 2 18" xfId="31811" xr:uid="{00000000-0005-0000-0000-0000467C0000}"/>
    <cellStyle name="Normal 2 7 2 18 2" xfId="31812" xr:uid="{00000000-0005-0000-0000-0000477C0000}"/>
    <cellStyle name="Normal 2 7 2 19" xfId="31813" xr:uid="{00000000-0005-0000-0000-0000487C0000}"/>
    <cellStyle name="Normal 2 7 2 2" xfId="31814" xr:uid="{00000000-0005-0000-0000-0000497C0000}"/>
    <cellStyle name="Normal 2 7 2 2 10" xfId="31815" xr:uid="{00000000-0005-0000-0000-00004A7C0000}"/>
    <cellStyle name="Normal 2 7 2 2 11" xfId="31816" xr:uid="{00000000-0005-0000-0000-00004B7C0000}"/>
    <cellStyle name="Normal 2 7 2 2 2" xfId="31817" xr:uid="{00000000-0005-0000-0000-00004C7C0000}"/>
    <cellStyle name="Normal 2 7 2 2 2 2" xfId="31818" xr:uid="{00000000-0005-0000-0000-00004D7C0000}"/>
    <cellStyle name="Normal 2 7 2 2 2 2 2" xfId="31819" xr:uid="{00000000-0005-0000-0000-00004E7C0000}"/>
    <cellStyle name="Normal 2 7 2 2 2 2 2 2" xfId="31820" xr:uid="{00000000-0005-0000-0000-00004F7C0000}"/>
    <cellStyle name="Normal 2 7 2 2 2 2 2 3" xfId="31821" xr:uid="{00000000-0005-0000-0000-0000507C0000}"/>
    <cellStyle name="Normal 2 7 2 2 2 2 3" xfId="31822" xr:uid="{00000000-0005-0000-0000-0000517C0000}"/>
    <cellStyle name="Normal 2 7 2 2 2 2 4" xfId="31823" xr:uid="{00000000-0005-0000-0000-0000527C0000}"/>
    <cellStyle name="Normal 2 7 2 2 2 2 5" xfId="31824" xr:uid="{00000000-0005-0000-0000-0000537C0000}"/>
    <cellStyle name="Normal 2 7 2 2 2 2 6" xfId="31825" xr:uid="{00000000-0005-0000-0000-0000547C0000}"/>
    <cellStyle name="Normal 2 7 2 2 2 3" xfId="31826" xr:uid="{00000000-0005-0000-0000-0000557C0000}"/>
    <cellStyle name="Normal 2 7 2 2 2 3 2" xfId="31827" xr:uid="{00000000-0005-0000-0000-0000567C0000}"/>
    <cellStyle name="Normal 2 7 2 2 2 3 2 2" xfId="31828" xr:uid="{00000000-0005-0000-0000-0000577C0000}"/>
    <cellStyle name="Normal 2 7 2 2 2 3 3" xfId="31829" xr:uid="{00000000-0005-0000-0000-0000587C0000}"/>
    <cellStyle name="Normal 2 7 2 2 2 3 4" xfId="31830" xr:uid="{00000000-0005-0000-0000-0000597C0000}"/>
    <cellStyle name="Normal 2 7 2 2 2 3 5" xfId="31831" xr:uid="{00000000-0005-0000-0000-00005A7C0000}"/>
    <cellStyle name="Normal 2 7 2 2 2 4" xfId="31832" xr:uid="{00000000-0005-0000-0000-00005B7C0000}"/>
    <cellStyle name="Normal 2 7 2 2 2 4 2" xfId="31833" xr:uid="{00000000-0005-0000-0000-00005C7C0000}"/>
    <cellStyle name="Normal 2 7 2 2 2 4 3" xfId="31834" xr:uid="{00000000-0005-0000-0000-00005D7C0000}"/>
    <cellStyle name="Normal 2 7 2 2 2 4 4" xfId="31835" xr:uid="{00000000-0005-0000-0000-00005E7C0000}"/>
    <cellStyle name="Normal 2 7 2 2 2 5" xfId="31836" xr:uid="{00000000-0005-0000-0000-00005F7C0000}"/>
    <cellStyle name="Normal 2 7 2 2 2 5 2" xfId="31837" xr:uid="{00000000-0005-0000-0000-0000607C0000}"/>
    <cellStyle name="Normal 2 7 2 2 2 6" xfId="31838" xr:uid="{00000000-0005-0000-0000-0000617C0000}"/>
    <cellStyle name="Normal 2 7 2 2 2 7" xfId="31839" xr:uid="{00000000-0005-0000-0000-0000627C0000}"/>
    <cellStyle name="Normal 2 7 2 2 2 8" xfId="31840" xr:uid="{00000000-0005-0000-0000-0000637C0000}"/>
    <cellStyle name="Normal 2 7 2 2 2 9" xfId="31841" xr:uid="{00000000-0005-0000-0000-0000647C0000}"/>
    <cellStyle name="Normal 2 7 2 2 3" xfId="31842" xr:uid="{00000000-0005-0000-0000-0000657C0000}"/>
    <cellStyle name="Normal 2 7 2 2 3 2" xfId="31843" xr:uid="{00000000-0005-0000-0000-0000667C0000}"/>
    <cellStyle name="Normal 2 7 2 2 3 2 2" xfId="31844" xr:uid="{00000000-0005-0000-0000-0000677C0000}"/>
    <cellStyle name="Normal 2 7 2 2 3 2 2 2" xfId="31845" xr:uid="{00000000-0005-0000-0000-0000687C0000}"/>
    <cellStyle name="Normal 2 7 2 2 3 2 2 3" xfId="31846" xr:uid="{00000000-0005-0000-0000-0000697C0000}"/>
    <cellStyle name="Normal 2 7 2 2 3 2 3" xfId="31847" xr:uid="{00000000-0005-0000-0000-00006A7C0000}"/>
    <cellStyle name="Normal 2 7 2 2 3 2 4" xfId="31848" xr:uid="{00000000-0005-0000-0000-00006B7C0000}"/>
    <cellStyle name="Normal 2 7 2 2 3 2 5" xfId="31849" xr:uid="{00000000-0005-0000-0000-00006C7C0000}"/>
    <cellStyle name="Normal 2 7 2 2 3 2 6" xfId="31850" xr:uid="{00000000-0005-0000-0000-00006D7C0000}"/>
    <cellStyle name="Normal 2 7 2 2 3 3" xfId="31851" xr:uid="{00000000-0005-0000-0000-00006E7C0000}"/>
    <cellStyle name="Normal 2 7 2 2 3 3 2" xfId="31852" xr:uid="{00000000-0005-0000-0000-00006F7C0000}"/>
    <cellStyle name="Normal 2 7 2 2 3 3 2 2" xfId="31853" xr:uid="{00000000-0005-0000-0000-0000707C0000}"/>
    <cellStyle name="Normal 2 7 2 2 3 3 3" xfId="31854" xr:uid="{00000000-0005-0000-0000-0000717C0000}"/>
    <cellStyle name="Normal 2 7 2 2 3 3 4" xfId="31855" xr:uid="{00000000-0005-0000-0000-0000727C0000}"/>
    <cellStyle name="Normal 2 7 2 2 3 3 5" xfId="31856" xr:uid="{00000000-0005-0000-0000-0000737C0000}"/>
    <cellStyle name="Normal 2 7 2 2 3 4" xfId="31857" xr:uid="{00000000-0005-0000-0000-0000747C0000}"/>
    <cellStyle name="Normal 2 7 2 2 3 4 2" xfId="31858" xr:uid="{00000000-0005-0000-0000-0000757C0000}"/>
    <cellStyle name="Normal 2 7 2 2 3 4 3" xfId="31859" xr:uid="{00000000-0005-0000-0000-0000767C0000}"/>
    <cellStyle name="Normal 2 7 2 2 3 4 4" xfId="31860" xr:uid="{00000000-0005-0000-0000-0000777C0000}"/>
    <cellStyle name="Normal 2 7 2 2 3 5" xfId="31861" xr:uid="{00000000-0005-0000-0000-0000787C0000}"/>
    <cellStyle name="Normal 2 7 2 2 3 5 2" xfId="31862" xr:uid="{00000000-0005-0000-0000-0000797C0000}"/>
    <cellStyle name="Normal 2 7 2 2 3 6" xfId="31863" xr:uid="{00000000-0005-0000-0000-00007A7C0000}"/>
    <cellStyle name="Normal 2 7 2 2 3 7" xfId="31864" xr:uid="{00000000-0005-0000-0000-00007B7C0000}"/>
    <cellStyle name="Normal 2 7 2 2 3 8" xfId="31865" xr:uid="{00000000-0005-0000-0000-00007C7C0000}"/>
    <cellStyle name="Normal 2 7 2 2 3 9" xfId="31866" xr:uid="{00000000-0005-0000-0000-00007D7C0000}"/>
    <cellStyle name="Normal 2 7 2 2 4" xfId="31867" xr:uid="{00000000-0005-0000-0000-00007E7C0000}"/>
    <cellStyle name="Normal 2 7 2 2 4 2" xfId="31868" xr:uid="{00000000-0005-0000-0000-00007F7C0000}"/>
    <cellStyle name="Normal 2 7 2 2 4 2 2" xfId="31869" xr:uid="{00000000-0005-0000-0000-0000807C0000}"/>
    <cellStyle name="Normal 2 7 2 2 4 2 3" xfId="31870" xr:uid="{00000000-0005-0000-0000-0000817C0000}"/>
    <cellStyle name="Normal 2 7 2 2 4 3" xfId="31871" xr:uid="{00000000-0005-0000-0000-0000827C0000}"/>
    <cellStyle name="Normal 2 7 2 2 4 4" xfId="31872" xr:uid="{00000000-0005-0000-0000-0000837C0000}"/>
    <cellStyle name="Normal 2 7 2 2 4 5" xfId="31873" xr:uid="{00000000-0005-0000-0000-0000847C0000}"/>
    <cellStyle name="Normal 2 7 2 2 4 6" xfId="31874" xr:uid="{00000000-0005-0000-0000-0000857C0000}"/>
    <cellStyle name="Normal 2 7 2 2 5" xfId="31875" xr:uid="{00000000-0005-0000-0000-0000867C0000}"/>
    <cellStyle name="Normal 2 7 2 2 5 2" xfId="31876" xr:uid="{00000000-0005-0000-0000-0000877C0000}"/>
    <cellStyle name="Normal 2 7 2 2 5 2 2" xfId="31877" xr:uid="{00000000-0005-0000-0000-0000887C0000}"/>
    <cellStyle name="Normal 2 7 2 2 5 3" xfId="31878" xr:uid="{00000000-0005-0000-0000-0000897C0000}"/>
    <cellStyle name="Normal 2 7 2 2 5 4" xfId="31879" xr:uid="{00000000-0005-0000-0000-00008A7C0000}"/>
    <cellStyle name="Normal 2 7 2 2 5 5" xfId="31880" xr:uid="{00000000-0005-0000-0000-00008B7C0000}"/>
    <cellStyle name="Normal 2 7 2 2 6" xfId="31881" xr:uid="{00000000-0005-0000-0000-00008C7C0000}"/>
    <cellStyle name="Normal 2 7 2 2 6 2" xfId="31882" xr:uid="{00000000-0005-0000-0000-00008D7C0000}"/>
    <cellStyle name="Normal 2 7 2 2 6 3" xfId="31883" xr:uid="{00000000-0005-0000-0000-00008E7C0000}"/>
    <cellStyle name="Normal 2 7 2 2 6 4" xfId="31884" xr:uid="{00000000-0005-0000-0000-00008F7C0000}"/>
    <cellStyle name="Normal 2 7 2 2 7" xfId="31885" xr:uid="{00000000-0005-0000-0000-0000907C0000}"/>
    <cellStyle name="Normal 2 7 2 2 7 2" xfId="31886" xr:uid="{00000000-0005-0000-0000-0000917C0000}"/>
    <cellStyle name="Normal 2 7 2 2 8" xfId="31887" xr:uid="{00000000-0005-0000-0000-0000927C0000}"/>
    <cellStyle name="Normal 2 7 2 2 9" xfId="31888" xr:uid="{00000000-0005-0000-0000-0000937C0000}"/>
    <cellStyle name="Normal 2 7 2 20" xfId="31889" xr:uid="{00000000-0005-0000-0000-0000947C0000}"/>
    <cellStyle name="Normal 2 7 2 21" xfId="31890" xr:uid="{00000000-0005-0000-0000-0000957C0000}"/>
    <cellStyle name="Normal 2 7 2 22" xfId="31891" xr:uid="{00000000-0005-0000-0000-0000967C0000}"/>
    <cellStyle name="Normal 2 7 2 3" xfId="31892" xr:uid="{00000000-0005-0000-0000-0000977C0000}"/>
    <cellStyle name="Normal 2 7 2 3 10" xfId="31893" xr:uid="{00000000-0005-0000-0000-0000987C0000}"/>
    <cellStyle name="Normal 2 7 2 3 11" xfId="31894" xr:uid="{00000000-0005-0000-0000-0000997C0000}"/>
    <cellStyle name="Normal 2 7 2 3 2" xfId="31895" xr:uid="{00000000-0005-0000-0000-00009A7C0000}"/>
    <cellStyle name="Normal 2 7 2 3 2 2" xfId="31896" xr:uid="{00000000-0005-0000-0000-00009B7C0000}"/>
    <cellStyle name="Normal 2 7 2 3 2 2 2" xfId="31897" xr:uid="{00000000-0005-0000-0000-00009C7C0000}"/>
    <cellStyle name="Normal 2 7 2 3 2 2 2 2" xfId="31898" xr:uid="{00000000-0005-0000-0000-00009D7C0000}"/>
    <cellStyle name="Normal 2 7 2 3 2 2 2 3" xfId="31899" xr:uid="{00000000-0005-0000-0000-00009E7C0000}"/>
    <cellStyle name="Normal 2 7 2 3 2 2 3" xfId="31900" xr:uid="{00000000-0005-0000-0000-00009F7C0000}"/>
    <cellStyle name="Normal 2 7 2 3 2 2 4" xfId="31901" xr:uid="{00000000-0005-0000-0000-0000A07C0000}"/>
    <cellStyle name="Normal 2 7 2 3 2 2 5" xfId="31902" xr:uid="{00000000-0005-0000-0000-0000A17C0000}"/>
    <cellStyle name="Normal 2 7 2 3 2 2 6" xfId="31903" xr:uid="{00000000-0005-0000-0000-0000A27C0000}"/>
    <cellStyle name="Normal 2 7 2 3 2 3" xfId="31904" xr:uid="{00000000-0005-0000-0000-0000A37C0000}"/>
    <cellStyle name="Normal 2 7 2 3 2 3 2" xfId="31905" xr:uid="{00000000-0005-0000-0000-0000A47C0000}"/>
    <cellStyle name="Normal 2 7 2 3 2 3 2 2" xfId="31906" xr:uid="{00000000-0005-0000-0000-0000A57C0000}"/>
    <cellStyle name="Normal 2 7 2 3 2 3 3" xfId="31907" xr:uid="{00000000-0005-0000-0000-0000A67C0000}"/>
    <cellStyle name="Normal 2 7 2 3 2 3 4" xfId="31908" xr:uid="{00000000-0005-0000-0000-0000A77C0000}"/>
    <cellStyle name="Normal 2 7 2 3 2 3 5" xfId="31909" xr:uid="{00000000-0005-0000-0000-0000A87C0000}"/>
    <cellStyle name="Normal 2 7 2 3 2 4" xfId="31910" xr:uid="{00000000-0005-0000-0000-0000A97C0000}"/>
    <cellStyle name="Normal 2 7 2 3 2 4 2" xfId="31911" xr:uid="{00000000-0005-0000-0000-0000AA7C0000}"/>
    <cellStyle name="Normal 2 7 2 3 2 4 3" xfId="31912" xr:uid="{00000000-0005-0000-0000-0000AB7C0000}"/>
    <cellStyle name="Normal 2 7 2 3 2 4 4" xfId="31913" xr:uid="{00000000-0005-0000-0000-0000AC7C0000}"/>
    <cellStyle name="Normal 2 7 2 3 2 5" xfId="31914" xr:uid="{00000000-0005-0000-0000-0000AD7C0000}"/>
    <cellStyle name="Normal 2 7 2 3 2 5 2" xfId="31915" xr:uid="{00000000-0005-0000-0000-0000AE7C0000}"/>
    <cellStyle name="Normal 2 7 2 3 2 6" xfId="31916" xr:uid="{00000000-0005-0000-0000-0000AF7C0000}"/>
    <cellStyle name="Normal 2 7 2 3 2 7" xfId="31917" xr:uid="{00000000-0005-0000-0000-0000B07C0000}"/>
    <cellStyle name="Normal 2 7 2 3 2 8" xfId="31918" xr:uid="{00000000-0005-0000-0000-0000B17C0000}"/>
    <cellStyle name="Normal 2 7 2 3 2 9" xfId="31919" xr:uid="{00000000-0005-0000-0000-0000B27C0000}"/>
    <cellStyle name="Normal 2 7 2 3 3" xfId="31920" xr:uid="{00000000-0005-0000-0000-0000B37C0000}"/>
    <cellStyle name="Normal 2 7 2 3 3 2" xfId="31921" xr:uid="{00000000-0005-0000-0000-0000B47C0000}"/>
    <cellStyle name="Normal 2 7 2 3 3 2 2" xfId="31922" xr:uid="{00000000-0005-0000-0000-0000B57C0000}"/>
    <cellStyle name="Normal 2 7 2 3 3 2 2 2" xfId="31923" xr:uid="{00000000-0005-0000-0000-0000B67C0000}"/>
    <cellStyle name="Normal 2 7 2 3 3 2 2 3" xfId="31924" xr:uid="{00000000-0005-0000-0000-0000B77C0000}"/>
    <cellStyle name="Normal 2 7 2 3 3 2 3" xfId="31925" xr:uid="{00000000-0005-0000-0000-0000B87C0000}"/>
    <cellStyle name="Normal 2 7 2 3 3 2 4" xfId="31926" xr:uid="{00000000-0005-0000-0000-0000B97C0000}"/>
    <cellStyle name="Normal 2 7 2 3 3 2 5" xfId="31927" xr:uid="{00000000-0005-0000-0000-0000BA7C0000}"/>
    <cellStyle name="Normal 2 7 2 3 3 2 6" xfId="31928" xr:uid="{00000000-0005-0000-0000-0000BB7C0000}"/>
    <cellStyle name="Normal 2 7 2 3 3 3" xfId="31929" xr:uid="{00000000-0005-0000-0000-0000BC7C0000}"/>
    <cellStyle name="Normal 2 7 2 3 3 3 2" xfId="31930" xr:uid="{00000000-0005-0000-0000-0000BD7C0000}"/>
    <cellStyle name="Normal 2 7 2 3 3 3 2 2" xfId="31931" xr:uid="{00000000-0005-0000-0000-0000BE7C0000}"/>
    <cellStyle name="Normal 2 7 2 3 3 3 3" xfId="31932" xr:uid="{00000000-0005-0000-0000-0000BF7C0000}"/>
    <cellStyle name="Normal 2 7 2 3 3 3 4" xfId="31933" xr:uid="{00000000-0005-0000-0000-0000C07C0000}"/>
    <cellStyle name="Normal 2 7 2 3 3 3 5" xfId="31934" xr:uid="{00000000-0005-0000-0000-0000C17C0000}"/>
    <cellStyle name="Normal 2 7 2 3 3 4" xfId="31935" xr:uid="{00000000-0005-0000-0000-0000C27C0000}"/>
    <cellStyle name="Normal 2 7 2 3 3 4 2" xfId="31936" xr:uid="{00000000-0005-0000-0000-0000C37C0000}"/>
    <cellStyle name="Normal 2 7 2 3 3 4 3" xfId="31937" xr:uid="{00000000-0005-0000-0000-0000C47C0000}"/>
    <cellStyle name="Normal 2 7 2 3 3 4 4" xfId="31938" xr:uid="{00000000-0005-0000-0000-0000C57C0000}"/>
    <cellStyle name="Normal 2 7 2 3 3 5" xfId="31939" xr:uid="{00000000-0005-0000-0000-0000C67C0000}"/>
    <cellStyle name="Normal 2 7 2 3 3 5 2" xfId="31940" xr:uid="{00000000-0005-0000-0000-0000C77C0000}"/>
    <cellStyle name="Normal 2 7 2 3 3 6" xfId="31941" xr:uid="{00000000-0005-0000-0000-0000C87C0000}"/>
    <cellStyle name="Normal 2 7 2 3 3 7" xfId="31942" xr:uid="{00000000-0005-0000-0000-0000C97C0000}"/>
    <cellStyle name="Normal 2 7 2 3 3 8" xfId="31943" xr:uid="{00000000-0005-0000-0000-0000CA7C0000}"/>
    <cellStyle name="Normal 2 7 2 3 3 9" xfId="31944" xr:uid="{00000000-0005-0000-0000-0000CB7C0000}"/>
    <cellStyle name="Normal 2 7 2 3 4" xfId="31945" xr:uid="{00000000-0005-0000-0000-0000CC7C0000}"/>
    <cellStyle name="Normal 2 7 2 3 4 2" xfId="31946" xr:uid="{00000000-0005-0000-0000-0000CD7C0000}"/>
    <cellStyle name="Normal 2 7 2 3 4 2 2" xfId="31947" xr:uid="{00000000-0005-0000-0000-0000CE7C0000}"/>
    <cellStyle name="Normal 2 7 2 3 4 2 3" xfId="31948" xr:uid="{00000000-0005-0000-0000-0000CF7C0000}"/>
    <cellStyle name="Normal 2 7 2 3 4 3" xfId="31949" xr:uid="{00000000-0005-0000-0000-0000D07C0000}"/>
    <cellStyle name="Normal 2 7 2 3 4 4" xfId="31950" xr:uid="{00000000-0005-0000-0000-0000D17C0000}"/>
    <cellStyle name="Normal 2 7 2 3 4 5" xfId="31951" xr:uid="{00000000-0005-0000-0000-0000D27C0000}"/>
    <cellStyle name="Normal 2 7 2 3 4 6" xfId="31952" xr:uid="{00000000-0005-0000-0000-0000D37C0000}"/>
    <cellStyle name="Normal 2 7 2 3 5" xfId="31953" xr:uid="{00000000-0005-0000-0000-0000D47C0000}"/>
    <cellStyle name="Normal 2 7 2 3 5 2" xfId="31954" xr:uid="{00000000-0005-0000-0000-0000D57C0000}"/>
    <cellStyle name="Normal 2 7 2 3 5 2 2" xfId="31955" xr:uid="{00000000-0005-0000-0000-0000D67C0000}"/>
    <cellStyle name="Normal 2 7 2 3 5 3" xfId="31956" xr:uid="{00000000-0005-0000-0000-0000D77C0000}"/>
    <cellStyle name="Normal 2 7 2 3 5 4" xfId="31957" xr:uid="{00000000-0005-0000-0000-0000D87C0000}"/>
    <cellStyle name="Normal 2 7 2 3 5 5" xfId="31958" xr:uid="{00000000-0005-0000-0000-0000D97C0000}"/>
    <cellStyle name="Normal 2 7 2 3 6" xfId="31959" xr:uid="{00000000-0005-0000-0000-0000DA7C0000}"/>
    <cellStyle name="Normal 2 7 2 3 6 2" xfId="31960" xr:uid="{00000000-0005-0000-0000-0000DB7C0000}"/>
    <cellStyle name="Normal 2 7 2 3 6 3" xfId="31961" xr:uid="{00000000-0005-0000-0000-0000DC7C0000}"/>
    <cellStyle name="Normal 2 7 2 3 6 4" xfId="31962" xr:uid="{00000000-0005-0000-0000-0000DD7C0000}"/>
    <cellStyle name="Normal 2 7 2 3 7" xfId="31963" xr:uid="{00000000-0005-0000-0000-0000DE7C0000}"/>
    <cellStyle name="Normal 2 7 2 3 7 2" xfId="31964" xr:uid="{00000000-0005-0000-0000-0000DF7C0000}"/>
    <cellStyle name="Normal 2 7 2 3 8" xfId="31965" xr:uid="{00000000-0005-0000-0000-0000E07C0000}"/>
    <cellStyle name="Normal 2 7 2 3 9" xfId="31966" xr:uid="{00000000-0005-0000-0000-0000E17C0000}"/>
    <cellStyle name="Normal 2 7 2 4" xfId="31967" xr:uid="{00000000-0005-0000-0000-0000E27C0000}"/>
    <cellStyle name="Normal 2 7 2 4 10" xfId="31968" xr:uid="{00000000-0005-0000-0000-0000E37C0000}"/>
    <cellStyle name="Normal 2 7 2 4 11" xfId="31969" xr:uid="{00000000-0005-0000-0000-0000E47C0000}"/>
    <cellStyle name="Normal 2 7 2 4 2" xfId="31970" xr:uid="{00000000-0005-0000-0000-0000E57C0000}"/>
    <cellStyle name="Normal 2 7 2 4 2 2" xfId="31971" xr:uid="{00000000-0005-0000-0000-0000E67C0000}"/>
    <cellStyle name="Normal 2 7 2 4 2 2 2" xfId="31972" xr:uid="{00000000-0005-0000-0000-0000E77C0000}"/>
    <cellStyle name="Normal 2 7 2 4 2 2 2 2" xfId="31973" xr:uid="{00000000-0005-0000-0000-0000E87C0000}"/>
    <cellStyle name="Normal 2 7 2 4 2 2 2 3" xfId="31974" xr:uid="{00000000-0005-0000-0000-0000E97C0000}"/>
    <cellStyle name="Normal 2 7 2 4 2 2 3" xfId="31975" xr:uid="{00000000-0005-0000-0000-0000EA7C0000}"/>
    <cellStyle name="Normal 2 7 2 4 2 2 4" xfId="31976" xr:uid="{00000000-0005-0000-0000-0000EB7C0000}"/>
    <cellStyle name="Normal 2 7 2 4 2 2 5" xfId="31977" xr:uid="{00000000-0005-0000-0000-0000EC7C0000}"/>
    <cellStyle name="Normal 2 7 2 4 2 2 6" xfId="31978" xr:uid="{00000000-0005-0000-0000-0000ED7C0000}"/>
    <cellStyle name="Normal 2 7 2 4 2 3" xfId="31979" xr:uid="{00000000-0005-0000-0000-0000EE7C0000}"/>
    <cellStyle name="Normal 2 7 2 4 2 3 2" xfId="31980" xr:uid="{00000000-0005-0000-0000-0000EF7C0000}"/>
    <cellStyle name="Normal 2 7 2 4 2 3 2 2" xfId="31981" xr:uid="{00000000-0005-0000-0000-0000F07C0000}"/>
    <cellStyle name="Normal 2 7 2 4 2 3 3" xfId="31982" xr:uid="{00000000-0005-0000-0000-0000F17C0000}"/>
    <cellStyle name="Normal 2 7 2 4 2 3 4" xfId="31983" xr:uid="{00000000-0005-0000-0000-0000F27C0000}"/>
    <cellStyle name="Normal 2 7 2 4 2 3 5" xfId="31984" xr:uid="{00000000-0005-0000-0000-0000F37C0000}"/>
    <cellStyle name="Normal 2 7 2 4 2 4" xfId="31985" xr:uid="{00000000-0005-0000-0000-0000F47C0000}"/>
    <cellStyle name="Normal 2 7 2 4 2 4 2" xfId="31986" xr:uid="{00000000-0005-0000-0000-0000F57C0000}"/>
    <cellStyle name="Normal 2 7 2 4 2 4 3" xfId="31987" xr:uid="{00000000-0005-0000-0000-0000F67C0000}"/>
    <cellStyle name="Normal 2 7 2 4 2 4 4" xfId="31988" xr:uid="{00000000-0005-0000-0000-0000F77C0000}"/>
    <cellStyle name="Normal 2 7 2 4 2 5" xfId="31989" xr:uid="{00000000-0005-0000-0000-0000F87C0000}"/>
    <cellStyle name="Normal 2 7 2 4 2 5 2" xfId="31990" xr:uid="{00000000-0005-0000-0000-0000F97C0000}"/>
    <cellStyle name="Normal 2 7 2 4 2 6" xfId="31991" xr:uid="{00000000-0005-0000-0000-0000FA7C0000}"/>
    <cellStyle name="Normal 2 7 2 4 2 7" xfId="31992" xr:uid="{00000000-0005-0000-0000-0000FB7C0000}"/>
    <cellStyle name="Normal 2 7 2 4 2 8" xfId="31993" xr:uid="{00000000-0005-0000-0000-0000FC7C0000}"/>
    <cellStyle name="Normal 2 7 2 4 2 9" xfId="31994" xr:uid="{00000000-0005-0000-0000-0000FD7C0000}"/>
    <cellStyle name="Normal 2 7 2 4 3" xfId="31995" xr:uid="{00000000-0005-0000-0000-0000FE7C0000}"/>
    <cellStyle name="Normal 2 7 2 4 3 2" xfId="31996" xr:uid="{00000000-0005-0000-0000-0000FF7C0000}"/>
    <cellStyle name="Normal 2 7 2 4 3 2 2" xfId="31997" xr:uid="{00000000-0005-0000-0000-0000007D0000}"/>
    <cellStyle name="Normal 2 7 2 4 3 2 2 2" xfId="31998" xr:uid="{00000000-0005-0000-0000-0000017D0000}"/>
    <cellStyle name="Normal 2 7 2 4 3 2 2 3" xfId="31999" xr:uid="{00000000-0005-0000-0000-0000027D0000}"/>
    <cellStyle name="Normal 2 7 2 4 3 2 3" xfId="32000" xr:uid="{00000000-0005-0000-0000-0000037D0000}"/>
    <cellStyle name="Normal 2 7 2 4 3 2 4" xfId="32001" xr:uid="{00000000-0005-0000-0000-0000047D0000}"/>
    <cellStyle name="Normal 2 7 2 4 3 2 5" xfId="32002" xr:uid="{00000000-0005-0000-0000-0000057D0000}"/>
    <cellStyle name="Normal 2 7 2 4 3 2 6" xfId="32003" xr:uid="{00000000-0005-0000-0000-0000067D0000}"/>
    <cellStyle name="Normal 2 7 2 4 3 3" xfId="32004" xr:uid="{00000000-0005-0000-0000-0000077D0000}"/>
    <cellStyle name="Normal 2 7 2 4 3 3 2" xfId="32005" xr:uid="{00000000-0005-0000-0000-0000087D0000}"/>
    <cellStyle name="Normal 2 7 2 4 3 3 2 2" xfId="32006" xr:uid="{00000000-0005-0000-0000-0000097D0000}"/>
    <cellStyle name="Normal 2 7 2 4 3 3 3" xfId="32007" xr:uid="{00000000-0005-0000-0000-00000A7D0000}"/>
    <cellStyle name="Normal 2 7 2 4 3 3 4" xfId="32008" xr:uid="{00000000-0005-0000-0000-00000B7D0000}"/>
    <cellStyle name="Normal 2 7 2 4 3 3 5" xfId="32009" xr:uid="{00000000-0005-0000-0000-00000C7D0000}"/>
    <cellStyle name="Normal 2 7 2 4 3 4" xfId="32010" xr:uid="{00000000-0005-0000-0000-00000D7D0000}"/>
    <cellStyle name="Normal 2 7 2 4 3 4 2" xfId="32011" xr:uid="{00000000-0005-0000-0000-00000E7D0000}"/>
    <cellStyle name="Normal 2 7 2 4 3 4 3" xfId="32012" xr:uid="{00000000-0005-0000-0000-00000F7D0000}"/>
    <cellStyle name="Normal 2 7 2 4 3 4 4" xfId="32013" xr:uid="{00000000-0005-0000-0000-0000107D0000}"/>
    <cellStyle name="Normal 2 7 2 4 3 5" xfId="32014" xr:uid="{00000000-0005-0000-0000-0000117D0000}"/>
    <cellStyle name="Normal 2 7 2 4 3 5 2" xfId="32015" xr:uid="{00000000-0005-0000-0000-0000127D0000}"/>
    <cellStyle name="Normal 2 7 2 4 3 6" xfId="32016" xr:uid="{00000000-0005-0000-0000-0000137D0000}"/>
    <cellStyle name="Normal 2 7 2 4 3 7" xfId="32017" xr:uid="{00000000-0005-0000-0000-0000147D0000}"/>
    <cellStyle name="Normal 2 7 2 4 3 8" xfId="32018" xr:uid="{00000000-0005-0000-0000-0000157D0000}"/>
    <cellStyle name="Normal 2 7 2 4 3 9" xfId="32019" xr:uid="{00000000-0005-0000-0000-0000167D0000}"/>
    <cellStyle name="Normal 2 7 2 4 4" xfId="32020" xr:uid="{00000000-0005-0000-0000-0000177D0000}"/>
    <cellStyle name="Normal 2 7 2 4 4 2" xfId="32021" xr:uid="{00000000-0005-0000-0000-0000187D0000}"/>
    <cellStyle name="Normal 2 7 2 4 4 2 2" xfId="32022" xr:uid="{00000000-0005-0000-0000-0000197D0000}"/>
    <cellStyle name="Normal 2 7 2 4 4 2 3" xfId="32023" xr:uid="{00000000-0005-0000-0000-00001A7D0000}"/>
    <cellStyle name="Normal 2 7 2 4 4 3" xfId="32024" xr:uid="{00000000-0005-0000-0000-00001B7D0000}"/>
    <cellStyle name="Normal 2 7 2 4 4 4" xfId="32025" xr:uid="{00000000-0005-0000-0000-00001C7D0000}"/>
    <cellStyle name="Normal 2 7 2 4 4 5" xfId="32026" xr:uid="{00000000-0005-0000-0000-00001D7D0000}"/>
    <cellStyle name="Normal 2 7 2 4 4 6" xfId="32027" xr:uid="{00000000-0005-0000-0000-00001E7D0000}"/>
    <cellStyle name="Normal 2 7 2 4 5" xfId="32028" xr:uid="{00000000-0005-0000-0000-00001F7D0000}"/>
    <cellStyle name="Normal 2 7 2 4 5 2" xfId="32029" xr:uid="{00000000-0005-0000-0000-0000207D0000}"/>
    <cellStyle name="Normal 2 7 2 4 5 2 2" xfId="32030" xr:uid="{00000000-0005-0000-0000-0000217D0000}"/>
    <cellStyle name="Normal 2 7 2 4 5 3" xfId="32031" xr:uid="{00000000-0005-0000-0000-0000227D0000}"/>
    <cellStyle name="Normal 2 7 2 4 5 4" xfId="32032" xr:uid="{00000000-0005-0000-0000-0000237D0000}"/>
    <cellStyle name="Normal 2 7 2 4 5 5" xfId="32033" xr:uid="{00000000-0005-0000-0000-0000247D0000}"/>
    <cellStyle name="Normal 2 7 2 4 6" xfId="32034" xr:uid="{00000000-0005-0000-0000-0000257D0000}"/>
    <cellStyle name="Normal 2 7 2 4 6 2" xfId="32035" xr:uid="{00000000-0005-0000-0000-0000267D0000}"/>
    <cellStyle name="Normal 2 7 2 4 6 3" xfId="32036" xr:uid="{00000000-0005-0000-0000-0000277D0000}"/>
    <cellStyle name="Normal 2 7 2 4 6 4" xfId="32037" xr:uid="{00000000-0005-0000-0000-0000287D0000}"/>
    <cellStyle name="Normal 2 7 2 4 7" xfId="32038" xr:uid="{00000000-0005-0000-0000-0000297D0000}"/>
    <cellStyle name="Normal 2 7 2 4 7 2" xfId="32039" xr:uid="{00000000-0005-0000-0000-00002A7D0000}"/>
    <cellStyle name="Normal 2 7 2 4 8" xfId="32040" xr:uid="{00000000-0005-0000-0000-00002B7D0000}"/>
    <cellStyle name="Normal 2 7 2 4 9" xfId="32041" xr:uid="{00000000-0005-0000-0000-00002C7D0000}"/>
    <cellStyle name="Normal 2 7 2 5" xfId="32042" xr:uid="{00000000-0005-0000-0000-00002D7D0000}"/>
    <cellStyle name="Normal 2 7 2 5 10" xfId="32043" xr:uid="{00000000-0005-0000-0000-00002E7D0000}"/>
    <cellStyle name="Normal 2 7 2 5 11" xfId="32044" xr:uid="{00000000-0005-0000-0000-00002F7D0000}"/>
    <cellStyle name="Normal 2 7 2 5 2" xfId="32045" xr:uid="{00000000-0005-0000-0000-0000307D0000}"/>
    <cellStyle name="Normal 2 7 2 5 2 2" xfId="32046" xr:uid="{00000000-0005-0000-0000-0000317D0000}"/>
    <cellStyle name="Normal 2 7 2 5 2 2 2" xfId="32047" xr:uid="{00000000-0005-0000-0000-0000327D0000}"/>
    <cellStyle name="Normal 2 7 2 5 2 2 2 2" xfId="32048" xr:uid="{00000000-0005-0000-0000-0000337D0000}"/>
    <cellStyle name="Normal 2 7 2 5 2 2 2 3" xfId="32049" xr:uid="{00000000-0005-0000-0000-0000347D0000}"/>
    <cellStyle name="Normal 2 7 2 5 2 2 3" xfId="32050" xr:uid="{00000000-0005-0000-0000-0000357D0000}"/>
    <cellStyle name="Normal 2 7 2 5 2 2 4" xfId="32051" xr:uid="{00000000-0005-0000-0000-0000367D0000}"/>
    <cellStyle name="Normal 2 7 2 5 2 2 5" xfId="32052" xr:uid="{00000000-0005-0000-0000-0000377D0000}"/>
    <cellStyle name="Normal 2 7 2 5 2 2 6" xfId="32053" xr:uid="{00000000-0005-0000-0000-0000387D0000}"/>
    <cellStyle name="Normal 2 7 2 5 2 3" xfId="32054" xr:uid="{00000000-0005-0000-0000-0000397D0000}"/>
    <cellStyle name="Normal 2 7 2 5 2 3 2" xfId="32055" xr:uid="{00000000-0005-0000-0000-00003A7D0000}"/>
    <cellStyle name="Normal 2 7 2 5 2 3 2 2" xfId="32056" xr:uid="{00000000-0005-0000-0000-00003B7D0000}"/>
    <cellStyle name="Normal 2 7 2 5 2 3 3" xfId="32057" xr:uid="{00000000-0005-0000-0000-00003C7D0000}"/>
    <cellStyle name="Normal 2 7 2 5 2 3 4" xfId="32058" xr:uid="{00000000-0005-0000-0000-00003D7D0000}"/>
    <cellStyle name="Normal 2 7 2 5 2 3 5" xfId="32059" xr:uid="{00000000-0005-0000-0000-00003E7D0000}"/>
    <cellStyle name="Normal 2 7 2 5 2 4" xfId="32060" xr:uid="{00000000-0005-0000-0000-00003F7D0000}"/>
    <cellStyle name="Normal 2 7 2 5 2 4 2" xfId="32061" xr:uid="{00000000-0005-0000-0000-0000407D0000}"/>
    <cellStyle name="Normal 2 7 2 5 2 4 3" xfId="32062" xr:uid="{00000000-0005-0000-0000-0000417D0000}"/>
    <cellStyle name="Normal 2 7 2 5 2 4 4" xfId="32063" xr:uid="{00000000-0005-0000-0000-0000427D0000}"/>
    <cellStyle name="Normal 2 7 2 5 2 5" xfId="32064" xr:uid="{00000000-0005-0000-0000-0000437D0000}"/>
    <cellStyle name="Normal 2 7 2 5 2 5 2" xfId="32065" xr:uid="{00000000-0005-0000-0000-0000447D0000}"/>
    <cellStyle name="Normal 2 7 2 5 2 6" xfId="32066" xr:uid="{00000000-0005-0000-0000-0000457D0000}"/>
    <cellStyle name="Normal 2 7 2 5 2 7" xfId="32067" xr:uid="{00000000-0005-0000-0000-0000467D0000}"/>
    <cellStyle name="Normal 2 7 2 5 2 8" xfId="32068" xr:uid="{00000000-0005-0000-0000-0000477D0000}"/>
    <cellStyle name="Normal 2 7 2 5 2 9" xfId="32069" xr:uid="{00000000-0005-0000-0000-0000487D0000}"/>
    <cellStyle name="Normal 2 7 2 5 3" xfId="32070" xr:uid="{00000000-0005-0000-0000-0000497D0000}"/>
    <cellStyle name="Normal 2 7 2 5 3 2" xfId="32071" xr:uid="{00000000-0005-0000-0000-00004A7D0000}"/>
    <cellStyle name="Normal 2 7 2 5 3 2 2" xfId="32072" xr:uid="{00000000-0005-0000-0000-00004B7D0000}"/>
    <cellStyle name="Normal 2 7 2 5 3 2 2 2" xfId="32073" xr:uid="{00000000-0005-0000-0000-00004C7D0000}"/>
    <cellStyle name="Normal 2 7 2 5 3 2 2 3" xfId="32074" xr:uid="{00000000-0005-0000-0000-00004D7D0000}"/>
    <cellStyle name="Normal 2 7 2 5 3 2 3" xfId="32075" xr:uid="{00000000-0005-0000-0000-00004E7D0000}"/>
    <cellStyle name="Normal 2 7 2 5 3 2 4" xfId="32076" xr:uid="{00000000-0005-0000-0000-00004F7D0000}"/>
    <cellStyle name="Normal 2 7 2 5 3 2 5" xfId="32077" xr:uid="{00000000-0005-0000-0000-0000507D0000}"/>
    <cellStyle name="Normal 2 7 2 5 3 2 6" xfId="32078" xr:uid="{00000000-0005-0000-0000-0000517D0000}"/>
    <cellStyle name="Normal 2 7 2 5 3 3" xfId="32079" xr:uid="{00000000-0005-0000-0000-0000527D0000}"/>
    <cellStyle name="Normal 2 7 2 5 3 3 2" xfId="32080" xr:uid="{00000000-0005-0000-0000-0000537D0000}"/>
    <cellStyle name="Normal 2 7 2 5 3 3 2 2" xfId="32081" xr:uid="{00000000-0005-0000-0000-0000547D0000}"/>
    <cellStyle name="Normal 2 7 2 5 3 3 3" xfId="32082" xr:uid="{00000000-0005-0000-0000-0000557D0000}"/>
    <cellStyle name="Normal 2 7 2 5 3 3 4" xfId="32083" xr:uid="{00000000-0005-0000-0000-0000567D0000}"/>
    <cellStyle name="Normal 2 7 2 5 3 3 5" xfId="32084" xr:uid="{00000000-0005-0000-0000-0000577D0000}"/>
    <cellStyle name="Normal 2 7 2 5 3 4" xfId="32085" xr:uid="{00000000-0005-0000-0000-0000587D0000}"/>
    <cellStyle name="Normal 2 7 2 5 3 4 2" xfId="32086" xr:uid="{00000000-0005-0000-0000-0000597D0000}"/>
    <cellStyle name="Normal 2 7 2 5 3 4 3" xfId="32087" xr:uid="{00000000-0005-0000-0000-00005A7D0000}"/>
    <cellStyle name="Normal 2 7 2 5 3 4 4" xfId="32088" xr:uid="{00000000-0005-0000-0000-00005B7D0000}"/>
    <cellStyle name="Normal 2 7 2 5 3 5" xfId="32089" xr:uid="{00000000-0005-0000-0000-00005C7D0000}"/>
    <cellStyle name="Normal 2 7 2 5 3 5 2" xfId="32090" xr:uid="{00000000-0005-0000-0000-00005D7D0000}"/>
    <cellStyle name="Normal 2 7 2 5 3 6" xfId="32091" xr:uid="{00000000-0005-0000-0000-00005E7D0000}"/>
    <cellStyle name="Normal 2 7 2 5 3 7" xfId="32092" xr:uid="{00000000-0005-0000-0000-00005F7D0000}"/>
    <cellStyle name="Normal 2 7 2 5 3 8" xfId="32093" xr:uid="{00000000-0005-0000-0000-0000607D0000}"/>
    <cellStyle name="Normal 2 7 2 5 3 9" xfId="32094" xr:uid="{00000000-0005-0000-0000-0000617D0000}"/>
    <cellStyle name="Normal 2 7 2 5 4" xfId="32095" xr:uid="{00000000-0005-0000-0000-0000627D0000}"/>
    <cellStyle name="Normal 2 7 2 5 4 2" xfId="32096" xr:uid="{00000000-0005-0000-0000-0000637D0000}"/>
    <cellStyle name="Normal 2 7 2 5 4 2 2" xfId="32097" xr:uid="{00000000-0005-0000-0000-0000647D0000}"/>
    <cellStyle name="Normal 2 7 2 5 4 2 3" xfId="32098" xr:uid="{00000000-0005-0000-0000-0000657D0000}"/>
    <cellStyle name="Normal 2 7 2 5 4 3" xfId="32099" xr:uid="{00000000-0005-0000-0000-0000667D0000}"/>
    <cellStyle name="Normal 2 7 2 5 4 4" xfId="32100" xr:uid="{00000000-0005-0000-0000-0000677D0000}"/>
    <cellStyle name="Normal 2 7 2 5 4 5" xfId="32101" xr:uid="{00000000-0005-0000-0000-0000687D0000}"/>
    <cellStyle name="Normal 2 7 2 5 4 6" xfId="32102" xr:uid="{00000000-0005-0000-0000-0000697D0000}"/>
    <cellStyle name="Normal 2 7 2 5 5" xfId="32103" xr:uid="{00000000-0005-0000-0000-00006A7D0000}"/>
    <cellStyle name="Normal 2 7 2 5 5 2" xfId="32104" xr:uid="{00000000-0005-0000-0000-00006B7D0000}"/>
    <cellStyle name="Normal 2 7 2 5 5 2 2" xfId="32105" xr:uid="{00000000-0005-0000-0000-00006C7D0000}"/>
    <cellStyle name="Normal 2 7 2 5 5 3" xfId="32106" xr:uid="{00000000-0005-0000-0000-00006D7D0000}"/>
    <cellStyle name="Normal 2 7 2 5 5 4" xfId="32107" xr:uid="{00000000-0005-0000-0000-00006E7D0000}"/>
    <cellStyle name="Normal 2 7 2 5 5 5" xfId="32108" xr:uid="{00000000-0005-0000-0000-00006F7D0000}"/>
    <cellStyle name="Normal 2 7 2 5 6" xfId="32109" xr:uid="{00000000-0005-0000-0000-0000707D0000}"/>
    <cellStyle name="Normal 2 7 2 5 6 2" xfId="32110" xr:uid="{00000000-0005-0000-0000-0000717D0000}"/>
    <cellStyle name="Normal 2 7 2 5 6 3" xfId="32111" xr:uid="{00000000-0005-0000-0000-0000727D0000}"/>
    <cellStyle name="Normal 2 7 2 5 6 4" xfId="32112" xr:uid="{00000000-0005-0000-0000-0000737D0000}"/>
    <cellStyle name="Normal 2 7 2 5 7" xfId="32113" xr:uid="{00000000-0005-0000-0000-0000747D0000}"/>
    <cellStyle name="Normal 2 7 2 5 7 2" xfId="32114" xr:uid="{00000000-0005-0000-0000-0000757D0000}"/>
    <cellStyle name="Normal 2 7 2 5 8" xfId="32115" xr:uid="{00000000-0005-0000-0000-0000767D0000}"/>
    <cellStyle name="Normal 2 7 2 5 9" xfId="32116" xr:uid="{00000000-0005-0000-0000-0000777D0000}"/>
    <cellStyle name="Normal 2 7 2 6" xfId="32117" xr:uid="{00000000-0005-0000-0000-0000787D0000}"/>
    <cellStyle name="Normal 2 7 2 6 10" xfId="32118" xr:uid="{00000000-0005-0000-0000-0000797D0000}"/>
    <cellStyle name="Normal 2 7 2 6 11" xfId="32119" xr:uid="{00000000-0005-0000-0000-00007A7D0000}"/>
    <cellStyle name="Normal 2 7 2 6 2" xfId="32120" xr:uid="{00000000-0005-0000-0000-00007B7D0000}"/>
    <cellStyle name="Normal 2 7 2 6 2 2" xfId="32121" xr:uid="{00000000-0005-0000-0000-00007C7D0000}"/>
    <cellStyle name="Normal 2 7 2 6 2 2 2" xfId="32122" xr:uid="{00000000-0005-0000-0000-00007D7D0000}"/>
    <cellStyle name="Normal 2 7 2 6 2 2 2 2" xfId="32123" xr:uid="{00000000-0005-0000-0000-00007E7D0000}"/>
    <cellStyle name="Normal 2 7 2 6 2 2 2 3" xfId="32124" xr:uid="{00000000-0005-0000-0000-00007F7D0000}"/>
    <cellStyle name="Normal 2 7 2 6 2 2 3" xfId="32125" xr:uid="{00000000-0005-0000-0000-0000807D0000}"/>
    <cellStyle name="Normal 2 7 2 6 2 2 4" xfId="32126" xr:uid="{00000000-0005-0000-0000-0000817D0000}"/>
    <cellStyle name="Normal 2 7 2 6 2 2 5" xfId="32127" xr:uid="{00000000-0005-0000-0000-0000827D0000}"/>
    <cellStyle name="Normal 2 7 2 6 2 2 6" xfId="32128" xr:uid="{00000000-0005-0000-0000-0000837D0000}"/>
    <cellStyle name="Normal 2 7 2 6 2 3" xfId="32129" xr:uid="{00000000-0005-0000-0000-0000847D0000}"/>
    <cellStyle name="Normal 2 7 2 6 2 3 2" xfId="32130" xr:uid="{00000000-0005-0000-0000-0000857D0000}"/>
    <cellStyle name="Normal 2 7 2 6 2 3 2 2" xfId="32131" xr:uid="{00000000-0005-0000-0000-0000867D0000}"/>
    <cellStyle name="Normal 2 7 2 6 2 3 3" xfId="32132" xr:uid="{00000000-0005-0000-0000-0000877D0000}"/>
    <cellStyle name="Normal 2 7 2 6 2 3 4" xfId="32133" xr:uid="{00000000-0005-0000-0000-0000887D0000}"/>
    <cellStyle name="Normal 2 7 2 6 2 3 5" xfId="32134" xr:uid="{00000000-0005-0000-0000-0000897D0000}"/>
    <cellStyle name="Normal 2 7 2 6 2 4" xfId="32135" xr:uid="{00000000-0005-0000-0000-00008A7D0000}"/>
    <cellStyle name="Normal 2 7 2 6 2 4 2" xfId="32136" xr:uid="{00000000-0005-0000-0000-00008B7D0000}"/>
    <cellStyle name="Normal 2 7 2 6 2 4 3" xfId="32137" xr:uid="{00000000-0005-0000-0000-00008C7D0000}"/>
    <cellStyle name="Normal 2 7 2 6 2 4 4" xfId="32138" xr:uid="{00000000-0005-0000-0000-00008D7D0000}"/>
    <cellStyle name="Normal 2 7 2 6 2 5" xfId="32139" xr:uid="{00000000-0005-0000-0000-00008E7D0000}"/>
    <cellStyle name="Normal 2 7 2 6 2 5 2" xfId="32140" xr:uid="{00000000-0005-0000-0000-00008F7D0000}"/>
    <cellStyle name="Normal 2 7 2 6 2 6" xfId="32141" xr:uid="{00000000-0005-0000-0000-0000907D0000}"/>
    <cellStyle name="Normal 2 7 2 6 2 7" xfId="32142" xr:uid="{00000000-0005-0000-0000-0000917D0000}"/>
    <cellStyle name="Normal 2 7 2 6 2 8" xfId="32143" xr:uid="{00000000-0005-0000-0000-0000927D0000}"/>
    <cellStyle name="Normal 2 7 2 6 2 9" xfId="32144" xr:uid="{00000000-0005-0000-0000-0000937D0000}"/>
    <cellStyle name="Normal 2 7 2 6 3" xfId="32145" xr:uid="{00000000-0005-0000-0000-0000947D0000}"/>
    <cellStyle name="Normal 2 7 2 6 3 2" xfId="32146" xr:uid="{00000000-0005-0000-0000-0000957D0000}"/>
    <cellStyle name="Normal 2 7 2 6 3 2 2" xfId="32147" xr:uid="{00000000-0005-0000-0000-0000967D0000}"/>
    <cellStyle name="Normal 2 7 2 6 3 2 2 2" xfId="32148" xr:uid="{00000000-0005-0000-0000-0000977D0000}"/>
    <cellStyle name="Normal 2 7 2 6 3 2 2 3" xfId="32149" xr:uid="{00000000-0005-0000-0000-0000987D0000}"/>
    <cellStyle name="Normal 2 7 2 6 3 2 3" xfId="32150" xr:uid="{00000000-0005-0000-0000-0000997D0000}"/>
    <cellStyle name="Normal 2 7 2 6 3 2 4" xfId="32151" xr:uid="{00000000-0005-0000-0000-00009A7D0000}"/>
    <cellStyle name="Normal 2 7 2 6 3 2 5" xfId="32152" xr:uid="{00000000-0005-0000-0000-00009B7D0000}"/>
    <cellStyle name="Normal 2 7 2 6 3 2 6" xfId="32153" xr:uid="{00000000-0005-0000-0000-00009C7D0000}"/>
    <cellStyle name="Normal 2 7 2 6 3 3" xfId="32154" xr:uid="{00000000-0005-0000-0000-00009D7D0000}"/>
    <cellStyle name="Normal 2 7 2 6 3 3 2" xfId="32155" xr:uid="{00000000-0005-0000-0000-00009E7D0000}"/>
    <cellStyle name="Normal 2 7 2 6 3 3 2 2" xfId="32156" xr:uid="{00000000-0005-0000-0000-00009F7D0000}"/>
    <cellStyle name="Normal 2 7 2 6 3 3 3" xfId="32157" xr:uid="{00000000-0005-0000-0000-0000A07D0000}"/>
    <cellStyle name="Normal 2 7 2 6 3 3 4" xfId="32158" xr:uid="{00000000-0005-0000-0000-0000A17D0000}"/>
    <cellStyle name="Normal 2 7 2 6 3 3 5" xfId="32159" xr:uid="{00000000-0005-0000-0000-0000A27D0000}"/>
    <cellStyle name="Normal 2 7 2 6 3 4" xfId="32160" xr:uid="{00000000-0005-0000-0000-0000A37D0000}"/>
    <cellStyle name="Normal 2 7 2 6 3 4 2" xfId="32161" xr:uid="{00000000-0005-0000-0000-0000A47D0000}"/>
    <cellStyle name="Normal 2 7 2 6 3 4 3" xfId="32162" xr:uid="{00000000-0005-0000-0000-0000A57D0000}"/>
    <cellStyle name="Normal 2 7 2 6 3 4 4" xfId="32163" xr:uid="{00000000-0005-0000-0000-0000A67D0000}"/>
    <cellStyle name="Normal 2 7 2 6 3 5" xfId="32164" xr:uid="{00000000-0005-0000-0000-0000A77D0000}"/>
    <cellStyle name="Normal 2 7 2 6 3 5 2" xfId="32165" xr:uid="{00000000-0005-0000-0000-0000A87D0000}"/>
    <cellStyle name="Normal 2 7 2 6 3 6" xfId="32166" xr:uid="{00000000-0005-0000-0000-0000A97D0000}"/>
    <cellStyle name="Normal 2 7 2 6 3 7" xfId="32167" xr:uid="{00000000-0005-0000-0000-0000AA7D0000}"/>
    <cellStyle name="Normal 2 7 2 6 3 8" xfId="32168" xr:uid="{00000000-0005-0000-0000-0000AB7D0000}"/>
    <cellStyle name="Normal 2 7 2 6 3 9" xfId="32169" xr:uid="{00000000-0005-0000-0000-0000AC7D0000}"/>
    <cellStyle name="Normal 2 7 2 6 4" xfId="32170" xr:uid="{00000000-0005-0000-0000-0000AD7D0000}"/>
    <cellStyle name="Normal 2 7 2 6 4 2" xfId="32171" xr:uid="{00000000-0005-0000-0000-0000AE7D0000}"/>
    <cellStyle name="Normal 2 7 2 6 4 2 2" xfId="32172" xr:uid="{00000000-0005-0000-0000-0000AF7D0000}"/>
    <cellStyle name="Normal 2 7 2 6 4 2 3" xfId="32173" xr:uid="{00000000-0005-0000-0000-0000B07D0000}"/>
    <cellStyle name="Normal 2 7 2 6 4 3" xfId="32174" xr:uid="{00000000-0005-0000-0000-0000B17D0000}"/>
    <cellStyle name="Normal 2 7 2 6 4 4" xfId="32175" xr:uid="{00000000-0005-0000-0000-0000B27D0000}"/>
    <cellStyle name="Normal 2 7 2 6 4 5" xfId="32176" xr:uid="{00000000-0005-0000-0000-0000B37D0000}"/>
    <cellStyle name="Normal 2 7 2 6 4 6" xfId="32177" xr:uid="{00000000-0005-0000-0000-0000B47D0000}"/>
    <cellStyle name="Normal 2 7 2 6 5" xfId="32178" xr:uid="{00000000-0005-0000-0000-0000B57D0000}"/>
    <cellStyle name="Normal 2 7 2 6 5 2" xfId="32179" xr:uid="{00000000-0005-0000-0000-0000B67D0000}"/>
    <cellStyle name="Normal 2 7 2 6 5 2 2" xfId="32180" xr:uid="{00000000-0005-0000-0000-0000B77D0000}"/>
    <cellStyle name="Normal 2 7 2 6 5 3" xfId="32181" xr:uid="{00000000-0005-0000-0000-0000B87D0000}"/>
    <cellStyle name="Normal 2 7 2 6 5 4" xfId="32182" xr:uid="{00000000-0005-0000-0000-0000B97D0000}"/>
    <cellStyle name="Normal 2 7 2 6 5 5" xfId="32183" xr:uid="{00000000-0005-0000-0000-0000BA7D0000}"/>
    <cellStyle name="Normal 2 7 2 6 6" xfId="32184" xr:uid="{00000000-0005-0000-0000-0000BB7D0000}"/>
    <cellStyle name="Normal 2 7 2 6 6 2" xfId="32185" xr:uid="{00000000-0005-0000-0000-0000BC7D0000}"/>
    <cellStyle name="Normal 2 7 2 6 6 3" xfId="32186" xr:uid="{00000000-0005-0000-0000-0000BD7D0000}"/>
    <cellStyle name="Normal 2 7 2 6 6 4" xfId="32187" xr:uid="{00000000-0005-0000-0000-0000BE7D0000}"/>
    <cellStyle name="Normal 2 7 2 6 7" xfId="32188" xr:uid="{00000000-0005-0000-0000-0000BF7D0000}"/>
    <cellStyle name="Normal 2 7 2 6 7 2" xfId="32189" xr:uid="{00000000-0005-0000-0000-0000C07D0000}"/>
    <cellStyle name="Normal 2 7 2 6 8" xfId="32190" xr:uid="{00000000-0005-0000-0000-0000C17D0000}"/>
    <cellStyle name="Normal 2 7 2 6 9" xfId="32191" xr:uid="{00000000-0005-0000-0000-0000C27D0000}"/>
    <cellStyle name="Normal 2 7 2 7" xfId="32192" xr:uid="{00000000-0005-0000-0000-0000C37D0000}"/>
    <cellStyle name="Normal 2 7 2 7 10" xfId="32193" xr:uid="{00000000-0005-0000-0000-0000C47D0000}"/>
    <cellStyle name="Normal 2 7 2 7 11" xfId="32194" xr:uid="{00000000-0005-0000-0000-0000C57D0000}"/>
    <cellStyle name="Normal 2 7 2 7 2" xfId="32195" xr:uid="{00000000-0005-0000-0000-0000C67D0000}"/>
    <cellStyle name="Normal 2 7 2 7 2 2" xfId="32196" xr:uid="{00000000-0005-0000-0000-0000C77D0000}"/>
    <cellStyle name="Normal 2 7 2 7 2 2 2" xfId="32197" xr:uid="{00000000-0005-0000-0000-0000C87D0000}"/>
    <cellStyle name="Normal 2 7 2 7 2 2 2 2" xfId="32198" xr:uid="{00000000-0005-0000-0000-0000C97D0000}"/>
    <cellStyle name="Normal 2 7 2 7 2 2 2 3" xfId="32199" xr:uid="{00000000-0005-0000-0000-0000CA7D0000}"/>
    <cellStyle name="Normal 2 7 2 7 2 2 3" xfId="32200" xr:uid="{00000000-0005-0000-0000-0000CB7D0000}"/>
    <cellStyle name="Normal 2 7 2 7 2 2 4" xfId="32201" xr:uid="{00000000-0005-0000-0000-0000CC7D0000}"/>
    <cellStyle name="Normal 2 7 2 7 2 2 5" xfId="32202" xr:uid="{00000000-0005-0000-0000-0000CD7D0000}"/>
    <cellStyle name="Normal 2 7 2 7 2 2 6" xfId="32203" xr:uid="{00000000-0005-0000-0000-0000CE7D0000}"/>
    <cellStyle name="Normal 2 7 2 7 2 3" xfId="32204" xr:uid="{00000000-0005-0000-0000-0000CF7D0000}"/>
    <cellStyle name="Normal 2 7 2 7 2 3 2" xfId="32205" xr:uid="{00000000-0005-0000-0000-0000D07D0000}"/>
    <cellStyle name="Normal 2 7 2 7 2 3 2 2" xfId="32206" xr:uid="{00000000-0005-0000-0000-0000D17D0000}"/>
    <cellStyle name="Normal 2 7 2 7 2 3 3" xfId="32207" xr:uid="{00000000-0005-0000-0000-0000D27D0000}"/>
    <cellStyle name="Normal 2 7 2 7 2 3 4" xfId="32208" xr:uid="{00000000-0005-0000-0000-0000D37D0000}"/>
    <cellStyle name="Normal 2 7 2 7 2 3 5" xfId="32209" xr:uid="{00000000-0005-0000-0000-0000D47D0000}"/>
    <cellStyle name="Normal 2 7 2 7 2 4" xfId="32210" xr:uid="{00000000-0005-0000-0000-0000D57D0000}"/>
    <cellStyle name="Normal 2 7 2 7 2 4 2" xfId="32211" xr:uid="{00000000-0005-0000-0000-0000D67D0000}"/>
    <cellStyle name="Normal 2 7 2 7 2 4 3" xfId="32212" xr:uid="{00000000-0005-0000-0000-0000D77D0000}"/>
    <cellStyle name="Normal 2 7 2 7 2 4 4" xfId="32213" xr:uid="{00000000-0005-0000-0000-0000D87D0000}"/>
    <cellStyle name="Normal 2 7 2 7 2 5" xfId="32214" xr:uid="{00000000-0005-0000-0000-0000D97D0000}"/>
    <cellStyle name="Normal 2 7 2 7 2 5 2" xfId="32215" xr:uid="{00000000-0005-0000-0000-0000DA7D0000}"/>
    <cellStyle name="Normal 2 7 2 7 2 6" xfId="32216" xr:uid="{00000000-0005-0000-0000-0000DB7D0000}"/>
    <cellStyle name="Normal 2 7 2 7 2 7" xfId="32217" xr:uid="{00000000-0005-0000-0000-0000DC7D0000}"/>
    <cellStyle name="Normal 2 7 2 7 2 8" xfId="32218" xr:uid="{00000000-0005-0000-0000-0000DD7D0000}"/>
    <cellStyle name="Normal 2 7 2 7 2 9" xfId="32219" xr:uid="{00000000-0005-0000-0000-0000DE7D0000}"/>
    <cellStyle name="Normal 2 7 2 7 3" xfId="32220" xr:uid="{00000000-0005-0000-0000-0000DF7D0000}"/>
    <cellStyle name="Normal 2 7 2 7 3 2" xfId="32221" xr:uid="{00000000-0005-0000-0000-0000E07D0000}"/>
    <cellStyle name="Normal 2 7 2 7 3 2 2" xfId="32222" xr:uid="{00000000-0005-0000-0000-0000E17D0000}"/>
    <cellStyle name="Normal 2 7 2 7 3 2 2 2" xfId="32223" xr:uid="{00000000-0005-0000-0000-0000E27D0000}"/>
    <cellStyle name="Normal 2 7 2 7 3 2 2 3" xfId="32224" xr:uid="{00000000-0005-0000-0000-0000E37D0000}"/>
    <cellStyle name="Normal 2 7 2 7 3 2 3" xfId="32225" xr:uid="{00000000-0005-0000-0000-0000E47D0000}"/>
    <cellStyle name="Normal 2 7 2 7 3 2 4" xfId="32226" xr:uid="{00000000-0005-0000-0000-0000E57D0000}"/>
    <cellStyle name="Normal 2 7 2 7 3 2 5" xfId="32227" xr:uid="{00000000-0005-0000-0000-0000E67D0000}"/>
    <cellStyle name="Normal 2 7 2 7 3 2 6" xfId="32228" xr:uid="{00000000-0005-0000-0000-0000E77D0000}"/>
    <cellStyle name="Normal 2 7 2 7 3 3" xfId="32229" xr:uid="{00000000-0005-0000-0000-0000E87D0000}"/>
    <cellStyle name="Normal 2 7 2 7 3 3 2" xfId="32230" xr:uid="{00000000-0005-0000-0000-0000E97D0000}"/>
    <cellStyle name="Normal 2 7 2 7 3 3 2 2" xfId="32231" xr:uid="{00000000-0005-0000-0000-0000EA7D0000}"/>
    <cellStyle name="Normal 2 7 2 7 3 3 3" xfId="32232" xr:uid="{00000000-0005-0000-0000-0000EB7D0000}"/>
    <cellStyle name="Normal 2 7 2 7 3 3 4" xfId="32233" xr:uid="{00000000-0005-0000-0000-0000EC7D0000}"/>
    <cellStyle name="Normal 2 7 2 7 3 3 5" xfId="32234" xr:uid="{00000000-0005-0000-0000-0000ED7D0000}"/>
    <cellStyle name="Normal 2 7 2 7 3 4" xfId="32235" xr:uid="{00000000-0005-0000-0000-0000EE7D0000}"/>
    <cellStyle name="Normal 2 7 2 7 3 4 2" xfId="32236" xr:uid="{00000000-0005-0000-0000-0000EF7D0000}"/>
    <cellStyle name="Normal 2 7 2 7 3 4 3" xfId="32237" xr:uid="{00000000-0005-0000-0000-0000F07D0000}"/>
    <cellStyle name="Normal 2 7 2 7 3 4 4" xfId="32238" xr:uid="{00000000-0005-0000-0000-0000F17D0000}"/>
    <cellStyle name="Normal 2 7 2 7 3 5" xfId="32239" xr:uid="{00000000-0005-0000-0000-0000F27D0000}"/>
    <cellStyle name="Normal 2 7 2 7 3 5 2" xfId="32240" xr:uid="{00000000-0005-0000-0000-0000F37D0000}"/>
    <cellStyle name="Normal 2 7 2 7 3 6" xfId="32241" xr:uid="{00000000-0005-0000-0000-0000F47D0000}"/>
    <cellStyle name="Normal 2 7 2 7 3 7" xfId="32242" xr:uid="{00000000-0005-0000-0000-0000F57D0000}"/>
    <cellStyle name="Normal 2 7 2 7 3 8" xfId="32243" xr:uid="{00000000-0005-0000-0000-0000F67D0000}"/>
    <cellStyle name="Normal 2 7 2 7 3 9" xfId="32244" xr:uid="{00000000-0005-0000-0000-0000F77D0000}"/>
    <cellStyle name="Normal 2 7 2 7 4" xfId="32245" xr:uid="{00000000-0005-0000-0000-0000F87D0000}"/>
    <cellStyle name="Normal 2 7 2 7 4 2" xfId="32246" xr:uid="{00000000-0005-0000-0000-0000F97D0000}"/>
    <cellStyle name="Normal 2 7 2 7 4 2 2" xfId="32247" xr:uid="{00000000-0005-0000-0000-0000FA7D0000}"/>
    <cellStyle name="Normal 2 7 2 7 4 2 3" xfId="32248" xr:uid="{00000000-0005-0000-0000-0000FB7D0000}"/>
    <cellStyle name="Normal 2 7 2 7 4 3" xfId="32249" xr:uid="{00000000-0005-0000-0000-0000FC7D0000}"/>
    <cellStyle name="Normal 2 7 2 7 4 4" xfId="32250" xr:uid="{00000000-0005-0000-0000-0000FD7D0000}"/>
    <cellStyle name="Normal 2 7 2 7 4 5" xfId="32251" xr:uid="{00000000-0005-0000-0000-0000FE7D0000}"/>
    <cellStyle name="Normal 2 7 2 7 4 6" xfId="32252" xr:uid="{00000000-0005-0000-0000-0000FF7D0000}"/>
    <cellStyle name="Normal 2 7 2 7 5" xfId="32253" xr:uid="{00000000-0005-0000-0000-0000007E0000}"/>
    <cellStyle name="Normal 2 7 2 7 5 2" xfId="32254" xr:uid="{00000000-0005-0000-0000-0000017E0000}"/>
    <cellStyle name="Normal 2 7 2 7 5 2 2" xfId="32255" xr:uid="{00000000-0005-0000-0000-0000027E0000}"/>
    <cellStyle name="Normal 2 7 2 7 5 3" xfId="32256" xr:uid="{00000000-0005-0000-0000-0000037E0000}"/>
    <cellStyle name="Normal 2 7 2 7 5 4" xfId="32257" xr:uid="{00000000-0005-0000-0000-0000047E0000}"/>
    <cellStyle name="Normal 2 7 2 7 5 5" xfId="32258" xr:uid="{00000000-0005-0000-0000-0000057E0000}"/>
    <cellStyle name="Normal 2 7 2 7 6" xfId="32259" xr:uid="{00000000-0005-0000-0000-0000067E0000}"/>
    <cellStyle name="Normal 2 7 2 7 6 2" xfId="32260" xr:uid="{00000000-0005-0000-0000-0000077E0000}"/>
    <cellStyle name="Normal 2 7 2 7 6 3" xfId="32261" xr:uid="{00000000-0005-0000-0000-0000087E0000}"/>
    <cellStyle name="Normal 2 7 2 7 6 4" xfId="32262" xr:uid="{00000000-0005-0000-0000-0000097E0000}"/>
    <cellStyle name="Normal 2 7 2 7 7" xfId="32263" xr:uid="{00000000-0005-0000-0000-00000A7E0000}"/>
    <cellStyle name="Normal 2 7 2 7 7 2" xfId="32264" xr:uid="{00000000-0005-0000-0000-00000B7E0000}"/>
    <cellStyle name="Normal 2 7 2 7 8" xfId="32265" xr:uid="{00000000-0005-0000-0000-00000C7E0000}"/>
    <cellStyle name="Normal 2 7 2 7 9" xfId="32266" xr:uid="{00000000-0005-0000-0000-00000D7E0000}"/>
    <cellStyle name="Normal 2 7 2 8" xfId="32267" xr:uid="{00000000-0005-0000-0000-00000E7E0000}"/>
    <cellStyle name="Normal 2 7 2 8 10" xfId="32268" xr:uid="{00000000-0005-0000-0000-00000F7E0000}"/>
    <cellStyle name="Normal 2 7 2 8 2" xfId="32269" xr:uid="{00000000-0005-0000-0000-0000107E0000}"/>
    <cellStyle name="Normal 2 7 2 8 2 2" xfId="32270" xr:uid="{00000000-0005-0000-0000-0000117E0000}"/>
    <cellStyle name="Normal 2 7 2 8 2 2 2" xfId="32271" xr:uid="{00000000-0005-0000-0000-0000127E0000}"/>
    <cellStyle name="Normal 2 7 2 8 2 2 3" xfId="32272" xr:uid="{00000000-0005-0000-0000-0000137E0000}"/>
    <cellStyle name="Normal 2 7 2 8 2 3" xfId="32273" xr:uid="{00000000-0005-0000-0000-0000147E0000}"/>
    <cellStyle name="Normal 2 7 2 8 2 4" xfId="32274" xr:uid="{00000000-0005-0000-0000-0000157E0000}"/>
    <cellStyle name="Normal 2 7 2 8 2 5" xfId="32275" xr:uid="{00000000-0005-0000-0000-0000167E0000}"/>
    <cellStyle name="Normal 2 7 2 8 2 6" xfId="32276" xr:uid="{00000000-0005-0000-0000-0000177E0000}"/>
    <cellStyle name="Normal 2 7 2 8 3" xfId="32277" xr:uid="{00000000-0005-0000-0000-0000187E0000}"/>
    <cellStyle name="Normal 2 7 2 8 3 2" xfId="32278" xr:uid="{00000000-0005-0000-0000-0000197E0000}"/>
    <cellStyle name="Normal 2 7 2 8 3 2 2" xfId="32279" xr:uid="{00000000-0005-0000-0000-00001A7E0000}"/>
    <cellStyle name="Normal 2 7 2 8 3 2 3" xfId="32280" xr:uid="{00000000-0005-0000-0000-00001B7E0000}"/>
    <cellStyle name="Normal 2 7 2 8 3 3" xfId="32281" xr:uid="{00000000-0005-0000-0000-00001C7E0000}"/>
    <cellStyle name="Normal 2 7 2 8 3 4" xfId="32282" xr:uid="{00000000-0005-0000-0000-00001D7E0000}"/>
    <cellStyle name="Normal 2 7 2 8 3 5" xfId="32283" xr:uid="{00000000-0005-0000-0000-00001E7E0000}"/>
    <cellStyle name="Normal 2 7 2 8 3 6" xfId="32284" xr:uid="{00000000-0005-0000-0000-00001F7E0000}"/>
    <cellStyle name="Normal 2 7 2 8 4" xfId="32285" xr:uid="{00000000-0005-0000-0000-0000207E0000}"/>
    <cellStyle name="Normal 2 7 2 8 4 2" xfId="32286" xr:uid="{00000000-0005-0000-0000-0000217E0000}"/>
    <cellStyle name="Normal 2 7 2 8 4 2 2" xfId="32287" xr:uid="{00000000-0005-0000-0000-0000227E0000}"/>
    <cellStyle name="Normal 2 7 2 8 4 3" xfId="32288" xr:uid="{00000000-0005-0000-0000-0000237E0000}"/>
    <cellStyle name="Normal 2 7 2 8 4 4" xfId="32289" xr:uid="{00000000-0005-0000-0000-0000247E0000}"/>
    <cellStyle name="Normal 2 7 2 8 4 5" xfId="32290" xr:uid="{00000000-0005-0000-0000-0000257E0000}"/>
    <cellStyle name="Normal 2 7 2 8 5" xfId="32291" xr:uid="{00000000-0005-0000-0000-0000267E0000}"/>
    <cellStyle name="Normal 2 7 2 8 5 2" xfId="32292" xr:uid="{00000000-0005-0000-0000-0000277E0000}"/>
    <cellStyle name="Normal 2 7 2 8 5 3" xfId="32293" xr:uid="{00000000-0005-0000-0000-0000287E0000}"/>
    <cellStyle name="Normal 2 7 2 8 5 4" xfId="32294" xr:uid="{00000000-0005-0000-0000-0000297E0000}"/>
    <cellStyle name="Normal 2 7 2 8 6" xfId="32295" xr:uid="{00000000-0005-0000-0000-00002A7E0000}"/>
    <cellStyle name="Normal 2 7 2 8 6 2" xfId="32296" xr:uid="{00000000-0005-0000-0000-00002B7E0000}"/>
    <cellStyle name="Normal 2 7 2 8 7" xfId="32297" xr:uid="{00000000-0005-0000-0000-00002C7E0000}"/>
    <cellStyle name="Normal 2 7 2 8 8" xfId="32298" xr:uid="{00000000-0005-0000-0000-00002D7E0000}"/>
    <cellStyle name="Normal 2 7 2 8 9" xfId="32299" xr:uid="{00000000-0005-0000-0000-00002E7E0000}"/>
    <cellStyle name="Normal 2 7 2 9" xfId="32300" xr:uid="{00000000-0005-0000-0000-00002F7E0000}"/>
    <cellStyle name="Normal 2 7 2 9 10" xfId="32301" xr:uid="{00000000-0005-0000-0000-0000307E0000}"/>
    <cellStyle name="Normal 2 7 2 9 2" xfId="32302" xr:uid="{00000000-0005-0000-0000-0000317E0000}"/>
    <cellStyle name="Normal 2 7 2 9 2 2" xfId="32303" xr:uid="{00000000-0005-0000-0000-0000327E0000}"/>
    <cellStyle name="Normal 2 7 2 9 2 2 2" xfId="32304" xr:uid="{00000000-0005-0000-0000-0000337E0000}"/>
    <cellStyle name="Normal 2 7 2 9 2 2 3" xfId="32305" xr:uid="{00000000-0005-0000-0000-0000347E0000}"/>
    <cellStyle name="Normal 2 7 2 9 2 3" xfId="32306" xr:uid="{00000000-0005-0000-0000-0000357E0000}"/>
    <cellStyle name="Normal 2 7 2 9 2 4" xfId="32307" xr:uid="{00000000-0005-0000-0000-0000367E0000}"/>
    <cellStyle name="Normal 2 7 2 9 2 5" xfId="32308" xr:uid="{00000000-0005-0000-0000-0000377E0000}"/>
    <cellStyle name="Normal 2 7 2 9 2 6" xfId="32309" xr:uid="{00000000-0005-0000-0000-0000387E0000}"/>
    <cellStyle name="Normal 2 7 2 9 3" xfId="32310" xr:uid="{00000000-0005-0000-0000-0000397E0000}"/>
    <cellStyle name="Normal 2 7 2 9 3 2" xfId="32311" xr:uid="{00000000-0005-0000-0000-00003A7E0000}"/>
    <cellStyle name="Normal 2 7 2 9 3 2 2" xfId="32312" xr:uid="{00000000-0005-0000-0000-00003B7E0000}"/>
    <cellStyle name="Normal 2 7 2 9 3 2 3" xfId="32313" xr:uid="{00000000-0005-0000-0000-00003C7E0000}"/>
    <cellStyle name="Normal 2 7 2 9 3 3" xfId="32314" xr:uid="{00000000-0005-0000-0000-00003D7E0000}"/>
    <cellStyle name="Normal 2 7 2 9 3 4" xfId="32315" xr:uid="{00000000-0005-0000-0000-00003E7E0000}"/>
    <cellStyle name="Normal 2 7 2 9 3 5" xfId="32316" xr:uid="{00000000-0005-0000-0000-00003F7E0000}"/>
    <cellStyle name="Normal 2 7 2 9 3 6" xfId="32317" xr:uid="{00000000-0005-0000-0000-0000407E0000}"/>
    <cellStyle name="Normal 2 7 2 9 4" xfId="32318" xr:uid="{00000000-0005-0000-0000-0000417E0000}"/>
    <cellStyle name="Normal 2 7 2 9 4 2" xfId="32319" xr:uid="{00000000-0005-0000-0000-0000427E0000}"/>
    <cellStyle name="Normal 2 7 2 9 4 2 2" xfId="32320" xr:uid="{00000000-0005-0000-0000-0000437E0000}"/>
    <cellStyle name="Normal 2 7 2 9 4 3" xfId="32321" xr:uid="{00000000-0005-0000-0000-0000447E0000}"/>
    <cellStyle name="Normal 2 7 2 9 4 4" xfId="32322" xr:uid="{00000000-0005-0000-0000-0000457E0000}"/>
    <cellStyle name="Normal 2 7 2 9 4 5" xfId="32323" xr:uid="{00000000-0005-0000-0000-0000467E0000}"/>
    <cellStyle name="Normal 2 7 2 9 5" xfId="32324" xr:uid="{00000000-0005-0000-0000-0000477E0000}"/>
    <cellStyle name="Normal 2 7 2 9 5 2" xfId="32325" xr:uid="{00000000-0005-0000-0000-0000487E0000}"/>
    <cellStyle name="Normal 2 7 2 9 5 3" xfId="32326" xr:uid="{00000000-0005-0000-0000-0000497E0000}"/>
    <cellStyle name="Normal 2 7 2 9 5 4" xfId="32327" xr:uid="{00000000-0005-0000-0000-00004A7E0000}"/>
    <cellStyle name="Normal 2 7 2 9 6" xfId="32328" xr:uid="{00000000-0005-0000-0000-00004B7E0000}"/>
    <cellStyle name="Normal 2 7 2 9 6 2" xfId="32329" xr:uid="{00000000-0005-0000-0000-00004C7E0000}"/>
    <cellStyle name="Normal 2 7 2 9 7" xfId="32330" xr:uid="{00000000-0005-0000-0000-00004D7E0000}"/>
    <cellStyle name="Normal 2 7 2 9 8" xfId="32331" xr:uid="{00000000-0005-0000-0000-00004E7E0000}"/>
    <cellStyle name="Normal 2 7 2 9 9" xfId="32332" xr:uid="{00000000-0005-0000-0000-00004F7E0000}"/>
    <cellStyle name="Normal 2 7 20" xfId="32333" xr:uid="{00000000-0005-0000-0000-0000507E0000}"/>
    <cellStyle name="Normal 2 7 20 10" xfId="32334" xr:uid="{00000000-0005-0000-0000-0000517E0000}"/>
    <cellStyle name="Normal 2 7 20 2" xfId="32335" xr:uid="{00000000-0005-0000-0000-0000527E0000}"/>
    <cellStyle name="Normal 2 7 20 2 2" xfId="32336" xr:uid="{00000000-0005-0000-0000-0000537E0000}"/>
    <cellStyle name="Normal 2 7 20 2 2 2" xfId="32337" xr:uid="{00000000-0005-0000-0000-0000547E0000}"/>
    <cellStyle name="Normal 2 7 20 2 2 3" xfId="32338" xr:uid="{00000000-0005-0000-0000-0000557E0000}"/>
    <cellStyle name="Normal 2 7 20 2 3" xfId="32339" xr:uid="{00000000-0005-0000-0000-0000567E0000}"/>
    <cellStyle name="Normal 2 7 20 2 4" xfId="32340" xr:uid="{00000000-0005-0000-0000-0000577E0000}"/>
    <cellStyle name="Normal 2 7 20 2 5" xfId="32341" xr:uid="{00000000-0005-0000-0000-0000587E0000}"/>
    <cellStyle name="Normal 2 7 20 2 6" xfId="32342" xr:uid="{00000000-0005-0000-0000-0000597E0000}"/>
    <cellStyle name="Normal 2 7 20 3" xfId="32343" xr:uid="{00000000-0005-0000-0000-00005A7E0000}"/>
    <cellStyle name="Normal 2 7 20 3 2" xfId="32344" xr:uid="{00000000-0005-0000-0000-00005B7E0000}"/>
    <cellStyle name="Normal 2 7 20 3 2 2" xfId="32345" xr:uid="{00000000-0005-0000-0000-00005C7E0000}"/>
    <cellStyle name="Normal 2 7 20 3 2 3" xfId="32346" xr:uid="{00000000-0005-0000-0000-00005D7E0000}"/>
    <cellStyle name="Normal 2 7 20 3 3" xfId="32347" xr:uid="{00000000-0005-0000-0000-00005E7E0000}"/>
    <cellStyle name="Normal 2 7 20 3 4" xfId="32348" xr:uid="{00000000-0005-0000-0000-00005F7E0000}"/>
    <cellStyle name="Normal 2 7 20 3 5" xfId="32349" xr:uid="{00000000-0005-0000-0000-0000607E0000}"/>
    <cellStyle name="Normal 2 7 20 3 6" xfId="32350" xr:uid="{00000000-0005-0000-0000-0000617E0000}"/>
    <cellStyle name="Normal 2 7 20 4" xfId="32351" xr:uid="{00000000-0005-0000-0000-0000627E0000}"/>
    <cellStyle name="Normal 2 7 20 4 2" xfId="32352" xr:uid="{00000000-0005-0000-0000-0000637E0000}"/>
    <cellStyle name="Normal 2 7 20 4 2 2" xfId="32353" xr:uid="{00000000-0005-0000-0000-0000647E0000}"/>
    <cellStyle name="Normal 2 7 20 4 3" xfId="32354" xr:uid="{00000000-0005-0000-0000-0000657E0000}"/>
    <cellStyle name="Normal 2 7 20 4 4" xfId="32355" xr:uid="{00000000-0005-0000-0000-0000667E0000}"/>
    <cellStyle name="Normal 2 7 20 4 5" xfId="32356" xr:uid="{00000000-0005-0000-0000-0000677E0000}"/>
    <cellStyle name="Normal 2 7 20 5" xfId="32357" xr:uid="{00000000-0005-0000-0000-0000687E0000}"/>
    <cellStyle name="Normal 2 7 20 5 2" xfId="32358" xr:uid="{00000000-0005-0000-0000-0000697E0000}"/>
    <cellStyle name="Normal 2 7 20 5 3" xfId="32359" xr:uid="{00000000-0005-0000-0000-00006A7E0000}"/>
    <cellStyle name="Normal 2 7 20 5 4" xfId="32360" xr:uid="{00000000-0005-0000-0000-00006B7E0000}"/>
    <cellStyle name="Normal 2 7 20 6" xfId="32361" xr:uid="{00000000-0005-0000-0000-00006C7E0000}"/>
    <cellStyle name="Normal 2 7 20 6 2" xfId="32362" xr:uid="{00000000-0005-0000-0000-00006D7E0000}"/>
    <cellStyle name="Normal 2 7 20 7" xfId="32363" xr:uid="{00000000-0005-0000-0000-00006E7E0000}"/>
    <cellStyle name="Normal 2 7 20 8" xfId="32364" xr:uid="{00000000-0005-0000-0000-00006F7E0000}"/>
    <cellStyle name="Normal 2 7 20 9" xfId="32365" xr:uid="{00000000-0005-0000-0000-0000707E0000}"/>
    <cellStyle name="Normal 2 7 21" xfId="32366" xr:uid="{00000000-0005-0000-0000-0000717E0000}"/>
    <cellStyle name="Normal 2 7 21 10" xfId="32367" xr:uid="{00000000-0005-0000-0000-0000727E0000}"/>
    <cellStyle name="Normal 2 7 21 2" xfId="32368" xr:uid="{00000000-0005-0000-0000-0000737E0000}"/>
    <cellStyle name="Normal 2 7 21 2 2" xfId="32369" xr:uid="{00000000-0005-0000-0000-0000747E0000}"/>
    <cellStyle name="Normal 2 7 21 2 2 2" xfId="32370" xr:uid="{00000000-0005-0000-0000-0000757E0000}"/>
    <cellStyle name="Normal 2 7 21 2 2 3" xfId="32371" xr:uid="{00000000-0005-0000-0000-0000767E0000}"/>
    <cellStyle name="Normal 2 7 21 2 3" xfId="32372" xr:uid="{00000000-0005-0000-0000-0000777E0000}"/>
    <cellStyle name="Normal 2 7 21 2 4" xfId="32373" xr:uid="{00000000-0005-0000-0000-0000787E0000}"/>
    <cellStyle name="Normal 2 7 21 2 5" xfId="32374" xr:uid="{00000000-0005-0000-0000-0000797E0000}"/>
    <cellStyle name="Normal 2 7 21 2 6" xfId="32375" xr:uid="{00000000-0005-0000-0000-00007A7E0000}"/>
    <cellStyle name="Normal 2 7 21 3" xfId="32376" xr:uid="{00000000-0005-0000-0000-00007B7E0000}"/>
    <cellStyle name="Normal 2 7 21 3 2" xfId="32377" xr:uid="{00000000-0005-0000-0000-00007C7E0000}"/>
    <cellStyle name="Normal 2 7 21 3 2 2" xfId="32378" xr:uid="{00000000-0005-0000-0000-00007D7E0000}"/>
    <cellStyle name="Normal 2 7 21 3 2 3" xfId="32379" xr:uid="{00000000-0005-0000-0000-00007E7E0000}"/>
    <cellStyle name="Normal 2 7 21 3 3" xfId="32380" xr:uid="{00000000-0005-0000-0000-00007F7E0000}"/>
    <cellStyle name="Normal 2 7 21 3 4" xfId="32381" xr:uid="{00000000-0005-0000-0000-0000807E0000}"/>
    <cellStyle name="Normal 2 7 21 3 5" xfId="32382" xr:uid="{00000000-0005-0000-0000-0000817E0000}"/>
    <cellStyle name="Normal 2 7 21 3 6" xfId="32383" xr:uid="{00000000-0005-0000-0000-0000827E0000}"/>
    <cellStyle name="Normal 2 7 21 4" xfId="32384" xr:uid="{00000000-0005-0000-0000-0000837E0000}"/>
    <cellStyle name="Normal 2 7 21 4 2" xfId="32385" xr:uid="{00000000-0005-0000-0000-0000847E0000}"/>
    <cellStyle name="Normal 2 7 21 4 2 2" xfId="32386" xr:uid="{00000000-0005-0000-0000-0000857E0000}"/>
    <cellStyle name="Normal 2 7 21 4 3" xfId="32387" xr:uid="{00000000-0005-0000-0000-0000867E0000}"/>
    <cellStyle name="Normal 2 7 21 4 4" xfId="32388" xr:uid="{00000000-0005-0000-0000-0000877E0000}"/>
    <cellStyle name="Normal 2 7 21 4 5" xfId="32389" xr:uid="{00000000-0005-0000-0000-0000887E0000}"/>
    <cellStyle name="Normal 2 7 21 5" xfId="32390" xr:uid="{00000000-0005-0000-0000-0000897E0000}"/>
    <cellStyle name="Normal 2 7 21 5 2" xfId="32391" xr:uid="{00000000-0005-0000-0000-00008A7E0000}"/>
    <cellStyle name="Normal 2 7 21 5 3" xfId="32392" xr:uid="{00000000-0005-0000-0000-00008B7E0000}"/>
    <cellStyle name="Normal 2 7 21 5 4" xfId="32393" xr:uid="{00000000-0005-0000-0000-00008C7E0000}"/>
    <cellStyle name="Normal 2 7 21 6" xfId="32394" xr:uid="{00000000-0005-0000-0000-00008D7E0000}"/>
    <cellStyle name="Normal 2 7 21 6 2" xfId="32395" xr:uid="{00000000-0005-0000-0000-00008E7E0000}"/>
    <cellStyle name="Normal 2 7 21 7" xfId="32396" xr:uid="{00000000-0005-0000-0000-00008F7E0000}"/>
    <cellStyle name="Normal 2 7 21 8" xfId="32397" xr:uid="{00000000-0005-0000-0000-0000907E0000}"/>
    <cellStyle name="Normal 2 7 21 9" xfId="32398" xr:uid="{00000000-0005-0000-0000-0000917E0000}"/>
    <cellStyle name="Normal 2 7 22" xfId="32399" xr:uid="{00000000-0005-0000-0000-0000927E0000}"/>
    <cellStyle name="Normal 2 7 22 10" xfId="32400" xr:uid="{00000000-0005-0000-0000-0000937E0000}"/>
    <cellStyle name="Normal 2 7 22 2" xfId="32401" xr:uid="{00000000-0005-0000-0000-0000947E0000}"/>
    <cellStyle name="Normal 2 7 22 2 2" xfId="32402" xr:uid="{00000000-0005-0000-0000-0000957E0000}"/>
    <cellStyle name="Normal 2 7 22 2 2 2" xfId="32403" xr:uid="{00000000-0005-0000-0000-0000967E0000}"/>
    <cellStyle name="Normal 2 7 22 2 2 3" xfId="32404" xr:uid="{00000000-0005-0000-0000-0000977E0000}"/>
    <cellStyle name="Normal 2 7 22 2 3" xfId="32405" xr:uid="{00000000-0005-0000-0000-0000987E0000}"/>
    <cellStyle name="Normal 2 7 22 2 4" xfId="32406" xr:uid="{00000000-0005-0000-0000-0000997E0000}"/>
    <cellStyle name="Normal 2 7 22 2 5" xfId="32407" xr:uid="{00000000-0005-0000-0000-00009A7E0000}"/>
    <cellStyle name="Normal 2 7 22 2 6" xfId="32408" xr:uid="{00000000-0005-0000-0000-00009B7E0000}"/>
    <cellStyle name="Normal 2 7 22 3" xfId="32409" xr:uid="{00000000-0005-0000-0000-00009C7E0000}"/>
    <cellStyle name="Normal 2 7 22 3 2" xfId="32410" xr:uid="{00000000-0005-0000-0000-00009D7E0000}"/>
    <cellStyle name="Normal 2 7 22 3 2 2" xfId="32411" xr:uid="{00000000-0005-0000-0000-00009E7E0000}"/>
    <cellStyle name="Normal 2 7 22 3 2 3" xfId="32412" xr:uid="{00000000-0005-0000-0000-00009F7E0000}"/>
    <cellStyle name="Normal 2 7 22 3 3" xfId="32413" xr:uid="{00000000-0005-0000-0000-0000A07E0000}"/>
    <cellStyle name="Normal 2 7 22 3 4" xfId="32414" xr:uid="{00000000-0005-0000-0000-0000A17E0000}"/>
    <cellStyle name="Normal 2 7 22 3 5" xfId="32415" xr:uid="{00000000-0005-0000-0000-0000A27E0000}"/>
    <cellStyle name="Normal 2 7 22 3 6" xfId="32416" xr:uid="{00000000-0005-0000-0000-0000A37E0000}"/>
    <cellStyle name="Normal 2 7 22 4" xfId="32417" xr:uid="{00000000-0005-0000-0000-0000A47E0000}"/>
    <cellStyle name="Normal 2 7 22 4 2" xfId="32418" xr:uid="{00000000-0005-0000-0000-0000A57E0000}"/>
    <cellStyle name="Normal 2 7 22 4 2 2" xfId="32419" xr:uid="{00000000-0005-0000-0000-0000A67E0000}"/>
    <cellStyle name="Normal 2 7 22 4 3" xfId="32420" xr:uid="{00000000-0005-0000-0000-0000A77E0000}"/>
    <cellStyle name="Normal 2 7 22 4 4" xfId="32421" xr:uid="{00000000-0005-0000-0000-0000A87E0000}"/>
    <cellStyle name="Normal 2 7 22 4 5" xfId="32422" xr:uid="{00000000-0005-0000-0000-0000A97E0000}"/>
    <cellStyle name="Normal 2 7 22 5" xfId="32423" xr:uid="{00000000-0005-0000-0000-0000AA7E0000}"/>
    <cellStyle name="Normal 2 7 22 5 2" xfId="32424" xr:uid="{00000000-0005-0000-0000-0000AB7E0000}"/>
    <cellStyle name="Normal 2 7 22 5 3" xfId="32425" xr:uid="{00000000-0005-0000-0000-0000AC7E0000}"/>
    <cellStyle name="Normal 2 7 22 5 4" xfId="32426" xr:uid="{00000000-0005-0000-0000-0000AD7E0000}"/>
    <cellStyle name="Normal 2 7 22 6" xfId="32427" xr:uid="{00000000-0005-0000-0000-0000AE7E0000}"/>
    <cellStyle name="Normal 2 7 22 6 2" xfId="32428" xr:uid="{00000000-0005-0000-0000-0000AF7E0000}"/>
    <cellStyle name="Normal 2 7 22 7" xfId="32429" xr:uid="{00000000-0005-0000-0000-0000B07E0000}"/>
    <cellStyle name="Normal 2 7 22 8" xfId="32430" xr:uid="{00000000-0005-0000-0000-0000B17E0000}"/>
    <cellStyle name="Normal 2 7 22 9" xfId="32431" xr:uid="{00000000-0005-0000-0000-0000B27E0000}"/>
    <cellStyle name="Normal 2 7 23" xfId="32432" xr:uid="{00000000-0005-0000-0000-0000B37E0000}"/>
    <cellStyle name="Normal 2 7 23 10" xfId="32433" xr:uid="{00000000-0005-0000-0000-0000B47E0000}"/>
    <cellStyle name="Normal 2 7 23 2" xfId="32434" xr:uid="{00000000-0005-0000-0000-0000B57E0000}"/>
    <cellStyle name="Normal 2 7 23 2 2" xfId="32435" xr:uid="{00000000-0005-0000-0000-0000B67E0000}"/>
    <cellStyle name="Normal 2 7 23 2 2 2" xfId="32436" xr:uid="{00000000-0005-0000-0000-0000B77E0000}"/>
    <cellStyle name="Normal 2 7 23 2 2 3" xfId="32437" xr:uid="{00000000-0005-0000-0000-0000B87E0000}"/>
    <cellStyle name="Normal 2 7 23 2 3" xfId="32438" xr:uid="{00000000-0005-0000-0000-0000B97E0000}"/>
    <cellStyle name="Normal 2 7 23 2 4" xfId="32439" xr:uid="{00000000-0005-0000-0000-0000BA7E0000}"/>
    <cellStyle name="Normal 2 7 23 2 5" xfId="32440" xr:uid="{00000000-0005-0000-0000-0000BB7E0000}"/>
    <cellStyle name="Normal 2 7 23 2 6" xfId="32441" xr:uid="{00000000-0005-0000-0000-0000BC7E0000}"/>
    <cellStyle name="Normal 2 7 23 3" xfId="32442" xr:uid="{00000000-0005-0000-0000-0000BD7E0000}"/>
    <cellStyle name="Normal 2 7 23 3 2" xfId="32443" xr:uid="{00000000-0005-0000-0000-0000BE7E0000}"/>
    <cellStyle name="Normal 2 7 23 3 2 2" xfId="32444" xr:uid="{00000000-0005-0000-0000-0000BF7E0000}"/>
    <cellStyle name="Normal 2 7 23 3 2 3" xfId="32445" xr:uid="{00000000-0005-0000-0000-0000C07E0000}"/>
    <cellStyle name="Normal 2 7 23 3 3" xfId="32446" xr:uid="{00000000-0005-0000-0000-0000C17E0000}"/>
    <cellStyle name="Normal 2 7 23 3 4" xfId="32447" xr:uid="{00000000-0005-0000-0000-0000C27E0000}"/>
    <cellStyle name="Normal 2 7 23 3 5" xfId="32448" xr:uid="{00000000-0005-0000-0000-0000C37E0000}"/>
    <cellStyle name="Normal 2 7 23 3 6" xfId="32449" xr:uid="{00000000-0005-0000-0000-0000C47E0000}"/>
    <cellStyle name="Normal 2 7 23 4" xfId="32450" xr:uid="{00000000-0005-0000-0000-0000C57E0000}"/>
    <cellStyle name="Normal 2 7 23 4 2" xfId="32451" xr:uid="{00000000-0005-0000-0000-0000C67E0000}"/>
    <cellStyle name="Normal 2 7 23 4 2 2" xfId="32452" xr:uid="{00000000-0005-0000-0000-0000C77E0000}"/>
    <cellStyle name="Normal 2 7 23 4 3" xfId="32453" xr:uid="{00000000-0005-0000-0000-0000C87E0000}"/>
    <cellStyle name="Normal 2 7 23 4 4" xfId="32454" xr:uid="{00000000-0005-0000-0000-0000C97E0000}"/>
    <cellStyle name="Normal 2 7 23 4 5" xfId="32455" xr:uid="{00000000-0005-0000-0000-0000CA7E0000}"/>
    <cellStyle name="Normal 2 7 23 5" xfId="32456" xr:uid="{00000000-0005-0000-0000-0000CB7E0000}"/>
    <cellStyle name="Normal 2 7 23 5 2" xfId="32457" xr:uid="{00000000-0005-0000-0000-0000CC7E0000}"/>
    <cellStyle name="Normal 2 7 23 5 3" xfId="32458" xr:uid="{00000000-0005-0000-0000-0000CD7E0000}"/>
    <cellStyle name="Normal 2 7 23 5 4" xfId="32459" xr:uid="{00000000-0005-0000-0000-0000CE7E0000}"/>
    <cellStyle name="Normal 2 7 23 6" xfId="32460" xr:uid="{00000000-0005-0000-0000-0000CF7E0000}"/>
    <cellStyle name="Normal 2 7 23 6 2" xfId="32461" xr:uid="{00000000-0005-0000-0000-0000D07E0000}"/>
    <cellStyle name="Normal 2 7 23 7" xfId="32462" xr:uid="{00000000-0005-0000-0000-0000D17E0000}"/>
    <cellStyle name="Normal 2 7 23 8" xfId="32463" xr:uid="{00000000-0005-0000-0000-0000D27E0000}"/>
    <cellStyle name="Normal 2 7 23 9" xfId="32464" xr:uid="{00000000-0005-0000-0000-0000D37E0000}"/>
    <cellStyle name="Normal 2 7 24" xfId="32465" xr:uid="{00000000-0005-0000-0000-0000D47E0000}"/>
    <cellStyle name="Normal 2 7 24 10" xfId="32466" xr:uid="{00000000-0005-0000-0000-0000D57E0000}"/>
    <cellStyle name="Normal 2 7 24 2" xfId="32467" xr:uid="{00000000-0005-0000-0000-0000D67E0000}"/>
    <cellStyle name="Normal 2 7 24 2 2" xfId="32468" xr:uid="{00000000-0005-0000-0000-0000D77E0000}"/>
    <cellStyle name="Normal 2 7 24 2 2 2" xfId="32469" xr:uid="{00000000-0005-0000-0000-0000D87E0000}"/>
    <cellStyle name="Normal 2 7 24 2 2 3" xfId="32470" xr:uid="{00000000-0005-0000-0000-0000D97E0000}"/>
    <cellStyle name="Normal 2 7 24 2 3" xfId="32471" xr:uid="{00000000-0005-0000-0000-0000DA7E0000}"/>
    <cellStyle name="Normal 2 7 24 2 4" xfId="32472" xr:uid="{00000000-0005-0000-0000-0000DB7E0000}"/>
    <cellStyle name="Normal 2 7 24 2 5" xfId="32473" xr:uid="{00000000-0005-0000-0000-0000DC7E0000}"/>
    <cellStyle name="Normal 2 7 24 2 6" xfId="32474" xr:uid="{00000000-0005-0000-0000-0000DD7E0000}"/>
    <cellStyle name="Normal 2 7 24 3" xfId="32475" xr:uid="{00000000-0005-0000-0000-0000DE7E0000}"/>
    <cellStyle name="Normal 2 7 24 3 2" xfId="32476" xr:uid="{00000000-0005-0000-0000-0000DF7E0000}"/>
    <cellStyle name="Normal 2 7 24 3 2 2" xfId="32477" xr:uid="{00000000-0005-0000-0000-0000E07E0000}"/>
    <cellStyle name="Normal 2 7 24 3 2 3" xfId="32478" xr:uid="{00000000-0005-0000-0000-0000E17E0000}"/>
    <cellStyle name="Normal 2 7 24 3 3" xfId="32479" xr:uid="{00000000-0005-0000-0000-0000E27E0000}"/>
    <cellStyle name="Normal 2 7 24 3 4" xfId="32480" xr:uid="{00000000-0005-0000-0000-0000E37E0000}"/>
    <cellStyle name="Normal 2 7 24 3 5" xfId="32481" xr:uid="{00000000-0005-0000-0000-0000E47E0000}"/>
    <cellStyle name="Normal 2 7 24 3 6" xfId="32482" xr:uid="{00000000-0005-0000-0000-0000E57E0000}"/>
    <cellStyle name="Normal 2 7 24 4" xfId="32483" xr:uid="{00000000-0005-0000-0000-0000E67E0000}"/>
    <cellStyle name="Normal 2 7 24 4 2" xfId="32484" xr:uid="{00000000-0005-0000-0000-0000E77E0000}"/>
    <cellStyle name="Normal 2 7 24 4 2 2" xfId="32485" xr:uid="{00000000-0005-0000-0000-0000E87E0000}"/>
    <cellStyle name="Normal 2 7 24 4 3" xfId="32486" xr:uid="{00000000-0005-0000-0000-0000E97E0000}"/>
    <cellStyle name="Normal 2 7 24 4 4" xfId="32487" xr:uid="{00000000-0005-0000-0000-0000EA7E0000}"/>
    <cellStyle name="Normal 2 7 24 4 5" xfId="32488" xr:uid="{00000000-0005-0000-0000-0000EB7E0000}"/>
    <cellStyle name="Normal 2 7 24 5" xfId="32489" xr:uid="{00000000-0005-0000-0000-0000EC7E0000}"/>
    <cellStyle name="Normal 2 7 24 5 2" xfId="32490" xr:uid="{00000000-0005-0000-0000-0000ED7E0000}"/>
    <cellStyle name="Normal 2 7 24 5 3" xfId="32491" xr:uid="{00000000-0005-0000-0000-0000EE7E0000}"/>
    <cellStyle name="Normal 2 7 24 5 4" xfId="32492" xr:uid="{00000000-0005-0000-0000-0000EF7E0000}"/>
    <cellStyle name="Normal 2 7 24 6" xfId="32493" xr:uid="{00000000-0005-0000-0000-0000F07E0000}"/>
    <cellStyle name="Normal 2 7 24 6 2" xfId="32494" xr:uid="{00000000-0005-0000-0000-0000F17E0000}"/>
    <cellStyle name="Normal 2 7 24 7" xfId="32495" xr:uid="{00000000-0005-0000-0000-0000F27E0000}"/>
    <cellStyle name="Normal 2 7 24 8" xfId="32496" xr:uid="{00000000-0005-0000-0000-0000F37E0000}"/>
    <cellStyle name="Normal 2 7 24 9" xfId="32497" xr:uid="{00000000-0005-0000-0000-0000F47E0000}"/>
    <cellStyle name="Normal 2 7 25" xfId="32498" xr:uid="{00000000-0005-0000-0000-0000F57E0000}"/>
    <cellStyle name="Normal 2 7 25 10" xfId="32499" xr:uid="{00000000-0005-0000-0000-0000F67E0000}"/>
    <cellStyle name="Normal 2 7 25 2" xfId="32500" xr:uid="{00000000-0005-0000-0000-0000F77E0000}"/>
    <cellStyle name="Normal 2 7 25 2 2" xfId="32501" xr:uid="{00000000-0005-0000-0000-0000F87E0000}"/>
    <cellStyle name="Normal 2 7 25 2 2 2" xfId="32502" xr:uid="{00000000-0005-0000-0000-0000F97E0000}"/>
    <cellStyle name="Normal 2 7 25 2 2 3" xfId="32503" xr:uid="{00000000-0005-0000-0000-0000FA7E0000}"/>
    <cellStyle name="Normal 2 7 25 2 3" xfId="32504" xr:uid="{00000000-0005-0000-0000-0000FB7E0000}"/>
    <cellStyle name="Normal 2 7 25 2 4" xfId="32505" xr:uid="{00000000-0005-0000-0000-0000FC7E0000}"/>
    <cellStyle name="Normal 2 7 25 2 5" xfId="32506" xr:uid="{00000000-0005-0000-0000-0000FD7E0000}"/>
    <cellStyle name="Normal 2 7 25 2 6" xfId="32507" xr:uid="{00000000-0005-0000-0000-0000FE7E0000}"/>
    <cellStyle name="Normal 2 7 25 3" xfId="32508" xr:uid="{00000000-0005-0000-0000-0000FF7E0000}"/>
    <cellStyle name="Normal 2 7 25 3 2" xfId="32509" xr:uid="{00000000-0005-0000-0000-0000007F0000}"/>
    <cellStyle name="Normal 2 7 25 3 2 2" xfId="32510" xr:uid="{00000000-0005-0000-0000-0000017F0000}"/>
    <cellStyle name="Normal 2 7 25 3 2 3" xfId="32511" xr:uid="{00000000-0005-0000-0000-0000027F0000}"/>
    <cellStyle name="Normal 2 7 25 3 3" xfId="32512" xr:uid="{00000000-0005-0000-0000-0000037F0000}"/>
    <cellStyle name="Normal 2 7 25 3 4" xfId="32513" xr:uid="{00000000-0005-0000-0000-0000047F0000}"/>
    <cellStyle name="Normal 2 7 25 3 5" xfId="32514" xr:uid="{00000000-0005-0000-0000-0000057F0000}"/>
    <cellStyle name="Normal 2 7 25 3 6" xfId="32515" xr:uid="{00000000-0005-0000-0000-0000067F0000}"/>
    <cellStyle name="Normal 2 7 25 4" xfId="32516" xr:uid="{00000000-0005-0000-0000-0000077F0000}"/>
    <cellStyle name="Normal 2 7 25 4 2" xfId="32517" xr:uid="{00000000-0005-0000-0000-0000087F0000}"/>
    <cellStyle name="Normal 2 7 25 4 2 2" xfId="32518" xr:uid="{00000000-0005-0000-0000-0000097F0000}"/>
    <cellStyle name="Normal 2 7 25 4 3" xfId="32519" xr:uid="{00000000-0005-0000-0000-00000A7F0000}"/>
    <cellStyle name="Normal 2 7 25 4 4" xfId="32520" xr:uid="{00000000-0005-0000-0000-00000B7F0000}"/>
    <cellStyle name="Normal 2 7 25 4 5" xfId="32521" xr:uid="{00000000-0005-0000-0000-00000C7F0000}"/>
    <cellStyle name="Normal 2 7 25 5" xfId="32522" xr:uid="{00000000-0005-0000-0000-00000D7F0000}"/>
    <cellStyle name="Normal 2 7 25 5 2" xfId="32523" xr:uid="{00000000-0005-0000-0000-00000E7F0000}"/>
    <cellStyle name="Normal 2 7 25 5 3" xfId="32524" xr:uid="{00000000-0005-0000-0000-00000F7F0000}"/>
    <cellStyle name="Normal 2 7 25 5 4" xfId="32525" xr:uid="{00000000-0005-0000-0000-0000107F0000}"/>
    <cellStyle name="Normal 2 7 25 6" xfId="32526" xr:uid="{00000000-0005-0000-0000-0000117F0000}"/>
    <cellStyle name="Normal 2 7 25 6 2" xfId="32527" xr:uid="{00000000-0005-0000-0000-0000127F0000}"/>
    <cellStyle name="Normal 2 7 25 7" xfId="32528" xr:uid="{00000000-0005-0000-0000-0000137F0000}"/>
    <cellStyle name="Normal 2 7 25 8" xfId="32529" xr:uid="{00000000-0005-0000-0000-0000147F0000}"/>
    <cellStyle name="Normal 2 7 25 9" xfId="32530" xr:uid="{00000000-0005-0000-0000-0000157F0000}"/>
    <cellStyle name="Normal 2 7 26" xfId="32531" xr:uid="{00000000-0005-0000-0000-0000167F0000}"/>
    <cellStyle name="Normal 2 7 26 10" xfId="32532" xr:uid="{00000000-0005-0000-0000-0000177F0000}"/>
    <cellStyle name="Normal 2 7 26 2" xfId="32533" xr:uid="{00000000-0005-0000-0000-0000187F0000}"/>
    <cellStyle name="Normal 2 7 26 2 2" xfId="32534" xr:uid="{00000000-0005-0000-0000-0000197F0000}"/>
    <cellStyle name="Normal 2 7 26 2 2 2" xfId="32535" xr:uid="{00000000-0005-0000-0000-00001A7F0000}"/>
    <cellStyle name="Normal 2 7 26 2 2 3" xfId="32536" xr:uid="{00000000-0005-0000-0000-00001B7F0000}"/>
    <cellStyle name="Normal 2 7 26 2 3" xfId="32537" xr:uid="{00000000-0005-0000-0000-00001C7F0000}"/>
    <cellStyle name="Normal 2 7 26 2 4" xfId="32538" xr:uid="{00000000-0005-0000-0000-00001D7F0000}"/>
    <cellStyle name="Normal 2 7 26 2 5" xfId="32539" xr:uid="{00000000-0005-0000-0000-00001E7F0000}"/>
    <cellStyle name="Normal 2 7 26 2 6" xfId="32540" xr:uid="{00000000-0005-0000-0000-00001F7F0000}"/>
    <cellStyle name="Normal 2 7 26 3" xfId="32541" xr:uid="{00000000-0005-0000-0000-0000207F0000}"/>
    <cellStyle name="Normal 2 7 26 3 2" xfId="32542" xr:uid="{00000000-0005-0000-0000-0000217F0000}"/>
    <cellStyle name="Normal 2 7 26 3 2 2" xfId="32543" xr:uid="{00000000-0005-0000-0000-0000227F0000}"/>
    <cellStyle name="Normal 2 7 26 3 2 3" xfId="32544" xr:uid="{00000000-0005-0000-0000-0000237F0000}"/>
    <cellStyle name="Normal 2 7 26 3 3" xfId="32545" xr:uid="{00000000-0005-0000-0000-0000247F0000}"/>
    <cellStyle name="Normal 2 7 26 3 4" xfId="32546" xr:uid="{00000000-0005-0000-0000-0000257F0000}"/>
    <cellStyle name="Normal 2 7 26 3 5" xfId="32547" xr:uid="{00000000-0005-0000-0000-0000267F0000}"/>
    <cellStyle name="Normal 2 7 26 3 6" xfId="32548" xr:uid="{00000000-0005-0000-0000-0000277F0000}"/>
    <cellStyle name="Normal 2 7 26 4" xfId="32549" xr:uid="{00000000-0005-0000-0000-0000287F0000}"/>
    <cellStyle name="Normal 2 7 26 4 2" xfId="32550" xr:uid="{00000000-0005-0000-0000-0000297F0000}"/>
    <cellStyle name="Normal 2 7 26 4 2 2" xfId="32551" xr:uid="{00000000-0005-0000-0000-00002A7F0000}"/>
    <cellStyle name="Normal 2 7 26 4 3" xfId="32552" xr:uid="{00000000-0005-0000-0000-00002B7F0000}"/>
    <cellStyle name="Normal 2 7 26 4 4" xfId="32553" xr:uid="{00000000-0005-0000-0000-00002C7F0000}"/>
    <cellStyle name="Normal 2 7 26 4 5" xfId="32554" xr:uid="{00000000-0005-0000-0000-00002D7F0000}"/>
    <cellStyle name="Normal 2 7 26 5" xfId="32555" xr:uid="{00000000-0005-0000-0000-00002E7F0000}"/>
    <cellStyle name="Normal 2 7 26 5 2" xfId="32556" xr:uid="{00000000-0005-0000-0000-00002F7F0000}"/>
    <cellStyle name="Normal 2 7 26 5 3" xfId="32557" xr:uid="{00000000-0005-0000-0000-0000307F0000}"/>
    <cellStyle name="Normal 2 7 26 5 4" xfId="32558" xr:uid="{00000000-0005-0000-0000-0000317F0000}"/>
    <cellStyle name="Normal 2 7 26 6" xfId="32559" xr:uid="{00000000-0005-0000-0000-0000327F0000}"/>
    <cellStyle name="Normal 2 7 26 6 2" xfId="32560" xr:uid="{00000000-0005-0000-0000-0000337F0000}"/>
    <cellStyle name="Normal 2 7 26 7" xfId="32561" xr:uid="{00000000-0005-0000-0000-0000347F0000}"/>
    <cellStyle name="Normal 2 7 26 8" xfId="32562" xr:uid="{00000000-0005-0000-0000-0000357F0000}"/>
    <cellStyle name="Normal 2 7 26 9" xfId="32563" xr:uid="{00000000-0005-0000-0000-0000367F0000}"/>
    <cellStyle name="Normal 2 7 27" xfId="32564" xr:uid="{00000000-0005-0000-0000-0000377F0000}"/>
    <cellStyle name="Normal 2 7 27 10" xfId="32565" xr:uid="{00000000-0005-0000-0000-0000387F0000}"/>
    <cellStyle name="Normal 2 7 27 2" xfId="32566" xr:uid="{00000000-0005-0000-0000-0000397F0000}"/>
    <cellStyle name="Normal 2 7 27 2 2" xfId="32567" xr:uid="{00000000-0005-0000-0000-00003A7F0000}"/>
    <cellStyle name="Normal 2 7 27 2 2 2" xfId="32568" xr:uid="{00000000-0005-0000-0000-00003B7F0000}"/>
    <cellStyle name="Normal 2 7 27 2 2 3" xfId="32569" xr:uid="{00000000-0005-0000-0000-00003C7F0000}"/>
    <cellStyle name="Normal 2 7 27 2 3" xfId="32570" xr:uid="{00000000-0005-0000-0000-00003D7F0000}"/>
    <cellStyle name="Normal 2 7 27 2 4" xfId="32571" xr:uid="{00000000-0005-0000-0000-00003E7F0000}"/>
    <cellStyle name="Normal 2 7 27 2 5" xfId="32572" xr:uid="{00000000-0005-0000-0000-00003F7F0000}"/>
    <cellStyle name="Normal 2 7 27 2 6" xfId="32573" xr:uid="{00000000-0005-0000-0000-0000407F0000}"/>
    <cellStyle name="Normal 2 7 27 3" xfId="32574" xr:uid="{00000000-0005-0000-0000-0000417F0000}"/>
    <cellStyle name="Normal 2 7 27 3 2" xfId="32575" xr:uid="{00000000-0005-0000-0000-0000427F0000}"/>
    <cellStyle name="Normal 2 7 27 3 2 2" xfId="32576" xr:uid="{00000000-0005-0000-0000-0000437F0000}"/>
    <cellStyle name="Normal 2 7 27 3 2 3" xfId="32577" xr:uid="{00000000-0005-0000-0000-0000447F0000}"/>
    <cellStyle name="Normal 2 7 27 3 3" xfId="32578" xr:uid="{00000000-0005-0000-0000-0000457F0000}"/>
    <cellStyle name="Normal 2 7 27 3 4" xfId="32579" xr:uid="{00000000-0005-0000-0000-0000467F0000}"/>
    <cellStyle name="Normal 2 7 27 3 5" xfId="32580" xr:uid="{00000000-0005-0000-0000-0000477F0000}"/>
    <cellStyle name="Normal 2 7 27 3 6" xfId="32581" xr:uid="{00000000-0005-0000-0000-0000487F0000}"/>
    <cellStyle name="Normal 2 7 27 4" xfId="32582" xr:uid="{00000000-0005-0000-0000-0000497F0000}"/>
    <cellStyle name="Normal 2 7 27 4 2" xfId="32583" xr:uid="{00000000-0005-0000-0000-00004A7F0000}"/>
    <cellStyle name="Normal 2 7 27 4 2 2" xfId="32584" xr:uid="{00000000-0005-0000-0000-00004B7F0000}"/>
    <cellStyle name="Normal 2 7 27 4 3" xfId="32585" xr:uid="{00000000-0005-0000-0000-00004C7F0000}"/>
    <cellStyle name="Normal 2 7 27 4 4" xfId="32586" xr:uid="{00000000-0005-0000-0000-00004D7F0000}"/>
    <cellStyle name="Normal 2 7 27 4 5" xfId="32587" xr:uid="{00000000-0005-0000-0000-00004E7F0000}"/>
    <cellStyle name="Normal 2 7 27 5" xfId="32588" xr:uid="{00000000-0005-0000-0000-00004F7F0000}"/>
    <cellStyle name="Normal 2 7 27 5 2" xfId="32589" xr:uid="{00000000-0005-0000-0000-0000507F0000}"/>
    <cellStyle name="Normal 2 7 27 5 3" xfId="32590" xr:uid="{00000000-0005-0000-0000-0000517F0000}"/>
    <cellStyle name="Normal 2 7 27 5 4" xfId="32591" xr:uid="{00000000-0005-0000-0000-0000527F0000}"/>
    <cellStyle name="Normal 2 7 27 6" xfId="32592" xr:uid="{00000000-0005-0000-0000-0000537F0000}"/>
    <cellStyle name="Normal 2 7 27 6 2" xfId="32593" xr:uid="{00000000-0005-0000-0000-0000547F0000}"/>
    <cellStyle name="Normal 2 7 27 7" xfId="32594" xr:uid="{00000000-0005-0000-0000-0000557F0000}"/>
    <cellStyle name="Normal 2 7 27 8" xfId="32595" xr:uid="{00000000-0005-0000-0000-0000567F0000}"/>
    <cellStyle name="Normal 2 7 27 9" xfId="32596" xr:uid="{00000000-0005-0000-0000-0000577F0000}"/>
    <cellStyle name="Normal 2 7 28" xfId="32597" xr:uid="{00000000-0005-0000-0000-0000587F0000}"/>
    <cellStyle name="Normal 2 7 28 10" xfId="32598" xr:uid="{00000000-0005-0000-0000-0000597F0000}"/>
    <cellStyle name="Normal 2 7 28 2" xfId="32599" xr:uid="{00000000-0005-0000-0000-00005A7F0000}"/>
    <cellStyle name="Normal 2 7 28 2 2" xfId="32600" xr:uid="{00000000-0005-0000-0000-00005B7F0000}"/>
    <cellStyle name="Normal 2 7 28 2 2 2" xfId="32601" xr:uid="{00000000-0005-0000-0000-00005C7F0000}"/>
    <cellStyle name="Normal 2 7 28 2 2 3" xfId="32602" xr:uid="{00000000-0005-0000-0000-00005D7F0000}"/>
    <cellStyle name="Normal 2 7 28 2 3" xfId="32603" xr:uid="{00000000-0005-0000-0000-00005E7F0000}"/>
    <cellStyle name="Normal 2 7 28 2 4" xfId="32604" xr:uid="{00000000-0005-0000-0000-00005F7F0000}"/>
    <cellStyle name="Normal 2 7 28 2 5" xfId="32605" xr:uid="{00000000-0005-0000-0000-0000607F0000}"/>
    <cellStyle name="Normal 2 7 28 2 6" xfId="32606" xr:uid="{00000000-0005-0000-0000-0000617F0000}"/>
    <cellStyle name="Normal 2 7 28 3" xfId="32607" xr:uid="{00000000-0005-0000-0000-0000627F0000}"/>
    <cellStyle name="Normal 2 7 28 3 2" xfId="32608" xr:uid="{00000000-0005-0000-0000-0000637F0000}"/>
    <cellStyle name="Normal 2 7 28 3 2 2" xfId="32609" xr:uid="{00000000-0005-0000-0000-0000647F0000}"/>
    <cellStyle name="Normal 2 7 28 3 2 3" xfId="32610" xr:uid="{00000000-0005-0000-0000-0000657F0000}"/>
    <cellStyle name="Normal 2 7 28 3 3" xfId="32611" xr:uid="{00000000-0005-0000-0000-0000667F0000}"/>
    <cellStyle name="Normal 2 7 28 3 4" xfId="32612" xr:uid="{00000000-0005-0000-0000-0000677F0000}"/>
    <cellStyle name="Normal 2 7 28 3 5" xfId="32613" xr:uid="{00000000-0005-0000-0000-0000687F0000}"/>
    <cellStyle name="Normal 2 7 28 3 6" xfId="32614" xr:uid="{00000000-0005-0000-0000-0000697F0000}"/>
    <cellStyle name="Normal 2 7 28 4" xfId="32615" xr:uid="{00000000-0005-0000-0000-00006A7F0000}"/>
    <cellStyle name="Normal 2 7 28 4 2" xfId="32616" xr:uid="{00000000-0005-0000-0000-00006B7F0000}"/>
    <cellStyle name="Normal 2 7 28 4 2 2" xfId="32617" xr:uid="{00000000-0005-0000-0000-00006C7F0000}"/>
    <cellStyle name="Normal 2 7 28 4 3" xfId="32618" xr:uid="{00000000-0005-0000-0000-00006D7F0000}"/>
    <cellStyle name="Normal 2 7 28 4 4" xfId="32619" xr:uid="{00000000-0005-0000-0000-00006E7F0000}"/>
    <cellStyle name="Normal 2 7 28 4 5" xfId="32620" xr:uid="{00000000-0005-0000-0000-00006F7F0000}"/>
    <cellStyle name="Normal 2 7 28 5" xfId="32621" xr:uid="{00000000-0005-0000-0000-0000707F0000}"/>
    <cellStyle name="Normal 2 7 28 5 2" xfId="32622" xr:uid="{00000000-0005-0000-0000-0000717F0000}"/>
    <cellStyle name="Normal 2 7 28 5 3" xfId="32623" xr:uid="{00000000-0005-0000-0000-0000727F0000}"/>
    <cellStyle name="Normal 2 7 28 5 4" xfId="32624" xr:uid="{00000000-0005-0000-0000-0000737F0000}"/>
    <cellStyle name="Normal 2 7 28 6" xfId="32625" xr:uid="{00000000-0005-0000-0000-0000747F0000}"/>
    <cellStyle name="Normal 2 7 28 6 2" xfId="32626" xr:uid="{00000000-0005-0000-0000-0000757F0000}"/>
    <cellStyle name="Normal 2 7 28 7" xfId="32627" xr:uid="{00000000-0005-0000-0000-0000767F0000}"/>
    <cellStyle name="Normal 2 7 28 8" xfId="32628" xr:uid="{00000000-0005-0000-0000-0000777F0000}"/>
    <cellStyle name="Normal 2 7 28 9" xfId="32629" xr:uid="{00000000-0005-0000-0000-0000787F0000}"/>
    <cellStyle name="Normal 2 7 29" xfId="32630" xr:uid="{00000000-0005-0000-0000-0000797F0000}"/>
    <cellStyle name="Normal 2 7 29 10" xfId="32631" xr:uid="{00000000-0005-0000-0000-00007A7F0000}"/>
    <cellStyle name="Normal 2 7 29 2" xfId="32632" xr:uid="{00000000-0005-0000-0000-00007B7F0000}"/>
    <cellStyle name="Normal 2 7 29 2 2" xfId="32633" xr:uid="{00000000-0005-0000-0000-00007C7F0000}"/>
    <cellStyle name="Normal 2 7 29 2 2 2" xfId="32634" xr:uid="{00000000-0005-0000-0000-00007D7F0000}"/>
    <cellStyle name="Normal 2 7 29 2 2 3" xfId="32635" xr:uid="{00000000-0005-0000-0000-00007E7F0000}"/>
    <cellStyle name="Normal 2 7 29 2 3" xfId="32636" xr:uid="{00000000-0005-0000-0000-00007F7F0000}"/>
    <cellStyle name="Normal 2 7 29 2 4" xfId="32637" xr:uid="{00000000-0005-0000-0000-0000807F0000}"/>
    <cellStyle name="Normal 2 7 29 2 5" xfId="32638" xr:uid="{00000000-0005-0000-0000-0000817F0000}"/>
    <cellStyle name="Normal 2 7 29 2 6" xfId="32639" xr:uid="{00000000-0005-0000-0000-0000827F0000}"/>
    <cellStyle name="Normal 2 7 29 3" xfId="32640" xr:uid="{00000000-0005-0000-0000-0000837F0000}"/>
    <cellStyle name="Normal 2 7 29 3 2" xfId="32641" xr:uid="{00000000-0005-0000-0000-0000847F0000}"/>
    <cellStyle name="Normal 2 7 29 3 2 2" xfId="32642" xr:uid="{00000000-0005-0000-0000-0000857F0000}"/>
    <cellStyle name="Normal 2 7 29 3 2 3" xfId="32643" xr:uid="{00000000-0005-0000-0000-0000867F0000}"/>
    <cellStyle name="Normal 2 7 29 3 3" xfId="32644" xr:uid="{00000000-0005-0000-0000-0000877F0000}"/>
    <cellStyle name="Normal 2 7 29 3 4" xfId="32645" xr:uid="{00000000-0005-0000-0000-0000887F0000}"/>
    <cellStyle name="Normal 2 7 29 3 5" xfId="32646" xr:uid="{00000000-0005-0000-0000-0000897F0000}"/>
    <cellStyle name="Normal 2 7 29 3 6" xfId="32647" xr:uid="{00000000-0005-0000-0000-00008A7F0000}"/>
    <cellStyle name="Normal 2 7 29 4" xfId="32648" xr:uid="{00000000-0005-0000-0000-00008B7F0000}"/>
    <cellStyle name="Normal 2 7 29 4 2" xfId="32649" xr:uid="{00000000-0005-0000-0000-00008C7F0000}"/>
    <cellStyle name="Normal 2 7 29 4 2 2" xfId="32650" xr:uid="{00000000-0005-0000-0000-00008D7F0000}"/>
    <cellStyle name="Normal 2 7 29 4 3" xfId="32651" xr:uid="{00000000-0005-0000-0000-00008E7F0000}"/>
    <cellStyle name="Normal 2 7 29 4 4" xfId="32652" xr:uid="{00000000-0005-0000-0000-00008F7F0000}"/>
    <cellStyle name="Normal 2 7 29 4 5" xfId="32653" xr:uid="{00000000-0005-0000-0000-0000907F0000}"/>
    <cellStyle name="Normal 2 7 29 5" xfId="32654" xr:uid="{00000000-0005-0000-0000-0000917F0000}"/>
    <cellStyle name="Normal 2 7 29 5 2" xfId="32655" xr:uid="{00000000-0005-0000-0000-0000927F0000}"/>
    <cellStyle name="Normal 2 7 29 5 3" xfId="32656" xr:uid="{00000000-0005-0000-0000-0000937F0000}"/>
    <cellStyle name="Normal 2 7 29 5 4" xfId="32657" xr:uid="{00000000-0005-0000-0000-0000947F0000}"/>
    <cellStyle name="Normal 2 7 29 6" xfId="32658" xr:uid="{00000000-0005-0000-0000-0000957F0000}"/>
    <cellStyle name="Normal 2 7 29 6 2" xfId="32659" xr:uid="{00000000-0005-0000-0000-0000967F0000}"/>
    <cellStyle name="Normal 2 7 29 7" xfId="32660" xr:uid="{00000000-0005-0000-0000-0000977F0000}"/>
    <cellStyle name="Normal 2 7 29 8" xfId="32661" xr:uid="{00000000-0005-0000-0000-0000987F0000}"/>
    <cellStyle name="Normal 2 7 29 9" xfId="32662" xr:uid="{00000000-0005-0000-0000-0000997F0000}"/>
    <cellStyle name="Normal 2 7 3" xfId="32663" xr:uid="{00000000-0005-0000-0000-00009A7F0000}"/>
    <cellStyle name="Normal 2 7 3 10" xfId="32664" xr:uid="{00000000-0005-0000-0000-00009B7F0000}"/>
    <cellStyle name="Normal 2 7 3 10 10" xfId="32665" xr:uid="{00000000-0005-0000-0000-00009C7F0000}"/>
    <cellStyle name="Normal 2 7 3 10 2" xfId="32666" xr:uid="{00000000-0005-0000-0000-00009D7F0000}"/>
    <cellStyle name="Normal 2 7 3 10 2 2" xfId="32667" xr:uid="{00000000-0005-0000-0000-00009E7F0000}"/>
    <cellStyle name="Normal 2 7 3 10 2 2 2" xfId="32668" xr:uid="{00000000-0005-0000-0000-00009F7F0000}"/>
    <cellStyle name="Normal 2 7 3 10 2 2 3" xfId="32669" xr:uid="{00000000-0005-0000-0000-0000A07F0000}"/>
    <cellStyle name="Normal 2 7 3 10 2 3" xfId="32670" xr:uid="{00000000-0005-0000-0000-0000A17F0000}"/>
    <cellStyle name="Normal 2 7 3 10 2 4" xfId="32671" xr:uid="{00000000-0005-0000-0000-0000A27F0000}"/>
    <cellStyle name="Normal 2 7 3 10 2 5" xfId="32672" xr:uid="{00000000-0005-0000-0000-0000A37F0000}"/>
    <cellStyle name="Normal 2 7 3 10 2 6" xfId="32673" xr:uid="{00000000-0005-0000-0000-0000A47F0000}"/>
    <cellStyle name="Normal 2 7 3 10 3" xfId="32674" xr:uid="{00000000-0005-0000-0000-0000A57F0000}"/>
    <cellStyle name="Normal 2 7 3 10 3 2" xfId="32675" xr:uid="{00000000-0005-0000-0000-0000A67F0000}"/>
    <cellStyle name="Normal 2 7 3 10 3 2 2" xfId="32676" xr:uid="{00000000-0005-0000-0000-0000A77F0000}"/>
    <cellStyle name="Normal 2 7 3 10 3 2 3" xfId="32677" xr:uid="{00000000-0005-0000-0000-0000A87F0000}"/>
    <cellStyle name="Normal 2 7 3 10 3 3" xfId="32678" xr:uid="{00000000-0005-0000-0000-0000A97F0000}"/>
    <cellStyle name="Normal 2 7 3 10 3 4" xfId="32679" xr:uid="{00000000-0005-0000-0000-0000AA7F0000}"/>
    <cellStyle name="Normal 2 7 3 10 3 5" xfId="32680" xr:uid="{00000000-0005-0000-0000-0000AB7F0000}"/>
    <cellStyle name="Normal 2 7 3 10 3 6" xfId="32681" xr:uid="{00000000-0005-0000-0000-0000AC7F0000}"/>
    <cellStyle name="Normal 2 7 3 10 4" xfId="32682" xr:uid="{00000000-0005-0000-0000-0000AD7F0000}"/>
    <cellStyle name="Normal 2 7 3 10 4 2" xfId="32683" xr:uid="{00000000-0005-0000-0000-0000AE7F0000}"/>
    <cellStyle name="Normal 2 7 3 10 4 2 2" xfId="32684" xr:uid="{00000000-0005-0000-0000-0000AF7F0000}"/>
    <cellStyle name="Normal 2 7 3 10 4 3" xfId="32685" xr:uid="{00000000-0005-0000-0000-0000B07F0000}"/>
    <cellStyle name="Normal 2 7 3 10 4 4" xfId="32686" xr:uid="{00000000-0005-0000-0000-0000B17F0000}"/>
    <cellStyle name="Normal 2 7 3 10 4 5" xfId="32687" xr:uid="{00000000-0005-0000-0000-0000B27F0000}"/>
    <cellStyle name="Normal 2 7 3 10 5" xfId="32688" xr:uid="{00000000-0005-0000-0000-0000B37F0000}"/>
    <cellStyle name="Normal 2 7 3 10 5 2" xfId="32689" xr:uid="{00000000-0005-0000-0000-0000B47F0000}"/>
    <cellStyle name="Normal 2 7 3 10 5 3" xfId="32690" xr:uid="{00000000-0005-0000-0000-0000B57F0000}"/>
    <cellStyle name="Normal 2 7 3 10 5 4" xfId="32691" xr:uid="{00000000-0005-0000-0000-0000B67F0000}"/>
    <cellStyle name="Normal 2 7 3 10 6" xfId="32692" xr:uid="{00000000-0005-0000-0000-0000B77F0000}"/>
    <cellStyle name="Normal 2 7 3 10 6 2" xfId="32693" xr:uid="{00000000-0005-0000-0000-0000B87F0000}"/>
    <cellStyle name="Normal 2 7 3 10 7" xfId="32694" xr:uid="{00000000-0005-0000-0000-0000B97F0000}"/>
    <cellStyle name="Normal 2 7 3 10 8" xfId="32695" xr:uid="{00000000-0005-0000-0000-0000BA7F0000}"/>
    <cellStyle name="Normal 2 7 3 10 9" xfId="32696" xr:uid="{00000000-0005-0000-0000-0000BB7F0000}"/>
    <cellStyle name="Normal 2 7 3 11" xfId="32697" xr:uid="{00000000-0005-0000-0000-0000BC7F0000}"/>
    <cellStyle name="Normal 2 7 3 11 10" xfId="32698" xr:uid="{00000000-0005-0000-0000-0000BD7F0000}"/>
    <cellStyle name="Normal 2 7 3 11 2" xfId="32699" xr:uid="{00000000-0005-0000-0000-0000BE7F0000}"/>
    <cellStyle name="Normal 2 7 3 11 2 2" xfId="32700" xr:uid="{00000000-0005-0000-0000-0000BF7F0000}"/>
    <cellStyle name="Normal 2 7 3 11 2 2 2" xfId="32701" xr:uid="{00000000-0005-0000-0000-0000C07F0000}"/>
    <cellStyle name="Normal 2 7 3 11 2 2 3" xfId="32702" xr:uid="{00000000-0005-0000-0000-0000C17F0000}"/>
    <cellStyle name="Normal 2 7 3 11 2 3" xfId="32703" xr:uid="{00000000-0005-0000-0000-0000C27F0000}"/>
    <cellStyle name="Normal 2 7 3 11 2 4" xfId="32704" xr:uid="{00000000-0005-0000-0000-0000C37F0000}"/>
    <cellStyle name="Normal 2 7 3 11 2 5" xfId="32705" xr:uid="{00000000-0005-0000-0000-0000C47F0000}"/>
    <cellStyle name="Normal 2 7 3 11 2 6" xfId="32706" xr:uid="{00000000-0005-0000-0000-0000C57F0000}"/>
    <cellStyle name="Normal 2 7 3 11 3" xfId="32707" xr:uid="{00000000-0005-0000-0000-0000C67F0000}"/>
    <cellStyle name="Normal 2 7 3 11 3 2" xfId="32708" xr:uid="{00000000-0005-0000-0000-0000C77F0000}"/>
    <cellStyle name="Normal 2 7 3 11 3 2 2" xfId="32709" xr:uid="{00000000-0005-0000-0000-0000C87F0000}"/>
    <cellStyle name="Normal 2 7 3 11 3 2 3" xfId="32710" xr:uid="{00000000-0005-0000-0000-0000C97F0000}"/>
    <cellStyle name="Normal 2 7 3 11 3 3" xfId="32711" xr:uid="{00000000-0005-0000-0000-0000CA7F0000}"/>
    <cellStyle name="Normal 2 7 3 11 3 4" xfId="32712" xr:uid="{00000000-0005-0000-0000-0000CB7F0000}"/>
    <cellStyle name="Normal 2 7 3 11 3 5" xfId="32713" xr:uid="{00000000-0005-0000-0000-0000CC7F0000}"/>
    <cellStyle name="Normal 2 7 3 11 3 6" xfId="32714" xr:uid="{00000000-0005-0000-0000-0000CD7F0000}"/>
    <cellStyle name="Normal 2 7 3 11 4" xfId="32715" xr:uid="{00000000-0005-0000-0000-0000CE7F0000}"/>
    <cellStyle name="Normal 2 7 3 11 4 2" xfId="32716" xr:uid="{00000000-0005-0000-0000-0000CF7F0000}"/>
    <cellStyle name="Normal 2 7 3 11 4 2 2" xfId="32717" xr:uid="{00000000-0005-0000-0000-0000D07F0000}"/>
    <cellStyle name="Normal 2 7 3 11 4 3" xfId="32718" xr:uid="{00000000-0005-0000-0000-0000D17F0000}"/>
    <cellStyle name="Normal 2 7 3 11 4 4" xfId="32719" xr:uid="{00000000-0005-0000-0000-0000D27F0000}"/>
    <cellStyle name="Normal 2 7 3 11 4 5" xfId="32720" xr:uid="{00000000-0005-0000-0000-0000D37F0000}"/>
    <cellStyle name="Normal 2 7 3 11 5" xfId="32721" xr:uid="{00000000-0005-0000-0000-0000D47F0000}"/>
    <cellStyle name="Normal 2 7 3 11 5 2" xfId="32722" xr:uid="{00000000-0005-0000-0000-0000D57F0000}"/>
    <cellStyle name="Normal 2 7 3 11 5 3" xfId="32723" xr:uid="{00000000-0005-0000-0000-0000D67F0000}"/>
    <cellStyle name="Normal 2 7 3 11 5 4" xfId="32724" xr:uid="{00000000-0005-0000-0000-0000D77F0000}"/>
    <cellStyle name="Normal 2 7 3 11 6" xfId="32725" xr:uid="{00000000-0005-0000-0000-0000D87F0000}"/>
    <cellStyle name="Normal 2 7 3 11 6 2" xfId="32726" xr:uid="{00000000-0005-0000-0000-0000D97F0000}"/>
    <cellStyle name="Normal 2 7 3 11 7" xfId="32727" xr:uid="{00000000-0005-0000-0000-0000DA7F0000}"/>
    <cellStyle name="Normal 2 7 3 11 8" xfId="32728" xr:uid="{00000000-0005-0000-0000-0000DB7F0000}"/>
    <cellStyle name="Normal 2 7 3 11 9" xfId="32729" xr:uid="{00000000-0005-0000-0000-0000DC7F0000}"/>
    <cellStyle name="Normal 2 7 3 12" xfId="32730" xr:uid="{00000000-0005-0000-0000-0000DD7F0000}"/>
    <cellStyle name="Normal 2 7 3 12 10" xfId="32731" xr:uid="{00000000-0005-0000-0000-0000DE7F0000}"/>
    <cellStyle name="Normal 2 7 3 12 2" xfId="32732" xr:uid="{00000000-0005-0000-0000-0000DF7F0000}"/>
    <cellStyle name="Normal 2 7 3 12 2 2" xfId="32733" xr:uid="{00000000-0005-0000-0000-0000E07F0000}"/>
    <cellStyle name="Normal 2 7 3 12 2 2 2" xfId="32734" xr:uid="{00000000-0005-0000-0000-0000E17F0000}"/>
    <cellStyle name="Normal 2 7 3 12 2 2 3" xfId="32735" xr:uid="{00000000-0005-0000-0000-0000E27F0000}"/>
    <cellStyle name="Normal 2 7 3 12 2 3" xfId="32736" xr:uid="{00000000-0005-0000-0000-0000E37F0000}"/>
    <cellStyle name="Normal 2 7 3 12 2 4" xfId="32737" xr:uid="{00000000-0005-0000-0000-0000E47F0000}"/>
    <cellStyle name="Normal 2 7 3 12 2 5" xfId="32738" xr:uid="{00000000-0005-0000-0000-0000E57F0000}"/>
    <cellStyle name="Normal 2 7 3 12 2 6" xfId="32739" xr:uid="{00000000-0005-0000-0000-0000E67F0000}"/>
    <cellStyle name="Normal 2 7 3 12 3" xfId="32740" xr:uid="{00000000-0005-0000-0000-0000E77F0000}"/>
    <cellStyle name="Normal 2 7 3 12 3 2" xfId="32741" xr:uid="{00000000-0005-0000-0000-0000E87F0000}"/>
    <cellStyle name="Normal 2 7 3 12 3 2 2" xfId="32742" xr:uid="{00000000-0005-0000-0000-0000E97F0000}"/>
    <cellStyle name="Normal 2 7 3 12 3 2 3" xfId="32743" xr:uid="{00000000-0005-0000-0000-0000EA7F0000}"/>
    <cellStyle name="Normal 2 7 3 12 3 3" xfId="32744" xr:uid="{00000000-0005-0000-0000-0000EB7F0000}"/>
    <cellStyle name="Normal 2 7 3 12 3 4" xfId="32745" xr:uid="{00000000-0005-0000-0000-0000EC7F0000}"/>
    <cellStyle name="Normal 2 7 3 12 3 5" xfId="32746" xr:uid="{00000000-0005-0000-0000-0000ED7F0000}"/>
    <cellStyle name="Normal 2 7 3 12 3 6" xfId="32747" xr:uid="{00000000-0005-0000-0000-0000EE7F0000}"/>
    <cellStyle name="Normal 2 7 3 12 4" xfId="32748" xr:uid="{00000000-0005-0000-0000-0000EF7F0000}"/>
    <cellStyle name="Normal 2 7 3 12 4 2" xfId="32749" xr:uid="{00000000-0005-0000-0000-0000F07F0000}"/>
    <cellStyle name="Normal 2 7 3 12 4 2 2" xfId="32750" xr:uid="{00000000-0005-0000-0000-0000F17F0000}"/>
    <cellStyle name="Normal 2 7 3 12 4 3" xfId="32751" xr:uid="{00000000-0005-0000-0000-0000F27F0000}"/>
    <cellStyle name="Normal 2 7 3 12 4 4" xfId="32752" xr:uid="{00000000-0005-0000-0000-0000F37F0000}"/>
    <cellStyle name="Normal 2 7 3 12 4 5" xfId="32753" xr:uid="{00000000-0005-0000-0000-0000F47F0000}"/>
    <cellStyle name="Normal 2 7 3 12 5" xfId="32754" xr:uid="{00000000-0005-0000-0000-0000F57F0000}"/>
    <cellStyle name="Normal 2 7 3 12 5 2" xfId="32755" xr:uid="{00000000-0005-0000-0000-0000F67F0000}"/>
    <cellStyle name="Normal 2 7 3 12 5 3" xfId="32756" xr:uid="{00000000-0005-0000-0000-0000F77F0000}"/>
    <cellStyle name="Normal 2 7 3 12 5 4" xfId="32757" xr:uid="{00000000-0005-0000-0000-0000F87F0000}"/>
    <cellStyle name="Normal 2 7 3 12 6" xfId="32758" xr:uid="{00000000-0005-0000-0000-0000F97F0000}"/>
    <cellStyle name="Normal 2 7 3 12 6 2" xfId="32759" xr:uid="{00000000-0005-0000-0000-0000FA7F0000}"/>
    <cellStyle name="Normal 2 7 3 12 7" xfId="32760" xr:uid="{00000000-0005-0000-0000-0000FB7F0000}"/>
    <cellStyle name="Normal 2 7 3 12 8" xfId="32761" xr:uid="{00000000-0005-0000-0000-0000FC7F0000}"/>
    <cellStyle name="Normal 2 7 3 12 9" xfId="32762" xr:uid="{00000000-0005-0000-0000-0000FD7F0000}"/>
    <cellStyle name="Normal 2 7 3 13" xfId="32763" xr:uid="{00000000-0005-0000-0000-0000FE7F0000}"/>
    <cellStyle name="Normal 2 7 3 13 2" xfId="32764" xr:uid="{00000000-0005-0000-0000-0000FF7F0000}"/>
    <cellStyle name="Normal 2 7 3 13 2 2" xfId="32765" xr:uid="{00000000-0005-0000-0000-000000800000}"/>
    <cellStyle name="Normal 2 7 3 13 2 2 2" xfId="32766" xr:uid="{00000000-0005-0000-0000-000001800000}"/>
    <cellStyle name="Normal 2 7 3 13 2 2 3" xfId="32767" xr:uid="{00000000-0005-0000-0000-000002800000}"/>
    <cellStyle name="Normal 2 7 3 13 2 3" xfId="32768" xr:uid="{00000000-0005-0000-0000-000003800000}"/>
    <cellStyle name="Normal 2 7 3 13 2 4" xfId="32769" xr:uid="{00000000-0005-0000-0000-000004800000}"/>
    <cellStyle name="Normal 2 7 3 13 2 5" xfId="32770" xr:uid="{00000000-0005-0000-0000-000005800000}"/>
    <cellStyle name="Normal 2 7 3 13 2 6" xfId="32771" xr:uid="{00000000-0005-0000-0000-000006800000}"/>
    <cellStyle name="Normal 2 7 3 13 3" xfId="32772" xr:uid="{00000000-0005-0000-0000-000007800000}"/>
    <cellStyle name="Normal 2 7 3 13 3 2" xfId="32773" xr:uid="{00000000-0005-0000-0000-000008800000}"/>
    <cellStyle name="Normal 2 7 3 13 3 2 2" xfId="32774" xr:uid="{00000000-0005-0000-0000-000009800000}"/>
    <cellStyle name="Normal 2 7 3 13 3 3" xfId="32775" xr:uid="{00000000-0005-0000-0000-00000A800000}"/>
    <cellStyle name="Normal 2 7 3 13 3 4" xfId="32776" xr:uid="{00000000-0005-0000-0000-00000B800000}"/>
    <cellStyle name="Normal 2 7 3 13 3 5" xfId="32777" xr:uid="{00000000-0005-0000-0000-00000C800000}"/>
    <cellStyle name="Normal 2 7 3 13 4" xfId="32778" xr:uid="{00000000-0005-0000-0000-00000D800000}"/>
    <cellStyle name="Normal 2 7 3 13 4 2" xfId="32779" xr:uid="{00000000-0005-0000-0000-00000E800000}"/>
    <cellStyle name="Normal 2 7 3 13 4 3" xfId="32780" xr:uid="{00000000-0005-0000-0000-00000F800000}"/>
    <cellStyle name="Normal 2 7 3 13 4 4" xfId="32781" xr:uid="{00000000-0005-0000-0000-000010800000}"/>
    <cellStyle name="Normal 2 7 3 13 5" xfId="32782" xr:uid="{00000000-0005-0000-0000-000011800000}"/>
    <cellStyle name="Normal 2 7 3 13 5 2" xfId="32783" xr:uid="{00000000-0005-0000-0000-000012800000}"/>
    <cellStyle name="Normal 2 7 3 13 6" xfId="32784" xr:uid="{00000000-0005-0000-0000-000013800000}"/>
    <cellStyle name="Normal 2 7 3 13 7" xfId="32785" xr:uid="{00000000-0005-0000-0000-000014800000}"/>
    <cellStyle name="Normal 2 7 3 13 8" xfId="32786" xr:uid="{00000000-0005-0000-0000-000015800000}"/>
    <cellStyle name="Normal 2 7 3 13 9" xfId="32787" xr:uid="{00000000-0005-0000-0000-000016800000}"/>
    <cellStyle name="Normal 2 7 3 14" xfId="32788" xr:uid="{00000000-0005-0000-0000-000017800000}"/>
    <cellStyle name="Normal 2 7 3 14 2" xfId="32789" xr:uid="{00000000-0005-0000-0000-000018800000}"/>
    <cellStyle name="Normal 2 7 3 14 2 2" xfId="32790" xr:uid="{00000000-0005-0000-0000-000019800000}"/>
    <cellStyle name="Normal 2 7 3 14 2 2 2" xfId="32791" xr:uid="{00000000-0005-0000-0000-00001A800000}"/>
    <cellStyle name="Normal 2 7 3 14 2 2 3" xfId="32792" xr:uid="{00000000-0005-0000-0000-00001B800000}"/>
    <cellStyle name="Normal 2 7 3 14 2 3" xfId="32793" xr:uid="{00000000-0005-0000-0000-00001C800000}"/>
    <cellStyle name="Normal 2 7 3 14 2 4" xfId="32794" xr:uid="{00000000-0005-0000-0000-00001D800000}"/>
    <cellStyle name="Normal 2 7 3 14 2 5" xfId="32795" xr:uid="{00000000-0005-0000-0000-00001E800000}"/>
    <cellStyle name="Normal 2 7 3 14 2 6" xfId="32796" xr:uid="{00000000-0005-0000-0000-00001F800000}"/>
    <cellStyle name="Normal 2 7 3 14 3" xfId="32797" xr:uid="{00000000-0005-0000-0000-000020800000}"/>
    <cellStyle name="Normal 2 7 3 14 3 2" xfId="32798" xr:uid="{00000000-0005-0000-0000-000021800000}"/>
    <cellStyle name="Normal 2 7 3 14 3 2 2" xfId="32799" xr:uid="{00000000-0005-0000-0000-000022800000}"/>
    <cellStyle name="Normal 2 7 3 14 3 3" xfId="32800" xr:uid="{00000000-0005-0000-0000-000023800000}"/>
    <cellStyle name="Normal 2 7 3 14 3 4" xfId="32801" xr:uid="{00000000-0005-0000-0000-000024800000}"/>
    <cellStyle name="Normal 2 7 3 14 3 5" xfId="32802" xr:uid="{00000000-0005-0000-0000-000025800000}"/>
    <cellStyle name="Normal 2 7 3 14 4" xfId="32803" xr:uid="{00000000-0005-0000-0000-000026800000}"/>
    <cellStyle name="Normal 2 7 3 14 4 2" xfId="32804" xr:uid="{00000000-0005-0000-0000-000027800000}"/>
    <cellStyle name="Normal 2 7 3 14 4 3" xfId="32805" xr:uid="{00000000-0005-0000-0000-000028800000}"/>
    <cellStyle name="Normal 2 7 3 14 4 4" xfId="32806" xr:uid="{00000000-0005-0000-0000-000029800000}"/>
    <cellStyle name="Normal 2 7 3 14 5" xfId="32807" xr:uid="{00000000-0005-0000-0000-00002A800000}"/>
    <cellStyle name="Normal 2 7 3 14 5 2" xfId="32808" xr:uid="{00000000-0005-0000-0000-00002B800000}"/>
    <cellStyle name="Normal 2 7 3 14 6" xfId="32809" xr:uid="{00000000-0005-0000-0000-00002C800000}"/>
    <cellStyle name="Normal 2 7 3 14 7" xfId="32810" xr:uid="{00000000-0005-0000-0000-00002D800000}"/>
    <cellStyle name="Normal 2 7 3 14 8" xfId="32811" xr:uid="{00000000-0005-0000-0000-00002E800000}"/>
    <cellStyle name="Normal 2 7 3 14 9" xfId="32812" xr:uid="{00000000-0005-0000-0000-00002F800000}"/>
    <cellStyle name="Normal 2 7 3 15" xfId="32813" xr:uid="{00000000-0005-0000-0000-000030800000}"/>
    <cellStyle name="Normal 2 7 3 15 2" xfId="32814" xr:uid="{00000000-0005-0000-0000-000031800000}"/>
    <cellStyle name="Normal 2 7 3 15 2 2" xfId="32815" xr:uid="{00000000-0005-0000-0000-000032800000}"/>
    <cellStyle name="Normal 2 7 3 15 2 3" xfId="32816" xr:uid="{00000000-0005-0000-0000-000033800000}"/>
    <cellStyle name="Normal 2 7 3 15 3" xfId="32817" xr:uid="{00000000-0005-0000-0000-000034800000}"/>
    <cellStyle name="Normal 2 7 3 15 4" xfId="32818" xr:uid="{00000000-0005-0000-0000-000035800000}"/>
    <cellStyle name="Normal 2 7 3 15 5" xfId="32819" xr:uid="{00000000-0005-0000-0000-000036800000}"/>
    <cellStyle name="Normal 2 7 3 15 6" xfId="32820" xr:uid="{00000000-0005-0000-0000-000037800000}"/>
    <cellStyle name="Normal 2 7 3 16" xfId="32821" xr:uid="{00000000-0005-0000-0000-000038800000}"/>
    <cellStyle name="Normal 2 7 3 16 2" xfId="32822" xr:uid="{00000000-0005-0000-0000-000039800000}"/>
    <cellStyle name="Normal 2 7 3 16 2 2" xfId="32823" xr:uid="{00000000-0005-0000-0000-00003A800000}"/>
    <cellStyle name="Normal 2 7 3 16 3" xfId="32824" xr:uid="{00000000-0005-0000-0000-00003B800000}"/>
    <cellStyle name="Normal 2 7 3 16 4" xfId="32825" xr:uid="{00000000-0005-0000-0000-00003C800000}"/>
    <cellStyle name="Normal 2 7 3 16 5" xfId="32826" xr:uid="{00000000-0005-0000-0000-00003D800000}"/>
    <cellStyle name="Normal 2 7 3 17" xfId="32827" xr:uid="{00000000-0005-0000-0000-00003E800000}"/>
    <cellStyle name="Normal 2 7 3 17 2" xfId="32828" xr:uid="{00000000-0005-0000-0000-00003F800000}"/>
    <cellStyle name="Normal 2 7 3 17 2 2" xfId="32829" xr:uid="{00000000-0005-0000-0000-000040800000}"/>
    <cellStyle name="Normal 2 7 3 17 3" xfId="32830" xr:uid="{00000000-0005-0000-0000-000041800000}"/>
    <cellStyle name="Normal 2 7 3 17 4" xfId="32831" xr:uid="{00000000-0005-0000-0000-000042800000}"/>
    <cellStyle name="Normal 2 7 3 17 5" xfId="32832" xr:uid="{00000000-0005-0000-0000-000043800000}"/>
    <cellStyle name="Normal 2 7 3 18" xfId="32833" xr:uid="{00000000-0005-0000-0000-000044800000}"/>
    <cellStyle name="Normal 2 7 3 18 2" xfId="32834" xr:uid="{00000000-0005-0000-0000-000045800000}"/>
    <cellStyle name="Normal 2 7 3 19" xfId="32835" xr:uid="{00000000-0005-0000-0000-000046800000}"/>
    <cellStyle name="Normal 2 7 3 2" xfId="32836" xr:uid="{00000000-0005-0000-0000-000047800000}"/>
    <cellStyle name="Normal 2 7 3 2 10" xfId="32837" xr:uid="{00000000-0005-0000-0000-000048800000}"/>
    <cellStyle name="Normal 2 7 3 2 11" xfId="32838" xr:uid="{00000000-0005-0000-0000-000049800000}"/>
    <cellStyle name="Normal 2 7 3 2 2" xfId="32839" xr:uid="{00000000-0005-0000-0000-00004A800000}"/>
    <cellStyle name="Normal 2 7 3 2 2 2" xfId="32840" xr:uid="{00000000-0005-0000-0000-00004B800000}"/>
    <cellStyle name="Normal 2 7 3 2 2 2 2" xfId="32841" xr:uid="{00000000-0005-0000-0000-00004C800000}"/>
    <cellStyle name="Normal 2 7 3 2 2 2 2 2" xfId="32842" xr:uid="{00000000-0005-0000-0000-00004D800000}"/>
    <cellStyle name="Normal 2 7 3 2 2 2 2 3" xfId="32843" xr:uid="{00000000-0005-0000-0000-00004E800000}"/>
    <cellStyle name="Normal 2 7 3 2 2 2 3" xfId="32844" xr:uid="{00000000-0005-0000-0000-00004F800000}"/>
    <cellStyle name="Normal 2 7 3 2 2 2 4" xfId="32845" xr:uid="{00000000-0005-0000-0000-000050800000}"/>
    <cellStyle name="Normal 2 7 3 2 2 2 5" xfId="32846" xr:uid="{00000000-0005-0000-0000-000051800000}"/>
    <cellStyle name="Normal 2 7 3 2 2 2 6" xfId="32847" xr:uid="{00000000-0005-0000-0000-000052800000}"/>
    <cellStyle name="Normal 2 7 3 2 2 3" xfId="32848" xr:uid="{00000000-0005-0000-0000-000053800000}"/>
    <cellStyle name="Normal 2 7 3 2 2 3 2" xfId="32849" xr:uid="{00000000-0005-0000-0000-000054800000}"/>
    <cellStyle name="Normal 2 7 3 2 2 3 2 2" xfId="32850" xr:uid="{00000000-0005-0000-0000-000055800000}"/>
    <cellStyle name="Normal 2 7 3 2 2 3 3" xfId="32851" xr:uid="{00000000-0005-0000-0000-000056800000}"/>
    <cellStyle name="Normal 2 7 3 2 2 3 4" xfId="32852" xr:uid="{00000000-0005-0000-0000-000057800000}"/>
    <cellStyle name="Normal 2 7 3 2 2 3 5" xfId="32853" xr:uid="{00000000-0005-0000-0000-000058800000}"/>
    <cellStyle name="Normal 2 7 3 2 2 4" xfId="32854" xr:uid="{00000000-0005-0000-0000-000059800000}"/>
    <cellStyle name="Normal 2 7 3 2 2 4 2" xfId="32855" xr:uid="{00000000-0005-0000-0000-00005A800000}"/>
    <cellStyle name="Normal 2 7 3 2 2 4 3" xfId="32856" xr:uid="{00000000-0005-0000-0000-00005B800000}"/>
    <cellStyle name="Normal 2 7 3 2 2 4 4" xfId="32857" xr:uid="{00000000-0005-0000-0000-00005C800000}"/>
    <cellStyle name="Normal 2 7 3 2 2 5" xfId="32858" xr:uid="{00000000-0005-0000-0000-00005D800000}"/>
    <cellStyle name="Normal 2 7 3 2 2 5 2" xfId="32859" xr:uid="{00000000-0005-0000-0000-00005E800000}"/>
    <cellStyle name="Normal 2 7 3 2 2 6" xfId="32860" xr:uid="{00000000-0005-0000-0000-00005F800000}"/>
    <cellStyle name="Normal 2 7 3 2 2 7" xfId="32861" xr:uid="{00000000-0005-0000-0000-000060800000}"/>
    <cellStyle name="Normal 2 7 3 2 2 8" xfId="32862" xr:uid="{00000000-0005-0000-0000-000061800000}"/>
    <cellStyle name="Normal 2 7 3 2 2 9" xfId="32863" xr:uid="{00000000-0005-0000-0000-000062800000}"/>
    <cellStyle name="Normal 2 7 3 2 3" xfId="32864" xr:uid="{00000000-0005-0000-0000-000063800000}"/>
    <cellStyle name="Normal 2 7 3 2 3 2" xfId="32865" xr:uid="{00000000-0005-0000-0000-000064800000}"/>
    <cellStyle name="Normal 2 7 3 2 3 2 2" xfId="32866" xr:uid="{00000000-0005-0000-0000-000065800000}"/>
    <cellStyle name="Normal 2 7 3 2 3 2 2 2" xfId="32867" xr:uid="{00000000-0005-0000-0000-000066800000}"/>
    <cellStyle name="Normal 2 7 3 2 3 2 2 3" xfId="32868" xr:uid="{00000000-0005-0000-0000-000067800000}"/>
    <cellStyle name="Normal 2 7 3 2 3 2 3" xfId="32869" xr:uid="{00000000-0005-0000-0000-000068800000}"/>
    <cellStyle name="Normal 2 7 3 2 3 2 4" xfId="32870" xr:uid="{00000000-0005-0000-0000-000069800000}"/>
    <cellStyle name="Normal 2 7 3 2 3 2 5" xfId="32871" xr:uid="{00000000-0005-0000-0000-00006A800000}"/>
    <cellStyle name="Normal 2 7 3 2 3 2 6" xfId="32872" xr:uid="{00000000-0005-0000-0000-00006B800000}"/>
    <cellStyle name="Normal 2 7 3 2 3 3" xfId="32873" xr:uid="{00000000-0005-0000-0000-00006C800000}"/>
    <cellStyle name="Normal 2 7 3 2 3 3 2" xfId="32874" xr:uid="{00000000-0005-0000-0000-00006D800000}"/>
    <cellStyle name="Normal 2 7 3 2 3 3 2 2" xfId="32875" xr:uid="{00000000-0005-0000-0000-00006E800000}"/>
    <cellStyle name="Normal 2 7 3 2 3 3 3" xfId="32876" xr:uid="{00000000-0005-0000-0000-00006F800000}"/>
    <cellStyle name="Normal 2 7 3 2 3 3 4" xfId="32877" xr:uid="{00000000-0005-0000-0000-000070800000}"/>
    <cellStyle name="Normal 2 7 3 2 3 3 5" xfId="32878" xr:uid="{00000000-0005-0000-0000-000071800000}"/>
    <cellStyle name="Normal 2 7 3 2 3 4" xfId="32879" xr:uid="{00000000-0005-0000-0000-000072800000}"/>
    <cellStyle name="Normal 2 7 3 2 3 4 2" xfId="32880" xr:uid="{00000000-0005-0000-0000-000073800000}"/>
    <cellStyle name="Normal 2 7 3 2 3 4 3" xfId="32881" xr:uid="{00000000-0005-0000-0000-000074800000}"/>
    <cellStyle name="Normal 2 7 3 2 3 4 4" xfId="32882" xr:uid="{00000000-0005-0000-0000-000075800000}"/>
    <cellStyle name="Normal 2 7 3 2 3 5" xfId="32883" xr:uid="{00000000-0005-0000-0000-000076800000}"/>
    <cellStyle name="Normal 2 7 3 2 3 5 2" xfId="32884" xr:uid="{00000000-0005-0000-0000-000077800000}"/>
    <cellStyle name="Normal 2 7 3 2 3 6" xfId="32885" xr:uid="{00000000-0005-0000-0000-000078800000}"/>
    <cellStyle name="Normal 2 7 3 2 3 7" xfId="32886" xr:uid="{00000000-0005-0000-0000-000079800000}"/>
    <cellStyle name="Normal 2 7 3 2 3 8" xfId="32887" xr:uid="{00000000-0005-0000-0000-00007A800000}"/>
    <cellStyle name="Normal 2 7 3 2 3 9" xfId="32888" xr:uid="{00000000-0005-0000-0000-00007B800000}"/>
    <cellStyle name="Normal 2 7 3 2 4" xfId="32889" xr:uid="{00000000-0005-0000-0000-00007C800000}"/>
    <cellStyle name="Normal 2 7 3 2 4 2" xfId="32890" xr:uid="{00000000-0005-0000-0000-00007D800000}"/>
    <cellStyle name="Normal 2 7 3 2 4 2 2" xfId="32891" xr:uid="{00000000-0005-0000-0000-00007E800000}"/>
    <cellStyle name="Normal 2 7 3 2 4 2 3" xfId="32892" xr:uid="{00000000-0005-0000-0000-00007F800000}"/>
    <cellStyle name="Normal 2 7 3 2 4 3" xfId="32893" xr:uid="{00000000-0005-0000-0000-000080800000}"/>
    <cellStyle name="Normal 2 7 3 2 4 4" xfId="32894" xr:uid="{00000000-0005-0000-0000-000081800000}"/>
    <cellStyle name="Normal 2 7 3 2 4 5" xfId="32895" xr:uid="{00000000-0005-0000-0000-000082800000}"/>
    <cellStyle name="Normal 2 7 3 2 4 6" xfId="32896" xr:uid="{00000000-0005-0000-0000-000083800000}"/>
    <cellStyle name="Normal 2 7 3 2 5" xfId="32897" xr:uid="{00000000-0005-0000-0000-000084800000}"/>
    <cellStyle name="Normal 2 7 3 2 5 2" xfId="32898" xr:uid="{00000000-0005-0000-0000-000085800000}"/>
    <cellStyle name="Normal 2 7 3 2 5 2 2" xfId="32899" xr:uid="{00000000-0005-0000-0000-000086800000}"/>
    <cellStyle name="Normal 2 7 3 2 5 3" xfId="32900" xr:uid="{00000000-0005-0000-0000-000087800000}"/>
    <cellStyle name="Normal 2 7 3 2 5 4" xfId="32901" xr:uid="{00000000-0005-0000-0000-000088800000}"/>
    <cellStyle name="Normal 2 7 3 2 5 5" xfId="32902" xr:uid="{00000000-0005-0000-0000-000089800000}"/>
    <cellStyle name="Normal 2 7 3 2 6" xfId="32903" xr:uid="{00000000-0005-0000-0000-00008A800000}"/>
    <cellStyle name="Normal 2 7 3 2 6 2" xfId="32904" xr:uid="{00000000-0005-0000-0000-00008B800000}"/>
    <cellStyle name="Normal 2 7 3 2 6 3" xfId="32905" xr:uid="{00000000-0005-0000-0000-00008C800000}"/>
    <cellStyle name="Normal 2 7 3 2 6 4" xfId="32906" xr:uid="{00000000-0005-0000-0000-00008D800000}"/>
    <cellStyle name="Normal 2 7 3 2 7" xfId="32907" xr:uid="{00000000-0005-0000-0000-00008E800000}"/>
    <cellStyle name="Normal 2 7 3 2 7 2" xfId="32908" xr:uid="{00000000-0005-0000-0000-00008F800000}"/>
    <cellStyle name="Normal 2 7 3 2 8" xfId="32909" xr:uid="{00000000-0005-0000-0000-000090800000}"/>
    <cellStyle name="Normal 2 7 3 2 9" xfId="32910" xr:uid="{00000000-0005-0000-0000-000091800000}"/>
    <cellStyle name="Normal 2 7 3 20" xfId="32911" xr:uid="{00000000-0005-0000-0000-000092800000}"/>
    <cellStyle name="Normal 2 7 3 21" xfId="32912" xr:uid="{00000000-0005-0000-0000-000093800000}"/>
    <cellStyle name="Normal 2 7 3 22" xfId="32913" xr:uid="{00000000-0005-0000-0000-000094800000}"/>
    <cellStyle name="Normal 2 7 3 3" xfId="32914" xr:uid="{00000000-0005-0000-0000-000095800000}"/>
    <cellStyle name="Normal 2 7 3 3 10" xfId="32915" xr:uid="{00000000-0005-0000-0000-000096800000}"/>
    <cellStyle name="Normal 2 7 3 3 11" xfId="32916" xr:uid="{00000000-0005-0000-0000-000097800000}"/>
    <cellStyle name="Normal 2 7 3 3 2" xfId="32917" xr:uid="{00000000-0005-0000-0000-000098800000}"/>
    <cellStyle name="Normal 2 7 3 3 2 2" xfId="32918" xr:uid="{00000000-0005-0000-0000-000099800000}"/>
    <cellStyle name="Normal 2 7 3 3 2 2 2" xfId="32919" xr:uid="{00000000-0005-0000-0000-00009A800000}"/>
    <cellStyle name="Normal 2 7 3 3 2 2 2 2" xfId="32920" xr:uid="{00000000-0005-0000-0000-00009B800000}"/>
    <cellStyle name="Normal 2 7 3 3 2 2 2 3" xfId="32921" xr:uid="{00000000-0005-0000-0000-00009C800000}"/>
    <cellStyle name="Normal 2 7 3 3 2 2 3" xfId="32922" xr:uid="{00000000-0005-0000-0000-00009D800000}"/>
    <cellStyle name="Normal 2 7 3 3 2 2 4" xfId="32923" xr:uid="{00000000-0005-0000-0000-00009E800000}"/>
    <cellStyle name="Normal 2 7 3 3 2 2 5" xfId="32924" xr:uid="{00000000-0005-0000-0000-00009F800000}"/>
    <cellStyle name="Normal 2 7 3 3 2 2 6" xfId="32925" xr:uid="{00000000-0005-0000-0000-0000A0800000}"/>
    <cellStyle name="Normal 2 7 3 3 2 3" xfId="32926" xr:uid="{00000000-0005-0000-0000-0000A1800000}"/>
    <cellStyle name="Normal 2 7 3 3 2 3 2" xfId="32927" xr:uid="{00000000-0005-0000-0000-0000A2800000}"/>
    <cellStyle name="Normal 2 7 3 3 2 3 2 2" xfId="32928" xr:uid="{00000000-0005-0000-0000-0000A3800000}"/>
    <cellStyle name="Normal 2 7 3 3 2 3 3" xfId="32929" xr:uid="{00000000-0005-0000-0000-0000A4800000}"/>
    <cellStyle name="Normal 2 7 3 3 2 3 4" xfId="32930" xr:uid="{00000000-0005-0000-0000-0000A5800000}"/>
    <cellStyle name="Normal 2 7 3 3 2 3 5" xfId="32931" xr:uid="{00000000-0005-0000-0000-0000A6800000}"/>
    <cellStyle name="Normal 2 7 3 3 2 4" xfId="32932" xr:uid="{00000000-0005-0000-0000-0000A7800000}"/>
    <cellStyle name="Normal 2 7 3 3 2 4 2" xfId="32933" xr:uid="{00000000-0005-0000-0000-0000A8800000}"/>
    <cellStyle name="Normal 2 7 3 3 2 4 3" xfId="32934" xr:uid="{00000000-0005-0000-0000-0000A9800000}"/>
    <cellStyle name="Normal 2 7 3 3 2 4 4" xfId="32935" xr:uid="{00000000-0005-0000-0000-0000AA800000}"/>
    <cellStyle name="Normal 2 7 3 3 2 5" xfId="32936" xr:uid="{00000000-0005-0000-0000-0000AB800000}"/>
    <cellStyle name="Normal 2 7 3 3 2 5 2" xfId="32937" xr:uid="{00000000-0005-0000-0000-0000AC800000}"/>
    <cellStyle name="Normal 2 7 3 3 2 6" xfId="32938" xr:uid="{00000000-0005-0000-0000-0000AD800000}"/>
    <cellStyle name="Normal 2 7 3 3 2 7" xfId="32939" xr:uid="{00000000-0005-0000-0000-0000AE800000}"/>
    <cellStyle name="Normal 2 7 3 3 2 8" xfId="32940" xr:uid="{00000000-0005-0000-0000-0000AF800000}"/>
    <cellStyle name="Normal 2 7 3 3 2 9" xfId="32941" xr:uid="{00000000-0005-0000-0000-0000B0800000}"/>
    <cellStyle name="Normal 2 7 3 3 3" xfId="32942" xr:uid="{00000000-0005-0000-0000-0000B1800000}"/>
    <cellStyle name="Normal 2 7 3 3 3 2" xfId="32943" xr:uid="{00000000-0005-0000-0000-0000B2800000}"/>
    <cellStyle name="Normal 2 7 3 3 3 2 2" xfId="32944" xr:uid="{00000000-0005-0000-0000-0000B3800000}"/>
    <cellStyle name="Normal 2 7 3 3 3 2 2 2" xfId="32945" xr:uid="{00000000-0005-0000-0000-0000B4800000}"/>
    <cellStyle name="Normal 2 7 3 3 3 2 2 3" xfId="32946" xr:uid="{00000000-0005-0000-0000-0000B5800000}"/>
    <cellStyle name="Normal 2 7 3 3 3 2 3" xfId="32947" xr:uid="{00000000-0005-0000-0000-0000B6800000}"/>
    <cellStyle name="Normal 2 7 3 3 3 2 4" xfId="32948" xr:uid="{00000000-0005-0000-0000-0000B7800000}"/>
    <cellStyle name="Normal 2 7 3 3 3 2 5" xfId="32949" xr:uid="{00000000-0005-0000-0000-0000B8800000}"/>
    <cellStyle name="Normal 2 7 3 3 3 2 6" xfId="32950" xr:uid="{00000000-0005-0000-0000-0000B9800000}"/>
    <cellStyle name="Normal 2 7 3 3 3 3" xfId="32951" xr:uid="{00000000-0005-0000-0000-0000BA800000}"/>
    <cellStyle name="Normal 2 7 3 3 3 3 2" xfId="32952" xr:uid="{00000000-0005-0000-0000-0000BB800000}"/>
    <cellStyle name="Normal 2 7 3 3 3 3 2 2" xfId="32953" xr:uid="{00000000-0005-0000-0000-0000BC800000}"/>
    <cellStyle name="Normal 2 7 3 3 3 3 3" xfId="32954" xr:uid="{00000000-0005-0000-0000-0000BD800000}"/>
    <cellStyle name="Normal 2 7 3 3 3 3 4" xfId="32955" xr:uid="{00000000-0005-0000-0000-0000BE800000}"/>
    <cellStyle name="Normal 2 7 3 3 3 3 5" xfId="32956" xr:uid="{00000000-0005-0000-0000-0000BF800000}"/>
    <cellStyle name="Normal 2 7 3 3 3 4" xfId="32957" xr:uid="{00000000-0005-0000-0000-0000C0800000}"/>
    <cellStyle name="Normal 2 7 3 3 3 4 2" xfId="32958" xr:uid="{00000000-0005-0000-0000-0000C1800000}"/>
    <cellStyle name="Normal 2 7 3 3 3 4 3" xfId="32959" xr:uid="{00000000-0005-0000-0000-0000C2800000}"/>
    <cellStyle name="Normal 2 7 3 3 3 4 4" xfId="32960" xr:uid="{00000000-0005-0000-0000-0000C3800000}"/>
    <cellStyle name="Normal 2 7 3 3 3 5" xfId="32961" xr:uid="{00000000-0005-0000-0000-0000C4800000}"/>
    <cellStyle name="Normal 2 7 3 3 3 5 2" xfId="32962" xr:uid="{00000000-0005-0000-0000-0000C5800000}"/>
    <cellStyle name="Normal 2 7 3 3 3 6" xfId="32963" xr:uid="{00000000-0005-0000-0000-0000C6800000}"/>
    <cellStyle name="Normal 2 7 3 3 3 7" xfId="32964" xr:uid="{00000000-0005-0000-0000-0000C7800000}"/>
    <cellStyle name="Normal 2 7 3 3 3 8" xfId="32965" xr:uid="{00000000-0005-0000-0000-0000C8800000}"/>
    <cellStyle name="Normal 2 7 3 3 3 9" xfId="32966" xr:uid="{00000000-0005-0000-0000-0000C9800000}"/>
    <cellStyle name="Normal 2 7 3 3 4" xfId="32967" xr:uid="{00000000-0005-0000-0000-0000CA800000}"/>
    <cellStyle name="Normal 2 7 3 3 4 2" xfId="32968" xr:uid="{00000000-0005-0000-0000-0000CB800000}"/>
    <cellStyle name="Normal 2 7 3 3 4 2 2" xfId="32969" xr:uid="{00000000-0005-0000-0000-0000CC800000}"/>
    <cellStyle name="Normal 2 7 3 3 4 2 3" xfId="32970" xr:uid="{00000000-0005-0000-0000-0000CD800000}"/>
    <cellStyle name="Normal 2 7 3 3 4 3" xfId="32971" xr:uid="{00000000-0005-0000-0000-0000CE800000}"/>
    <cellStyle name="Normal 2 7 3 3 4 4" xfId="32972" xr:uid="{00000000-0005-0000-0000-0000CF800000}"/>
    <cellStyle name="Normal 2 7 3 3 4 5" xfId="32973" xr:uid="{00000000-0005-0000-0000-0000D0800000}"/>
    <cellStyle name="Normal 2 7 3 3 4 6" xfId="32974" xr:uid="{00000000-0005-0000-0000-0000D1800000}"/>
    <cellStyle name="Normal 2 7 3 3 5" xfId="32975" xr:uid="{00000000-0005-0000-0000-0000D2800000}"/>
    <cellStyle name="Normal 2 7 3 3 5 2" xfId="32976" xr:uid="{00000000-0005-0000-0000-0000D3800000}"/>
    <cellStyle name="Normal 2 7 3 3 5 2 2" xfId="32977" xr:uid="{00000000-0005-0000-0000-0000D4800000}"/>
    <cellStyle name="Normal 2 7 3 3 5 3" xfId="32978" xr:uid="{00000000-0005-0000-0000-0000D5800000}"/>
    <cellStyle name="Normal 2 7 3 3 5 4" xfId="32979" xr:uid="{00000000-0005-0000-0000-0000D6800000}"/>
    <cellStyle name="Normal 2 7 3 3 5 5" xfId="32980" xr:uid="{00000000-0005-0000-0000-0000D7800000}"/>
    <cellStyle name="Normal 2 7 3 3 6" xfId="32981" xr:uid="{00000000-0005-0000-0000-0000D8800000}"/>
    <cellStyle name="Normal 2 7 3 3 6 2" xfId="32982" xr:uid="{00000000-0005-0000-0000-0000D9800000}"/>
    <cellStyle name="Normal 2 7 3 3 6 3" xfId="32983" xr:uid="{00000000-0005-0000-0000-0000DA800000}"/>
    <cellStyle name="Normal 2 7 3 3 6 4" xfId="32984" xr:uid="{00000000-0005-0000-0000-0000DB800000}"/>
    <cellStyle name="Normal 2 7 3 3 7" xfId="32985" xr:uid="{00000000-0005-0000-0000-0000DC800000}"/>
    <cellStyle name="Normal 2 7 3 3 7 2" xfId="32986" xr:uid="{00000000-0005-0000-0000-0000DD800000}"/>
    <cellStyle name="Normal 2 7 3 3 8" xfId="32987" xr:uid="{00000000-0005-0000-0000-0000DE800000}"/>
    <cellStyle name="Normal 2 7 3 3 9" xfId="32988" xr:uid="{00000000-0005-0000-0000-0000DF800000}"/>
    <cellStyle name="Normal 2 7 3 4" xfId="32989" xr:uid="{00000000-0005-0000-0000-0000E0800000}"/>
    <cellStyle name="Normal 2 7 3 4 10" xfId="32990" xr:uid="{00000000-0005-0000-0000-0000E1800000}"/>
    <cellStyle name="Normal 2 7 3 4 11" xfId="32991" xr:uid="{00000000-0005-0000-0000-0000E2800000}"/>
    <cellStyle name="Normal 2 7 3 4 2" xfId="32992" xr:uid="{00000000-0005-0000-0000-0000E3800000}"/>
    <cellStyle name="Normal 2 7 3 4 2 2" xfId="32993" xr:uid="{00000000-0005-0000-0000-0000E4800000}"/>
    <cellStyle name="Normal 2 7 3 4 2 2 2" xfId="32994" xr:uid="{00000000-0005-0000-0000-0000E5800000}"/>
    <cellStyle name="Normal 2 7 3 4 2 2 2 2" xfId="32995" xr:uid="{00000000-0005-0000-0000-0000E6800000}"/>
    <cellStyle name="Normal 2 7 3 4 2 2 2 3" xfId="32996" xr:uid="{00000000-0005-0000-0000-0000E7800000}"/>
    <cellStyle name="Normal 2 7 3 4 2 2 3" xfId="32997" xr:uid="{00000000-0005-0000-0000-0000E8800000}"/>
    <cellStyle name="Normal 2 7 3 4 2 2 4" xfId="32998" xr:uid="{00000000-0005-0000-0000-0000E9800000}"/>
    <cellStyle name="Normal 2 7 3 4 2 2 5" xfId="32999" xr:uid="{00000000-0005-0000-0000-0000EA800000}"/>
    <cellStyle name="Normal 2 7 3 4 2 2 6" xfId="33000" xr:uid="{00000000-0005-0000-0000-0000EB800000}"/>
    <cellStyle name="Normal 2 7 3 4 2 3" xfId="33001" xr:uid="{00000000-0005-0000-0000-0000EC800000}"/>
    <cellStyle name="Normal 2 7 3 4 2 3 2" xfId="33002" xr:uid="{00000000-0005-0000-0000-0000ED800000}"/>
    <cellStyle name="Normal 2 7 3 4 2 3 2 2" xfId="33003" xr:uid="{00000000-0005-0000-0000-0000EE800000}"/>
    <cellStyle name="Normal 2 7 3 4 2 3 3" xfId="33004" xr:uid="{00000000-0005-0000-0000-0000EF800000}"/>
    <cellStyle name="Normal 2 7 3 4 2 3 4" xfId="33005" xr:uid="{00000000-0005-0000-0000-0000F0800000}"/>
    <cellStyle name="Normal 2 7 3 4 2 3 5" xfId="33006" xr:uid="{00000000-0005-0000-0000-0000F1800000}"/>
    <cellStyle name="Normal 2 7 3 4 2 4" xfId="33007" xr:uid="{00000000-0005-0000-0000-0000F2800000}"/>
    <cellStyle name="Normal 2 7 3 4 2 4 2" xfId="33008" xr:uid="{00000000-0005-0000-0000-0000F3800000}"/>
    <cellStyle name="Normal 2 7 3 4 2 4 3" xfId="33009" xr:uid="{00000000-0005-0000-0000-0000F4800000}"/>
    <cellStyle name="Normal 2 7 3 4 2 4 4" xfId="33010" xr:uid="{00000000-0005-0000-0000-0000F5800000}"/>
    <cellStyle name="Normal 2 7 3 4 2 5" xfId="33011" xr:uid="{00000000-0005-0000-0000-0000F6800000}"/>
    <cellStyle name="Normal 2 7 3 4 2 5 2" xfId="33012" xr:uid="{00000000-0005-0000-0000-0000F7800000}"/>
    <cellStyle name="Normal 2 7 3 4 2 6" xfId="33013" xr:uid="{00000000-0005-0000-0000-0000F8800000}"/>
    <cellStyle name="Normal 2 7 3 4 2 7" xfId="33014" xr:uid="{00000000-0005-0000-0000-0000F9800000}"/>
    <cellStyle name="Normal 2 7 3 4 2 8" xfId="33015" xr:uid="{00000000-0005-0000-0000-0000FA800000}"/>
    <cellStyle name="Normal 2 7 3 4 2 9" xfId="33016" xr:uid="{00000000-0005-0000-0000-0000FB800000}"/>
    <cellStyle name="Normal 2 7 3 4 3" xfId="33017" xr:uid="{00000000-0005-0000-0000-0000FC800000}"/>
    <cellStyle name="Normal 2 7 3 4 3 2" xfId="33018" xr:uid="{00000000-0005-0000-0000-0000FD800000}"/>
    <cellStyle name="Normal 2 7 3 4 3 2 2" xfId="33019" xr:uid="{00000000-0005-0000-0000-0000FE800000}"/>
    <cellStyle name="Normal 2 7 3 4 3 2 2 2" xfId="33020" xr:uid="{00000000-0005-0000-0000-0000FF800000}"/>
    <cellStyle name="Normal 2 7 3 4 3 2 2 3" xfId="33021" xr:uid="{00000000-0005-0000-0000-000000810000}"/>
    <cellStyle name="Normal 2 7 3 4 3 2 3" xfId="33022" xr:uid="{00000000-0005-0000-0000-000001810000}"/>
    <cellStyle name="Normal 2 7 3 4 3 2 4" xfId="33023" xr:uid="{00000000-0005-0000-0000-000002810000}"/>
    <cellStyle name="Normal 2 7 3 4 3 2 5" xfId="33024" xr:uid="{00000000-0005-0000-0000-000003810000}"/>
    <cellStyle name="Normal 2 7 3 4 3 2 6" xfId="33025" xr:uid="{00000000-0005-0000-0000-000004810000}"/>
    <cellStyle name="Normal 2 7 3 4 3 3" xfId="33026" xr:uid="{00000000-0005-0000-0000-000005810000}"/>
    <cellStyle name="Normal 2 7 3 4 3 3 2" xfId="33027" xr:uid="{00000000-0005-0000-0000-000006810000}"/>
    <cellStyle name="Normal 2 7 3 4 3 3 2 2" xfId="33028" xr:uid="{00000000-0005-0000-0000-000007810000}"/>
    <cellStyle name="Normal 2 7 3 4 3 3 3" xfId="33029" xr:uid="{00000000-0005-0000-0000-000008810000}"/>
    <cellStyle name="Normal 2 7 3 4 3 3 4" xfId="33030" xr:uid="{00000000-0005-0000-0000-000009810000}"/>
    <cellStyle name="Normal 2 7 3 4 3 3 5" xfId="33031" xr:uid="{00000000-0005-0000-0000-00000A810000}"/>
    <cellStyle name="Normal 2 7 3 4 3 4" xfId="33032" xr:uid="{00000000-0005-0000-0000-00000B810000}"/>
    <cellStyle name="Normal 2 7 3 4 3 4 2" xfId="33033" xr:uid="{00000000-0005-0000-0000-00000C810000}"/>
    <cellStyle name="Normal 2 7 3 4 3 4 3" xfId="33034" xr:uid="{00000000-0005-0000-0000-00000D810000}"/>
    <cellStyle name="Normal 2 7 3 4 3 4 4" xfId="33035" xr:uid="{00000000-0005-0000-0000-00000E810000}"/>
    <cellStyle name="Normal 2 7 3 4 3 5" xfId="33036" xr:uid="{00000000-0005-0000-0000-00000F810000}"/>
    <cellStyle name="Normal 2 7 3 4 3 5 2" xfId="33037" xr:uid="{00000000-0005-0000-0000-000010810000}"/>
    <cellStyle name="Normal 2 7 3 4 3 6" xfId="33038" xr:uid="{00000000-0005-0000-0000-000011810000}"/>
    <cellStyle name="Normal 2 7 3 4 3 7" xfId="33039" xr:uid="{00000000-0005-0000-0000-000012810000}"/>
    <cellStyle name="Normal 2 7 3 4 3 8" xfId="33040" xr:uid="{00000000-0005-0000-0000-000013810000}"/>
    <cellStyle name="Normal 2 7 3 4 3 9" xfId="33041" xr:uid="{00000000-0005-0000-0000-000014810000}"/>
    <cellStyle name="Normal 2 7 3 4 4" xfId="33042" xr:uid="{00000000-0005-0000-0000-000015810000}"/>
    <cellStyle name="Normal 2 7 3 4 4 2" xfId="33043" xr:uid="{00000000-0005-0000-0000-000016810000}"/>
    <cellStyle name="Normal 2 7 3 4 4 2 2" xfId="33044" xr:uid="{00000000-0005-0000-0000-000017810000}"/>
    <cellStyle name="Normal 2 7 3 4 4 2 3" xfId="33045" xr:uid="{00000000-0005-0000-0000-000018810000}"/>
    <cellStyle name="Normal 2 7 3 4 4 3" xfId="33046" xr:uid="{00000000-0005-0000-0000-000019810000}"/>
    <cellStyle name="Normal 2 7 3 4 4 4" xfId="33047" xr:uid="{00000000-0005-0000-0000-00001A810000}"/>
    <cellStyle name="Normal 2 7 3 4 4 5" xfId="33048" xr:uid="{00000000-0005-0000-0000-00001B810000}"/>
    <cellStyle name="Normal 2 7 3 4 4 6" xfId="33049" xr:uid="{00000000-0005-0000-0000-00001C810000}"/>
    <cellStyle name="Normal 2 7 3 4 5" xfId="33050" xr:uid="{00000000-0005-0000-0000-00001D810000}"/>
    <cellStyle name="Normal 2 7 3 4 5 2" xfId="33051" xr:uid="{00000000-0005-0000-0000-00001E810000}"/>
    <cellStyle name="Normal 2 7 3 4 5 2 2" xfId="33052" xr:uid="{00000000-0005-0000-0000-00001F810000}"/>
    <cellStyle name="Normal 2 7 3 4 5 3" xfId="33053" xr:uid="{00000000-0005-0000-0000-000020810000}"/>
    <cellStyle name="Normal 2 7 3 4 5 4" xfId="33054" xr:uid="{00000000-0005-0000-0000-000021810000}"/>
    <cellStyle name="Normal 2 7 3 4 5 5" xfId="33055" xr:uid="{00000000-0005-0000-0000-000022810000}"/>
    <cellStyle name="Normal 2 7 3 4 6" xfId="33056" xr:uid="{00000000-0005-0000-0000-000023810000}"/>
    <cellStyle name="Normal 2 7 3 4 6 2" xfId="33057" xr:uid="{00000000-0005-0000-0000-000024810000}"/>
    <cellStyle name="Normal 2 7 3 4 6 3" xfId="33058" xr:uid="{00000000-0005-0000-0000-000025810000}"/>
    <cellStyle name="Normal 2 7 3 4 6 4" xfId="33059" xr:uid="{00000000-0005-0000-0000-000026810000}"/>
    <cellStyle name="Normal 2 7 3 4 7" xfId="33060" xr:uid="{00000000-0005-0000-0000-000027810000}"/>
    <cellStyle name="Normal 2 7 3 4 7 2" xfId="33061" xr:uid="{00000000-0005-0000-0000-000028810000}"/>
    <cellStyle name="Normal 2 7 3 4 8" xfId="33062" xr:uid="{00000000-0005-0000-0000-000029810000}"/>
    <cellStyle name="Normal 2 7 3 4 9" xfId="33063" xr:uid="{00000000-0005-0000-0000-00002A810000}"/>
    <cellStyle name="Normal 2 7 3 5" xfId="33064" xr:uid="{00000000-0005-0000-0000-00002B810000}"/>
    <cellStyle name="Normal 2 7 3 5 10" xfId="33065" xr:uid="{00000000-0005-0000-0000-00002C810000}"/>
    <cellStyle name="Normal 2 7 3 5 11" xfId="33066" xr:uid="{00000000-0005-0000-0000-00002D810000}"/>
    <cellStyle name="Normal 2 7 3 5 2" xfId="33067" xr:uid="{00000000-0005-0000-0000-00002E810000}"/>
    <cellStyle name="Normal 2 7 3 5 2 2" xfId="33068" xr:uid="{00000000-0005-0000-0000-00002F810000}"/>
    <cellStyle name="Normal 2 7 3 5 2 2 2" xfId="33069" xr:uid="{00000000-0005-0000-0000-000030810000}"/>
    <cellStyle name="Normal 2 7 3 5 2 2 2 2" xfId="33070" xr:uid="{00000000-0005-0000-0000-000031810000}"/>
    <cellStyle name="Normal 2 7 3 5 2 2 2 3" xfId="33071" xr:uid="{00000000-0005-0000-0000-000032810000}"/>
    <cellStyle name="Normal 2 7 3 5 2 2 3" xfId="33072" xr:uid="{00000000-0005-0000-0000-000033810000}"/>
    <cellStyle name="Normal 2 7 3 5 2 2 4" xfId="33073" xr:uid="{00000000-0005-0000-0000-000034810000}"/>
    <cellStyle name="Normal 2 7 3 5 2 2 5" xfId="33074" xr:uid="{00000000-0005-0000-0000-000035810000}"/>
    <cellStyle name="Normal 2 7 3 5 2 2 6" xfId="33075" xr:uid="{00000000-0005-0000-0000-000036810000}"/>
    <cellStyle name="Normal 2 7 3 5 2 3" xfId="33076" xr:uid="{00000000-0005-0000-0000-000037810000}"/>
    <cellStyle name="Normal 2 7 3 5 2 3 2" xfId="33077" xr:uid="{00000000-0005-0000-0000-000038810000}"/>
    <cellStyle name="Normal 2 7 3 5 2 3 2 2" xfId="33078" xr:uid="{00000000-0005-0000-0000-000039810000}"/>
    <cellStyle name="Normal 2 7 3 5 2 3 3" xfId="33079" xr:uid="{00000000-0005-0000-0000-00003A810000}"/>
    <cellStyle name="Normal 2 7 3 5 2 3 4" xfId="33080" xr:uid="{00000000-0005-0000-0000-00003B810000}"/>
    <cellStyle name="Normal 2 7 3 5 2 3 5" xfId="33081" xr:uid="{00000000-0005-0000-0000-00003C810000}"/>
    <cellStyle name="Normal 2 7 3 5 2 4" xfId="33082" xr:uid="{00000000-0005-0000-0000-00003D810000}"/>
    <cellStyle name="Normal 2 7 3 5 2 4 2" xfId="33083" xr:uid="{00000000-0005-0000-0000-00003E810000}"/>
    <cellStyle name="Normal 2 7 3 5 2 4 3" xfId="33084" xr:uid="{00000000-0005-0000-0000-00003F810000}"/>
    <cellStyle name="Normal 2 7 3 5 2 4 4" xfId="33085" xr:uid="{00000000-0005-0000-0000-000040810000}"/>
    <cellStyle name="Normal 2 7 3 5 2 5" xfId="33086" xr:uid="{00000000-0005-0000-0000-000041810000}"/>
    <cellStyle name="Normal 2 7 3 5 2 5 2" xfId="33087" xr:uid="{00000000-0005-0000-0000-000042810000}"/>
    <cellStyle name="Normal 2 7 3 5 2 6" xfId="33088" xr:uid="{00000000-0005-0000-0000-000043810000}"/>
    <cellStyle name="Normal 2 7 3 5 2 7" xfId="33089" xr:uid="{00000000-0005-0000-0000-000044810000}"/>
    <cellStyle name="Normal 2 7 3 5 2 8" xfId="33090" xr:uid="{00000000-0005-0000-0000-000045810000}"/>
    <cellStyle name="Normal 2 7 3 5 2 9" xfId="33091" xr:uid="{00000000-0005-0000-0000-000046810000}"/>
    <cellStyle name="Normal 2 7 3 5 3" xfId="33092" xr:uid="{00000000-0005-0000-0000-000047810000}"/>
    <cellStyle name="Normal 2 7 3 5 3 2" xfId="33093" xr:uid="{00000000-0005-0000-0000-000048810000}"/>
    <cellStyle name="Normal 2 7 3 5 3 2 2" xfId="33094" xr:uid="{00000000-0005-0000-0000-000049810000}"/>
    <cellStyle name="Normal 2 7 3 5 3 2 2 2" xfId="33095" xr:uid="{00000000-0005-0000-0000-00004A810000}"/>
    <cellStyle name="Normal 2 7 3 5 3 2 2 3" xfId="33096" xr:uid="{00000000-0005-0000-0000-00004B810000}"/>
    <cellStyle name="Normal 2 7 3 5 3 2 3" xfId="33097" xr:uid="{00000000-0005-0000-0000-00004C810000}"/>
    <cellStyle name="Normal 2 7 3 5 3 2 4" xfId="33098" xr:uid="{00000000-0005-0000-0000-00004D810000}"/>
    <cellStyle name="Normal 2 7 3 5 3 2 5" xfId="33099" xr:uid="{00000000-0005-0000-0000-00004E810000}"/>
    <cellStyle name="Normal 2 7 3 5 3 2 6" xfId="33100" xr:uid="{00000000-0005-0000-0000-00004F810000}"/>
    <cellStyle name="Normal 2 7 3 5 3 3" xfId="33101" xr:uid="{00000000-0005-0000-0000-000050810000}"/>
    <cellStyle name="Normal 2 7 3 5 3 3 2" xfId="33102" xr:uid="{00000000-0005-0000-0000-000051810000}"/>
    <cellStyle name="Normal 2 7 3 5 3 3 2 2" xfId="33103" xr:uid="{00000000-0005-0000-0000-000052810000}"/>
    <cellStyle name="Normal 2 7 3 5 3 3 3" xfId="33104" xr:uid="{00000000-0005-0000-0000-000053810000}"/>
    <cellStyle name="Normal 2 7 3 5 3 3 4" xfId="33105" xr:uid="{00000000-0005-0000-0000-000054810000}"/>
    <cellStyle name="Normal 2 7 3 5 3 3 5" xfId="33106" xr:uid="{00000000-0005-0000-0000-000055810000}"/>
    <cellStyle name="Normal 2 7 3 5 3 4" xfId="33107" xr:uid="{00000000-0005-0000-0000-000056810000}"/>
    <cellStyle name="Normal 2 7 3 5 3 4 2" xfId="33108" xr:uid="{00000000-0005-0000-0000-000057810000}"/>
    <cellStyle name="Normal 2 7 3 5 3 4 3" xfId="33109" xr:uid="{00000000-0005-0000-0000-000058810000}"/>
    <cellStyle name="Normal 2 7 3 5 3 4 4" xfId="33110" xr:uid="{00000000-0005-0000-0000-000059810000}"/>
    <cellStyle name="Normal 2 7 3 5 3 5" xfId="33111" xr:uid="{00000000-0005-0000-0000-00005A810000}"/>
    <cellStyle name="Normal 2 7 3 5 3 5 2" xfId="33112" xr:uid="{00000000-0005-0000-0000-00005B810000}"/>
    <cellStyle name="Normal 2 7 3 5 3 6" xfId="33113" xr:uid="{00000000-0005-0000-0000-00005C810000}"/>
    <cellStyle name="Normal 2 7 3 5 3 7" xfId="33114" xr:uid="{00000000-0005-0000-0000-00005D810000}"/>
    <cellStyle name="Normal 2 7 3 5 3 8" xfId="33115" xr:uid="{00000000-0005-0000-0000-00005E810000}"/>
    <cellStyle name="Normal 2 7 3 5 3 9" xfId="33116" xr:uid="{00000000-0005-0000-0000-00005F810000}"/>
    <cellStyle name="Normal 2 7 3 5 4" xfId="33117" xr:uid="{00000000-0005-0000-0000-000060810000}"/>
    <cellStyle name="Normal 2 7 3 5 4 2" xfId="33118" xr:uid="{00000000-0005-0000-0000-000061810000}"/>
    <cellStyle name="Normal 2 7 3 5 4 2 2" xfId="33119" xr:uid="{00000000-0005-0000-0000-000062810000}"/>
    <cellStyle name="Normal 2 7 3 5 4 2 3" xfId="33120" xr:uid="{00000000-0005-0000-0000-000063810000}"/>
    <cellStyle name="Normal 2 7 3 5 4 3" xfId="33121" xr:uid="{00000000-0005-0000-0000-000064810000}"/>
    <cellStyle name="Normal 2 7 3 5 4 4" xfId="33122" xr:uid="{00000000-0005-0000-0000-000065810000}"/>
    <cellStyle name="Normal 2 7 3 5 4 5" xfId="33123" xr:uid="{00000000-0005-0000-0000-000066810000}"/>
    <cellStyle name="Normal 2 7 3 5 4 6" xfId="33124" xr:uid="{00000000-0005-0000-0000-000067810000}"/>
    <cellStyle name="Normal 2 7 3 5 5" xfId="33125" xr:uid="{00000000-0005-0000-0000-000068810000}"/>
    <cellStyle name="Normal 2 7 3 5 5 2" xfId="33126" xr:uid="{00000000-0005-0000-0000-000069810000}"/>
    <cellStyle name="Normal 2 7 3 5 5 2 2" xfId="33127" xr:uid="{00000000-0005-0000-0000-00006A810000}"/>
    <cellStyle name="Normal 2 7 3 5 5 3" xfId="33128" xr:uid="{00000000-0005-0000-0000-00006B810000}"/>
    <cellStyle name="Normal 2 7 3 5 5 4" xfId="33129" xr:uid="{00000000-0005-0000-0000-00006C810000}"/>
    <cellStyle name="Normal 2 7 3 5 5 5" xfId="33130" xr:uid="{00000000-0005-0000-0000-00006D810000}"/>
    <cellStyle name="Normal 2 7 3 5 6" xfId="33131" xr:uid="{00000000-0005-0000-0000-00006E810000}"/>
    <cellStyle name="Normal 2 7 3 5 6 2" xfId="33132" xr:uid="{00000000-0005-0000-0000-00006F810000}"/>
    <cellStyle name="Normal 2 7 3 5 6 3" xfId="33133" xr:uid="{00000000-0005-0000-0000-000070810000}"/>
    <cellStyle name="Normal 2 7 3 5 6 4" xfId="33134" xr:uid="{00000000-0005-0000-0000-000071810000}"/>
    <cellStyle name="Normal 2 7 3 5 7" xfId="33135" xr:uid="{00000000-0005-0000-0000-000072810000}"/>
    <cellStyle name="Normal 2 7 3 5 7 2" xfId="33136" xr:uid="{00000000-0005-0000-0000-000073810000}"/>
    <cellStyle name="Normal 2 7 3 5 8" xfId="33137" xr:uid="{00000000-0005-0000-0000-000074810000}"/>
    <cellStyle name="Normal 2 7 3 5 9" xfId="33138" xr:uid="{00000000-0005-0000-0000-000075810000}"/>
    <cellStyle name="Normal 2 7 3 6" xfId="33139" xr:uid="{00000000-0005-0000-0000-000076810000}"/>
    <cellStyle name="Normal 2 7 3 6 10" xfId="33140" xr:uid="{00000000-0005-0000-0000-000077810000}"/>
    <cellStyle name="Normal 2 7 3 6 11" xfId="33141" xr:uid="{00000000-0005-0000-0000-000078810000}"/>
    <cellStyle name="Normal 2 7 3 6 2" xfId="33142" xr:uid="{00000000-0005-0000-0000-000079810000}"/>
    <cellStyle name="Normal 2 7 3 6 2 2" xfId="33143" xr:uid="{00000000-0005-0000-0000-00007A810000}"/>
    <cellStyle name="Normal 2 7 3 6 2 2 2" xfId="33144" xr:uid="{00000000-0005-0000-0000-00007B810000}"/>
    <cellStyle name="Normal 2 7 3 6 2 2 2 2" xfId="33145" xr:uid="{00000000-0005-0000-0000-00007C810000}"/>
    <cellStyle name="Normal 2 7 3 6 2 2 2 3" xfId="33146" xr:uid="{00000000-0005-0000-0000-00007D810000}"/>
    <cellStyle name="Normal 2 7 3 6 2 2 3" xfId="33147" xr:uid="{00000000-0005-0000-0000-00007E810000}"/>
    <cellStyle name="Normal 2 7 3 6 2 2 4" xfId="33148" xr:uid="{00000000-0005-0000-0000-00007F810000}"/>
    <cellStyle name="Normal 2 7 3 6 2 2 5" xfId="33149" xr:uid="{00000000-0005-0000-0000-000080810000}"/>
    <cellStyle name="Normal 2 7 3 6 2 2 6" xfId="33150" xr:uid="{00000000-0005-0000-0000-000081810000}"/>
    <cellStyle name="Normal 2 7 3 6 2 3" xfId="33151" xr:uid="{00000000-0005-0000-0000-000082810000}"/>
    <cellStyle name="Normal 2 7 3 6 2 3 2" xfId="33152" xr:uid="{00000000-0005-0000-0000-000083810000}"/>
    <cellStyle name="Normal 2 7 3 6 2 3 2 2" xfId="33153" xr:uid="{00000000-0005-0000-0000-000084810000}"/>
    <cellStyle name="Normal 2 7 3 6 2 3 3" xfId="33154" xr:uid="{00000000-0005-0000-0000-000085810000}"/>
    <cellStyle name="Normal 2 7 3 6 2 3 4" xfId="33155" xr:uid="{00000000-0005-0000-0000-000086810000}"/>
    <cellStyle name="Normal 2 7 3 6 2 3 5" xfId="33156" xr:uid="{00000000-0005-0000-0000-000087810000}"/>
    <cellStyle name="Normal 2 7 3 6 2 4" xfId="33157" xr:uid="{00000000-0005-0000-0000-000088810000}"/>
    <cellStyle name="Normal 2 7 3 6 2 4 2" xfId="33158" xr:uid="{00000000-0005-0000-0000-000089810000}"/>
    <cellStyle name="Normal 2 7 3 6 2 4 3" xfId="33159" xr:uid="{00000000-0005-0000-0000-00008A810000}"/>
    <cellStyle name="Normal 2 7 3 6 2 4 4" xfId="33160" xr:uid="{00000000-0005-0000-0000-00008B810000}"/>
    <cellStyle name="Normal 2 7 3 6 2 5" xfId="33161" xr:uid="{00000000-0005-0000-0000-00008C810000}"/>
    <cellStyle name="Normal 2 7 3 6 2 5 2" xfId="33162" xr:uid="{00000000-0005-0000-0000-00008D810000}"/>
    <cellStyle name="Normal 2 7 3 6 2 6" xfId="33163" xr:uid="{00000000-0005-0000-0000-00008E810000}"/>
    <cellStyle name="Normal 2 7 3 6 2 7" xfId="33164" xr:uid="{00000000-0005-0000-0000-00008F810000}"/>
    <cellStyle name="Normal 2 7 3 6 2 8" xfId="33165" xr:uid="{00000000-0005-0000-0000-000090810000}"/>
    <cellStyle name="Normal 2 7 3 6 2 9" xfId="33166" xr:uid="{00000000-0005-0000-0000-000091810000}"/>
    <cellStyle name="Normal 2 7 3 6 3" xfId="33167" xr:uid="{00000000-0005-0000-0000-000092810000}"/>
    <cellStyle name="Normal 2 7 3 6 3 2" xfId="33168" xr:uid="{00000000-0005-0000-0000-000093810000}"/>
    <cellStyle name="Normal 2 7 3 6 3 2 2" xfId="33169" xr:uid="{00000000-0005-0000-0000-000094810000}"/>
    <cellStyle name="Normal 2 7 3 6 3 2 2 2" xfId="33170" xr:uid="{00000000-0005-0000-0000-000095810000}"/>
    <cellStyle name="Normal 2 7 3 6 3 2 2 3" xfId="33171" xr:uid="{00000000-0005-0000-0000-000096810000}"/>
    <cellStyle name="Normal 2 7 3 6 3 2 3" xfId="33172" xr:uid="{00000000-0005-0000-0000-000097810000}"/>
    <cellStyle name="Normal 2 7 3 6 3 2 4" xfId="33173" xr:uid="{00000000-0005-0000-0000-000098810000}"/>
    <cellStyle name="Normal 2 7 3 6 3 2 5" xfId="33174" xr:uid="{00000000-0005-0000-0000-000099810000}"/>
    <cellStyle name="Normal 2 7 3 6 3 2 6" xfId="33175" xr:uid="{00000000-0005-0000-0000-00009A810000}"/>
    <cellStyle name="Normal 2 7 3 6 3 3" xfId="33176" xr:uid="{00000000-0005-0000-0000-00009B810000}"/>
    <cellStyle name="Normal 2 7 3 6 3 3 2" xfId="33177" xr:uid="{00000000-0005-0000-0000-00009C810000}"/>
    <cellStyle name="Normal 2 7 3 6 3 3 2 2" xfId="33178" xr:uid="{00000000-0005-0000-0000-00009D810000}"/>
    <cellStyle name="Normal 2 7 3 6 3 3 3" xfId="33179" xr:uid="{00000000-0005-0000-0000-00009E810000}"/>
    <cellStyle name="Normal 2 7 3 6 3 3 4" xfId="33180" xr:uid="{00000000-0005-0000-0000-00009F810000}"/>
    <cellStyle name="Normal 2 7 3 6 3 3 5" xfId="33181" xr:uid="{00000000-0005-0000-0000-0000A0810000}"/>
    <cellStyle name="Normal 2 7 3 6 3 4" xfId="33182" xr:uid="{00000000-0005-0000-0000-0000A1810000}"/>
    <cellStyle name="Normal 2 7 3 6 3 4 2" xfId="33183" xr:uid="{00000000-0005-0000-0000-0000A2810000}"/>
    <cellStyle name="Normal 2 7 3 6 3 4 3" xfId="33184" xr:uid="{00000000-0005-0000-0000-0000A3810000}"/>
    <cellStyle name="Normal 2 7 3 6 3 4 4" xfId="33185" xr:uid="{00000000-0005-0000-0000-0000A4810000}"/>
    <cellStyle name="Normal 2 7 3 6 3 5" xfId="33186" xr:uid="{00000000-0005-0000-0000-0000A5810000}"/>
    <cellStyle name="Normal 2 7 3 6 3 5 2" xfId="33187" xr:uid="{00000000-0005-0000-0000-0000A6810000}"/>
    <cellStyle name="Normal 2 7 3 6 3 6" xfId="33188" xr:uid="{00000000-0005-0000-0000-0000A7810000}"/>
    <cellStyle name="Normal 2 7 3 6 3 7" xfId="33189" xr:uid="{00000000-0005-0000-0000-0000A8810000}"/>
    <cellStyle name="Normal 2 7 3 6 3 8" xfId="33190" xr:uid="{00000000-0005-0000-0000-0000A9810000}"/>
    <cellStyle name="Normal 2 7 3 6 3 9" xfId="33191" xr:uid="{00000000-0005-0000-0000-0000AA810000}"/>
    <cellStyle name="Normal 2 7 3 6 4" xfId="33192" xr:uid="{00000000-0005-0000-0000-0000AB810000}"/>
    <cellStyle name="Normal 2 7 3 6 4 2" xfId="33193" xr:uid="{00000000-0005-0000-0000-0000AC810000}"/>
    <cellStyle name="Normal 2 7 3 6 4 2 2" xfId="33194" xr:uid="{00000000-0005-0000-0000-0000AD810000}"/>
    <cellStyle name="Normal 2 7 3 6 4 2 3" xfId="33195" xr:uid="{00000000-0005-0000-0000-0000AE810000}"/>
    <cellStyle name="Normal 2 7 3 6 4 3" xfId="33196" xr:uid="{00000000-0005-0000-0000-0000AF810000}"/>
    <cellStyle name="Normal 2 7 3 6 4 4" xfId="33197" xr:uid="{00000000-0005-0000-0000-0000B0810000}"/>
    <cellStyle name="Normal 2 7 3 6 4 5" xfId="33198" xr:uid="{00000000-0005-0000-0000-0000B1810000}"/>
    <cellStyle name="Normal 2 7 3 6 4 6" xfId="33199" xr:uid="{00000000-0005-0000-0000-0000B2810000}"/>
    <cellStyle name="Normal 2 7 3 6 5" xfId="33200" xr:uid="{00000000-0005-0000-0000-0000B3810000}"/>
    <cellStyle name="Normal 2 7 3 6 5 2" xfId="33201" xr:uid="{00000000-0005-0000-0000-0000B4810000}"/>
    <cellStyle name="Normal 2 7 3 6 5 2 2" xfId="33202" xr:uid="{00000000-0005-0000-0000-0000B5810000}"/>
    <cellStyle name="Normal 2 7 3 6 5 3" xfId="33203" xr:uid="{00000000-0005-0000-0000-0000B6810000}"/>
    <cellStyle name="Normal 2 7 3 6 5 4" xfId="33204" xr:uid="{00000000-0005-0000-0000-0000B7810000}"/>
    <cellStyle name="Normal 2 7 3 6 5 5" xfId="33205" xr:uid="{00000000-0005-0000-0000-0000B8810000}"/>
    <cellStyle name="Normal 2 7 3 6 6" xfId="33206" xr:uid="{00000000-0005-0000-0000-0000B9810000}"/>
    <cellStyle name="Normal 2 7 3 6 6 2" xfId="33207" xr:uid="{00000000-0005-0000-0000-0000BA810000}"/>
    <cellStyle name="Normal 2 7 3 6 6 3" xfId="33208" xr:uid="{00000000-0005-0000-0000-0000BB810000}"/>
    <cellStyle name="Normal 2 7 3 6 6 4" xfId="33209" xr:uid="{00000000-0005-0000-0000-0000BC810000}"/>
    <cellStyle name="Normal 2 7 3 6 7" xfId="33210" xr:uid="{00000000-0005-0000-0000-0000BD810000}"/>
    <cellStyle name="Normal 2 7 3 6 7 2" xfId="33211" xr:uid="{00000000-0005-0000-0000-0000BE810000}"/>
    <cellStyle name="Normal 2 7 3 6 8" xfId="33212" xr:uid="{00000000-0005-0000-0000-0000BF810000}"/>
    <cellStyle name="Normal 2 7 3 6 9" xfId="33213" xr:uid="{00000000-0005-0000-0000-0000C0810000}"/>
    <cellStyle name="Normal 2 7 3 7" xfId="33214" xr:uid="{00000000-0005-0000-0000-0000C1810000}"/>
    <cellStyle name="Normal 2 7 3 7 10" xfId="33215" xr:uid="{00000000-0005-0000-0000-0000C2810000}"/>
    <cellStyle name="Normal 2 7 3 7 11" xfId="33216" xr:uid="{00000000-0005-0000-0000-0000C3810000}"/>
    <cellStyle name="Normal 2 7 3 7 2" xfId="33217" xr:uid="{00000000-0005-0000-0000-0000C4810000}"/>
    <cellStyle name="Normal 2 7 3 7 2 2" xfId="33218" xr:uid="{00000000-0005-0000-0000-0000C5810000}"/>
    <cellStyle name="Normal 2 7 3 7 2 2 2" xfId="33219" xr:uid="{00000000-0005-0000-0000-0000C6810000}"/>
    <cellStyle name="Normal 2 7 3 7 2 2 2 2" xfId="33220" xr:uid="{00000000-0005-0000-0000-0000C7810000}"/>
    <cellStyle name="Normal 2 7 3 7 2 2 2 3" xfId="33221" xr:uid="{00000000-0005-0000-0000-0000C8810000}"/>
    <cellStyle name="Normal 2 7 3 7 2 2 3" xfId="33222" xr:uid="{00000000-0005-0000-0000-0000C9810000}"/>
    <cellStyle name="Normal 2 7 3 7 2 2 4" xfId="33223" xr:uid="{00000000-0005-0000-0000-0000CA810000}"/>
    <cellStyle name="Normal 2 7 3 7 2 2 5" xfId="33224" xr:uid="{00000000-0005-0000-0000-0000CB810000}"/>
    <cellStyle name="Normal 2 7 3 7 2 2 6" xfId="33225" xr:uid="{00000000-0005-0000-0000-0000CC810000}"/>
    <cellStyle name="Normal 2 7 3 7 2 3" xfId="33226" xr:uid="{00000000-0005-0000-0000-0000CD810000}"/>
    <cellStyle name="Normal 2 7 3 7 2 3 2" xfId="33227" xr:uid="{00000000-0005-0000-0000-0000CE810000}"/>
    <cellStyle name="Normal 2 7 3 7 2 3 2 2" xfId="33228" xr:uid="{00000000-0005-0000-0000-0000CF810000}"/>
    <cellStyle name="Normal 2 7 3 7 2 3 3" xfId="33229" xr:uid="{00000000-0005-0000-0000-0000D0810000}"/>
    <cellStyle name="Normal 2 7 3 7 2 3 4" xfId="33230" xr:uid="{00000000-0005-0000-0000-0000D1810000}"/>
    <cellStyle name="Normal 2 7 3 7 2 3 5" xfId="33231" xr:uid="{00000000-0005-0000-0000-0000D2810000}"/>
    <cellStyle name="Normal 2 7 3 7 2 4" xfId="33232" xr:uid="{00000000-0005-0000-0000-0000D3810000}"/>
    <cellStyle name="Normal 2 7 3 7 2 4 2" xfId="33233" xr:uid="{00000000-0005-0000-0000-0000D4810000}"/>
    <cellStyle name="Normal 2 7 3 7 2 4 3" xfId="33234" xr:uid="{00000000-0005-0000-0000-0000D5810000}"/>
    <cellStyle name="Normal 2 7 3 7 2 4 4" xfId="33235" xr:uid="{00000000-0005-0000-0000-0000D6810000}"/>
    <cellStyle name="Normal 2 7 3 7 2 5" xfId="33236" xr:uid="{00000000-0005-0000-0000-0000D7810000}"/>
    <cellStyle name="Normal 2 7 3 7 2 5 2" xfId="33237" xr:uid="{00000000-0005-0000-0000-0000D8810000}"/>
    <cellStyle name="Normal 2 7 3 7 2 6" xfId="33238" xr:uid="{00000000-0005-0000-0000-0000D9810000}"/>
    <cellStyle name="Normal 2 7 3 7 2 7" xfId="33239" xr:uid="{00000000-0005-0000-0000-0000DA810000}"/>
    <cellStyle name="Normal 2 7 3 7 2 8" xfId="33240" xr:uid="{00000000-0005-0000-0000-0000DB810000}"/>
    <cellStyle name="Normal 2 7 3 7 2 9" xfId="33241" xr:uid="{00000000-0005-0000-0000-0000DC810000}"/>
    <cellStyle name="Normal 2 7 3 7 3" xfId="33242" xr:uid="{00000000-0005-0000-0000-0000DD810000}"/>
    <cellStyle name="Normal 2 7 3 7 3 2" xfId="33243" xr:uid="{00000000-0005-0000-0000-0000DE810000}"/>
    <cellStyle name="Normal 2 7 3 7 3 2 2" xfId="33244" xr:uid="{00000000-0005-0000-0000-0000DF810000}"/>
    <cellStyle name="Normal 2 7 3 7 3 2 2 2" xfId="33245" xr:uid="{00000000-0005-0000-0000-0000E0810000}"/>
    <cellStyle name="Normal 2 7 3 7 3 2 2 3" xfId="33246" xr:uid="{00000000-0005-0000-0000-0000E1810000}"/>
    <cellStyle name="Normal 2 7 3 7 3 2 3" xfId="33247" xr:uid="{00000000-0005-0000-0000-0000E2810000}"/>
    <cellStyle name="Normal 2 7 3 7 3 2 4" xfId="33248" xr:uid="{00000000-0005-0000-0000-0000E3810000}"/>
    <cellStyle name="Normal 2 7 3 7 3 2 5" xfId="33249" xr:uid="{00000000-0005-0000-0000-0000E4810000}"/>
    <cellStyle name="Normal 2 7 3 7 3 2 6" xfId="33250" xr:uid="{00000000-0005-0000-0000-0000E5810000}"/>
    <cellStyle name="Normal 2 7 3 7 3 3" xfId="33251" xr:uid="{00000000-0005-0000-0000-0000E6810000}"/>
    <cellStyle name="Normal 2 7 3 7 3 3 2" xfId="33252" xr:uid="{00000000-0005-0000-0000-0000E7810000}"/>
    <cellStyle name="Normal 2 7 3 7 3 3 2 2" xfId="33253" xr:uid="{00000000-0005-0000-0000-0000E8810000}"/>
    <cellStyle name="Normal 2 7 3 7 3 3 3" xfId="33254" xr:uid="{00000000-0005-0000-0000-0000E9810000}"/>
    <cellStyle name="Normal 2 7 3 7 3 3 4" xfId="33255" xr:uid="{00000000-0005-0000-0000-0000EA810000}"/>
    <cellStyle name="Normal 2 7 3 7 3 3 5" xfId="33256" xr:uid="{00000000-0005-0000-0000-0000EB810000}"/>
    <cellStyle name="Normal 2 7 3 7 3 4" xfId="33257" xr:uid="{00000000-0005-0000-0000-0000EC810000}"/>
    <cellStyle name="Normal 2 7 3 7 3 4 2" xfId="33258" xr:uid="{00000000-0005-0000-0000-0000ED810000}"/>
    <cellStyle name="Normal 2 7 3 7 3 4 3" xfId="33259" xr:uid="{00000000-0005-0000-0000-0000EE810000}"/>
    <cellStyle name="Normal 2 7 3 7 3 4 4" xfId="33260" xr:uid="{00000000-0005-0000-0000-0000EF810000}"/>
    <cellStyle name="Normal 2 7 3 7 3 5" xfId="33261" xr:uid="{00000000-0005-0000-0000-0000F0810000}"/>
    <cellStyle name="Normal 2 7 3 7 3 5 2" xfId="33262" xr:uid="{00000000-0005-0000-0000-0000F1810000}"/>
    <cellStyle name="Normal 2 7 3 7 3 6" xfId="33263" xr:uid="{00000000-0005-0000-0000-0000F2810000}"/>
    <cellStyle name="Normal 2 7 3 7 3 7" xfId="33264" xr:uid="{00000000-0005-0000-0000-0000F3810000}"/>
    <cellStyle name="Normal 2 7 3 7 3 8" xfId="33265" xr:uid="{00000000-0005-0000-0000-0000F4810000}"/>
    <cellStyle name="Normal 2 7 3 7 3 9" xfId="33266" xr:uid="{00000000-0005-0000-0000-0000F5810000}"/>
    <cellStyle name="Normal 2 7 3 7 4" xfId="33267" xr:uid="{00000000-0005-0000-0000-0000F6810000}"/>
    <cellStyle name="Normal 2 7 3 7 4 2" xfId="33268" xr:uid="{00000000-0005-0000-0000-0000F7810000}"/>
    <cellStyle name="Normal 2 7 3 7 4 2 2" xfId="33269" xr:uid="{00000000-0005-0000-0000-0000F8810000}"/>
    <cellStyle name="Normal 2 7 3 7 4 2 3" xfId="33270" xr:uid="{00000000-0005-0000-0000-0000F9810000}"/>
    <cellStyle name="Normal 2 7 3 7 4 3" xfId="33271" xr:uid="{00000000-0005-0000-0000-0000FA810000}"/>
    <cellStyle name="Normal 2 7 3 7 4 4" xfId="33272" xr:uid="{00000000-0005-0000-0000-0000FB810000}"/>
    <cellStyle name="Normal 2 7 3 7 4 5" xfId="33273" xr:uid="{00000000-0005-0000-0000-0000FC810000}"/>
    <cellStyle name="Normal 2 7 3 7 4 6" xfId="33274" xr:uid="{00000000-0005-0000-0000-0000FD810000}"/>
    <cellStyle name="Normal 2 7 3 7 5" xfId="33275" xr:uid="{00000000-0005-0000-0000-0000FE810000}"/>
    <cellStyle name="Normal 2 7 3 7 5 2" xfId="33276" xr:uid="{00000000-0005-0000-0000-0000FF810000}"/>
    <cellStyle name="Normal 2 7 3 7 5 2 2" xfId="33277" xr:uid="{00000000-0005-0000-0000-000000820000}"/>
    <cellStyle name="Normal 2 7 3 7 5 3" xfId="33278" xr:uid="{00000000-0005-0000-0000-000001820000}"/>
    <cellStyle name="Normal 2 7 3 7 5 4" xfId="33279" xr:uid="{00000000-0005-0000-0000-000002820000}"/>
    <cellStyle name="Normal 2 7 3 7 5 5" xfId="33280" xr:uid="{00000000-0005-0000-0000-000003820000}"/>
    <cellStyle name="Normal 2 7 3 7 6" xfId="33281" xr:uid="{00000000-0005-0000-0000-000004820000}"/>
    <cellStyle name="Normal 2 7 3 7 6 2" xfId="33282" xr:uid="{00000000-0005-0000-0000-000005820000}"/>
    <cellStyle name="Normal 2 7 3 7 6 3" xfId="33283" xr:uid="{00000000-0005-0000-0000-000006820000}"/>
    <cellStyle name="Normal 2 7 3 7 6 4" xfId="33284" xr:uid="{00000000-0005-0000-0000-000007820000}"/>
    <cellStyle name="Normal 2 7 3 7 7" xfId="33285" xr:uid="{00000000-0005-0000-0000-000008820000}"/>
    <cellStyle name="Normal 2 7 3 7 7 2" xfId="33286" xr:uid="{00000000-0005-0000-0000-000009820000}"/>
    <cellStyle name="Normal 2 7 3 7 8" xfId="33287" xr:uid="{00000000-0005-0000-0000-00000A820000}"/>
    <cellStyle name="Normal 2 7 3 7 9" xfId="33288" xr:uid="{00000000-0005-0000-0000-00000B820000}"/>
    <cellStyle name="Normal 2 7 3 8" xfId="33289" xr:uid="{00000000-0005-0000-0000-00000C820000}"/>
    <cellStyle name="Normal 2 7 3 8 10" xfId="33290" xr:uid="{00000000-0005-0000-0000-00000D820000}"/>
    <cellStyle name="Normal 2 7 3 8 2" xfId="33291" xr:uid="{00000000-0005-0000-0000-00000E820000}"/>
    <cellStyle name="Normal 2 7 3 8 2 2" xfId="33292" xr:uid="{00000000-0005-0000-0000-00000F820000}"/>
    <cellStyle name="Normal 2 7 3 8 2 2 2" xfId="33293" xr:uid="{00000000-0005-0000-0000-000010820000}"/>
    <cellStyle name="Normal 2 7 3 8 2 2 3" xfId="33294" xr:uid="{00000000-0005-0000-0000-000011820000}"/>
    <cellStyle name="Normal 2 7 3 8 2 3" xfId="33295" xr:uid="{00000000-0005-0000-0000-000012820000}"/>
    <cellStyle name="Normal 2 7 3 8 2 4" xfId="33296" xr:uid="{00000000-0005-0000-0000-000013820000}"/>
    <cellStyle name="Normal 2 7 3 8 2 5" xfId="33297" xr:uid="{00000000-0005-0000-0000-000014820000}"/>
    <cellStyle name="Normal 2 7 3 8 2 6" xfId="33298" xr:uid="{00000000-0005-0000-0000-000015820000}"/>
    <cellStyle name="Normal 2 7 3 8 3" xfId="33299" xr:uid="{00000000-0005-0000-0000-000016820000}"/>
    <cellStyle name="Normal 2 7 3 8 3 2" xfId="33300" xr:uid="{00000000-0005-0000-0000-000017820000}"/>
    <cellStyle name="Normal 2 7 3 8 3 2 2" xfId="33301" xr:uid="{00000000-0005-0000-0000-000018820000}"/>
    <cellStyle name="Normal 2 7 3 8 3 2 3" xfId="33302" xr:uid="{00000000-0005-0000-0000-000019820000}"/>
    <cellStyle name="Normal 2 7 3 8 3 3" xfId="33303" xr:uid="{00000000-0005-0000-0000-00001A820000}"/>
    <cellStyle name="Normal 2 7 3 8 3 4" xfId="33304" xr:uid="{00000000-0005-0000-0000-00001B820000}"/>
    <cellStyle name="Normal 2 7 3 8 3 5" xfId="33305" xr:uid="{00000000-0005-0000-0000-00001C820000}"/>
    <cellStyle name="Normal 2 7 3 8 3 6" xfId="33306" xr:uid="{00000000-0005-0000-0000-00001D820000}"/>
    <cellStyle name="Normal 2 7 3 8 4" xfId="33307" xr:uid="{00000000-0005-0000-0000-00001E820000}"/>
    <cellStyle name="Normal 2 7 3 8 4 2" xfId="33308" xr:uid="{00000000-0005-0000-0000-00001F820000}"/>
    <cellStyle name="Normal 2 7 3 8 4 2 2" xfId="33309" xr:uid="{00000000-0005-0000-0000-000020820000}"/>
    <cellStyle name="Normal 2 7 3 8 4 3" xfId="33310" xr:uid="{00000000-0005-0000-0000-000021820000}"/>
    <cellStyle name="Normal 2 7 3 8 4 4" xfId="33311" xr:uid="{00000000-0005-0000-0000-000022820000}"/>
    <cellStyle name="Normal 2 7 3 8 4 5" xfId="33312" xr:uid="{00000000-0005-0000-0000-000023820000}"/>
    <cellStyle name="Normal 2 7 3 8 5" xfId="33313" xr:uid="{00000000-0005-0000-0000-000024820000}"/>
    <cellStyle name="Normal 2 7 3 8 5 2" xfId="33314" xr:uid="{00000000-0005-0000-0000-000025820000}"/>
    <cellStyle name="Normal 2 7 3 8 5 3" xfId="33315" xr:uid="{00000000-0005-0000-0000-000026820000}"/>
    <cellStyle name="Normal 2 7 3 8 5 4" xfId="33316" xr:uid="{00000000-0005-0000-0000-000027820000}"/>
    <cellStyle name="Normal 2 7 3 8 6" xfId="33317" xr:uid="{00000000-0005-0000-0000-000028820000}"/>
    <cellStyle name="Normal 2 7 3 8 6 2" xfId="33318" xr:uid="{00000000-0005-0000-0000-000029820000}"/>
    <cellStyle name="Normal 2 7 3 8 7" xfId="33319" xr:uid="{00000000-0005-0000-0000-00002A820000}"/>
    <cellStyle name="Normal 2 7 3 8 8" xfId="33320" xr:uid="{00000000-0005-0000-0000-00002B820000}"/>
    <cellStyle name="Normal 2 7 3 8 9" xfId="33321" xr:uid="{00000000-0005-0000-0000-00002C820000}"/>
    <cellStyle name="Normal 2 7 3 9" xfId="33322" xr:uid="{00000000-0005-0000-0000-00002D820000}"/>
    <cellStyle name="Normal 2 7 3 9 10" xfId="33323" xr:uid="{00000000-0005-0000-0000-00002E820000}"/>
    <cellStyle name="Normal 2 7 3 9 2" xfId="33324" xr:uid="{00000000-0005-0000-0000-00002F820000}"/>
    <cellStyle name="Normal 2 7 3 9 2 2" xfId="33325" xr:uid="{00000000-0005-0000-0000-000030820000}"/>
    <cellStyle name="Normal 2 7 3 9 2 2 2" xfId="33326" xr:uid="{00000000-0005-0000-0000-000031820000}"/>
    <cellStyle name="Normal 2 7 3 9 2 2 3" xfId="33327" xr:uid="{00000000-0005-0000-0000-000032820000}"/>
    <cellStyle name="Normal 2 7 3 9 2 3" xfId="33328" xr:uid="{00000000-0005-0000-0000-000033820000}"/>
    <cellStyle name="Normal 2 7 3 9 2 4" xfId="33329" xr:uid="{00000000-0005-0000-0000-000034820000}"/>
    <cellStyle name="Normal 2 7 3 9 2 5" xfId="33330" xr:uid="{00000000-0005-0000-0000-000035820000}"/>
    <cellStyle name="Normal 2 7 3 9 2 6" xfId="33331" xr:uid="{00000000-0005-0000-0000-000036820000}"/>
    <cellStyle name="Normal 2 7 3 9 3" xfId="33332" xr:uid="{00000000-0005-0000-0000-000037820000}"/>
    <cellStyle name="Normal 2 7 3 9 3 2" xfId="33333" xr:uid="{00000000-0005-0000-0000-000038820000}"/>
    <cellStyle name="Normal 2 7 3 9 3 2 2" xfId="33334" xr:uid="{00000000-0005-0000-0000-000039820000}"/>
    <cellStyle name="Normal 2 7 3 9 3 2 3" xfId="33335" xr:uid="{00000000-0005-0000-0000-00003A820000}"/>
    <cellStyle name="Normal 2 7 3 9 3 3" xfId="33336" xr:uid="{00000000-0005-0000-0000-00003B820000}"/>
    <cellStyle name="Normal 2 7 3 9 3 4" xfId="33337" xr:uid="{00000000-0005-0000-0000-00003C820000}"/>
    <cellStyle name="Normal 2 7 3 9 3 5" xfId="33338" xr:uid="{00000000-0005-0000-0000-00003D820000}"/>
    <cellStyle name="Normal 2 7 3 9 3 6" xfId="33339" xr:uid="{00000000-0005-0000-0000-00003E820000}"/>
    <cellStyle name="Normal 2 7 3 9 4" xfId="33340" xr:uid="{00000000-0005-0000-0000-00003F820000}"/>
    <cellStyle name="Normal 2 7 3 9 4 2" xfId="33341" xr:uid="{00000000-0005-0000-0000-000040820000}"/>
    <cellStyle name="Normal 2 7 3 9 4 2 2" xfId="33342" xr:uid="{00000000-0005-0000-0000-000041820000}"/>
    <cellStyle name="Normal 2 7 3 9 4 3" xfId="33343" xr:uid="{00000000-0005-0000-0000-000042820000}"/>
    <cellStyle name="Normal 2 7 3 9 4 4" xfId="33344" xr:uid="{00000000-0005-0000-0000-000043820000}"/>
    <cellStyle name="Normal 2 7 3 9 4 5" xfId="33345" xr:uid="{00000000-0005-0000-0000-000044820000}"/>
    <cellStyle name="Normal 2 7 3 9 5" xfId="33346" xr:uid="{00000000-0005-0000-0000-000045820000}"/>
    <cellStyle name="Normal 2 7 3 9 5 2" xfId="33347" xr:uid="{00000000-0005-0000-0000-000046820000}"/>
    <cellStyle name="Normal 2 7 3 9 5 3" xfId="33348" xr:uid="{00000000-0005-0000-0000-000047820000}"/>
    <cellStyle name="Normal 2 7 3 9 5 4" xfId="33349" xr:uid="{00000000-0005-0000-0000-000048820000}"/>
    <cellStyle name="Normal 2 7 3 9 6" xfId="33350" xr:uid="{00000000-0005-0000-0000-000049820000}"/>
    <cellStyle name="Normal 2 7 3 9 6 2" xfId="33351" xr:uid="{00000000-0005-0000-0000-00004A820000}"/>
    <cellStyle name="Normal 2 7 3 9 7" xfId="33352" xr:uid="{00000000-0005-0000-0000-00004B820000}"/>
    <cellStyle name="Normal 2 7 3 9 8" xfId="33353" xr:uid="{00000000-0005-0000-0000-00004C820000}"/>
    <cellStyle name="Normal 2 7 3 9 9" xfId="33354" xr:uid="{00000000-0005-0000-0000-00004D820000}"/>
    <cellStyle name="Normal 2 7 30" xfId="33355" xr:uid="{00000000-0005-0000-0000-00004E820000}"/>
    <cellStyle name="Normal 2 7 30 2" xfId="33356" xr:uid="{00000000-0005-0000-0000-00004F820000}"/>
    <cellStyle name="Normal 2 7 30 2 2" xfId="33357" xr:uid="{00000000-0005-0000-0000-000050820000}"/>
    <cellStyle name="Normal 2 7 30 2 2 2" xfId="33358" xr:uid="{00000000-0005-0000-0000-000051820000}"/>
    <cellStyle name="Normal 2 7 30 2 2 3" xfId="33359" xr:uid="{00000000-0005-0000-0000-000052820000}"/>
    <cellStyle name="Normal 2 7 30 2 3" xfId="33360" xr:uid="{00000000-0005-0000-0000-000053820000}"/>
    <cellStyle name="Normal 2 7 30 2 4" xfId="33361" xr:uid="{00000000-0005-0000-0000-000054820000}"/>
    <cellStyle name="Normal 2 7 30 2 5" xfId="33362" xr:uid="{00000000-0005-0000-0000-000055820000}"/>
    <cellStyle name="Normal 2 7 30 2 6" xfId="33363" xr:uid="{00000000-0005-0000-0000-000056820000}"/>
    <cellStyle name="Normal 2 7 30 3" xfId="33364" xr:uid="{00000000-0005-0000-0000-000057820000}"/>
    <cellStyle name="Normal 2 7 30 3 2" xfId="33365" xr:uid="{00000000-0005-0000-0000-000058820000}"/>
    <cellStyle name="Normal 2 7 30 3 2 2" xfId="33366" xr:uid="{00000000-0005-0000-0000-000059820000}"/>
    <cellStyle name="Normal 2 7 30 3 3" xfId="33367" xr:uid="{00000000-0005-0000-0000-00005A820000}"/>
    <cellStyle name="Normal 2 7 30 3 4" xfId="33368" xr:uid="{00000000-0005-0000-0000-00005B820000}"/>
    <cellStyle name="Normal 2 7 30 3 5" xfId="33369" xr:uid="{00000000-0005-0000-0000-00005C820000}"/>
    <cellStyle name="Normal 2 7 30 4" xfId="33370" xr:uid="{00000000-0005-0000-0000-00005D820000}"/>
    <cellStyle name="Normal 2 7 30 4 2" xfId="33371" xr:uid="{00000000-0005-0000-0000-00005E820000}"/>
    <cellStyle name="Normal 2 7 30 4 3" xfId="33372" xr:uid="{00000000-0005-0000-0000-00005F820000}"/>
    <cellStyle name="Normal 2 7 30 4 4" xfId="33373" xr:uid="{00000000-0005-0000-0000-000060820000}"/>
    <cellStyle name="Normal 2 7 30 5" xfId="33374" xr:uid="{00000000-0005-0000-0000-000061820000}"/>
    <cellStyle name="Normal 2 7 30 5 2" xfId="33375" xr:uid="{00000000-0005-0000-0000-000062820000}"/>
    <cellStyle name="Normal 2 7 30 6" xfId="33376" xr:uid="{00000000-0005-0000-0000-000063820000}"/>
    <cellStyle name="Normal 2 7 30 7" xfId="33377" xr:uid="{00000000-0005-0000-0000-000064820000}"/>
    <cellStyle name="Normal 2 7 30 8" xfId="33378" xr:uid="{00000000-0005-0000-0000-000065820000}"/>
    <cellStyle name="Normal 2 7 30 9" xfId="33379" xr:uid="{00000000-0005-0000-0000-000066820000}"/>
    <cellStyle name="Normal 2 7 31" xfId="33380" xr:uid="{00000000-0005-0000-0000-000067820000}"/>
    <cellStyle name="Normal 2 7 31 2" xfId="33381" xr:uid="{00000000-0005-0000-0000-000068820000}"/>
    <cellStyle name="Normal 2 7 31 2 2" xfId="33382" xr:uid="{00000000-0005-0000-0000-000069820000}"/>
    <cellStyle name="Normal 2 7 31 2 2 2" xfId="33383" xr:uid="{00000000-0005-0000-0000-00006A820000}"/>
    <cellStyle name="Normal 2 7 31 2 2 3" xfId="33384" xr:uid="{00000000-0005-0000-0000-00006B820000}"/>
    <cellStyle name="Normal 2 7 31 2 3" xfId="33385" xr:uid="{00000000-0005-0000-0000-00006C820000}"/>
    <cellStyle name="Normal 2 7 31 2 4" xfId="33386" xr:uid="{00000000-0005-0000-0000-00006D820000}"/>
    <cellStyle name="Normal 2 7 31 2 5" xfId="33387" xr:uid="{00000000-0005-0000-0000-00006E820000}"/>
    <cellStyle name="Normal 2 7 31 2 6" xfId="33388" xr:uid="{00000000-0005-0000-0000-00006F820000}"/>
    <cellStyle name="Normal 2 7 31 3" xfId="33389" xr:uid="{00000000-0005-0000-0000-000070820000}"/>
    <cellStyle name="Normal 2 7 31 3 2" xfId="33390" xr:uid="{00000000-0005-0000-0000-000071820000}"/>
    <cellStyle name="Normal 2 7 31 3 2 2" xfId="33391" xr:uid="{00000000-0005-0000-0000-000072820000}"/>
    <cellStyle name="Normal 2 7 31 3 3" xfId="33392" xr:uid="{00000000-0005-0000-0000-000073820000}"/>
    <cellStyle name="Normal 2 7 31 3 4" xfId="33393" xr:uid="{00000000-0005-0000-0000-000074820000}"/>
    <cellStyle name="Normal 2 7 31 3 5" xfId="33394" xr:uid="{00000000-0005-0000-0000-000075820000}"/>
    <cellStyle name="Normal 2 7 31 4" xfId="33395" xr:uid="{00000000-0005-0000-0000-000076820000}"/>
    <cellStyle name="Normal 2 7 31 4 2" xfId="33396" xr:uid="{00000000-0005-0000-0000-000077820000}"/>
    <cellStyle name="Normal 2 7 31 4 3" xfId="33397" xr:uid="{00000000-0005-0000-0000-000078820000}"/>
    <cellStyle name="Normal 2 7 31 4 4" xfId="33398" xr:uid="{00000000-0005-0000-0000-000079820000}"/>
    <cellStyle name="Normal 2 7 31 5" xfId="33399" xr:uid="{00000000-0005-0000-0000-00007A820000}"/>
    <cellStyle name="Normal 2 7 31 5 2" xfId="33400" xr:uid="{00000000-0005-0000-0000-00007B820000}"/>
    <cellStyle name="Normal 2 7 31 6" xfId="33401" xr:uid="{00000000-0005-0000-0000-00007C820000}"/>
    <cellStyle name="Normal 2 7 31 7" xfId="33402" xr:uid="{00000000-0005-0000-0000-00007D820000}"/>
    <cellStyle name="Normal 2 7 31 8" xfId="33403" xr:uid="{00000000-0005-0000-0000-00007E820000}"/>
    <cellStyle name="Normal 2 7 31 9" xfId="33404" xr:uid="{00000000-0005-0000-0000-00007F820000}"/>
    <cellStyle name="Normal 2 7 32" xfId="33405" xr:uid="{00000000-0005-0000-0000-000080820000}"/>
    <cellStyle name="Normal 2 7 32 2" xfId="33406" xr:uid="{00000000-0005-0000-0000-000081820000}"/>
    <cellStyle name="Normal 2 7 32 2 2" xfId="33407" xr:uid="{00000000-0005-0000-0000-000082820000}"/>
    <cellStyle name="Normal 2 7 32 2 3" xfId="33408" xr:uid="{00000000-0005-0000-0000-000083820000}"/>
    <cellStyle name="Normal 2 7 32 3" xfId="33409" xr:uid="{00000000-0005-0000-0000-000084820000}"/>
    <cellStyle name="Normal 2 7 32 4" xfId="33410" xr:uid="{00000000-0005-0000-0000-000085820000}"/>
    <cellStyle name="Normal 2 7 32 5" xfId="33411" xr:uid="{00000000-0005-0000-0000-000086820000}"/>
    <cellStyle name="Normal 2 7 32 6" xfId="33412" xr:uid="{00000000-0005-0000-0000-000087820000}"/>
    <cellStyle name="Normal 2 7 33" xfId="33413" xr:uid="{00000000-0005-0000-0000-000088820000}"/>
    <cellStyle name="Normal 2 7 33 2" xfId="33414" xr:uid="{00000000-0005-0000-0000-000089820000}"/>
    <cellStyle name="Normal 2 7 33 2 2" xfId="33415" xr:uid="{00000000-0005-0000-0000-00008A820000}"/>
    <cellStyle name="Normal 2 7 33 3" xfId="33416" xr:uid="{00000000-0005-0000-0000-00008B820000}"/>
    <cellStyle name="Normal 2 7 33 4" xfId="33417" xr:uid="{00000000-0005-0000-0000-00008C820000}"/>
    <cellStyle name="Normal 2 7 33 5" xfId="33418" xr:uid="{00000000-0005-0000-0000-00008D820000}"/>
    <cellStyle name="Normal 2 7 34" xfId="33419" xr:uid="{00000000-0005-0000-0000-00008E820000}"/>
    <cellStyle name="Normal 2 7 34 2" xfId="33420" xr:uid="{00000000-0005-0000-0000-00008F820000}"/>
    <cellStyle name="Normal 2 7 34 2 2" xfId="33421" xr:uid="{00000000-0005-0000-0000-000090820000}"/>
    <cellStyle name="Normal 2 7 34 3" xfId="33422" xr:uid="{00000000-0005-0000-0000-000091820000}"/>
    <cellStyle name="Normal 2 7 34 4" xfId="33423" xr:uid="{00000000-0005-0000-0000-000092820000}"/>
    <cellStyle name="Normal 2 7 34 5" xfId="33424" xr:uid="{00000000-0005-0000-0000-000093820000}"/>
    <cellStyle name="Normal 2 7 35" xfId="33425" xr:uid="{00000000-0005-0000-0000-000094820000}"/>
    <cellStyle name="Normal 2 7 35 2" xfId="33426" xr:uid="{00000000-0005-0000-0000-000095820000}"/>
    <cellStyle name="Normal 2 7 36" xfId="33427" xr:uid="{00000000-0005-0000-0000-000096820000}"/>
    <cellStyle name="Normal 2 7 37" xfId="33428" xr:uid="{00000000-0005-0000-0000-000097820000}"/>
    <cellStyle name="Normal 2 7 38" xfId="33429" xr:uid="{00000000-0005-0000-0000-000098820000}"/>
    <cellStyle name="Normal 2 7 39" xfId="33430" xr:uid="{00000000-0005-0000-0000-000099820000}"/>
    <cellStyle name="Normal 2 7 4" xfId="33431" xr:uid="{00000000-0005-0000-0000-00009A820000}"/>
    <cellStyle name="Normal 2 7 4 10" xfId="33432" xr:uid="{00000000-0005-0000-0000-00009B820000}"/>
    <cellStyle name="Normal 2 7 4 10 10" xfId="33433" xr:uid="{00000000-0005-0000-0000-00009C820000}"/>
    <cellStyle name="Normal 2 7 4 10 2" xfId="33434" xr:uid="{00000000-0005-0000-0000-00009D820000}"/>
    <cellStyle name="Normal 2 7 4 10 2 2" xfId="33435" xr:uid="{00000000-0005-0000-0000-00009E820000}"/>
    <cellStyle name="Normal 2 7 4 10 2 2 2" xfId="33436" xr:uid="{00000000-0005-0000-0000-00009F820000}"/>
    <cellStyle name="Normal 2 7 4 10 2 2 3" xfId="33437" xr:uid="{00000000-0005-0000-0000-0000A0820000}"/>
    <cellStyle name="Normal 2 7 4 10 2 3" xfId="33438" xr:uid="{00000000-0005-0000-0000-0000A1820000}"/>
    <cellStyle name="Normal 2 7 4 10 2 4" xfId="33439" xr:uid="{00000000-0005-0000-0000-0000A2820000}"/>
    <cellStyle name="Normal 2 7 4 10 2 5" xfId="33440" xr:uid="{00000000-0005-0000-0000-0000A3820000}"/>
    <cellStyle name="Normal 2 7 4 10 2 6" xfId="33441" xr:uid="{00000000-0005-0000-0000-0000A4820000}"/>
    <cellStyle name="Normal 2 7 4 10 3" xfId="33442" xr:uid="{00000000-0005-0000-0000-0000A5820000}"/>
    <cellStyle name="Normal 2 7 4 10 3 2" xfId="33443" xr:uid="{00000000-0005-0000-0000-0000A6820000}"/>
    <cellStyle name="Normal 2 7 4 10 3 2 2" xfId="33444" xr:uid="{00000000-0005-0000-0000-0000A7820000}"/>
    <cellStyle name="Normal 2 7 4 10 3 2 3" xfId="33445" xr:uid="{00000000-0005-0000-0000-0000A8820000}"/>
    <cellStyle name="Normal 2 7 4 10 3 3" xfId="33446" xr:uid="{00000000-0005-0000-0000-0000A9820000}"/>
    <cellStyle name="Normal 2 7 4 10 3 4" xfId="33447" xr:uid="{00000000-0005-0000-0000-0000AA820000}"/>
    <cellStyle name="Normal 2 7 4 10 3 5" xfId="33448" xr:uid="{00000000-0005-0000-0000-0000AB820000}"/>
    <cellStyle name="Normal 2 7 4 10 3 6" xfId="33449" xr:uid="{00000000-0005-0000-0000-0000AC820000}"/>
    <cellStyle name="Normal 2 7 4 10 4" xfId="33450" xr:uid="{00000000-0005-0000-0000-0000AD820000}"/>
    <cellStyle name="Normal 2 7 4 10 4 2" xfId="33451" xr:uid="{00000000-0005-0000-0000-0000AE820000}"/>
    <cellStyle name="Normal 2 7 4 10 4 2 2" xfId="33452" xr:uid="{00000000-0005-0000-0000-0000AF820000}"/>
    <cellStyle name="Normal 2 7 4 10 4 3" xfId="33453" xr:uid="{00000000-0005-0000-0000-0000B0820000}"/>
    <cellStyle name="Normal 2 7 4 10 4 4" xfId="33454" xr:uid="{00000000-0005-0000-0000-0000B1820000}"/>
    <cellStyle name="Normal 2 7 4 10 4 5" xfId="33455" xr:uid="{00000000-0005-0000-0000-0000B2820000}"/>
    <cellStyle name="Normal 2 7 4 10 5" xfId="33456" xr:uid="{00000000-0005-0000-0000-0000B3820000}"/>
    <cellStyle name="Normal 2 7 4 10 5 2" xfId="33457" xr:uid="{00000000-0005-0000-0000-0000B4820000}"/>
    <cellStyle name="Normal 2 7 4 10 5 3" xfId="33458" xr:uid="{00000000-0005-0000-0000-0000B5820000}"/>
    <cellStyle name="Normal 2 7 4 10 5 4" xfId="33459" xr:uid="{00000000-0005-0000-0000-0000B6820000}"/>
    <cellStyle name="Normal 2 7 4 10 6" xfId="33460" xr:uid="{00000000-0005-0000-0000-0000B7820000}"/>
    <cellStyle name="Normal 2 7 4 10 6 2" xfId="33461" xr:uid="{00000000-0005-0000-0000-0000B8820000}"/>
    <cellStyle name="Normal 2 7 4 10 7" xfId="33462" xr:uid="{00000000-0005-0000-0000-0000B9820000}"/>
    <cellStyle name="Normal 2 7 4 10 8" xfId="33463" xr:uid="{00000000-0005-0000-0000-0000BA820000}"/>
    <cellStyle name="Normal 2 7 4 10 9" xfId="33464" xr:uid="{00000000-0005-0000-0000-0000BB820000}"/>
    <cellStyle name="Normal 2 7 4 11" xfId="33465" xr:uid="{00000000-0005-0000-0000-0000BC820000}"/>
    <cellStyle name="Normal 2 7 4 11 10" xfId="33466" xr:uid="{00000000-0005-0000-0000-0000BD820000}"/>
    <cellStyle name="Normal 2 7 4 11 2" xfId="33467" xr:uid="{00000000-0005-0000-0000-0000BE820000}"/>
    <cellStyle name="Normal 2 7 4 11 2 2" xfId="33468" xr:uid="{00000000-0005-0000-0000-0000BF820000}"/>
    <cellStyle name="Normal 2 7 4 11 2 2 2" xfId="33469" xr:uid="{00000000-0005-0000-0000-0000C0820000}"/>
    <cellStyle name="Normal 2 7 4 11 2 2 3" xfId="33470" xr:uid="{00000000-0005-0000-0000-0000C1820000}"/>
    <cellStyle name="Normal 2 7 4 11 2 3" xfId="33471" xr:uid="{00000000-0005-0000-0000-0000C2820000}"/>
    <cellStyle name="Normal 2 7 4 11 2 4" xfId="33472" xr:uid="{00000000-0005-0000-0000-0000C3820000}"/>
    <cellStyle name="Normal 2 7 4 11 2 5" xfId="33473" xr:uid="{00000000-0005-0000-0000-0000C4820000}"/>
    <cellStyle name="Normal 2 7 4 11 2 6" xfId="33474" xr:uid="{00000000-0005-0000-0000-0000C5820000}"/>
    <cellStyle name="Normal 2 7 4 11 3" xfId="33475" xr:uid="{00000000-0005-0000-0000-0000C6820000}"/>
    <cellStyle name="Normal 2 7 4 11 3 2" xfId="33476" xr:uid="{00000000-0005-0000-0000-0000C7820000}"/>
    <cellStyle name="Normal 2 7 4 11 3 2 2" xfId="33477" xr:uid="{00000000-0005-0000-0000-0000C8820000}"/>
    <cellStyle name="Normal 2 7 4 11 3 2 3" xfId="33478" xr:uid="{00000000-0005-0000-0000-0000C9820000}"/>
    <cellStyle name="Normal 2 7 4 11 3 3" xfId="33479" xr:uid="{00000000-0005-0000-0000-0000CA820000}"/>
    <cellStyle name="Normal 2 7 4 11 3 4" xfId="33480" xr:uid="{00000000-0005-0000-0000-0000CB820000}"/>
    <cellStyle name="Normal 2 7 4 11 3 5" xfId="33481" xr:uid="{00000000-0005-0000-0000-0000CC820000}"/>
    <cellStyle name="Normal 2 7 4 11 3 6" xfId="33482" xr:uid="{00000000-0005-0000-0000-0000CD820000}"/>
    <cellStyle name="Normal 2 7 4 11 4" xfId="33483" xr:uid="{00000000-0005-0000-0000-0000CE820000}"/>
    <cellStyle name="Normal 2 7 4 11 4 2" xfId="33484" xr:uid="{00000000-0005-0000-0000-0000CF820000}"/>
    <cellStyle name="Normal 2 7 4 11 4 2 2" xfId="33485" xr:uid="{00000000-0005-0000-0000-0000D0820000}"/>
    <cellStyle name="Normal 2 7 4 11 4 3" xfId="33486" xr:uid="{00000000-0005-0000-0000-0000D1820000}"/>
    <cellStyle name="Normal 2 7 4 11 4 4" xfId="33487" xr:uid="{00000000-0005-0000-0000-0000D2820000}"/>
    <cellStyle name="Normal 2 7 4 11 4 5" xfId="33488" xr:uid="{00000000-0005-0000-0000-0000D3820000}"/>
    <cellStyle name="Normal 2 7 4 11 5" xfId="33489" xr:uid="{00000000-0005-0000-0000-0000D4820000}"/>
    <cellStyle name="Normal 2 7 4 11 5 2" xfId="33490" xr:uid="{00000000-0005-0000-0000-0000D5820000}"/>
    <cellStyle name="Normal 2 7 4 11 5 3" xfId="33491" xr:uid="{00000000-0005-0000-0000-0000D6820000}"/>
    <cellStyle name="Normal 2 7 4 11 5 4" xfId="33492" xr:uid="{00000000-0005-0000-0000-0000D7820000}"/>
    <cellStyle name="Normal 2 7 4 11 6" xfId="33493" xr:uid="{00000000-0005-0000-0000-0000D8820000}"/>
    <cellStyle name="Normal 2 7 4 11 6 2" xfId="33494" xr:uid="{00000000-0005-0000-0000-0000D9820000}"/>
    <cellStyle name="Normal 2 7 4 11 7" xfId="33495" xr:uid="{00000000-0005-0000-0000-0000DA820000}"/>
    <cellStyle name="Normal 2 7 4 11 8" xfId="33496" xr:uid="{00000000-0005-0000-0000-0000DB820000}"/>
    <cellStyle name="Normal 2 7 4 11 9" xfId="33497" xr:uid="{00000000-0005-0000-0000-0000DC820000}"/>
    <cellStyle name="Normal 2 7 4 12" xfId="33498" xr:uid="{00000000-0005-0000-0000-0000DD820000}"/>
    <cellStyle name="Normal 2 7 4 12 10" xfId="33499" xr:uid="{00000000-0005-0000-0000-0000DE820000}"/>
    <cellStyle name="Normal 2 7 4 12 2" xfId="33500" xr:uid="{00000000-0005-0000-0000-0000DF820000}"/>
    <cellStyle name="Normal 2 7 4 12 2 2" xfId="33501" xr:uid="{00000000-0005-0000-0000-0000E0820000}"/>
    <cellStyle name="Normal 2 7 4 12 2 2 2" xfId="33502" xr:uid="{00000000-0005-0000-0000-0000E1820000}"/>
    <cellStyle name="Normal 2 7 4 12 2 2 3" xfId="33503" xr:uid="{00000000-0005-0000-0000-0000E2820000}"/>
    <cellStyle name="Normal 2 7 4 12 2 3" xfId="33504" xr:uid="{00000000-0005-0000-0000-0000E3820000}"/>
    <cellStyle name="Normal 2 7 4 12 2 4" xfId="33505" xr:uid="{00000000-0005-0000-0000-0000E4820000}"/>
    <cellStyle name="Normal 2 7 4 12 2 5" xfId="33506" xr:uid="{00000000-0005-0000-0000-0000E5820000}"/>
    <cellStyle name="Normal 2 7 4 12 2 6" xfId="33507" xr:uid="{00000000-0005-0000-0000-0000E6820000}"/>
    <cellStyle name="Normal 2 7 4 12 3" xfId="33508" xr:uid="{00000000-0005-0000-0000-0000E7820000}"/>
    <cellStyle name="Normal 2 7 4 12 3 2" xfId="33509" xr:uid="{00000000-0005-0000-0000-0000E8820000}"/>
    <cellStyle name="Normal 2 7 4 12 3 2 2" xfId="33510" xr:uid="{00000000-0005-0000-0000-0000E9820000}"/>
    <cellStyle name="Normal 2 7 4 12 3 2 3" xfId="33511" xr:uid="{00000000-0005-0000-0000-0000EA820000}"/>
    <cellStyle name="Normal 2 7 4 12 3 3" xfId="33512" xr:uid="{00000000-0005-0000-0000-0000EB820000}"/>
    <cellStyle name="Normal 2 7 4 12 3 4" xfId="33513" xr:uid="{00000000-0005-0000-0000-0000EC820000}"/>
    <cellStyle name="Normal 2 7 4 12 3 5" xfId="33514" xr:uid="{00000000-0005-0000-0000-0000ED820000}"/>
    <cellStyle name="Normal 2 7 4 12 3 6" xfId="33515" xr:uid="{00000000-0005-0000-0000-0000EE820000}"/>
    <cellStyle name="Normal 2 7 4 12 4" xfId="33516" xr:uid="{00000000-0005-0000-0000-0000EF820000}"/>
    <cellStyle name="Normal 2 7 4 12 4 2" xfId="33517" xr:uid="{00000000-0005-0000-0000-0000F0820000}"/>
    <cellStyle name="Normal 2 7 4 12 4 2 2" xfId="33518" xr:uid="{00000000-0005-0000-0000-0000F1820000}"/>
    <cellStyle name="Normal 2 7 4 12 4 3" xfId="33519" xr:uid="{00000000-0005-0000-0000-0000F2820000}"/>
    <cellStyle name="Normal 2 7 4 12 4 4" xfId="33520" xr:uid="{00000000-0005-0000-0000-0000F3820000}"/>
    <cellStyle name="Normal 2 7 4 12 4 5" xfId="33521" xr:uid="{00000000-0005-0000-0000-0000F4820000}"/>
    <cellStyle name="Normal 2 7 4 12 5" xfId="33522" xr:uid="{00000000-0005-0000-0000-0000F5820000}"/>
    <cellStyle name="Normal 2 7 4 12 5 2" xfId="33523" xr:uid="{00000000-0005-0000-0000-0000F6820000}"/>
    <cellStyle name="Normal 2 7 4 12 5 3" xfId="33524" xr:uid="{00000000-0005-0000-0000-0000F7820000}"/>
    <cellStyle name="Normal 2 7 4 12 5 4" xfId="33525" xr:uid="{00000000-0005-0000-0000-0000F8820000}"/>
    <cellStyle name="Normal 2 7 4 12 6" xfId="33526" xr:uid="{00000000-0005-0000-0000-0000F9820000}"/>
    <cellStyle name="Normal 2 7 4 12 6 2" xfId="33527" xr:uid="{00000000-0005-0000-0000-0000FA820000}"/>
    <cellStyle name="Normal 2 7 4 12 7" xfId="33528" xr:uid="{00000000-0005-0000-0000-0000FB820000}"/>
    <cellStyle name="Normal 2 7 4 12 8" xfId="33529" xr:uid="{00000000-0005-0000-0000-0000FC820000}"/>
    <cellStyle name="Normal 2 7 4 12 9" xfId="33530" xr:uid="{00000000-0005-0000-0000-0000FD820000}"/>
    <cellStyle name="Normal 2 7 4 13" xfId="33531" xr:uid="{00000000-0005-0000-0000-0000FE820000}"/>
    <cellStyle name="Normal 2 7 4 13 2" xfId="33532" xr:uid="{00000000-0005-0000-0000-0000FF820000}"/>
    <cellStyle name="Normal 2 7 4 13 2 2" xfId="33533" xr:uid="{00000000-0005-0000-0000-000000830000}"/>
    <cellStyle name="Normal 2 7 4 13 2 2 2" xfId="33534" xr:uid="{00000000-0005-0000-0000-000001830000}"/>
    <cellStyle name="Normal 2 7 4 13 2 2 3" xfId="33535" xr:uid="{00000000-0005-0000-0000-000002830000}"/>
    <cellStyle name="Normal 2 7 4 13 2 3" xfId="33536" xr:uid="{00000000-0005-0000-0000-000003830000}"/>
    <cellStyle name="Normal 2 7 4 13 2 4" xfId="33537" xr:uid="{00000000-0005-0000-0000-000004830000}"/>
    <cellStyle name="Normal 2 7 4 13 2 5" xfId="33538" xr:uid="{00000000-0005-0000-0000-000005830000}"/>
    <cellStyle name="Normal 2 7 4 13 2 6" xfId="33539" xr:uid="{00000000-0005-0000-0000-000006830000}"/>
    <cellStyle name="Normal 2 7 4 13 3" xfId="33540" xr:uid="{00000000-0005-0000-0000-000007830000}"/>
    <cellStyle name="Normal 2 7 4 13 3 2" xfId="33541" xr:uid="{00000000-0005-0000-0000-000008830000}"/>
    <cellStyle name="Normal 2 7 4 13 3 2 2" xfId="33542" xr:uid="{00000000-0005-0000-0000-000009830000}"/>
    <cellStyle name="Normal 2 7 4 13 3 3" xfId="33543" xr:uid="{00000000-0005-0000-0000-00000A830000}"/>
    <cellStyle name="Normal 2 7 4 13 3 4" xfId="33544" xr:uid="{00000000-0005-0000-0000-00000B830000}"/>
    <cellStyle name="Normal 2 7 4 13 3 5" xfId="33545" xr:uid="{00000000-0005-0000-0000-00000C830000}"/>
    <cellStyle name="Normal 2 7 4 13 4" xfId="33546" xr:uid="{00000000-0005-0000-0000-00000D830000}"/>
    <cellStyle name="Normal 2 7 4 13 4 2" xfId="33547" xr:uid="{00000000-0005-0000-0000-00000E830000}"/>
    <cellStyle name="Normal 2 7 4 13 4 3" xfId="33548" xr:uid="{00000000-0005-0000-0000-00000F830000}"/>
    <cellStyle name="Normal 2 7 4 13 4 4" xfId="33549" xr:uid="{00000000-0005-0000-0000-000010830000}"/>
    <cellStyle name="Normal 2 7 4 13 5" xfId="33550" xr:uid="{00000000-0005-0000-0000-000011830000}"/>
    <cellStyle name="Normal 2 7 4 13 5 2" xfId="33551" xr:uid="{00000000-0005-0000-0000-000012830000}"/>
    <cellStyle name="Normal 2 7 4 13 6" xfId="33552" xr:uid="{00000000-0005-0000-0000-000013830000}"/>
    <cellStyle name="Normal 2 7 4 13 7" xfId="33553" xr:uid="{00000000-0005-0000-0000-000014830000}"/>
    <cellStyle name="Normal 2 7 4 13 8" xfId="33554" xr:uid="{00000000-0005-0000-0000-000015830000}"/>
    <cellStyle name="Normal 2 7 4 13 9" xfId="33555" xr:uid="{00000000-0005-0000-0000-000016830000}"/>
    <cellStyle name="Normal 2 7 4 14" xfId="33556" xr:uid="{00000000-0005-0000-0000-000017830000}"/>
    <cellStyle name="Normal 2 7 4 14 2" xfId="33557" xr:uid="{00000000-0005-0000-0000-000018830000}"/>
    <cellStyle name="Normal 2 7 4 14 2 2" xfId="33558" xr:uid="{00000000-0005-0000-0000-000019830000}"/>
    <cellStyle name="Normal 2 7 4 14 2 2 2" xfId="33559" xr:uid="{00000000-0005-0000-0000-00001A830000}"/>
    <cellStyle name="Normal 2 7 4 14 2 2 3" xfId="33560" xr:uid="{00000000-0005-0000-0000-00001B830000}"/>
    <cellStyle name="Normal 2 7 4 14 2 3" xfId="33561" xr:uid="{00000000-0005-0000-0000-00001C830000}"/>
    <cellStyle name="Normal 2 7 4 14 2 4" xfId="33562" xr:uid="{00000000-0005-0000-0000-00001D830000}"/>
    <cellStyle name="Normal 2 7 4 14 2 5" xfId="33563" xr:uid="{00000000-0005-0000-0000-00001E830000}"/>
    <cellStyle name="Normal 2 7 4 14 2 6" xfId="33564" xr:uid="{00000000-0005-0000-0000-00001F830000}"/>
    <cellStyle name="Normal 2 7 4 14 3" xfId="33565" xr:uid="{00000000-0005-0000-0000-000020830000}"/>
    <cellStyle name="Normal 2 7 4 14 3 2" xfId="33566" xr:uid="{00000000-0005-0000-0000-000021830000}"/>
    <cellStyle name="Normal 2 7 4 14 3 2 2" xfId="33567" xr:uid="{00000000-0005-0000-0000-000022830000}"/>
    <cellStyle name="Normal 2 7 4 14 3 3" xfId="33568" xr:uid="{00000000-0005-0000-0000-000023830000}"/>
    <cellStyle name="Normal 2 7 4 14 3 4" xfId="33569" xr:uid="{00000000-0005-0000-0000-000024830000}"/>
    <cellStyle name="Normal 2 7 4 14 3 5" xfId="33570" xr:uid="{00000000-0005-0000-0000-000025830000}"/>
    <cellStyle name="Normal 2 7 4 14 4" xfId="33571" xr:uid="{00000000-0005-0000-0000-000026830000}"/>
    <cellStyle name="Normal 2 7 4 14 4 2" xfId="33572" xr:uid="{00000000-0005-0000-0000-000027830000}"/>
    <cellStyle name="Normal 2 7 4 14 4 3" xfId="33573" xr:uid="{00000000-0005-0000-0000-000028830000}"/>
    <cellStyle name="Normal 2 7 4 14 4 4" xfId="33574" xr:uid="{00000000-0005-0000-0000-000029830000}"/>
    <cellStyle name="Normal 2 7 4 14 5" xfId="33575" xr:uid="{00000000-0005-0000-0000-00002A830000}"/>
    <cellStyle name="Normal 2 7 4 14 5 2" xfId="33576" xr:uid="{00000000-0005-0000-0000-00002B830000}"/>
    <cellStyle name="Normal 2 7 4 14 6" xfId="33577" xr:uid="{00000000-0005-0000-0000-00002C830000}"/>
    <cellStyle name="Normal 2 7 4 14 7" xfId="33578" xr:uid="{00000000-0005-0000-0000-00002D830000}"/>
    <cellStyle name="Normal 2 7 4 14 8" xfId="33579" xr:uid="{00000000-0005-0000-0000-00002E830000}"/>
    <cellStyle name="Normal 2 7 4 14 9" xfId="33580" xr:uid="{00000000-0005-0000-0000-00002F830000}"/>
    <cellStyle name="Normal 2 7 4 15" xfId="33581" xr:uid="{00000000-0005-0000-0000-000030830000}"/>
    <cellStyle name="Normal 2 7 4 15 2" xfId="33582" xr:uid="{00000000-0005-0000-0000-000031830000}"/>
    <cellStyle name="Normal 2 7 4 15 2 2" xfId="33583" xr:uid="{00000000-0005-0000-0000-000032830000}"/>
    <cellStyle name="Normal 2 7 4 15 2 3" xfId="33584" xr:uid="{00000000-0005-0000-0000-000033830000}"/>
    <cellStyle name="Normal 2 7 4 15 3" xfId="33585" xr:uid="{00000000-0005-0000-0000-000034830000}"/>
    <cellStyle name="Normal 2 7 4 15 4" xfId="33586" xr:uid="{00000000-0005-0000-0000-000035830000}"/>
    <cellStyle name="Normal 2 7 4 15 5" xfId="33587" xr:uid="{00000000-0005-0000-0000-000036830000}"/>
    <cellStyle name="Normal 2 7 4 15 6" xfId="33588" xr:uid="{00000000-0005-0000-0000-000037830000}"/>
    <cellStyle name="Normal 2 7 4 16" xfId="33589" xr:uid="{00000000-0005-0000-0000-000038830000}"/>
    <cellStyle name="Normal 2 7 4 16 2" xfId="33590" xr:uid="{00000000-0005-0000-0000-000039830000}"/>
    <cellStyle name="Normal 2 7 4 16 2 2" xfId="33591" xr:uid="{00000000-0005-0000-0000-00003A830000}"/>
    <cellStyle name="Normal 2 7 4 16 3" xfId="33592" xr:uid="{00000000-0005-0000-0000-00003B830000}"/>
    <cellStyle name="Normal 2 7 4 16 4" xfId="33593" xr:uid="{00000000-0005-0000-0000-00003C830000}"/>
    <cellStyle name="Normal 2 7 4 16 5" xfId="33594" xr:uid="{00000000-0005-0000-0000-00003D830000}"/>
    <cellStyle name="Normal 2 7 4 17" xfId="33595" xr:uid="{00000000-0005-0000-0000-00003E830000}"/>
    <cellStyle name="Normal 2 7 4 17 2" xfId="33596" xr:uid="{00000000-0005-0000-0000-00003F830000}"/>
    <cellStyle name="Normal 2 7 4 17 2 2" xfId="33597" xr:uid="{00000000-0005-0000-0000-000040830000}"/>
    <cellStyle name="Normal 2 7 4 17 3" xfId="33598" xr:uid="{00000000-0005-0000-0000-000041830000}"/>
    <cellStyle name="Normal 2 7 4 17 4" xfId="33599" xr:uid="{00000000-0005-0000-0000-000042830000}"/>
    <cellStyle name="Normal 2 7 4 17 5" xfId="33600" xr:uid="{00000000-0005-0000-0000-000043830000}"/>
    <cellStyle name="Normal 2 7 4 18" xfId="33601" xr:uid="{00000000-0005-0000-0000-000044830000}"/>
    <cellStyle name="Normal 2 7 4 18 2" xfId="33602" xr:uid="{00000000-0005-0000-0000-000045830000}"/>
    <cellStyle name="Normal 2 7 4 19" xfId="33603" xr:uid="{00000000-0005-0000-0000-000046830000}"/>
    <cellStyle name="Normal 2 7 4 2" xfId="33604" xr:uid="{00000000-0005-0000-0000-000047830000}"/>
    <cellStyle name="Normal 2 7 4 2 10" xfId="33605" xr:uid="{00000000-0005-0000-0000-000048830000}"/>
    <cellStyle name="Normal 2 7 4 2 11" xfId="33606" xr:uid="{00000000-0005-0000-0000-000049830000}"/>
    <cellStyle name="Normal 2 7 4 2 2" xfId="33607" xr:uid="{00000000-0005-0000-0000-00004A830000}"/>
    <cellStyle name="Normal 2 7 4 2 2 2" xfId="33608" xr:uid="{00000000-0005-0000-0000-00004B830000}"/>
    <cellStyle name="Normal 2 7 4 2 2 2 2" xfId="33609" xr:uid="{00000000-0005-0000-0000-00004C830000}"/>
    <cellStyle name="Normal 2 7 4 2 2 2 2 2" xfId="33610" xr:uid="{00000000-0005-0000-0000-00004D830000}"/>
    <cellStyle name="Normal 2 7 4 2 2 2 2 3" xfId="33611" xr:uid="{00000000-0005-0000-0000-00004E830000}"/>
    <cellStyle name="Normal 2 7 4 2 2 2 3" xfId="33612" xr:uid="{00000000-0005-0000-0000-00004F830000}"/>
    <cellStyle name="Normal 2 7 4 2 2 2 4" xfId="33613" xr:uid="{00000000-0005-0000-0000-000050830000}"/>
    <cellStyle name="Normal 2 7 4 2 2 2 5" xfId="33614" xr:uid="{00000000-0005-0000-0000-000051830000}"/>
    <cellStyle name="Normal 2 7 4 2 2 2 6" xfId="33615" xr:uid="{00000000-0005-0000-0000-000052830000}"/>
    <cellStyle name="Normal 2 7 4 2 2 3" xfId="33616" xr:uid="{00000000-0005-0000-0000-000053830000}"/>
    <cellStyle name="Normal 2 7 4 2 2 3 2" xfId="33617" xr:uid="{00000000-0005-0000-0000-000054830000}"/>
    <cellStyle name="Normal 2 7 4 2 2 3 2 2" xfId="33618" xr:uid="{00000000-0005-0000-0000-000055830000}"/>
    <cellStyle name="Normal 2 7 4 2 2 3 3" xfId="33619" xr:uid="{00000000-0005-0000-0000-000056830000}"/>
    <cellStyle name="Normal 2 7 4 2 2 3 4" xfId="33620" xr:uid="{00000000-0005-0000-0000-000057830000}"/>
    <cellStyle name="Normal 2 7 4 2 2 3 5" xfId="33621" xr:uid="{00000000-0005-0000-0000-000058830000}"/>
    <cellStyle name="Normal 2 7 4 2 2 4" xfId="33622" xr:uid="{00000000-0005-0000-0000-000059830000}"/>
    <cellStyle name="Normal 2 7 4 2 2 4 2" xfId="33623" xr:uid="{00000000-0005-0000-0000-00005A830000}"/>
    <cellStyle name="Normal 2 7 4 2 2 4 3" xfId="33624" xr:uid="{00000000-0005-0000-0000-00005B830000}"/>
    <cellStyle name="Normal 2 7 4 2 2 4 4" xfId="33625" xr:uid="{00000000-0005-0000-0000-00005C830000}"/>
    <cellStyle name="Normal 2 7 4 2 2 5" xfId="33626" xr:uid="{00000000-0005-0000-0000-00005D830000}"/>
    <cellStyle name="Normal 2 7 4 2 2 5 2" xfId="33627" xr:uid="{00000000-0005-0000-0000-00005E830000}"/>
    <cellStyle name="Normal 2 7 4 2 2 6" xfId="33628" xr:uid="{00000000-0005-0000-0000-00005F830000}"/>
    <cellStyle name="Normal 2 7 4 2 2 7" xfId="33629" xr:uid="{00000000-0005-0000-0000-000060830000}"/>
    <cellStyle name="Normal 2 7 4 2 2 8" xfId="33630" xr:uid="{00000000-0005-0000-0000-000061830000}"/>
    <cellStyle name="Normal 2 7 4 2 2 9" xfId="33631" xr:uid="{00000000-0005-0000-0000-000062830000}"/>
    <cellStyle name="Normal 2 7 4 2 3" xfId="33632" xr:uid="{00000000-0005-0000-0000-000063830000}"/>
    <cellStyle name="Normal 2 7 4 2 3 2" xfId="33633" xr:uid="{00000000-0005-0000-0000-000064830000}"/>
    <cellStyle name="Normal 2 7 4 2 3 2 2" xfId="33634" xr:uid="{00000000-0005-0000-0000-000065830000}"/>
    <cellStyle name="Normal 2 7 4 2 3 2 2 2" xfId="33635" xr:uid="{00000000-0005-0000-0000-000066830000}"/>
    <cellStyle name="Normal 2 7 4 2 3 2 2 3" xfId="33636" xr:uid="{00000000-0005-0000-0000-000067830000}"/>
    <cellStyle name="Normal 2 7 4 2 3 2 3" xfId="33637" xr:uid="{00000000-0005-0000-0000-000068830000}"/>
    <cellStyle name="Normal 2 7 4 2 3 2 4" xfId="33638" xr:uid="{00000000-0005-0000-0000-000069830000}"/>
    <cellStyle name="Normal 2 7 4 2 3 2 5" xfId="33639" xr:uid="{00000000-0005-0000-0000-00006A830000}"/>
    <cellStyle name="Normal 2 7 4 2 3 2 6" xfId="33640" xr:uid="{00000000-0005-0000-0000-00006B830000}"/>
    <cellStyle name="Normal 2 7 4 2 3 3" xfId="33641" xr:uid="{00000000-0005-0000-0000-00006C830000}"/>
    <cellStyle name="Normal 2 7 4 2 3 3 2" xfId="33642" xr:uid="{00000000-0005-0000-0000-00006D830000}"/>
    <cellStyle name="Normal 2 7 4 2 3 3 2 2" xfId="33643" xr:uid="{00000000-0005-0000-0000-00006E830000}"/>
    <cellStyle name="Normal 2 7 4 2 3 3 3" xfId="33644" xr:uid="{00000000-0005-0000-0000-00006F830000}"/>
    <cellStyle name="Normal 2 7 4 2 3 3 4" xfId="33645" xr:uid="{00000000-0005-0000-0000-000070830000}"/>
    <cellStyle name="Normal 2 7 4 2 3 3 5" xfId="33646" xr:uid="{00000000-0005-0000-0000-000071830000}"/>
    <cellStyle name="Normal 2 7 4 2 3 4" xfId="33647" xr:uid="{00000000-0005-0000-0000-000072830000}"/>
    <cellStyle name="Normal 2 7 4 2 3 4 2" xfId="33648" xr:uid="{00000000-0005-0000-0000-000073830000}"/>
    <cellStyle name="Normal 2 7 4 2 3 4 3" xfId="33649" xr:uid="{00000000-0005-0000-0000-000074830000}"/>
    <cellStyle name="Normal 2 7 4 2 3 4 4" xfId="33650" xr:uid="{00000000-0005-0000-0000-000075830000}"/>
    <cellStyle name="Normal 2 7 4 2 3 5" xfId="33651" xr:uid="{00000000-0005-0000-0000-000076830000}"/>
    <cellStyle name="Normal 2 7 4 2 3 5 2" xfId="33652" xr:uid="{00000000-0005-0000-0000-000077830000}"/>
    <cellStyle name="Normal 2 7 4 2 3 6" xfId="33653" xr:uid="{00000000-0005-0000-0000-000078830000}"/>
    <cellStyle name="Normal 2 7 4 2 3 7" xfId="33654" xr:uid="{00000000-0005-0000-0000-000079830000}"/>
    <cellStyle name="Normal 2 7 4 2 3 8" xfId="33655" xr:uid="{00000000-0005-0000-0000-00007A830000}"/>
    <cellStyle name="Normal 2 7 4 2 3 9" xfId="33656" xr:uid="{00000000-0005-0000-0000-00007B830000}"/>
    <cellStyle name="Normal 2 7 4 2 4" xfId="33657" xr:uid="{00000000-0005-0000-0000-00007C830000}"/>
    <cellStyle name="Normal 2 7 4 2 4 2" xfId="33658" xr:uid="{00000000-0005-0000-0000-00007D830000}"/>
    <cellStyle name="Normal 2 7 4 2 4 2 2" xfId="33659" xr:uid="{00000000-0005-0000-0000-00007E830000}"/>
    <cellStyle name="Normal 2 7 4 2 4 2 3" xfId="33660" xr:uid="{00000000-0005-0000-0000-00007F830000}"/>
    <cellStyle name="Normal 2 7 4 2 4 3" xfId="33661" xr:uid="{00000000-0005-0000-0000-000080830000}"/>
    <cellStyle name="Normal 2 7 4 2 4 4" xfId="33662" xr:uid="{00000000-0005-0000-0000-000081830000}"/>
    <cellStyle name="Normal 2 7 4 2 4 5" xfId="33663" xr:uid="{00000000-0005-0000-0000-000082830000}"/>
    <cellStyle name="Normal 2 7 4 2 4 6" xfId="33664" xr:uid="{00000000-0005-0000-0000-000083830000}"/>
    <cellStyle name="Normal 2 7 4 2 5" xfId="33665" xr:uid="{00000000-0005-0000-0000-000084830000}"/>
    <cellStyle name="Normal 2 7 4 2 5 2" xfId="33666" xr:uid="{00000000-0005-0000-0000-000085830000}"/>
    <cellStyle name="Normal 2 7 4 2 5 2 2" xfId="33667" xr:uid="{00000000-0005-0000-0000-000086830000}"/>
    <cellStyle name="Normal 2 7 4 2 5 3" xfId="33668" xr:uid="{00000000-0005-0000-0000-000087830000}"/>
    <cellStyle name="Normal 2 7 4 2 5 4" xfId="33669" xr:uid="{00000000-0005-0000-0000-000088830000}"/>
    <cellStyle name="Normal 2 7 4 2 5 5" xfId="33670" xr:uid="{00000000-0005-0000-0000-000089830000}"/>
    <cellStyle name="Normal 2 7 4 2 6" xfId="33671" xr:uid="{00000000-0005-0000-0000-00008A830000}"/>
    <cellStyle name="Normal 2 7 4 2 6 2" xfId="33672" xr:uid="{00000000-0005-0000-0000-00008B830000}"/>
    <cellStyle name="Normal 2 7 4 2 6 3" xfId="33673" xr:uid="{00000000-0005-0000-0000-00008C830000}"/>
    <cellStyle name="Normal 2 7 4 2 6 4" xfId="33674" xr:uid="{00000000-0005-0000-0000-00008D830000}"/>
    <cellStyle name="Normal 2 7 4 2 7" xfId="33675" xr:uid="{00000000-0005-0000-0000-00008E830000}"/>
    <cellStyle name="Normal 2 7 4 2 7 2" xfId="33676" xr:uid="{00000000-0005-0000-0000-00008F830000}"/>
    <cellStyle name="Normal 2 7 4 2 8" xfId="33677" xr:uid="{00000000-0005-0000-0000-000090830000}"/>
    <cellStyle name="Normal 2 7 4 2 9" xfId="33678" xr:uid="{00000000-0005-0000-0000-000091830000}"/>
    <cellStyle name="Normal 2 7 4 20" xfId="33679" xr:uid="{00000000-0005-0000-0000-000092830000}"/>
    <cellStyle name="Normal 2 7 4 21" xfId="33680" xr:uid="{00000000-0005-0000-0000-000093830000}"/>
    <cellStyle name="Normal 2 7 4 22" xfId="33681" xr:uid="{00000000-0005-0000-0000-000094830000}"/>
    <cellStyle name="Normal 2 7 4 3" xfId="33682" xr:uid="{00000000-0005-0000-0000-000095830000}"/>
    <cellStyle name="Normal 2 7 4 3 10" xfId="33683" xr:uid="{00000000-0005-0000-0000-000096830000}"/>
    <cellStyle name="Normal 2 7 4 3 11" xfId="33684" xr:uid="{00000000-0005-0000-0000-000097830000}"/>
    <cellStyle name="Normal 2 7 4 3 2" xfId="33685" xr:uid="{00000000-0005-0000-0000-000098830000}"/>
    <cellStyle name="Normal 2 7 4 3 2 2" xfId="33686" xr:uid="{00000000-0005-0000-0000-000099830000}"/>
    <cellStyle name="Normal 2 7 4 3 2 2 2" xfId="33687" xr:uid="{00000000-0005-0000-0000-00009A830000}"/>
    <cellStyle name="Normal 2 7 4 3 2 2 2 2" xfId="33688" xr:uid="{00000000-0005-0000-0000-00009B830000}"/>
    <cellStyle name="Normal 2 7 4 3 2 2 2 3" xfId="33689" xr:uid="{00000000-0005-0000-0000-00009C830000}"/>
    <cellStyle name="Normal 2 7 4 3 2 2 3" xfId="33690" xr:uid="{00000000-0005-0000-0000-00009D830000}"/>
    <cellStyle name="Normal 2 7 4 3 2 2 4" xfId="33691" xr:uid="{00000000-0005-0000-0000-00009E830000}"/>
    <cellStyle name="Normal 2 7 4 3 2 2 5" xfId="33692" xr:uid="{00000000-0005-0000-0000-00009F830000}"/>
    <cellStyle name="Normal 2 7 4 3 2 2 6" xfId="33693" xr:uid="{00000000-0005-0000-0000-0000A0830000}"/>
    <cellStyle name="Normal 2 7 4 3 2 3" xfId="33694" xr:uid="{00000000-0005-0000-0000-0000A1830000}"/>
    <cellStyle name="Normal 2 7 4 3 2 3 2" xfId="33695" xr:uid="{00000000-0005-0000-0000-0000A2830000}"/>
    <cellStyle name="Normal 2 7 4 3 2 3 2 2" xfId="33696" xr:uid="{00000000-0005-0000-0000-0000A3830000}"/>
    <cellStyle name="Normal 2 7 4 3 2 3 3" xfId="33697" xr:uid="{00000000-0005-0000-0000-0000A4830000}"/>
    <cellStyle name="Normal 2 7 4 3 2 3 4" xfId="33698" xr:uid="{00000000-0005-0000-0000-0000A5830000}"/>
    <cellStyle name="Normal 2 7 4 3 2 3 5" xfId="33699" xr:uid="{00000000-0005-0000-0000-0000A6830000}"/>
    <cellStyle name="Normal 2 7 4 3 2 4" xfId="33700" xr:uid="{00000000-0005-0000-0000-0000A7830000}"/>
    <cellStyle name="Normal 2 7 4 3 2 4 2" xfId="33701" xr:uid="{00000000-0005-0000-0000-0000A8830000}"/>
    <cellStyle name="Normal 2 7 4 3 2 4 3" xfId="33702" xr:uid="{00000000-0005-0000-0000-0000A9830000}"/>
    <cellStyle name="Normal 2 7 4 3 2 4 4" xfId="33703" xr:uid="{00000000-0005-0000-0000-0000AA830000}"/>
    <cellStyle name="Normal 2 7 4 3 2 5" xfId="33704" xr:uid="{00000000-0005-0000-0000-0000AB830000}"/>
    <cellStyle name="Normal 2 7 4 3 2 5 2" xfId="33705" xr:uid="{00000000-0005-0000-0000-0000AC830000}"/>
    <cellStyle name="Normal 2 7 4 3 2 6" xfId="33706" xr:uid="{00000000-0005-0000-0000-0000AD830000}"/>
    <cellStyle name="Normal 2 7 4 3 2 7" xfId="33707" xr:uid="{00000000-0005-0000-0000-0000AE830000}"/>
    <cellStyle name="Normal 2 7 4 3 2 8" xfId="33708" xr:uid="{00000000-0005-0000-0000-0000AF830000}"/>
    <cellStyle name="Normal 2 7 4 3 2 9" xfId="33709" xr:uid="{00000000-0005-0000-0000-0000B0830000}"/>
    <cellStyle name="Normal 2 7 4 3 3" xfId="33710" xr:uid="{00000000-0005-0000-0000-0000B1830000}"/>
    <cellStyle name="Normal 2 7 4 3 3 2" xfId="33711" xr:uid="{00000000-0005-0000-0000-0000B2830000}"/>
    <cellStyle name="Normal 2 7 4 3 3 2 2" xfId="33712" xr:uid="{00000000-0005-0000-0000-0000B3830000}"/>
    <cellStyle name="Normal 2 7 4 3 3 2 2 2" xfId="33713" xr:uid="{00000000-0005-0000-0000-0000B4830000}"/>
    <cellStyle name="Normal 2 7 4 3 3 2 2 3" xfId="33714" xr:uid="{00000000-0005-0000-0000-0000B5830000}"/>
    <cellStyle name="Normal 2 7 4 3 3 2 3" xfId="33715" xr:uid="{00000000-0005-0000-0000-0000B6830000}"/>
    <cellStyle name="Normal 2 7 4 3 3 2 4" xfId="33716" xr:uid="{00000000-0005-0000-0000-0000B7830000}"/>
    <cellStyle name="Normal 2 7 4 3 3 2 5" xfId="33717" xr:uid="{00000000-0005-0000-0000-0000B8830000}"/>
    <cellStyle name="Normal 2 7 4 3 3 2 6" xfId="33718" xr:uid="{00000000-0005-0000-0000-0000B9830000}"/>
    <cellStyle name="Normal 2 7 4 3 3 3" xfId="33719" xr:uid="{00000000-0005-0000-0000-0000BA830000}"/>
    <cellStyle name="Normal 2 7 4 3 3 3 2" xfId="33720" xr:uid="{00000000-0005-0000-0000-0000BB830000}"/>
    <cellStyle name="Normal 2 7 4 3 3 3 2 2" xfId="33721" xr:uid="{00000000-0005-0000-0000-0000BC830000}"/>
    <cellStyle name="Normal 2 7 4 3 3 3 3" xfId="33722" xr:uid="{00000000-0005-0000-0000-0000BD830000}"/>
    <cellStyle name="Normal 2 7 4 3 3 3 4" xfId="33723" xr:uid="{00000000-0005-0000-0000-0000BE830000}"/>
    <cellStyle name="Normal 2 7 4 3 3 3 5" xfId="33724" xr:uid="{00000000-0005-0000-0000-0000BF830000}"/>
    <cellStyle name="Normal 2 7 4 3 3 4" xfId="33725" xr:uid="{00000000-0005-0000-0000-0000C0830000}"/>
    <cellStyle name="Normal 2 7 4 3 3 4 2" xfId="33726" xr:uid="{00000000-0005-0000-0000-0000C1830000}"/>
    <cellStyle name="Normal 2 7 4 3 3 4 3" xfId="33727" xr:uid="{00000000-0005-0000-0000-0000C2830000}"/>
    <cellStyle name="Normal 2 7 4 3 3 4 4" xfId="33728" xr:uid="{00000000-0005-0000-0000-0000C3830000}"/>
    <cellStyle name="Normal 2 7 4 3 3 5" xfId="33729" xr:uid="{00000000-0005-0000-0000-0000C4830000}"/>
    <cellStyle name="Normal 2 7 4 3 3 5 2" xfId="33730" xr:uid="{00000000-0005-0000-0000-0000C5830000}"/>
    <cellStyle name="Normal 2 7 4 3 3 6" xfId="33731" xr:uid="{00000000-0005-0000-0000-0000C6830000}"/>
    <cellStyle name="Normal 2 7 4 3 3 7" xfId="33732" xr:uid="{00000000-0005-0000-0000-0000C7830000}"/>
    <cellStyle name="Normal 2 7 4 3 3 8" xfId="33733" xr:uid="{00000000-0005-0000-0000-0000C8830000}"/>
    <cellStyle name="Normal 2 7 4 3 3 9" xfId="33734" xr:uid="{00000000-0005-0000-0000-0000C9830000}"/>
    <cellStyle name="Normal 2 7 4 3 4" xfId="33735" xr:uid="{00000000-0005-0000-0000-0000CA830000}"/>
    <cellStyle name="Normal 2 7 4 3 4 2" xfId="33736" xr:uid="{00000000-0005-0000-0000-0000CB830000}"/>
    <cellStyle name="Normal 2 7 4 3 4 2 2" xfId="33737" xr:uid="{00000000-0005-0000-0000-0000CC830000}"/>
    <cellStyle name="Normal 2 7 4 3 4 2 3" xfId="33738" xr:uid="{00000000-0005-0000-0000-0000CD830000}"/>
    <cellStyle name="Normal 2 7 4 3 4 3" xfId="33739" xr:uid="{00000000-0005-0000-0000-0000CE830000}"/>
    <cellStyle name="Normal 2 7 4 3 4 4" xfId="33740" xr:uid="{00000000-0005-0000-0000-0000CF830000}"/>
    <cellStyle name="Normal 2 7 4 3 4 5" xfId="33741" xr:uid="{00000000-0005-0000-0000-0000D0830000}"/>
    <cellStyle name="Normal 2 7 4 3 4 6" xfId="33742" xr:uid="{00000000-0005-0000-0000-0000D1830000}"/>
    <cellStyle name="Normal 2 7 4 3 5" xfId="33743" xr:uid="{00000000-0005-0000-0000-0000D2830000}"/>
    <cellStyle name="Normal 2 7 4 3 5 2" xfId="33744" xr:uid="{00000000-0005-0000-0000-0000D3830000}"/>
    <cellStyle name="Normal 2 7 4 3 5 2 2" xfId="33745" xr:uid="{00000000-0005-0000-0000-0000D4830000}"/>
    <cellStyle name="Normal 2 7 4 3 5 3" xfId="33746" xr:uid="{00000000-0005-0000-0000-0000D5830000}"/>
    <cellStyle name="Normal 2 7 4 3 5 4" xfId="33747" xr:uid="{00000000-0005-0000-0000-0000D6830000}"/>
    <cellStyle name="Normal 2 7 4 3 5 5" xfId="33748" xr:uid="{00000000-0005-0000-0000-0000D7830000}"/>
    <cellStyle name="Normal 2 7 4 3 6" xfId="33749" xr:uid="{00000000-0005-0000-0000-0000D8830000}"/>
    <cellStyle name="Normal 2 7 4 3 6 2" xfId="33750" xr:uid="{00000000-0005-0000-0000-0000D9830000}"/>
    <cellStyle name="Normal 2 7 4 3 6 3" xfId="33751" xr:uid="{00000000-0005-0000-0000-0000DA830000}"/>
    <cellStyle name="Normal 2 7 4 3 6 4" xfId="33752" xr:uid="{00000000-0005-0000-0000-0000DB830000}"/>
    <cellStyle name="Normal 2 7 4 3 7" xfId="33753" xr:uid="{00000000-0005-0000-0000-0000DC830000}"/>
    <cellStyle name="Normal 2 7 4 3 7 2" xfId="33754" xr:uid="{00000000-0005-0000-0000-0000DD830000}"/>
    <cellStyle name="Normal 2 7 4 3 8" xfId="33755" xr:uid="{00000000-0005-0000-0000-0000DE830000}"/>
    <cellStyle name="Normal 2 7 4 3 9" xfId="33756" xr:uid="{00000000-0005-0000-0000-0000DF830000}"/>
    <cellStyle name="Normal 2 7 4 4" xfId="33757" xr:uid="{00000000-0005-0000-0000-0000E0830000}"/>
    <cellStyle name="Normal 2 7 4 4 10" xfId="33758" xr:uid="{00000000-0005-0000-0000-0000E1830000}"/>
    <cellStyle name="Normal 2 7 4 4 11" xfId="33759" xr:uid="{00000000-0005-0000-0000-0000E2830000}"/>
    <cellStyle name="Normal 2 7 4 4 2" xfId="33760" xr:uid="{00000000-0005-0000-0000-0000E3830000}"/>
    <cellStyle name="Normal 2 7 4 4 2 2" xfId="33761" xr:uid="{00000000-0005-0000-0000-0000E4830000}"/>
    <cellStyle name="Normal 2 7 4 4 2 2 2" xfId="33762" xr:uid="{00000000-0005-0000-0000-0000E5830000}"/>
    <cellStyle name="Normal 2 7 4 4 2 2 2 2" xfId="33763" xr:uid="{00000000-0005-0000-0000-0000E6830000}"/>
    <cellStyle name="Normal 2 7 4 4 2 2 2 3" xfId="33764" xr:uid="{00000000-0005-0000-0000-0000E7830000}"/>
    <cellStyle name="Normal 2 7 4 4 2 2 3" xfId="33765" xr:uid="{00000000-0005-0000-0000-0000E8830000}"/>
    <cellStyle name="Normal 2 7 4 4 2 2 4" xfId="33766" xr:uid="{00000000-0005-0000-0000-0000E9830000}"/>
    <cellStyle name="Normal 2 7 4 4 2 2 5" xfId="33767" xr:uid="{00000000-0005-0000-0000-0000EA830000}"/>
    <cellStyle name="Normal 2 7 4 4 2 2 6" xfId="33768" xr:uid="{00000000-0005-0000-0000-0000EB830000}"/>
    <cellStyle name="Normal 2 7 4 4 2 3" xfId="33769" xr:uid="{00000000-0005-0000-0000-0000EC830000}"/>
    <cellStyle name="Normal 2 7 4 4 2 3 2" xfId="33770" xr:uid="{00000000-0005-0000-0000-0000ED830000}"/>
    <cellStyle name="Normal 2 7 4 4 2 3 2 2" xfId="33771" xr:uid="{00000000-0005-0000-0000-0000EE830000}"/>
    <cellStyle name="Normal 2 7 4 4 2 3 3" xfId="33772" xr:uid="{00000000-0005-0000-0000-0000EF830000}"/>
    <cellStyle name="Normal 2 7 4 4 2 3 4" xfId="33773" xr:uid="{00000000-0005-0000-0000-0000F0830000}"/>
    <cellStyle name="Normal 2 7 4 4 2 3 5" xfId="33774" xr:uid="{00000000-0005-0000-0000-0000F1830000}"/>
    <cellStyle name="Normal 2 7 4 4 2 4" xfId="33775" xr:uid="{00000000-0005-0000-0000-0000F2830000}"/>
    <cellStyle name="Normal 2 7 4 4 2 4 2" xfId="33776" xr:uid="{00000000-0005-0000-0000-0000F3830000}"/>
    <cellStyle name="Normal 2 7 4 4 2 4 3" xfId="33777" xr:uid="{00000000-0005-0000-0000-0000F4830000}"/>
    <cellStyle name="Normal 2 7 4 4 2 4 4" xfId="33778" xr:uid="{00000000-0005-0000-0000-0000F5830000}"/>
    <cellStyle name="Normal 2 7 4 4 2 5" xfId="33779" xr:uid="{00000000-0005-0000-0000-0000F6830000}"/>
    <cellStyle name="Normal 2 7 4 4 2 5 2" xfId="33780" xr:uid="{00000000-0005-0000-0000-0000F7830000}"/>
    <cellStyle name="Normal 2 7 4 4 2 6" xfId="33781" xr:uid="{00000000-0005-0000-0000-0000F8830000}"/>
    <cellStyle name="Normal 2 7 4 4 2 7" xfId="33782" xr:uid="{00000000-0005-0000-0000-0000F9830000}"/>
    <cellStyle name="Normal 2 7 4 4 2 8" xfId="33783" xr:uid="{00000000-0005-0000-0000-0000FA830000}"/>
    <cellStyle name="Normal 2 7 4 4 2 9" xfId="33784" xr:uid="{00000000-0005-0000-0000-0000FB830000}"/>
    <cellStyle name="Normal 2 7 4 4 3" xfId="33785" xr:uid="{00000000-0005-0000-0000-0000FC830000}"/>
    <cellStyle name="Normal 2 7 4 4 3 2" xfId="33786" xr:uid="{00000000-0005-0000-0000-0000FD830000}"/>
    <cellStyle name="Normal 2 7 4 4 3 2 2" xfId="33787" xr:uid="{00000000-0005-0000-0000-0000FE830000}"/>
    <cellStyle name="Normal 2 7 4 4 3 2 2 2" xfId="33788" xr:uid="{00000000-0005-0000-0000-0000FF830000}"/>
    <cellStyle name="Normal 2 7 4 4 3 2 2 3" xfId="33789" xr:uid="{00000000-0005-0000-0000-000000840000}"/>
    <cellStyle name="Normal 2 7 4 4 3 2 3" xfId="33790" xr:uid="{00000000-0005-0000-0000-000001840000}"/>
    <cellStyle name="Normal 2 7 4 4 3 2 4" xfId="33791" xr:uid="{00000000-0005-0000-0000-000002840000}"/>
    <cellStyle name="Normal 2 7 4 4 3 2 5" xfId="33792" xr:uid="{00000000-0005-0000-0000-000003840000}"/>
    <cellStyle name="Normal 2 7 4 4 3 2 6" xfId="33793" xr:uid="{00000000-0005-0000-0000-000004840000}"/>
    <cellStyle name="Normal 2 7 4 4 3 3" xfId="33794" xr:uid="{00000000-0005-0000-0000-000005840000}"/>
    <cellStyle name="Normal 2 7 4 4 3 3 2" xfId="33795" xr:uid="{00000000-0005-0000-0000-000006840000}"/>
    <cellStyle name="Normal 2 7 4 4 3 3 2 2" xfId="33796" xr:uid="{00000000-0005-0000-0000-000007840000}"/>
    <cellStyle name="Normal 2 7 4 4 3 3 3" xfId="33797" xr:uid="{00000000-0005-0000-0000-000008840000}"/>
    <cellStyle name="Normal 2 7 4 4 3 3 4" xfId="33798" xr:uid="{00000000-0005-0000-0000-000009840000}"/>
    <cellStyle name="Normal 2 7 4 4 3 3 5" xfId="33799" xr:uid="{00000000-0005-0000-0000-00000A840000}"/>
    <cellStyle name="Normal 2 7 4 4 3 4" xfId="33800" xr:uid="{00000000-0005-0000-0000-00000B840000}"/>
    <cellStyle name="Normal 2 7 4 4 3 4 2" xfId="33801" xr:uid="{00000000-0005-0000-0000-00000C840000}"/>
    <cellStyle name="Normal 2 7 4 4 3 4 3" xfId="33802" xr:uid="{00000000-0005-0000-0000-00000D840000}"/>
    <cellStyle name="Normal 2 7 4 4 3 4 4" xfId="33803" xr:uid="{00000000-0005-0000-0000-00000E840000}"/>
    <cellStyle name="Normal 2 7 4 4 3 5" xfId="33804" xr:uid="{00000000-0005-0000-0000-00000F840000}"/>
    <cellStyle name="Normal 2 7 4 4 3 5 2" xfId="33805" xr:uid="{00000000-0005-0000-0000-000010840000}"/>
    <cellStyle name="Normal 2 7 4 4 3 6" xfId="33806" xr:uid="{00000000-0005-0000-0000-000011840000}"/>
    <cellStyle name="Normal 2 7 4 4 3 7" xfId="33807" xr:uid="{00000000-0005-0000-0000-000012840000}"/>
    <cellStyle name="Normal 2 7 4 4 3 8" xfId="33808" xr:uid="{00000000-0005-0000-0000-000013840000}"/>
    <cellStyle name="Normal 2 7 4 4 3 9" xfId="33809" xr:uid="{00000000-0005-0000-0000-000014840000}"/>
    <cellStyle name="Normal 2 7 4 4 4" xfId="33810" xr:uid="{00000000-0005-0000-0000-000015840000}"/>
    <cellStyle name="Normal 2 7 4 4 4 2" xfId="33811" xr:uid="{00000000-0005-0000-0000-000016840000}"/>
    <cellStyle name="Normal 2 7 4 4 4 2 2" xfId="33812" xr:uid="{00000000-0005-0000-0000-000017840000}"/>
    <cellStyle name="Normal 2 7 4 4 4 2 3" xfId="33813" xr:uid="{00000000-0005-0000-0000-000018840000}"/>
    <cellStyle name="Normal 2 7 4 4 4 3" xfId="33814" xr:uid="{00000000-0005-0000-0000-000019840000}"/>
    <cellStyle name="Normal 2 7 4 4 4 4" xfId="33815" xr:uid="{00000000-0005-0000-0000-00001A840000}"/>
    <cellStyle name="Normal 2 7 4 4 4 5" xfId="33816" xr:uid="{00000000-0005-0000-0000-00001B840000}"/>
    <cellStyle name="Normal 2 7 4 4 4 6" xfId="33817" xr:uid="{00000000-0005-0000-0000-00001C840000}"/>
    <cellStyle name="Normal 2 7 4 4 5" xfId="33818" xr:uid="{00000000-0005-0000-0000-00001D840000}"/>
    <cellStyle name="Normal 2 7 4 4 5 2" xfId="33819" xr:uid="{00000000-0005-0000-0000-00001E840000}"/>
    <cellStyle name="Normal 2 7 4 4 5 2 2" xfId="33820" xr:uid="{00000000-0005-0000-0000-00001F840000}"/>
    <cellStyle name="Normal 2 7 4 4 5 3" xfId="33821" xr:uid="{00000000-0005-0000-0000-000020840000}"/>
    <cellStyle name="Normal 2 7 4 4 5 4" xfId="33822" xr:uid="{00000000-0005-0000-0000-000021840000}"/>
    <cellStyle name="Normal 2 7 4 4 5 5" xfId="33823" xr:uid="{00000000-0005-0000-0000-000022840000}"/>
    <cellStyle name="Normal 2 7 4 4 6" xfId="33824" xr:uid="{00000000-0005-0000-0000-000023840000}"/>
    <cellStyle name="Normal 2 7 4 4 6 2" xfId="33825" xr:uid="{00000000-0005-0000-0000-000024840000}"/>
    <cellStyle name="Normal 2 7 4 4 6 3" xfId="33826" xr:uid="{00000000-0005-0000-0000-000025840000}"/>
    <cellStyle name="Normal 2 7 4 4 6 4" xfId="33827" xr:uid="{00000000-0005-0000-0000-000026840000}"/>
    <cellStyle name="Normal 2 7 4 4 7" xfId="33828" xr:uid="{00000000-0005-0000-0000-000027840000}"/>
    <cellStyle name="Normal 2 7 4 4 7 2" xfId="33829" xr:uid="{00000000-0005-0000-0000-000028840000}"/>
    <cellStyle name="Normal 2 7 4 4 8" xfId="33830" xr:uid="{00000000-0005-0000-0000-000029840000}"/>
    <cellStyle name="Normal 2 7 4 4 9" xfId="33831" xr:uid="{00000000-0005-0000-0000-00002A840000}"/>
    <cellStyle name="Normal 2 7 4 5" xfId="33832" xr:uid="{00000000-0005-0000-0000-00002B840000}"/>
    <cellStyle name="Normal 2 7 4 5 10" xfId="33833" xr:uid="{00000000-0005-0000-0000-00002C840000}"/>
    <cellStyle name="Normal 2 7 4 5 11" xfId="33834" xr:uid="{00000000-0005-0000-0000-00002D840000}"/>
    <cellStyle name="Normal 2 7 4 5 2" xfId="33835" xr:uid="{00000000-0005-0000-0000-00002E840000}"/>
    <cellStyle name="Normal 2 7 4 5 2 2" xfId="33836" xr:uid="{00000000-0005-0000-0000-00002F840000}"/>
    <cellStyle name="Normal 2 7 4 5 2 2 2" xfId="33837" xr:uid="{00000000-0005-0000-0000-000030840000}"/>
    <cellStyle name="Normal 2 7 4 5 2 2 2 2" xfId="33838" xr:uid="{00000000-0005-0000-0000-000031840000}"/>
    <cellStyle name="Normal 2 7 4 5 2 2 2 3" xfId="33839" xr:uid="{00000000-0005-0000-0000-000032840000}"/>
    <cellStyle name="Normal 2 7 4 5 2 2 3" xfId="33840" xr:uid="{00000000-0005-0000-0000-000033840000}"/>
    <cellStyle name="Normal 2 7 4 5 2 2 4" xfId="33841" xr:uid="{00000000-0005-0000-0000-000034840000}"/>
    <cellStyle name="Normal 2 7 4 5 2 2 5" xfId="33842" xr:uid="{00000000-0005-0000-0000-000035840000}"/>
    <cellStyle name="Normal 2 7 4 5 2 2 6" xfId="33843" xr:uid="{00000000-0005-0000-0000-000036840000}"/>
    <cellStyle name="Normal 2 7 4 5 2 3" xfId="33844" xr:uid="{00000000-0005-0000-0000-000037840000}"/>
    <cellStyle name="Normal 2 7 4 5 2 3 2" xfId="33845" xr:uid="{00000000-0005-0000-0000-000038840000}"/>
    <cellStyle name="Normal 2 7 4 5 2 3 2 2" xfId="33846" xr:uid="{00000000-0005-0000-0000-000039840000}"/>
    <cellStyle name="Normal 2 7 4 5 2 3 3" xfId="33847" xr:uid="{00000000-0005-0000-0000-00003A840000}"/>
    <cellStyle name="Normal 2 7 4 5 2 3 4" xfId="33848" xr:uid="{00000000-0005-0000-0000-00003B840000}"/>
    <cellStyle name="Normal 2 7 4 5 2 3 5" xfId="33849" xr:uid="{00000000-0005-0000-0000-00003C840000}"/>
    <cellStyle name="Normal 2 7 4 5 2 4" xfId="33850" xr:uid="{00000000-0005-0000-0000-00003D840000}"/>
    <cellStyle name="Normal 2 7 4 5 2 4 2" xfId="33851" xr:uid="{00000000-0005-0000-0000-00003E840000}"/>
    <cellStyle name="Normal 2 7 4 5 2 4 3" xfId="33852" xr:uid="{00000000-0005-0000-0000-00003F840000}"/>
    <cellStyle name="Normal 2 7 4 5 2 4 4" xfId="33853" xr:uid="{00000000-0005-0000-0000-000040840000}"/>
    <cellStyle name="Normal 2 7 4 5 2 5" xfId="33854" xr:uid="{00000000-0005-0000-0000-000041840000}"/>
    <cellStyle name="Normal 2 7 4 5 2 5 2" xfId="33855" xr:uid="{00000000-0005-0000-0000-000042840000}"/>
    <cellStyle name="Normal 2 7 4 5 2 6" xfId="33856" xr:uid="{00000000-0005-0000-0000-000043840000}"/>
    <cellStyle name="Normal 2 7 4 5 2 7" xfId="33857" xr:uid="{00000000-0005-0000-0000-000044840000}"/>
    <cellStyle name="Normal 2 7 4 5 2 8" xfId="33858" xr:uid="{00000000-0005-0000-0000-000045840000}"/>
    <cellStyle name="Normal 2 7 4 5 2 9" xfId="33859" xr:uid="{00000000-0005-0000-0000-000046840000}"/>
    <cellStyle name="Normal 2 7 4 5 3" xfId="33860" xr:uid="{00000000-0005-0000-0000-000047840000}"/>
    <cellStyle name="Normal 2 7 4 5 3 2" xfId="33861" xr:uid="{00000000-0005-0000-0000-000048840000}"/>
    <cellStyle name="Normal 2 7 4 5 3 2 2" xfId="33862" xr:uid="{00000000-0005-0000-0000-000049840000}"/>
    <cellStyle name="Normal 2 7 4 5 3 2 2 2" xfId="33863" xr:uid="{00000000-0005-0000-0000-00004A840000}"/>
    <cellStyle name="Normal 2 7 4 5 3 2 2 3" xfId="33864" xr:uid="{00000000-0005-0000-0000-00004B840000}"/>
    <cellStyle name="Normal 2 7 4 5 3 2 3" xfId="33865" xr:uid="{00000000-0005-0000-0000-00004C840000}"/>
    <cellStyle name="Normal 2 7 4 5 3 2 4" xfId="33866" xr:uid="{00000000-0005-0000-0000-00004D840000}"/>
    <cellStyle name="Normal 2 7 4 5 3 2 5" xfId="33867" xr:uid="{00000000-0005-0000-0000-00004E840000}"/>
    <cellStyle name="Normal 2 7 4 5 3 2 6" xfId="33868" xr:uid="{00000000-0005-0000-0000-00004F840000}"/>
    <cellStyle name="Normal 2 7 4 5 3 3" xfId="33869" xr:uid="{00000000-0005-0000-0000-000050840000}"/>
    <cellStyle name="Normal 2 7 4 5 3 3 2" xfId="33870" xr:uid="{00000000-0005-0000-0000-000051840000}"/>
    <cellStyle name="Normal 2 7 4 5 3 3 2 2" xfId="33871" xr:uid="{00000000-0005-0000-0000-000052840000}"/>
    <cellStyle name="Normal 2 7 4 5 3 3 3" xfId="33872" xr:uid="{00000000-0005-0000-0000-000053840000}"/>
    <cellStyle name="Normal 2 7 4 5 3 3 4" xfId="33873" xr:uid="{00000000-0005-0000-0000-000054840000}"/>
    <cellStyle name="Normal 2 7 4 5 3 3 5" xfId="33874" xr:uid="{00000000-0005-0000-0000-000055840000}"/>
    <cellStyle name="Normal 2 7 4 5 3 4" xfId="33875" xr:uid="{00000000-0005-0000-0000-000056840000}"/>
    <cellStyle name="Normal 2 7 4 5 3 4 2" xfId="33876" xr:uid="{00000000-0005-0000-0000-000057840000}"/>
    <cellStyle name="Normal 2 7 4 5 3 4 3" xfId="33877" xr:uid="{00000000-0005-0000-0000-000058840000}"/>
    <cellStyle name="Normal 2 7 4 5 3 4 4" xfId="33878" xr:uid="{00000000-0005-0000-0000-000059840000}"/>
    <cellStyle name="Normal 2 7 4 5 3 5" xfId="33879" xr:uid="{00000000-0005-0000-0000-00005A840000}"/>
    <cellStyle name="Normal 2 7 4 5 3 5 2" xfId="33880" xr:uid="{00000000-0005-0000-0000-00005B840000}"/>
    <cellStyle name="Normal 2 7 4 5 3 6" xfId="33881" xr:uid="{00000000-0005-0000-0000-00005C840000}"/>
    <cellStyle name="Normal 2 7 4 5 3 7" xfId="33882" xr:uid="{00000000-0005-0000-0000-00005D840000}"/>
    <cellStyle name="Normal 2 7 4 5 3 8" xfId="33883" xr:uid="{00000000-0005-0000-0000-00005E840000}"/>
    <cellStyle name="Normal 2 7 4 5 3 9" xfId="33884" xr:uid="{00000000-0005-0000-0000-00005F840000}"/>
    <cellStyle name="Normal 2 7 4 5 4" xfId="33885" xr:uid="{00000000-0005-0000-0000-000060840000}"/>
    <cellStyle name="Normal 2 7 4 5 4 2" xfId="33886" xr:uid="{00000000-0005-0000-0000-000061840000}"/>
    <cellStyle name="Normal 2 7 4 5 4 2 2" xfId="33887" xr:uid="{00000000-0005-0000-0000-000062840000}"/>
    <cellStyle name="Normal 2 7 4 5 4 2 3" xfId="33888" xr:uid="{00000000-0005-0000-0000-000063840000}"/>
    <cellStyle name="Normal 2 7 4 5 4 3" xfId="33889" xr:uid="{00000000-0005-0000-0000-000064840000}"/>
    <cellStyle name="Normal 2 7 4 5 4 4" xfId="33890" xr:uid="{00000000-0005-0000-0000-000065840000}"/>
    <cellStyle name="Normal 2 7 4 5 4 5" xfId="33891" xr:uid="{00000000-0005-0000-0000-000066840000}"/>
    <cellStyle name="Normal 2 7 4 5 4 6" xfId="33892" xr:uid="{00000000-0005-0000-0000-000067840000}"/>
    <cellStyle name="Normal 2 7 4 5 5" xfId="33893" xr:uid="{00000000-0005-0000-0000-000068840000}"/>
    <cellStyle name="Normal 2 7 4 5 5 2" xfId="33894" xr:uid="{00000000-0005-0000-0000-000069840000}"/>
    <cellStyle name="Normal 2 7 4 5 5 2 2" xfId="33895" xr:uid="{00000000-0005-0000-0000-00006A840000}"/>
    <cellStyle name="Normal 2 7 4 5 5 3" xfId="33896" xr:uid="{00000000-0005-0000-0000-00006B840000}"/>
    <cellStyle name="Normal 2 7 4 5 5 4" xfId="33897" xr:uid="{00000000-0005-0000-0000-00006C840000}"/>
    <cellStyle name="Normal 2 7 4 5 5 5" xfId="33898" xr:uid="{00000000-0005-0000-0000-00006D840000}"/>
    <cellStyle name="Normal 2 7 4 5 6" xfId="33899" xr:uid="{00000000-0005-0000-0000-00006E840000}"/>
    <cellStyle name="Normal 2 7 4 5 6 2" xfId="33900" xr:uid="{00000000-0005-0000-0000-00006F840000}"/>
    <cellStyle name="Normal 2 7 4 5 6 3" xfId="33901" xr:uid="{00000000-0005-0000-0000-000070840000}"/>
    <cellStyle name="Normal 2 7 4 5 6 4" xfId="33902" xr:uid="{00000000-0005-0000-0000-000071840000}"/>
    <cellStyle name="Normal 2 7 4 5 7" xfId="33903" xr:uid="{00000000-0005-0000-0000-000072840000}"/>
    <cellStyle name="Normal 2 7 4 5 7 2" xfId="33904" xr:uid="{00000000-0005-0000-0000-000073840000}"/>
    <cellStyle name="Normal 2 7 4 5 8" xfId="33905" xr:uid="{00000000-0005-0000-0000-000074840000}"/>
    <cellStyle name="Normal 2 7 4 5 9" xfId="33906" xr:uid="{00000000-0005-0000-0000-000075840000}"/>
    <cellStyle name="Normal 2 7 4 6" xfId="33907" xr:uid="{00000000-0005-0000-0000-000076840000}"/>
    <cellStyle name="Normal 2 7 4 6 10" xfId="33908" xr:uid="{00000000-0005-0000-0000-000077840000}"/>
    <cellStyle name="Normal 2 7 4 6 11" xfId="33909" xr:uid="{00000000-0005-0000-0000-000078840000}"/>
    <cellStyle name="Normal 2 7 4 6 2" xfId="33910" xr:uid="{00000000-0005-0000-0000-000079840000}"/>
    <cellStyle name="Normal 2 7 4 6 2 2" xfId="33911" xr:uid="{00000000-0005-0000-0000-00007A840000}"/>
    <cellStyle name="Normal 2 7 4 6 2 2 2" xfId="33912" xr:uid="{00000000-0005-0000-0000-00007B840000}"/>
    <cellStyle name="Normal 2 7 4 6 2 2 2 2" xfId="33913" xr:uid="{00000000-0005-0000-0000-00007C840000}"/>
    <cellStyle name="Normal 2 7 4 6 2 2 2 3" xfId="33914" xr:uid="{00000000-0005-0000-0000-00007D840000}"/>
    <cellStyle name="Normal 2 7 4 6 2 2 3" xfId="33915" xr:uid="{00000000-0005-0000-0000-00007E840000}"/>
    <cellStyle name="Normal 2 7 4 6 2 2 4" xfId="33916" xr:uid="{00000000-0005-0000-0000-00007F840000}"/>
    <cellStyle name="Normal 2 7 4 6 2 2 5" xfId="33917" xr:uid="{00000000-0005-0000-0000-000080840000}"/>
    <cellStyle name="Normal 2 7 4 6 2 2 6" xfId="33918" xr:uid="{00000000-0005-0000-0000-000081840000}"/>
    <cellStyle name="Normal 2 7 4 6 2 3" xfId="33919" xr:uid="{00000000-0005-0000-0000-000082840000}"/>
    <cellStyle name="Normal 2 7 4 6 2 3 2" xfId="33920" xr:uid="{00000000-0005-0000-0000-000083840000}"/>
    <cellStyle name="Normal 2 7 4 6 2 3 2 2" xfId="33921" xr:uid="{00000000-0005-0000-0000-000084840000}"/>
    <cellStyle name="Normal 2 7 4 6 2 3 3" xfId="33922" xr:uid="{00000000-0005-0000-0000-000085840000}"/>
    <cellStyle name="Normal 2 7 4 6 2 3 4" xfId="33923" xr:uid="{00000000-0005-0000-0000-000086840000}"/>
    <cellStyle name="Normal 2 7 4 6 2 3 5" xfId="33924" xr:uid="{00000000-0005-0000-0000-000087840000}"/>
    <cellStyle name="Normal 2 7 4 6 2 4" xfId="33925" xr:uid="{00000000-0005-0000-0000-000088840000}"/>
    <cellStyle name="Normal 2 7 4 6 2 4 2" xfId="33926" xr:uid="{00000000-0005-0000-0000-000089840000}"/>
    <cellStyle name="Normal 2 7 4 6 2 4 3" xfId="33927" xr:uid="{00000000-0005-0000-0000-00008A840000}"/>
    <cellStyle name="Normal 2 7 4 6 2 4 4" xfId="33928" xr:uid="{00000000-0005-0000-0000-00008B840000}"/>
    <cellStyle name="Normal 2 7 4 6 2 5" xfId="33929" xr:uid="{00000000-0005-0000-0000-00008C840000}"/>
    <cellStyle name="Normal 2 7 4 6 2 5 2" xfId="33930" xr:uid="{00000000-0005-0000-0000-00008D840000}"/>
    <cellStyle name="Normal 2 7 4 6 2 6" xfId="33931" xr:uid="{00000000-0005-0000-0000-00008E840000}"/>
    <cellStyle name="Normal 2 7 4 6 2 7" xfId="33932" xr:uid="{00000000-0005-0000-0000-00008F840000}"/>
    <cellStyle name="Normal 2 7 4 6 2 8" xfId="33933" xr:uid="{00000000-0005-0000-0000-000090840000}"/>
    <cellStyle name="Normal 2 7 4 6 2 9" xfId="33934" xr:uid="{00000000-0005-0000-0000-000091840000}"/>
    <cellStyle name="Normal 2 7 4 6 3" xfId="33935" xr:uid="{00000000-0005-0000-0000-000092840000}"/>
    <cellStyle name="Normal 2 7 4 6 3 2" xfId="33936" xr:uid="{00000000-0005-0000-0000-000093840000}"/>
    <cellStyle name="Normal 2 7 4 6 3 2 2" xfId="33937" xr:uid="{00000000-0005-0000-0000-000094840000}"/>
    <cellStyle name="Normal 2 7 4 6 3 2 2 2" xfId="33938" xr:uid="{00000000-0005-0000-0000-000095840000}"/>
    <cellStyle name="Normal 2 7 4 6 3 2 2 3" xfId="33939" xr:uid="{00000000-0005-0000-0000-000096840000}"/>
    <cellStyle name="Normal 2 7 4 6 3 2 3" xfId="33940" xr:uid="{00000000-0005-0000-0000-000097840000}"/>
    <cellStyle name="Normal 2 7 4 6 3 2 4" xfId="33941" xr:uid="{00000000-0005-0000-0000-000098840000}"/>
    <cellStyle name="Normal 2 7 4 6 3 2 5" xfId="33942" xr:uid="{00000000-0005-0000-0000-000099840000}"/>
    <cellStyle name="Normal 2 7 4 6 3 2 6" xfId="33943" xr:uid="{00000000-0005-0000-0000-00009A840000}"/>
    <cellStyle name="Normal 2 7 4 6 3 3" xfId="33944" xr:uid="{00000000-0005-0000-0000-00009B840000}"/>
    <cellStyle name="Normal 2 7 4 6 3 3 2" xfId="33945" xr:uid="{00000000-0005-0000-0000-00009C840000}"/>
    <cellStyle name="Normal 2 7 4 6 3 3 2 2" xfId="33946" xr:uid="{00000000-0005-0000-0000-00009D840000}"/>
    <cellStyle name="Normal 2 7 4 6 3 3 3" xfId="33947" xr:uid="{00000000-0005-0000-0000-00009E840000}"/>
    <cellStyle name="Normal 2 7 4 6 3 3 4" xfId="33948" xr:uid="{00000000-0005-0000-0000-00009F840000}"/>
    <cellStyle name="Normal 2 7 4 6 3 3 5" xfId="33949" xr:uid="{00000000-0005-0000-0000-0000A0840000}"/>
    <cellStyle name="Normal 2 7 4 6 3 4" xfId="33950" xr:uid="{00000000-0005-0000-0000-0000A1840000}"/>
    <cellStyle name="Normal 2 7 4 6 3 4 2" xfId="33951" xr:uid="{00000000-0005-0000-0000-0000A2840000}"/>
    <cellStyle name="Normal 2 7 4 6 3 4 3" xfId="33952" xr:uid="{00000000-0005-0000-0000-0000A3840000}"/>
    <cellStyle name="Normal 2 7 4 6 3 4 4" xfId="33953" xr:uid="{00000000-0005-0000-0000-0000A4840000}"/>
    <cellStyle name="Normal 2 7 4 6 3 5" xfId="33954" xr:uid="{00000000-0005-0000-0000-0000A5840000}"/>
    <cellStyle name="Normal 2 7 4 6 3 5 2" xfId="33955" xr:uid="{00000000-0005-0000-0000-0000A6840000}"/>
    <cellStyle name="Normal 2 7 4 6 3 6" xfId="33956" xr:uid="{00000000-0005-0000-0000-0000A7840000}"/>
    <cellStyle name="Normal 2 7 4 6 3 7" xfId="33957" xr:uid="{00000000-0005-0000-0000-0000A8840000}"/>
    <cellStyle name="Normal 2 7 4 6 3 8" xfId="33958" xr:uid="{00000000-0005-0000-0000-0000A9840000}"/>
    <cellStyle name="Normal 2 7 4 6 3 9" xfId="33959" xr:uid="{00000000-0005-0000-0000-0000AA840000}"/>
    <cellStyle name="Normal 2 7 4 6 4" xfId="33960" xr:uid="{00000000-0005-0000-0000-0000AB840000}"/>
    <cellStyle name="Normal 2 7 4 6 4 2" xfId="33961" xr:uid="{00000000-0005-0000-0000-0000AC840000}"/>
    <cellStyle name="Normal 2 7 4 6 4 2 2" xfId="33962" xr:uid="{00000000-0005-0000-0000-0000AD840000}"/>
    <cellStyle name="Normal 2 7 4 6 4 2 3" xfId="33963" xr:uid="{00000000-0005-0000-0000-0000AE840000}"/>
    <cellStyle name="Normal 2 7 4 6 4 3" xfId="33964" xr:uid="{00000000-0005-0000-0000-0000AF840000}"/>
    <cellStyle name="Normal 2 7 4 6 4 4" xfId="33965" xr:uid="{00000000-0005-0000-0000-0000B0840000}"/>
    <cellStyle name="Normal 2 7 4 6 4 5" xfId="33966" xr:uid="{00000000-0005-0000-0000-0000B1840000}"/>
    <cellStyle name="Normal 2 7 4 6 4 6" xfId="33967" xr:uid="{00000000-0005-0000-0000-0000B2840000}"/>
    <cellStyle name="Normal 2 7 4 6 5" xfId="33968" xr:uid="{00000000-0005-0000-0000-0000B3840000}"/>
    <cellStyle name="Normal 2 7 4 6 5 2" xfId="33969" xr:uid="{00000000-0005-0000-0000-0000B4840000}"/>
    <cellStyle name="Normal 2 7 4 6 5 2 2" xfId="33970" xr:uid="{00000000-0005-0000-0000-0000B5840000}"/>
    <cellStyle name="Normal 2 7 4 6 5 3" xfId="33971" xr:uid="{00000000-0005-0000-0000-0000B6840000}"/>
    <cellStyle name="Normal 2 7 4 6 5 4" xfId="33972" xr:uid="{00000000-0005-0000-0000-0000B7840000}"/>
    <cellStyle name="Normal 2 7 4 6 5 5" xfId="33973" xr:uid="{00000000-0005-0000-0000-0000B8840000}"/>
    <cellStyle name="Normal 2 7 4 6 6" xfId="33974" xr:uid="{00000000-0005-0000-0000-0000B9840000}"/>
    <cellStyle name="Normal 2 7 4 6 6 2" xfId="33975" xr:uid="{00000000-0005-0000-0000-0000BA840000}"/>
    <cellStyle name="Normal 2 7 4 6 6 3" xfId="33976" xr:uid="{00000000-0005-0000-0000-0000BB840000}"/>
    <cellStyle name="Normal 2 7 4 6 6 4" xfId="33977" xr:uid="{00000000-0005-0000-0000-0000BC840000}"/>
    <cellStyle name="Normal 2 7 4 6 7" xfId="33978" xr:uid="{00000000-0005-0000-0000-0000BD840000}"/>
    <cellStyle name="Normal 2 7 4 6 7 2" xfId="33979" xr:uid="{00000000-0005-0000-0000-0000BE840000}"/>
    <cellStyle name="Normal 2 7 4 6 8" xfId="33980" xr:uid="{00000000-0005-0000-0000-0000BF840000}"/>
    <cellStyle name="Normal 2 7 4 6 9" xfId="33981" xr:uid="{00000000-0005-0000-0000-0000C0840000}"/>
    <cellStyle name="Normal 2 7 4 7" xfId="33982" xr:uid="{00000000-0005-0000-0000-0000C1840000}"/>
    <cellStyle name="Normal 2 7 4 7 10" xfId="33983" xr:uid="{00000000-0005-0000-0000-0000C2840000}"/>
    <cellStyle name="Normal 2 7 4 7 11" xfId="33984" xr:uid="{00000000-0005-0000-0000-0000C3840000}"/>
    <cellStyle name="Normal 2 7 4 7 2" xfId="33985" xr:uid="{00000000-0005-0000-0000-0000C4840000}"/>
    <cellStyle name="Normal 2 7 4 7 2 2" xfId="33986" xr:uid="{00000000-0005-0000-0000-0000C5840000}"/>
    <cellStyle name="Normal 2 7 4 7 2 2 2" xfId="33987" xr:uid="{00000000-0005-0000-0000-0000C6840000}"/>
    <cellStyle name="Normal 2 7 4 7 2 2 2 2" xfId="33988" xr:uid="{00000000-0005-0000-0000-0000C7840000}"/>
    <cellStyle name="Normal 2 7 4 7 2 2 2 3" xfId="33989" xr:uid="{00000000-0005-0000-0000-0000C8840000}"/>
    <cellStyle name="Normal 2 7 4 7 2 2 3" xfId="33990" xr:uid="{00000000-0005-0000-0000-0000C9840000}"/>
    <cellStyle name="Normal 2 7 4 7 2 2 4" xfId="33991" xr:uid="{00000000-0005-0000-0000-0000CA840000}"/>
    <cellStyle name="Normal 2 7 4 7 2 2 5" xfId="33992" xr:uid="{00000000-0005-0000-0000-0000CB840000}"/>
    <cellStyle name="Normal 2 7 4 7 2 2 6" xfId="33993" xr:uid="{00000000-0005-0000-0000-0000CC840000}"/>
    <cellStyle name="Normal 2 7 4 7 2 3" xfId="33994" xr:uid="{00000000-0005-0000-0000-0000CD840000}"/>
    <cellStyle name="Normal 2 7 4 7 2 3 2" xfId="33995" xr:uid="{00000000-0005-0000-0000-0000CE840000}"/>
    <cellStyle name="Normal 2 7 4 7 2 3 2 2" xfId="33996" xr:uid="{00000000-0005-0000-0000-0000CF840000}"/>
    <cellStyle name="Normal 2 7 4 7 2 3 3" xfId="33997" xr:uid="{00000000-0005-0000-0000-0000D0840000}"/>
    <cellStyle name="Normal 2 7 4 7 2 3 4" xfId="33998" xr:uid="{00000000-0005-0000-0000-0000D1840000}"/>
    <cellStyle name="Normal 2 7 4 7 2 3 5" xfId="33999" xr:uid="{00000000-0005-0000-0000-0000D2840000}"/>
    <cellStyle name="Normal 2 7 4 7 2 4" xfId="34000" xr:uid="{00000000-0005-0000-0000-0000D3840000}"/>
    <cellStyle name="Normal 2 7 4 7 2 4 2" xfId="34001" xr:uid="{00000000-0005-0000-0000-0000D4840000}"/>
    <cellStyle name="Normal 2 7 4 7 2 4 3" xfId="34002" xr:uid="{00000000-0005-0000-0000-0000D5840000}"/>
    <cellStyle name="Normal 2 7 4 7 2 4 4" xfId="34003" xr:uid="{00000000-0005-0000-0000-0000D6840000}"/>
    <cellStyle name="Normal 2 7 4 7 2 5" xfId="34004" xr:uid="{00000000-0005-0000-0000-0000D7840000}"/>
    <cellStyle name="Normal 2 7 4 7 2 5 2" xfId="34005" xr:uid="{00000000-0005-0000-0000-0000D8840000}"/>
    <cellStyle name="Normal 2 7 4 7 2 6" xfId="34006" xr:uid="{00000000-0005-0000-0000-0000D9840000}"/>
    <cellStyle name="Normal 2 7 4 7 2 7" xfId="34007" xr:uid="{00000000-0005-0000-0000-0000DA840000}"/>
    <cellStyle name="Normal 2 7 4 7 2 8" xfId="34008" xr:uid="{00000000-0005-0000-0000-0000DB840000}"/>
    <cellStyle name="Normal 2 7 4 7 2 9" xfId="34009" xr:uid="{00000000-0005-0000-0000-0000DC840000}"/>
    <cellStyle name="Normal 2 7 4 7 3" xfId="34010" xr:uid="{00000000-0005-0000-0000-0000DD840000}"/>
    <cellStyle name="Normal 2 7 4 7 3 2" xfId="34011" xr:uid="{00000000-0005-0000-0000-0000DE840000}"/>
    <cellStyle name="Normal 2 7 4 7 3 2 2" xfId="34012" xr:uid="{00000000-0005-0000-0000-0000DF840000}"/>
    <cellStyle name="Normal 2 7 4 7 3 2 2 2" xfId="34013" xr:uid="{00000000-0005-0000-0000-0000E0840000}"/>
    <cellStyle name="Normal 2 7 4 7 3 2 2 3" xfId="34014" xr:uid="{00000000-0005-0000-0000-0000E1840000}"/>
    <cellStyle name="Normal 2 7 4 7 3 2 3" xfId="34015" xr:uid="{00000000-0005-0000-0000-0000E2840000}"/>
    <cellStyle name="Normal 2 7 4 7 3 2 4" xfId="34016" xr:uid="{00000000-0005-0000-0000-0000E3840000}"/>
    <cellStyle name="Normal 2 7 4 7 3 2 5" xfId="34017" xr:uid="{00000000-0005-0000-0000-0000E4840000}"/>
    <cellStyle name="Normal 2 7 4 7 3 2 6" xfId="34018" xr:uid="{00000000-0005-0000-0000-0000E5840000}"/>
    <cellStyle name="Normal 2 7 4 7 3 3" xfId="34019" xr:uid="{00000000-0005-0000-0000-0000E6840000}"/>
    <cellStyle name="Normal 2 7 4 7 3 3 2" xfId="34020" xr:uid="{00000000-0005-0000-0000-0000E7840000}"/>
    <cellStyle name="Normal 2 7 4 7 3 3 2 2" xfId="34021" xr:uid="{00000000-0005-0000-0000-0000E8840000}"/>
    <cellStyle name="Normal 2 7 4 7 3 3 3" xfId="34022" xr:uid="{00000000-0005-0000-0000-0000E9840000}"/>
    <cellStyle name="Normal 2 7 4 7 3 3 4" xfId="34023" xr:uid="{00000000-0005-0000-0000-0000EA840000}"/>
    <cellStyle name="Normal 2 7 4 7 3 3 5" xfId="34024" xr:uid="{00000000-0005-0000-0000-0000EB840000}"/>
    <cellStyle name="Normal 2 7 4 7 3 4" xfId="34025" xr:uid="{00000000-0005-0000-0000-0000EC840000}"/>
    <cellStyle name="Normal 2 7 4 7 3 4 2" xfId="34026" xr:uid="{00000000-0005-0000-0000-0000ED840000}"/>
    <cellStyle name="Normal 2 7 4 7 3 4 3" xfId="34027" xr:uid="{00000000-0005-0000-0000-0000EE840000}"/>
    <cellStyle name="Normal 2 7 4 7 3 4 4" xfId="34028" xr:uid="{00000000-0005-0000-0000-0000EF840000}"/>
    <cellStyle name="Normal 2 7 4 7 3 5" xfId="34029" xr:uid="{00000000-0005-0000-0000-0000F0840000}"/>
    <cellStyle name="Normal 2 7 4 7 3 5 2" xfId="34030" xr:uid="{00000000-0005-0000-0000-0000F1840000}"/>
    <cellStyle name="Normal 2 7 4 7 3 6" xfId="34031" xr:uid="{00000000-0005-0000-0000-0000F2840000}"/>
    <cellStyle name="Normal 2 7 4 7 3 7" xfId="34032" xr:uid="{00000000-0005-0000-0000-0000F3840000}"/>
    <cellStyle name="Normal 2 7 4 7 3 8" xfId="34033" xr:uid="{00000000-0005-0000-0000-0000F4840000}"/>
    <cellStyle name="Normal 2 7 4 7 3 9" xfId="34034" xr:uid="{00000000-0005-0000-0000-0000F5840000}"/>
    <cellStyle name="Normal 2 7 4 7 4" xfId="34035" xr:uid="{00000000-0005-0000-0000-0000F6840000}"/>
    <cellStyle name="Normal 2 7 4 7 4 2" xfId="34036" xr:uid="{00000000-0005-0000-0000-0000F7840000}"/>
    <cellStyle name="Normal 2 7 4 7 4 2 2" xfId="34037" xr:uid="{00000000-0005-0000-0000-0000F8840000}"/>
    <cellStyle name="Normal 2 7 4 7 4 2 3" xfId="34038" xr:uid="{00000000-0005-0000-0000-0000F9840000}"/>
    <cellStyle name="Normal 2 7 4 7 4 3" xfId="34039" xr:uid="{00000000-0005-0000-0000-0000FA840000}"/>
    <cellStyle name="Normal 2 7 4 7 4 4" xfId="34040" xr:uid="{00000000-0005-0000-0000-0000FB840000}"/>
    <cellStyle name="Normal 2 7 4 7 4 5" xfId="34041" xr:uid="{00000000-0005-0000-0000-0000FC840000}"/>
    <cellStyle name="Normal 2 7 4 7 4 6" xfId="34042" xr:uid="{00000000-0005-0000-0000-0000FD840000}"/>
    <cellStyle name="Normal 2 7 4 7 5" xfId="34043" xr:uid="{00000000-0005-0000-0000-0000FE840000}"/>
    <cellStyle name="Normal 2 7 4 7 5 2" xfId="34044" xr:uid="{00000000-0005-0000-0000-0000FF840000}"/>
    <cellStyle name="Normal 2 7 4 7 5 2 2" xfId="34045" xr:uid="{00000000-0005-0000-0000-000000850000}"/>
    <cellStyle name="Normal 2 7 4 7 5 3" xfId="34046" xr:uid="{00000000-0005-0000-0000-000001850000}"/>
    <cellStyle name="Normal 2 7 4 7 5 4" xfId="34047" xr:uid="{00000000-0005-0000-0000-000002850000}"/>
    <cellStyle name="Normal 2 7 4 7 5 5" xfId="34048" xr:uid="{00000000-0005-0000-0000-000003850000}"/>
    <cellStyle name="Normal 2 7 4 7 6" xfId="34049" xr:uid="{00000000-0005-0000-0000-000004850000}"/>
    <cellStyle name="Normal 2 7 4 7 6 2" xfId="34050" xr:uid="{00000000-0005-0000-0000-000005850000}"/>
    <cellStyle name="Normal 2 7 4 7 6 3" xfId="34051" xr:uid="{00000000-0005-0000-0000-000006850000}"/>
    <cellStyle name="Normal 2 7 4 7 6 4" xfId="34052" xr:uid="{00000000-0005-0000-0000-000007850000}"/>
    <cellStyle name="Normal 2 7 4 7 7" xfId="34053" xr:uid="{00000000-0005-0000-0000-000008850000}"/>
    <cellStyle name="Normal 2 7 4 7 7 2" xfId="34054" xr:uid="{00000000-0005-0000-0000-000009850000}"/>
    <cellStyle name="Normal 2 7 4 7 8" xfId="34055" xr:uid="{00000000-0005-0000-0000-00000A850000}"/>
    <cellStyle name="Normal 2 7 4 7 9" xfId="34056" xr:uid="{00000000-0005-0000-0000-00000B850000}"/>
    <cellStyle name="Normal 2 7 4 8" xfId="34057" xr:uid="{00000000-0005-0000-0000-00000C850000}"/>
    <cellStyle name="Normal 2 7 4 8 10" xfId="34058" xr:uid="{00000000-0005-0000-0000-00000D850000}"/>
    <cellStyle name="Normal 2 7 4 8 2" xfId="34059" xr:uid="{00000000-0005-0000-0000-00000E850000}"/>
    <cellStyle name="Normal 2 7 4 8 2 2" xfId="34060" xr:uid="{00000000-0005-0000-0000-00000F850000}"/>
    <cellStyle name="Normal 2 7 4 8 2 2 2" xfId="34061" xr:uid="{00000000-0005-0000-0000-000010850000}"/>
    <cellStyle name="Normal 2 7 4 8 2 2 3" xfId="34062" xr:uid="{00000000-0005-0000-0000-000011850000}"/>
    <cellStyle name="Normal 2 7 4 8 2 3" xfId="34063" xr:uid="{00000000-0005-0000-0000-000012850000}"/>
    <cellStyle name="Normal 2 7 4 8 2 4" xfId="34064" xr:uid="{00000000-0005-0000-0000-000013850000}"/>
    <cellStyle name="Normal 2 7 4 8 2 5" xfId="34065" xr:uid="{00000000-0005-0000-0000-000014850000}"/>
    <cellStyle name="Normal 2 7 4 8 2 6" xfId="34066" xr:uid="{00000000-0005-0000-0000-000015850000}"/>
    <cellStyle name="Normal 2 7 4 8 3" xfId="34067" xr:uid="{00000000-0005-0000-0000-000016850000}"/>
    <cellStyle name="Normal 2 7 4 8 3 2" xfId="34068" xr:uid="{00000000-0005-0000-0000-000017850000}"/>
    <cellStyle name="Normal 2 7 4 8 3 2 2" xfId="34069" xr:uid="{00000000-0005-0000-0000-000018850000}"/>
    <cellStyle name="Normal 2 7 4 8 3 2 3" xfId="34070" xr:uid="{00000000-0005-0000-0000-000019850000}"/>
    <cellStyle name="Normal 2 7 4 8 3 3" xfId="34071" xr:uid="{00000000-0005-0000-0000-00001A850000}"/>
    <cellStyle name="Normal 2 7 4 8 3 4" xfId="34072" xr:uid="{00000000-0005-0000-0000-00001B850000}"/>
    <cellStyle name="Normal 2 7 4 8 3 5" xfId="34073" xr:uid="{00000000-0005-0000-0000-00001C850000}"/>
    <cellStyle name="Normal 2 7 4 8 3 6" xfId="34074" xr:uid="{00000000-0005-0000-0000-00001D850000}"/>
    <cellStyle name="Normal 2 7 4 8 4" xfId="34075" xr:uid="{00000000-0005-0000-0000-00001E850000}"/>
    <cellStyle name="Normal 2 7 4 8 4 2" xfId="34076" xr:uid="{00000000-0005-0000-0000-00001F850000}"/>
    <cellStyle name="Normal 2 7 4 8 4 2 2" xfId="34077" xr:uid="{00000000-0005-0000-0000-000020850000}"/>
    <cellStyle name="Normal 2 7 4 8 4 3" xfId="34078" xr:uid="{00000000-0005-0000-0000-000021850000}"/>
    <cellStyle name="Normal 2 7 4 8 4 4" xfId="34079" xr:uid="{00000000-0005-0000-0000-000022850000}"/>
    <cellStyle name="Normal 2 7 4 8 4 5" xfId="34080" xr:uid="{00000000-0005-0000-0000-000023850000}"/>
    <cellStyle name="Normal 2 7 4 8 5" xfId="34081" xr:uid="{00000000-0005-0000-0000-000024850000}"/>
    <cellStyle name="Normal 2 7 4 8 5 2" xfId="34082" xr:uid="{00000000-0005-0000-0000-000025850000}"/>
    <cellStyle name="Normal 2 7 4 8 5 3" xfId="34083" xr:uid="{00000000-0005-0000-0000-000026850000}"/>
    <cellStyle name="Normal 2 7 4 8 5 4" xfId="34084" xr:uid="{00000000-0005-0000-0000-000027850000}"/>
    <cellStyle name="Normal 2 7 4 8 6" xfId="34085" xr:uid="{00000000-0005-0000-0000-000028850000}"/>
    <cellStyle name="Normal 2 7 4 8 6 2" xfId="34086" xr:uid="{00000000-0005-0000-0000-000029850000}"/>
    <cellStyle name="Normal 2 7 4 8 7" xfId="34087" xr:uid="{00000000-0005-0000-0000-00002A850000}"/>
    <cellStyle name="Normal 2 7 4 8 8" xfId="34088" xr:uid="{00000000-0005-0000-0000-00002B850000}"/>
    <cellStyle name="Normal 2 7 4 8 9" xfId="34089" xr:uid="{00000000-0005-0000-0000-00002C850000}"/>
    <cellStyle name="Normal 2 7 4 9" xfId="34090" xr:uid="{00000000-0005-0000-0000-00002D850000}"/>
    <cellStyle name="Normal 2 7 4 9 10" xfId="34091" xr:uid="{00000000-0005-0000-0000-00002E850000}"/>
    <cellStyle name="Normal 2 7 4 9 2" xfId="34092" xr:uid="{00000000-0005-0000-0000-00002F850000}"/>
    <cellStyle name="Normal 2 7 4 9 2 2" xfId="34093" xr:uid="{00000000-0005-0000-0000-000030850000}"/>
    <cellStyle name="Normal 2 7 4 9 2 2 2" xfId="34094" xr:uid="{00000000-0005-0000-0000-000031850000}"/>
    <cellStyle name="Normal 2 7 4 9 2 2 3" xfId="34095" xr:uid="{00000000-0005-0000-0000-000032850000}"/>
    <cellStyle name="Normal 2 7 4 9 2 3" xfId="34096" xr:uid="{00000000-0005-0000-0000-000033850000}"/>
    <cellStyle name="Normal 2 7 4 9 2 4" xfId="34097" xr:uid="{00000000-0005-0000-0000-000034850000}"/>
    <cellStyle name="Normal 2 7 4 9 2 5" xfId="34098" xr:uid="{00000000-0005-0000-0000-000035850000}"/>
    <cellStyle name="Normal 2 7 4 9 2 6" xfId="34099" xr:uid="{00000000-0005-0000-0000-000036850000}"/>
    <cellStyle name="Normal 2 7 4 9 3" xfId="34100" xr:uid="{00000000-0005-0000-0000-000037850000}"/>
    <cellStyle name="Normal 2 7 4 9 3 2" xfId="34101" xr:uid="{00000000-0005-0000-0000-000038850000}"/>
    <cellStyle name="Normal 2 7 4 9 3 2 2" xfId="34102" xr:uid="{00000000-0005-0000-0000-000039850000}"/>
    <cellStyle name="Normal 2 7 4 9 3 2 3" xfId="34103" xr:uid="{00000000-0005-0000-0000-00003A850000}"/>
    <cellStyle name="Normal 2 7 4 9 3 3" xfId="34104" xr:uid="{00000000-0005-0000-0000-00003B850000}"/>
    <cellStyle name="Normal 2 7 4 9 3 4" xfId="34105" xr:uid="{00000000-0005-0000-0000-00003C850000}"/>
    <cellStyle name="Normal 2 7 4 9 3 5" xfId="34106" xr:uid="{00000000-0005-0000-0000-00003D850000}"/>
    <cellStyle name="Normal 2 7 4 9 3 6" xfId="34107" xr:uid="{00000000-0005-0000-0000-00003E850000}"/>
    <cellStyle name="Normal 2 7 4 9 4" xfId="34108" xr:uid="{00000000-0005-0000-0000-00003F850000}"/>
    <cellStyle name="Normal 2 7 4 9 4 2" xfId="34109" xr:uid="{00000000-0005-0000-0000-000040850000}"/>
    <cellStyle name="Normal 2 7 4 9 4 2 2" xfId="34110" xr:uid="{00000000-0005-0000-0000-000041850000}"/>
    <cellStyle name="Normal 2 7 4 9 4 3" xfId="34111" xr:uid="{00000000-0005-0000-0000-000042850000}"/>
    <cellStyle name="Normal 2 7 4 9 4 4" xfId="34112" xr:uid="{00000000-0005-0000-0000-000043850000}"/>
    <cellStyle name="Normal 2 7 4 9 4 5" xfId="34113" xr:uid="{00000000-0005-0000-0000-000044850000}"/>
    <cellStyle name="Normal 2 7 4 9 5" xfId="34114" xr:uid="{00000000-0005-0000-0000-000045850000}"/>
    <cellStyle name="Normal 2 7 4 9 5 2" xfId="34115" xr:uid="{00000000-0005-0000-0000-000046850000}"/>
    <cellStyle name="Normal 2 7 4 9 5 3" xfId="34116" xr:uid="{00000000-0005-0000-0000-000047850000}"/>
    <cellStyle name="Normal 2 7 4 9 5 4" xfId="34117" xr:uid="{00000000-0005-0000-0000-000048850000}"/>
    <cellStyle name="Normal 2 7 4 9 6" xfId="34118" xr:uid="{00000000-0005-0000-0000-000049850000}"/>
    <cellStyle name="Normal 2 7 4 9 6 2" xfId="34119" xr:uid="{00000000-0005-0000-0000-00004A850000}"/>
    <cellStyle name="Normal 2 7 4 9 7" xfId="34120" xr:uid="{00000000-0005-0000-0000-00004B850000}"/>
    <cellStyle name="Normal 2 7 4 9 8" xfId="34121" xr:uid="{00000000-0005-0000-0000-00004C850000}"/>
    <cellStyle name="Normal 2 7 4 9 9" xfId="34122" xr:uid="{00000000-0005-0000-0000-00004D850000}"/>
    <cellStyle name="Normal 2 7 5" xfId="34123" xr:uid="{00000000-0005-0000-0000-00004E850000}"/>
    <cellStyle name="Normal 2 7 5 10" xfId="34124" xr:uid="{00000000-0005-0000-0000-00004F850000}"/>
    <cellStyle name="Normal 2 7 5 11" xfId="34125" xr:uid="{00000000-0005-0000-0000-000050850000}"/>
    <cellStyle name="Normal 2 7 5 2" xfId="34126" xr:uid="{00000000-0005-0000-0000-000051850000}"/>
    <cellStyle name="Normal 2 7 5 2 2" xfId="34127" xr:uid="{00000000-0005-0000-0000-000052850000}"/>
    <cellStyle name="Normal 2 7 5 2 2 2" xfId="34128" xr:uid="{00000000-0005-0000-0000-000053850000}"/>
    <cellStyle name="Normal 2 7 5 2 2 2 2" xfId="34129" xr:uid="{00000000-0005-0000-0000-000054850000}"/>
    <cellStyle name="Normal 2 7 5 2 2 2 3" xfId="34130" xr:uid="{00000000-0005-0000-0000-000055850000}"/>
    <cellStyle name="Normal 2 7 5 2 2 3" xfId="34131" xr:uid="{00000000-0005-0000-0000-000056850000}"/>
    <cellStyle name="Normal 2 7 5 2 2 4" xfId="34132" xr:uid="{00000000-0005-0000-0000-000057850000}"/>
    <cellStyle name="Normal 2 7 5 2 2 5" xfId="34133" xr:uid="{00000000-0005-0000-0000-000058850000}"/>
    <cellStyle name="Normal 2 7 5 2 2 6" xfId="34134" xr:uid="{00000000-0005-0000-0000-000059850000}"/>
    <cellStyle name="Normal 2 7 5 2 3" xfId="34135" xr:uid="{00000000-0005-0000-0000-00005A850000}"/>
    <cellStyle name="Normal 2 7 5 2 3 2" xfId="34136" xr:uid="{00000000-0005-0000-0000-00005B850000}"/>
    <cellStyle name="Normal 2 7 5 2 3 2 2" xfId="34137" xr:uid="{00000000-0005-0000-0000-00005C850000}"/>
    <cellStyle name="Normal 2 7 5 2 3 3" xfId="34138" xr:uid="{00000000-0005-0000-0000-00005D850000}"/>
    <cellStyle name="Normal 2 7 5 2 3 4" xfId="34139" xr:uid="{00000000-0005-0000-0000-00005E850000}"/>
    <cellStyle name="Normal 2 7 5 2 3 5" xfId="34140" xr:uid="{00000000-0005-0000-0000-00005F850000}"/>
    <cellStyle name="Normal 2 7 5 2 4" xfId="34141" xr:uid="{00000000-0005-0000-0000-000060850000}"/>
    <cellStyle name="Normal 2 7 5 2 4 2" xfId="34142" xr:uid="{00000000-0005-0000-0000-000061850000}"/>
    <cellStyle name="Normal 2 7 5 2 4 3" xfId="34143" xr:uid="{00000000-0005-0000-0000-000062850000}"/>
    <cellStyle name="Normal 2 7 5 2 4 4" xfId="34144" xr:uid="{00000000-0005-0000-0000-000063850000}"/>
    <cellStyle name="Normal 2 7 5 2 5" xfId="34145" xr:uid="{00000000-0005-0000-0000-000064850000}"/>
    <cellStyle name="Normal 2 7 5 2 5 2" xfId="34146" xr:uid="{00000000-0005-0000-0000-000065850000}"/>
    <cellStyle name="Normal 2 7 5 2 6" xfId="34147" xr:uid="{00000000-0005-0000-0000-000066850000}"/>
    <cellStyle name="Normal 2 7 5 2 7" xfId="34148" xr:uid="{00000000-0005-0000-0000-000067850000}"/>
    <cellStyle name="Normal 2 7 5 2 8" xfId="34149" xr:uid="{00000000-0005-0000-0000-000068850000}"/>
    <cellStyle name="Normal 2 7 5 2 9" xfId="34150" xr:uid="{00000000-0005-0000-0000-000069850000}"/>
    <cellStyle name="Normal 2 7 5 3" xfId="34151" xr:uid="{00000000-0005-0000-0000-00006A850000}"/>
    <cellStyle name="Normal 2 7 5 3 2" xfId="34152" xr:uid="{00000000-0005-0000-0000-00006B850000}"/>
    <cellStyle name="Normal 2 7 5 3 2 2" xfId="34153" xr:uid="{00000000-0005-0000-0000-00006C850000}"/>
    <cellStyle name="Normal 2 7 5 3 2 2 2" xfId="34154" xr:uid="{00000000-0005-0000-0000-00006D850000}"/>
    <cellStyle name="Normal 2 7 5 3 2 2 3" xfId="34155" xr:uid="{00000000-0005-0000-0000-00006E850000}"/>
    <cellStyle name="Normal 2 7 5 3 2 3" xfId="34156" xr:uid="{00000000-0005-0000-0000-00006F850000}"/>
    <cellStyle name="Normal 2 7 5 3 2 4" xfId="34157" xr:uid="{00000000-0005-0000-0000-000070850000}"/>
    <cellStyle name="Normal 2 7 5 3 2 5" xfId="34158" xr:uid="{00000000-0005-0000-0000-000071850000}"/>
    <cellStyle name="Normal 2 7 5 3 2 6" xfId="34159" xr:uid="{00000000-0005-0000-0000-000072850000}"/>
    <cellStyle name="Normal 2 7 5 3 3" xfId="34160" xr:uid="{00000000-0005-0000-0000-000073850000}"/>
    <cellStyle name="Normal 2 7 5 3 3 2" xfId="34161" xr:uid="{00000000-0005-0000-0000-000074850000}"/>
    <cellStyle name="Normal 2 7 5 3 3 2 2" xfId="34162" xr:uid="{00000000-0005-0000-0000-000075850000}"/>
    <cellStyle name="Normal 2 7 5 3 3 3" xfId="34163" xr:uid="{00000000-0005-0000-0000-000076850000}"/>
    <cellStyle name="Normal 2 7 5 3 3 4" xfId="34164" xr:uid="{00000000-0005-0000-0000-000077850000}"/>
    <cellStyle name="Normal 2 7 5 3 3 5" xfId="34165" xr:uid="{00000000-0005-0000-0000-000078850000}"/>
    <cellStyle name="Normal 2 7 5 3 4" xfId="34166" xr:uid="{00000000-0005-0000-0000-000079850000}"/>
    <cellStyle name="Normal 2 7 5 3 4 2" xfId="34167" xr:uid="{00000000-0005-0000-0000-00007A850000}"/>
    <cellStyle name="Normal 2 7 5 3 4 3" xfId="34168" xr:uid="{00000000-0005-0000-0000-00007B850000}"/>
    <cellStyle name="Normal 2 7 5 3 4 4" xfId="34169" xr:uid="{00000000-0005-0000-0000-00007C850000}"/>
    <cellStyle name="Normal 2 7 5 3 5" xfId="34170" xr:uid="{00000000-0005-0000-0000-00007D850000}"/>
    <cellStyle name="Normal 2 7 5 3 5 2" xfId="34171" xr:uid="{00000000-0005-0000-0000-00007E850000}"/>
    <cellStyle name="Normal 2 7 5 3 6" xfId="34172" xr:uid="{00000000-0005-0000-0000-00007F850000}"/>
    <cellStyle name="Normal 2 7 5 3 7" xfId="34173" xr:uid="{00000000-0005-0000-0000-000080850000}"/>
    <cellStyle name="Normal 2 7 5 3 8" xfId="34174" xr:uid="{00000000-0005-0000-0000-000081850000}"/>
    <cellStyle name="Normal 2 7 5 3 9" xfId="34175" xr:uid="{00000000-0005-0000-0000-000082850000}"/>
    <cellStyle name="Normal 2 7 5 4" xfId="34176" xr:uid="{00000000-0005-0000-0000-000083850000}"/>
    <cellStyle name="Normal 2 7 5 4 2" xfId="34177" xr:uid="{00000000-0005-0000-0000-000084850000}"/>
    <cellStyle name="Normal 2 7 5 4 2 2" xfId="34178" xr:uid="{00000000-0005-0000-0000-000085850000}"/>
    <cellStyle name="Normal 2 7 5 4 2 3" xfId="34179" xr:uid="{00000000-0005-0000-0000-000086850000}"/>
    <cellStyle name="Normal 2 7 5 4 3" xfId="34180" xr:uid="{00000000-0005-0000-0000-000087850000}"/>
    <cellStyle name="Normal 2 7 5 4 4" xfId="34181" xr:uid="{00000000-0005-0000-0000-000088850000}"/>
    <cellStyle name="Normal 2 7 5 4 5" xfId="34182" xr:uid="{00000000-0005-0000-0000-000089850000}"/>
    <cellStyle name="Normal 2 7 5 4 6" xfId="34183" xr:uid="{00000000-0005-0000-0000-00008A850000}"/>
    <cellStyle name="Normal 2 7 5 5" xfId="34184" xr:uid="{00000000-0005-0000-0000-00008B850000}"/>
    <cellStyle name="Normal 2 7 5 5 2" xfId="34185" xr:uid="{00000000-0005-0000-0000-00008C850000}"/>
    <cellStyle name="Normal 2 7 5 5 2 2" xfId="34186" xr:uid="{00000000-0005-0000-0000-00008D850000}"/>
    <cellStyle name="Normal 2 7 5 5 3" xfId="34187" xr:uid="{00000000-0005-0000-0000-00008E850000}"/>
    <cellStyle name="Normal 2 7 5 5 4" xfId="34188" xr:uid="{00000000-0005-0000-0000-00008F850000}"/>
    <cellStyle name="Normal 2 7 5 5 5" xfId="34189" xr:uid="{00000000-0005-0000-0000-000090850000}"/>
    <cellStyle name="Normal 2 7 5 6" xfId="34190" xr:uid="{00000000-0005-0000-0000-000091850000}"/>
    <cellStyle name="Normal 2 7 5 6 2" xfId="34191" xr:uid="{00000000-0005-0000-0000-000092850000}"/>
    <cellStyle name="Normal 2 7 5 6 3" xfId="34192" xr:uid="{00000000-0005-0000-0000-000093850000}"/>
    <cellStyle name="Normal 2 7 5 6 4" xfId="34193" xr:uid="{00000000-0005-0000-0000-000094850000}"/>
    <cellStyle name="Normal 2 7 5 7" xfId="34194" xr:uid="{00000000-0005-0000-0000-000095850000}"/>
    <cellStyle name="Normal 2 7 5 7 2" xfId="34195" xr:uid="{00000000-0005-0000-0000-000096850000}"/>
    <cellStyle name="Normal 2 7 5 8" xfId="34196" xr:uid="{00000000-0005-0000-0000-000097850000}"/>
    <cellStyle name="Normal 2 7 5 9" xfId="34197" xr:uid="{00000000-0005-0000-0000-000098850000}"/>
    <cellStyle name="Normal 2 7 6" xfId="34198" xr:uid="{00000000-0005-0000-0000-000099850000}"/>
    <cellStyle name="Normal 2 7 6 10" xfId="34199" xr:uid="{00000000-0005-0000-0000-00009A850000}"/>
    <cellStyle name="Normal 2 7 6 11" xfId="34200" xr:uid="{00000000-0005-0000-0000-00009B850000}"/>
    <cellStyle name="Normal 2 7 6 2" xfId="34201" xr:uid="{00000000-0005-0000-0000-00009C850000}"/>
    <cellStyle name="Normal 2 7 6 2 2" xfId="34202" xr:uid="{00000000-0005-0000-0000-00009D850000}"/>
    <cellStyle name="Normal 2 7 6 2 2 2" xfId="34203" xr:uid="{00000000-0005-0000-0000-00009E850000}"/>
    <cellStyle name="Normal 2 7 6 2 2 2 2" xfId="34204" xr:uid="{00000000-0005-0000-0000-00009F850000}"/>
    <cellStyle name="Normal 2 7 6 2 2 2 3" xfId="34205" xr:uid="{00000000-0005-0000-0000-0000A0850000}"/>
    <cellStyle name="Normal 2 7 6 2 2 3" xfId="34206" xr:uid="{00000000-0005-0000-0000-0000A1850000}"/>
    <cellStyle name="Normal 2 7 6 2 2 4" xfId="34207" xr:uid="{00000000-0005-0000-0000-0000A2850000}"/>
    <cellStyle name="Normal 2 7 6 2 2 5" xfId="34208" xr:uid="{00000000-0005-0000-0000-0000A3850000}"/>
    <cellStyle name="Normal 2 7 6 2 2 6" xfId="34209" xr:uid="{00000000-0005-0000-0000-0000A4850000}"/>
    <cellStyle name="Normal 2 7 6 2 3" xfId="34210" xr:uid="{00000000-0005-0000-0000-0000A5850000}"/>
    <cellStyle name="Normal 2 7 6 2 3 2" xfId="34211" xr:uid="{00000000-0005-0000-0000-0000A6850000}"/>
    <cellStyle name="Normal 2 7 6 2 3 2 2" xfId="34212" xr:uid="{00000000-0005-0000-0000-0000A7850000}"/>
    <cellStyle name="Normal 2 7 6 2 3 3" xfId="34213" xr:uid="{00000000-0005-0000-0000-0000A8850000}"/>
    <cellStyle name="Normal 2 7 6 2 3 4" xfId="34214" xr:uid="{00000000-0005-0000-0000-0000A9850000}"/>
    <cellStyle name="Normal 2 7 6 2 3 5" xfId="34215" xr:uid="{00000000-0005-0000-0000-0000AA850000}"/>
    <cellStyle name="Normal 2 7 6 2 4" xfId="34216" xr:uid="{00000000-0005-0000-0000-0000AB850000}"/>
    <cellStyle name="Normal 2 7 6 2 4 2" xfId="34217" xr:uid="{00000000-0005-0000-0000-0000AC850000}"/>
    <cellStyle name="Normal 2 7 6 2 4 3" xfId="34218" xr:uid="{00000000-0005-0000-0000-0000AD850000}"/>
    <cellStyle name="Normal 2 7 6 2 4 4" xfId="34219" xr:uid="{00000000-0005-0000-0000-0000AE850000}"/>
    <cellStyle name="Normal 2 7 6 2 5" xfId="34220" xr:uid="{00000000-0005-0000-0000-0000AF850000}"/>
    <cellStyle name="Normal 2 7 6 2 5 2" xfId="34221" xr:uid="{00000000-0005-0000-0000-0000B0850000}"/>
    <cellStyle name="Normal 2 7 6 2 6" xfId="34222" xr:uid="{00000000-0005-0000-0000-0000B1850000}"/>
    <cellStyle name="Normal 2 7 6 2 7" xfId="34223" xr:uid="{00000000-0005-0000-0000-0000B2850000}"/>
    <cellStyle name="Normal 2 7 6 2 8" xfId="34224" xr:uid="{00000000-0005-0000-0000-0000B3850000}"/>
    <cellStyle name="Normal 2 7 6 2 9" xfId="34225" xr:uid="{00000000-0005-0000-0000-0000B4850000}"/>
    <cellStyle name="Normal 2 7 6 3" xfId="34226" xr:uid="{00000000-0005-0000-0000-0000B5850000}"/>
    <cellStyle name="Normal 2 7 6 3 2" xfId="34227" xr:uid="{00000000-0005-0000-0000-0000B6850000}"/>
    <cellStyle name="Normal 2 7 6 3 2 2" xfId="34228" xr:uid="{00000000-0005-0000-0000-0000B7850000}"/>
    <cellStyle name="Normal 2 7 6 3 2 2 2" xfId="34229" xr:uid="{00000000-0005-0000-0000-0000B8850000}"/>
    <cellStyle name="Normal 2 7 6 3 2 2 3" xfId="34230" xr:uid="{00000000-0005-0000-0000-0000B9850000}"/>
    <cellStyle name="Normal 2 7 6 3 2 3" xfId="34231" xr:uid="{00000000-0005-0000-0000-0000BA850000}"/>
    <cellStyle name="Normal 2 7 6 3 2 4" xfId="34232" xr:uid="{00000000-0005-0000-0000-0000BB850000}"/>
    <cellStyle name="Normal 2 7 6 3 2 5" xfId="34233" xr:uid="{00000000-0005-0000-0000-0000BC850000}"/>
    <cellStyle name="Normal 2 7 6 3 2 6" xfId="34234" xr:uid="{00000000-0005-0000-0000-0000BD850000}"/>
    <cellStyle name="Normal 2 7 6 3 3" xfId="34235" xr:uid="{00000000-0005-0000-0000-0000BE850000}"/>
    <cellStyle name="Normal 2 7 6 3 3 2" xfId="34236" xr:uid="{00000000-0005-0000-0000-0000BF850000}"/>
    <cellStyle name="Normal 2 7 6 3 3 2 2" xfId="34237" xr:uid="{00000000-0005-0000-0000-0000C0850000}"/>
    <cellStyle name="Normal 2 7 6 3 3 3" xfId="34238" xr:uid="{00000000-0005-0000-0000-0000C1850000}"/>
    <cellStyle name="Normal 2 7 6 3 3 4" xfId="34239" xr:uid="{00000000-0005-0000-0000-0000C2850000}"/>
    <cellStyle name="Normal 2 7 6 3 3 5" xfId="34240" xr:uid="{00000000-0005-0000-0000-0000C3850000}"/>
    <cellStyle name="Normal 2 7 6 3 4" xfId="34241" xr:uid="{00000000-0005-0000-0000-0000C4850000}"/>
    <cellStyle name="Normal 2 7 6 3 4 2" xfId="34242" xr:uid="{00000000-0005-0000-0000-0000C5850000}"/>
    <cellStyle name="Normal 2 7 6 3 4 3" xfId="34243" xr:uid="{00000000-0005-0000-0000-0000C6850000}"/>
    <cellStyle name="Normal 2 7 6 3 4 4" xfId="34244" xr:uid="{00000000-0005-0000-0000-0000C7850000}"/>
    <cellStyle name="Normal 2 7 6 3 5" xfId="34245" xr:uid="{00000000-0005-0000-0000-0000C8850000}"/>
    <cellStyle name="Normal 2 7 6 3 5 2" xfId="34246" xr:uid="{00000000-0005-0000-0000-0000C9850000}"/>
    <cellStyle name="Normal 2 7 6 3 6" xfId="34247" xr:uid="{00000000-0005-0000-0000-0000CA850000}"/>
    <cellStyle name="Normal 2 7 6 3 7" xfId="34248" xr:uid="{00000000-0005-0000-0000-0000CB850000}"/>
    <cellStyle name="Normal 2 7 6 3 8" xfId="34249" xr:uid="{00000000-0005-0000-0000-0000CC850000}"/>
    <cellStyle name="Normal 2 7 6 3 9" xfId="34250" xr:uid="{00000000-0005-0000-0000-0000CD850000}"/>
    <cellStyle name="Normal 2 7 6 4" xfId="34251" xr:uid="{00000000-0005-0000-0000-0000CE850000}"/>
    <cellStyle name="Normal 2 7 6 4 2" xfId="34252" xr:uid="{00000000-0005-0000-0000-0000CF850000}"/>
    <cellStyle name="Normal 2 7 6 4 2 2" xfId="34253" xr:uid="{00000000-0005-0000-0000-0000D0850000}"/>
    <cellStyle name="Normal 2 7 6 4 2 3" xfId="34254" xr:uid="{00000000-0005-0000-0000-0000D1850000}"/>
    <cellStyle name="Normal 2 7 6 4 3" xfId="34255" xr:uid="{00000000-0005-0000-0000-0000D2850000}"/>
    <cellStyle name="Normal 2 7 6 4 4" xfId="34256" xr:uid="{00000000-0005-0000-0000-0000D3850000}"/>
    <cellStyle name="Normal 2 7 6 4 5" xfId="34257" xr:uid="{00000000-0005-0000-0000-0000D4850000}"/>
    <cellStyle name="Normal 2 7 6 4 6" xfId="34258" xr:uid="{00000000-0005-0000-0000-0000D5850000}"/>
    <cellStyle name="Normal 2 7 6 5" xfId="34259" xr:uid="{00000000-0005-0000-0000-0000D6850000}"/>
    <cellStyle name="Normal 2 7 6 5 2" xfId="34260" xr:uid="{00000000-0005-0000-0000-0000D7850000}"/>
    <cellStyle name="Normal 2 7 6 5 2 2" xfId="34261" xr:uid="{00000000-0005-0000-0000-0000D8850000}"/>
    <cellStyle name="Normal 2 7 6 5 3" xfId="34262" xr:uid="{00000000-0005-0000-0000-0000D9850000}"/>
    <cellStyle name="Normal 2 7 6 5 4" xfId="34263" xr:uid="{00000000-0005-0000-0000-0000DA850000}"/>
    <cellStyle name="Normal 2 7 6 5 5" xfId="34264" xr:uid="{00000000-0005-0000-0000-0000DB850000}"/>
    <cellStyle name="Normal 2 7 6 6" xfId="34265" xr:uid="{00000000-0005-0000-0000-0000DC850000}"/>
    <cellStyle name="Normal 2 7 6 6 2" xfId="34266" xr:uid="{00000000-0005-0000-0000-0000DD850000}"/>
    <cellStyle name="Normal 2 7 6 6 3" xfId="34267" xr:uid="{00000000-0005-0000-0000-0000DE850000}"/>
    <cellStyle name="Normal 2 7 6 6 4" xfId="34268" xr:uid="{00000000-0005-0000-0000-0000DF850000}"/>
    <cellStyle name="Normal 2 7 6 7" xfId="34269" xr:uid="{00000000-0005-0000-0000-0000E0850000}"/>
    <cellStyle name="Normal 2 7 6 7 2" xfId="34270" xr:uid="{00000000-0005-0000-0000-0000E1850000}"/>
    <cellStyle name="Normal 2 7 6 8" xfId="34271" xr:uid="{00000000-0005-0000-0000-0000E2850000}"/>
    <cellStyle name="Normal 2 7 6 9" xfId="34272" xr:uid="{00000000-0005-0000-0000-0000E3850000}"/>
    <cellStyle name="Normal 2 7 7" xfId="34273" xr:uid="{00000000-0005-0000-0000-0000E4850000}"/>
    <cellStyle name="Normal 2 7 7 10" xfId="34274" xr:uid="{00000000-0005-0000-0000-0000E5850000}"/>
    <cellStyle name="Normal 2 7 7 11" xfId="34275" xr:uid="{00000000-0005-0000-0000-0000E6850000}"/>
    <cellStyle name="Normal 2 7 7 2" xfId="34276" xr:uid="{00000000-0005-0000-0000-0000E7850000}"/>
    <cellStyle name="Normal 2 7 7 2 2" xfId="34277" xr:uid="{00000000-0005-0000-0000-0000E8850000}"/>
    <cellStyle name="Normal 2 7 7 2 2 2" xfId="34278" xr:uid="{00000000-0005-0000-0000-0000E9850000}"/>
    <cellStyle name="Normal 2 7 7 2 2 2 2" xfId="34279" xr:uid="{00000000-0005-0000-0000-0000EA850000}"/>
    <cellStyle name="Normal 2 7 7 2 2 2 3" xfId="34280" xr:uid="{00000000-0005-0000-0000-0000EB850000}"/>
    <cellStyle name="Normal 2 7 7 2 2 3" xfId="34281" xr:uid="{00000000-0005-0000-0000-0000EC850000}"/>
    <cellStyle name="Normal 2 7 7 2 2 4" xfId="34282" xr:uid="{00000000-0005-0000-0000-0000ED850000}"/>
    <cellStyle name="Normal 2 7 7 2 2 5" xfId="34283" xr:uid="{00000000-0005-0000-0000-0000EE850000}"/>
    <cellStyle name="Normal 2 7 7 2 2 6" xfId="34284" xr:uid="{00000000-0005-0000-0000-0000EF850000}"/>
    <cellStyle name="Normal 2 7 7 2 3" xfId="34285" xr:uid="{00000000-0005-0000-0000-0000F0850000}"/>
    <cellStyle name="Normal 2 7 7 2 3 2" xfId="34286" xr:uid="{00000000-0005-0000-0000-0000F1850000}"/>
    <cellStyle name="Normal 2 7 7 2 3 2 2" xfId="34287" xr:uid="{00000000-0005-0000-0000-0000F2850000}"/>
    <cellStyle name="Normal 2 7 7 2 3 3" xfId="34288" xr:uid="{00000000-0005-0000-0000-0000F3850000}"/>
    <cellStyle name="Normal 2 7 7 2 3 4" xfId="34289" xr:uid="{00000000-0005-0000-0000-0000F4850000}"/>
    <cellStyle name="Normal 2 7 7 2 3 5" xfId="34290" xr:uid="{00000000-0005-0000-0000-0000F5850000}"/>
    <cellStyle name="Normal 2 7 7 2 4" xfId="34291" xr:uid="{00000000-0005-0000-0000-0000F6850000}"/>
    <cellStyle name="Normal 2 7 7 2 4 2" xfId="34292" xr:uid="{00000000-0005-0000-0000-0000F7850000}"/>
    <cellStyle name="Normal 2 7 7 2 4 3" xfId="34293" xr:uid="{00000000-0005-0000-0000-0000F8850000}"/>
    <cellStyle name="Normal 2 7 7 2 4 4" xfId="34294" xr:uid="{00000000-0005-0000-0000-0000F9850000}"/>
    <cellStyle name="Normal 2 7 7 2 5" xfId="34295" xr:uid="{00000000-0005-0000-0000-0000FA850000}"/>
    <cellStyle name="Normal 2 7 7 2 5 2" xfId="34296" xr:uid="{00000000-0005-0000-0000-0000FB850000}"/>
    <cellStyle name="Normal 2 7 7 2 6" xfId="34297" xr:uid="{00000000-0005-0000-0000-0000FC850000}"/>
    <cellStyle name="Normal 2 7 7 2 7" xfId="34298" xr:uid="{00000000-0005-0000-0000-0000FD850000}"/>
    <cellStyle name="Normal 2 7 7 2 8" xfId="34299" xr:uid="{00000000-0005-0000-0000-0000FE850000}"/>
    <cellStyle name="Normal 2 7 7 2 9" xfId="34300" xr:uid="{00000000-0005-0000-0000-0000FF850000}"/>
    <cellStyle name="Normal 2 7 7 3" xfId="34301" xr:uid="{00000000-0005-0000-0000-000000860000}"/>
    <cellStyle name="Normal 2 7 7 3 2" xfId="34302" xr:uid="{00000000-0005-0000-0000-000001860000}"/>
    <cellStyle name="Normal 2 7 7 3 2 2" xfId="34303" xr:uid="{00000000-0005-0000-0000-000002860000}"/>
    <cellStyle name="Normal 2 7 7 3 2 2 2" xfId="34304" xr:uid="{00000000-0005-0000-0000-000003860000}"/>
    <cellStyle name="Normal 2 7 7 3 2 2 3" xfId="34305" xr:uid="{00000000-0005-0000-0000-000004860000}"/>
    <cellStyle name="Normal 2 7 7 3 2 3" xfId="34306" xr:uid="{00000000-0005-0000-0000-000005860000}"/>
    <cellStyle name="Normal 2 7 7 3 2 4" xfId="34307" xr:uid="{00000000-0005-0000-0000-000006860000}"/>
    <cellStyle name="Normal 2 7 7 3 2 5" xfId="34308" xr:uid="{00000000-0005-0000-0000-000007860000}"/>
    <cellStyle name="Normal 2 7 7 3 2 6" xfId="34309" xr:uid="{00000000-0005-0000-0000-000008860000}"/>
    <cellStyle name="Normal 2 7 7 3 3" xfId="34310" xr:uid="{00000000-0005-0000-0000-000009860000}"/>
    <cellStyle name="Normal 2 7 7 3 3 2" xfId="34311" xr:uid="{00000000-0005-0000-0000-00000A860000}"/>
    <cellStyle name="Normal 2 7 7 3 3 2 2" xfId="34312" xr:uid="{00000000-0005-0000-0000-00000B860000}"/>
    <cellStyle name="Normal 2 7 7 3 3 3" xfId="34313" xr:uid="{00000000-0005-0000-0000-00000C860000}"/>
    <cellStyle name="Normal 2 7 7 3 3 4" xfId="34314" xr:uid="{00000000-0005-0000-0000-00000D860000}"/>
    <cellStyle name="Normal 2 7 7 3 3 5" xfId="34315" xr:uid="{00000000-0005-0000-0000-00000E860000}"/>
    <cellStyle name="Normal 2 7 7 3 4" xfId="34316" xr:uid="{00000000-0005-0000-0000-00000F860000}"/>
    <cellStyle name="Normal 2 7 7 3 4 2" xfId="34317" xr:uid="{00000000-0005-0000-0000-000010860000}"/>
    <cellStyle name="Normal 2 7 7 3 4 3" xfId="34318" xr:uid="{00000000-0005-0000-0000-000011860000}"/>
    <cellStyle name="Normal 2 7 7 3 4 4" xfId="34319" xr:uid="{00000000-0005-0000-0000-000012860000}"/>
    <cellStyle name="Normal 2 7 7 3 5" xfId="34320" xr:uid="{00000000-0005-0000-0000-000013860000}"/>
    <cellStyle name="Normal 2 7 7 3 5 2" xfId="34321" xr:uid="{00000000-0005-0000-0000-000014860000}"/>
    <cellStyle name="Normal 2 7 7 3 6" xfId="34322" xr:uid="{00000000-0005-0000-0000-000015860000}"/>
    <cellStyle name="Normal 2 7 7 3 7" xfId="34323" xr:uid="{00000000-0005-0000-0000-000016860000}"/>
    <cellStyle name="Normal 2 7 7 3 8" xfId="34324" xr:uid="{00000000-0005-0000-0000-000017860000}"/>
    <cellStyle name="Normal 2 7 7 3 9" xfId="34325" xr:uid="{00000000-0005-0000-0000-000018860000}"/>
    <cellStyle name="Normal 2 7 7 4" xfId="34326" xr:uid="{00000000-0005-0000-0000-000019860000}"/>
    <cellStyle name="Normal 2 7 7 4 2" xfId="34327" xr:uid="{00000000-0005-0000-0000-00001A860000}"/>
    <cellStyle name="Normal 2 7 7 4 2 2" xfId="34328" xr:uid="{00000000-0005-0000-0000-00001B860000}"/>
    <cellStyle name="Normal 2 7 7 4 2 3" xfId="34329" xr:uid="{00000000-0005-0000-0000-00001C860000}"/>
    <cellStyle name="Normal 2 7 7 4 3" xfId="34330" xr:uid="{00000000-0005-0000-0000-00001D860000}"/>
    <cellStyle name="Normal 2 7 7 4 4" xfId="34331" xr:uid="{00000000-0005-0000-0000-00001E860000}"/>
    <cellStyle name="Normal 2 7 7 4 5" xfId="34332" xr:uid="{00000000-0005-0000-0000-00001F860000}"/>
    <cellStyle name="Normal 2 7 7 4 6" xfId="34333" xr:uid="{00000000-0005-0000-0000-000020860000}"/>
    <cellStyle name="Normal 2 7 7 5" xfId="34334" xr:uid="{00000000-0005-0000-0000-000021860000}"/>
    <cellStyle name="Normal 2 7 7 5 2" xfId="34335" xr:uid="{00000000-0005-0000-0000-000022860000}"/>
    <cellStyle name="Normal 2 7 7 5 2 2" xfId="34336" xr:uid="{00000000-0005-0000-0000-000023860000}"/>
    <cellStyle name="Normal 2 7 7 5 3" xfId="34337" xr:uid="{00000000-0005-0000-0000-000024860000}"/>
    <cellStyle name="Normal 2 7 7 5 4" xfId="34338" xr:uid="{00000000-0005-0000-0000-000025860000}"/>
    <cellStyle name="Normal 2 7 7 5 5" xfId="34339" xr:uid="{00000000-0005-0000-0000-000026860000}"/>
    <cellStyle name="Normal 2 7 7 6" xfId="34340" xr:uid="{00000000-0005-0000-0000-000027860000}"/>
    <cellStyle name="Normal 2 7 7 6 2" xfId="34341" xr:uid="{00000000-0005-0000-0000-000028860000}"/>
    <cellStyle name="Normal 2 7 7 6 3" xfId="34342" xr:uid="{00000000-0005-0000-0000-000029860000}"/>
    <cellStyle name="Normal 2 7 7 6 4" xfId="34343" xr:uid="{00000000-0005-0000-0000-00002A860000}"/>
    <cellStyle name="Normal 2 7 7 7" xfId="34344" xr:uid="{00000000-0005-0000-0000-00002B860000}"/>
    <cellStyle name="Normal 2 7 7 7 2" xfId="34345" xr:uid="{00000000-0005-0000-0000-00002C860000}"/>
    <cellStyle name="Normal 2 7 7 8" xfId="34346" xr:uid="{00000000-0005-0000-0000-00002D860000}"/>
    <cellStyle name="Normal 2 7 7 9" xfId="34347" xr:uid="{00000000-0005-0000-0000-00002E860000}"/>
    <cellStyle name="Normal 2 7 8" xfId="34348" xr:uid="{00000000-0005-0000-0000-00002F860000}"/>
    <cellStyle name="Normal 2 7 8 10" xfId="34349" xr:uid="{00000000-0005-0000-0000-000030860000}"/>
    <cellStyle name="Normal 2 7 8 11" xfId="34350" xr:uid="{00000000-0005-0000-0000-000031860000}"/>
    <cellStyle name="Normal 2 7 8 2" xfId="34351" xr:uid="{00000000-0005-0000-0000-000032860000}"/>
    <cellStyle name="Normal 2 7 8 2 2" xfId="34352" xr:uid="{00000000-0005-0000-0000-000033860000}"/>
    <cellStyle name="Normal 2 7 8 2 2 2" xfId="34353" xr:uid="{00000000-0005-0000-0000-000034860000}"/>
    <cellStyle name="Normal 2 7 8 2 2 2 2" xfId="34354" xr:uid="{00000000-0005-0000-0000-000035860000}"/>
    <cellStyle name="Normal 2 7 8 2 2 2 3" xfId="34355" xr:uid="{00000000-0005-0000-0000-000036860000}"/>
    <cellStyle name="Normal 2 7 8 2 2 3" xfId="34356" xr:uid="{00000000-0005-0000-0000-000037860000}"/>
    <cellStyle name="Normal 2 7 8 2 2 4" xfId="34357" xr:uid="{00000000-0005-0000-0000-000038860000}"/>
    <cellStyle name="Normal 2 7 8 2 2 5" xfId="34358" xr:uid="{00000000-0005-0000-0000-000039860000}"/>
    <cellStyle name="Normal 2 7 8 2 2 6" xfId="34359" xr:uid="{00000000-0005-0000-0000-00003A860000}"/>
    <cellStyle name="Normal 2 7 8 2 3" xfId="34360" xr:uid="{00000000-0005-0000-0000-00003B860000}"/>
    <cellStyle name="Normal 2 7 8 2 3 2" xfId="34361" xr:uid="{00000000-0005-0000-0000-00003C860000}"/>
    <cellStyle name="Normal 2 7 8 2 3 2 2" xfId="34362" xr:uid="{00000000-0005-0000-0000-00003D860000}"/>
    <cellStyle name="Normal 2 7 8 2 3 3" xfId="34363" xr:uid="{00000000-0005-0000-0000-00003E860000}"/>
    <cellStyle name="Normal 2 7 8 2 3 4" xfId="34364" xr:uid="{00000000-0005-0000-0000-00003F860000}"/>
    <cellStyle name="Normal 2 7 8 2 3 5" xfId="34365" xr:uid="{00000000-0005-0000-0000-000040860000}"/>
    <cellStyle name="Normal 2 7 8 2 4" xfId="34366" xr:uid="{00000000-0005-0000-0000-000041860000}"/>
    <cellStyle name="Normal 2 7 8 2 4 2" xfId="34367" xr:uid="{00000000-0005-0000-0000-000042860000}"/>
    <cellStyle name="Normal 2 7 8 2 4 3" xfId="34368" xr:uid="{00000000-0005-0000-0000-000043860000}"/>
    <cellStyle name="Normal 2 7 8 2 4 4" xfId="34369" xr:uid="{00000000-0005-0000-0000-000044860000}"/>
    <cellStyle name="Normal 2 7 8 2 5" xfId="34370" xr:uid="{00000000-0005-0000-0000-000045860000}"/>
    <cellStyle name="Normal 2 7 8 2 5 2" xfId="34371" xr:uid="{00000000-0005-0000-0000-000046860000}"/>
    <cellStyle name="Normal 2 7 8 2 6" xfId="34372" xr:uid="{00000000-0005-0000-0000-000047860000}"/>
    <cellStyle name="Normal 2 7 8 2 7" xfId="34373" xr:uid="{00000000-0005-0000-0000-000048860000}"/>
    <cellStyle name="Normal 2 7 8 2 8" xfId="34374" xr:uid="{00000000-0005-0000-0000-000049860000}"/>
    <cellStyle name="Normal 2 7 8 2 9" xfId="34375" xr:uid="{00000000-0005-0000-0000-00004A860000}"/>
    <cellStyle name="Normal 2 7 8 3" xfId="34376" xr:uid="{00000000-0005-0000-0000-00004B860000}"/>
    <cellStyle name="Normal 2 7 8 3 2" xfId="34377" xr:uid="{00000000-0005-0000-0000-00004C860000}"/>
    <cellStyle name="Normal 2 7 8 3 2 2" xfId="34378" xr:uid="{00000000-0005-0000-0000-00004D860000}"/>
    <cellStyle name="Normal 2 7 8 3 2 2 2" xfId="34379" xr:uid="{00000000-0005-0000-0000-00004E860000}"/>
    <cellStyle name="Normal 2 7 8 3 2 2 3" xfId="34380" xr:uid="{00000000-0005-0000-0000-00004F860000}"/>
    <cellStyle name="Normal 2 7 8 3 2 3" xfId="34381" xr:uid="{00000000-0005-0000-0000-000050860000}"/>
    <cellStyle name="Normal 2 7 8 3 2 4" xfId="34382" xr:uid="{00000000-0005-0000-0000-000051860000}"/>
    <cellStyle name="Normal 2 7 8 3 2 5" xfId="34383" xr:uid="{00000000-0005-0000-0000-000052860000}"/>
    <cellStyle name="Normal 2 7 8 3 2 6" xfId="34384" xr:uid="{00000000-0005-0000-0000-000053860000}"/>
    <cellStyle name="Normal 2 7 8 3 3" xfId="34385" xr:uid="{00000000-0005-0000-0000-000054860000}"/>
    <cellStyle name="Normal 2 7 8 3 3 2" xfId="34386" xr:uid="{00000000-0005-0000-0000-000055860000}"/>
    <cellStyle name="Normal 2 7 8 3 3 2 2" xfId="34387" xr:uid="{00000000-0005-0000-0000-000056860000}"/>
    <cellStyle name="Normal 2 7 8 3 3 3" xfId="34388" xr:uid="{00000000-0005-0000-0000-000057860000}"/>
    <cellStyle name="Normal 2 7 8 3 3 4" xfId="34389" xr:uid="{00000000-0005-0000-0000-000058860000}"/>
    <cellStyle name="Normal 2 7 8 3 3 5" xfId="34390" xr:uid="{00000000-0005-0000-0000-000059860000}"/>
    <cellStyle name="Normal 2 7 8 3 4" xfId="34391" xr:uid="{00000000-0005-0000-0000-00005A860000}"/>
    <cellStyle name="Normal 2 7 8 3 4 2" xfId="34392" xr:uid="{00000000-0005-0000-0000-00005B860000}"/>
    <cellStyle name="Normal 2 7 8 3 4 3" xfId="34393" xr:uid="{00000000-0005-0000-0000-00005C860000}"/>
    <cellStyle name="Normal 2 7 8 3 4 4" xfId="34394" xr:uid="{00000000-0005-0000-0000-00005D860000}"/>
    <cellStyle name="Normal 2 7 8 3 5" xfId="34395" xr:uid="{00000000-0005-0000-0000-00005E860000}"/>
    <cellStyle name="Normal 2 7 8 3 5 2" xfId="34396" xr:uid="{00000000-0005-0000-0000-00005F860000}"/>
    <cellStyle name="Normal 2 7 8 3 6" xfId="34397" xr:uid="{00000000-0005-0000-0000-000060860000}"/>
    <cellStyle name="Normal 2 7 8 3 7" xfId="34398" xr:uid="{00000000-0005-0000-0000-000061860000}"/>
    <cellStyle name="Normal 2 7 8 3 8" xfId="34399" xr:uid="{00000000-0005-0000-0000-000062860000}"/>
    <cellStyle name="Normal 2 7 8 3 9" xfId="34400" xr:uid="{00000000-0005-0000-0000-000063860000}"/>
    <cellStyle name="Normal 2 7 8 4" xfId="34401" xr:uid="{00000000-0005-0000-0000-000064860000}"/>
    <cellStyle name="Normal 2 7 8 4 2" xfId="34402" xr:uid="{00000000-0005-0000-0000-000065860000}"/>
    <cellStyle name="Normal 2 7 8 4 2 2" xfId="34403" xr:uid="{00000000-0005-0000-0000-000066860000}"/>
    <cellStyle name="Normal 2 7 8 4 2 3" xfId="34404" xr:uid="{00000000-0005-0000-0000-000067860000}"/>
    <cellStyle name="Normal 2 7 8 4 3" xfId="34405" xr:uid="{00000000-0005-0000-0000-000068860000}"/>
    <cellStyle name="Normal 2 7 8 4 4" xfId="34406" xr:uid="{00000000-0005-0000-0000-000069860000}"/>
    <cellStyle name="Normal 2 7 8 4 5" xfId="34407" xr:uid="{00000000-0005-0000-0000-00006A860000}"/>
    <cellStyle name="Normal 2 7 8 4 6" xfId="34408" xr:uid="{00000000-0005-0000-0000-00006B860000}"/>
    <cellStyle name="Normal 2 7 8 5" xfId="34409" xr:uid="{00000000-0005-0000-0000-00006C860000}"/>
    <cellStyle name="Normal 2 7 8 5 2" xfId="34410" xr:uid="{00000000-0005-0000-0000-00006D860000}"/>
    <cellStyle name="Normal 2 7 8 5 2 2" xfId="34411" xr:uid="{00000000-0005-0000-0000-00006E860000}"/>
    <cellStyle name="Normal 2 7 8 5 3" xfId="34412" xr:uid="{00000000-0005-0000-0000-00006F860000}"/>
    <cellStyle name="Normal 2 7 8 5 4" xfId="34413" xr:uid="{00000000-0005-0000-0000-000070860000}"/>
    <cellStyle name="Normal 2 7 8 5 5" xfId="34414" xr:uid="{00000000-0005-0000-0000-000071860000}"/>
    <cellStyle name="Normal 2 7 8 6" xfId="34415" xr:uid="{00000000-0005-0000-0000-000072860000}"/>
    <cellStyle name="Normal 2 7 8 6 2" xfId="34416" xr:uid="{00000000-0005-0000-0000-000073860000}"/>
    <cellStyle name="Normal 2 7 8 6 3" xfId="34417" xr:uid="{00000000-0005-0000-0000-000074860000}"/>
    <cellStyle name="Normal 2 7 8 6 4" xfId="34418" xr:uid="{00000000-0005-0000-0000-000075860000}"/>
    <cellStyle name="Normal 2 7 8 7" xfId="34419" xr:uid="{00000000-0005-0000-0000-000076860000}"/>
    <cellStyle name="Normal 2 7 8 7 2" xfId="34420" xr:uid="{00000000-0005-0000-0000-000077860000}"/>
    <cellStyle name="Normal 2 7 8 8" xfId="34421" xr:uid="{00000000-0005-0000-0000-000078860000}"/>
    <cellStyle name="Normal 2 7 8 9" xfId="34422" xr:uid="{00000000-0005-0000-0000-000079860000}"/>
    <cellStyle name="Normal 2 7 9" xfId="34423" xr:uid="{00000000-0005-0000-0000-00007A860000}"/>
    <cellStyle name="Normal 2 7 9 10" xfId="34424" xr:uid="{00000000-0005-0000-0000-00007B860000}"/>
    <cellStyle name="Normal 2 7 9 11" xfId="34425" xr:uid="{00000000-0005-0000-0000-00007C860000}"/>
    <cellStyle name="Normal 2 7 9 2" xfId="34426" xr:uid="{00000000-0005-0000-0000-00007D860000}"/>
    <cellStyle name="Normal 2 7 9 2 2" xfId="34427" xr:uid="{00000000-0005-0000-0000-00007E860000}"/>
    <cellStyle name="Normal 2 7 9 2 2 2" xfId="34428" xr:uid="{00000000-0005-0000-0000-00007F860000}"/>
    <cellStyle name="Normal 2 7 9 2 2 2 2" xfId="34429" xr:uid="{00000000-0005-0000-0000-000080860000}"/>
    <cellStyle name="Normal 2 7 9 2 2 2 3" xfId="34430" xr:uid="{00000000-0005-0000-0000-000081860000}"/>
    <cellStyle name="Normal 2 7 9 2 2 3" xfId="34431" xr:uid="{00000000-0005-0000-0000-000082860000}"/>
    <cellStyle name="Normal 2 7 9 2 2 4" xfId="34432" xr:uid="{00000000-0005-0000-0000-000083860000}"/>
    <cellStyle name="Normal 2 7 9 2 2 5" xfId="34433" xr:uid="{00000000-0005-0000-0000-000084860000}"/>
    <cellStyle name="Normal 2 7 9 2 2 6" xfId="34434" xr:uid="{00000000-0005-0000-0000-000085860000}"/>
    <cellStyle name="Normal 2 7 9 2 3" xfId="34435" xr:uid="{00000000-0005-0000-0000-000086860000}"/>
    <cellStyle name="Normal 2 7 9 2 3 2" xfId="34436" xr:uid="{00000000-0005-0000-0000-000087860000}"/>
    <cellStyle name="Normal 2 7 9 2 3 2 2" xfId="34437" xr:uid="{00000000-0005-0000-0000-000088860000}"/>
    <cellStyle name="Normal 2 7 9 2 3 3" xfId="34438" xr:uid="{00000000-0005-0000-0000-000089860000}"/>
    <cellStyle name="Normal 2 7 9 2 3 4" xfId="34439" xr:uid="{00000000-0005-0000-0000-00008A860000}"/>
    <cellStyle name="Normal 2 7 9 2 3 5" xfId="34440" xr:uid="{00000000-0005-0000-0000-00008B860000}"/>
    <cellStyle name="Normal 2 7 9 2 4" xfId="34441" xr:uid="{00000000-0005-0000-0000-00008C860000}"/>
    <cellStyle name="Normal 2 7 9 2 4 2" xfId="34442" xr:uid="{00000000-0005-0000-0000-00008D860000}"/>
    <cellStyle name="Normal 2 7 9 2 4 3" xfId="34443" xr:uid="{00000000-0005-0000-0000-00008E860000}"/>
    <cellStyle name="Normal 2 7 9 2 4 4" xfId="34444" xr:uid="{00000000-0005-0000-0000-00008F860000}"/>
    <cellStyle name="Normal 2 7 9 2 5" xfId="34445" xr:uid="{00000000-0005-0000-0000-000090860000}"/>
    <cellStyle name="Normal 2 7 9 2 5 2" xfId="34446" xr:uid="{00000000-0005-0000-0000-000091860000}"/>
    <cellStyle name="Normal 2 7 9 2 6" xfId="34447" xr:uid="{00000000-0005-0000-0000-000092860000}"/>
    <cellStyle name="Normal 2 7 9 2 7" xfId="34448" xr:uid="{00000000-0005-0000-0000-000093860000}"/>
    <cellStyle name="Normal 2 7 9 2 8" xfId="34449" xr:uid="{00000000-0005-0000-0000-000094860000}"/>
    <cellStyle name="Normal 2 7 9 2 9" xfId="34450" xr:uid="{00000000-0005-0000-0000-000095860000}"/>
    <cellStyle name="Normal 2 7 9 3" xfId="34451" xr:uid="{00000000-0005-0000-0000-000096860000}"/>
    <cellStyle name="Normal 2 7 9 3 2" xfId="34452" xr:uid="{00000000-0005-0000-0000-000097860000}"/>
    <cellStyle name="Normal 2 7 9 3 2 2" xfId="34453" xr:uid="{00000000-0005-0000-0000-000098860000}"/>
    <cellStyle name="Normal 2 7 9 3 2 2 2" xfId="34454" xr:uid="{00000000-0005-0000-0000-000099860000}"/>
    <cellStyle name="Normal 2 7 9 3 2 2 3" xfId="34455" xr:uid="{00000000-0005-0000-0000-00009A860000}"/>
    <cellStyle name="Normal 2 7 9 3 2 3" xfId="34456" xr:uid="{00000000-0005-0000-0000-00009B860000}"/>
    <cellStyle name="Normal 2 7 9 3 2 4" xfId="34457" xr:uid="{00000000-0005-0000-0000-00009C860000}"/>
    <cellStyle name="Normal 2 7 9 3 2 5" xfId="34458" xr:uid="{00000000-0005-0000-0000-00009D860000}"/>
    <cellStyle name="Normal 2 7 9 3 2 6" xfId="34459" xr:uid="{00000000-0005-0000-0000-00009E860000}"/>
    <cellStyle name="Normal 2 7 9 3 3" xfId="34460" xr:uid="{00000000-0005-0000-0000-00009F860000}"/>
    <cellStyle name="Normal 2 7 9 3 3 2" xfId="34461" xr:uid="{00000000-0005-0000-0000-0000A0860000}"/>
    <cellStyle name="Normal 2 7 9 3 3 2 2" xfId="34462" xr:uid="{00000000-0005-0000-0000-0000A1860000}"/>
    <cellStyle name="Normal 2 7 9 3 3 3" xfId="34463" xr:uid="{00000000-0005-0000-0000-0000A2860000}"/>
    <cellStyle name="Normal 2 7 9 3 3 4" xfId="34464" xr:uid="{00000000-0005-0000-0000-0000A3860000}"/>
    <cellStyle name="Normal 2 7 9 3 3 5" xfId="34465" xr:uid="{00000000-0005-0000-0000-0000A4860000}"/>
    <cellStyle name="Normal 2 7 9 3 4" xfId="34466" xr:uid="{00000000-0005-0000-0000-0000A5860000}"/>
    <cellStyle name="Normal 2 7 9 3 4 2" xfId="34467" xr:uid="{00000000-0005-0000-0000-0000A6860000}"/>
    <cellStyle name="Normal 2 7 9 3 4 3" xfId="34468" xr:uid="{00000000-0005-0000-0000-0000A7860000}"/>
    <cellStyle name="Normal 2 7 9 3 4 4" xfId="34469" xr:uid="{00000000-0005-0000-0000-0000A8860000}"/>
    <cellStyle name="Normal 2 7 9 3 5" xfId="34470" xr:uid="{00000000-0005-0000-0000-0000A9860000}"/>
    <cellStyle name="Normal 2 7 9 3 5 2" xfId="34471" xr:uid="{00000000-0005-0000-0000-0000AA860000}"/>
    <cellStyle name="Normal 2 7 9 3 6" xfId="34472" xr:uid="{00000000-0005-0000-0000-0000AB860000}"/>
    <cellStyle name="Normal 2 7 9 3 7" xfId="34473" xr:uid="{00000000-0005-0000-0000-0000AC860000}"/>
    <cellStyle name="Normal 2 7 9 3 8" xfId="34474" xr:uid="{00000000-0005-0000-0000-0000AD860000}"/>
    <cellStyle name="Normal 2 7 9 3 9" xfId="34475" xr:uid="{00000000-0005-0000-0000-0000AE860000}"/>
    <cellStyle name="Normal 2 7 9 4" xfId="34476" xr:uid="{00000000-0005-0000-0000-0000AF860000}"/>
    <cellStyle name="Normal 2 7 9 4 2" xfId="34477" xr:uid="{00000000-0005-0000-0000-0000B0860000}"/>
    <cellStyle name="Normal 2 7 9 4 2 2" xfId="34478" xr:uid="{00000000-0005-0000-0000-0000B1860000}"/>
    <cellStyle name="Normal 2 7 9 4 2 3" xfId="34479" xr:uid="{00000000-0005-0000-0000-0000B2860000}"/>
    <cellStyle name="Normal 2 7 9 4 3" xfId="34480" xr:uid="{00000000-0005-0000-0000-0000B3860000}"/>
    <cellStyle name="Normal 2 7 9 4 4" xfId="34481" xr:uid="{00000000-0005-0000-0000-0000B4860000}"/>
    <cellStyle name="Normal 2 7 9 4 5" xfId="34482" xr:uid="{00000000-0005-0000-0000-0000B5860000}"/>
    <cellStyle name="Normal 2 7 9 4 6" xfId="34483" xr:uid="{00000000-0005-0000-0000-0000B6860000}"/>
    <cellStyle name="Normal 2 7 9 5" xfId="34484" xr:uid="{00000000-0005-0000-0000-0000B7860000}"/>
    <cellStyle name="Normal 2 7 9 5 2" xfId="34485" xr:uid="{00000000-0005-0000-0000-0000B8860000}"/>
    <cellStyle name="Normal 2 7 9 5 2 2" xfId="34486" xr:uid="{00000000-0005-0000-0000-0000B9860000}"/>
    <cellStyle name="Normal 2 7 9 5 3" xfId="34487" xr:uid="{00000000-0005-0000-0000-0000BA860000}"/>
    <cellStyle name="Normal 2 7 9 5 4" xfId="34488" xr:uid="{00000000-0005-0000-0000-0000BB860000}"/>
    <cellStyle name="Normal 2 7 9 5 5" xfId="34489" xr:uid="{00000000-0005-0000-0000-0000BC860000}"/>
    <cellStyle name="Normal 2 7 9 6" xfId="34490" xr:uid="{00000000-0005-0000-0000-0000BD860000}"/>
    <cellStyle name="Normal 2 7 9 6 2" xfId="34491" xr:uid="{00000000-0005-0000-0000-0000BE860000}"/>
    <cellStyle name="Normal 2 7 9 6 3" xfId="34492" xr:uid="{00000000-0005-0000-0000-0000BF860000}"/>
    <cellStyle name="Normal 2 7 9 6 4" xfId="34493" xr:uid="{00000000-0005-0000-0000-0000C0860000}"/>
    <cellStyle name="Normal 2 7 9 7" xfId="34494" xr:uid="{00000000-0005-0000-0000-0000C1860000}"/>
    <cellStyle name="Normal 2 7 9 7 2" xfId="34495" xr:uid="{00000000-0005-0000-0000-0000C2860000}"/>
    <cellStyle name="Normal 2 7 9 8" xfId="34496" xr:uid="{00000000-0005-0000-0000-0000C3860000}"/>
    <cellStyle name="Normal 2 7 9 9" xfId="34497" xr:uid="{00000000-0005-0000-0000-0000C4860000}"/>
    <cellStyle name="Normal 2 70" xfId="34498" xr:uid="{00000000-0005-0000-0000-0000C5860000}"/>
    <cellStyle name="Normal 2 8" xfId="34499" xr:uid="{00000000-0005-0000-0000-0000C6860000}"/>
    <cellStyle name="Normal 2 8 10" xfId="34500" xr:uid="{00000000-0005-0000-0000-0000C7860000}"/>
    <cellStyle name="Normal 2 8 10 10" xfId="34501" xr:uid="{00000000-0005-0000-0000-0000C8860000}"/>
    <cellStyle name="Normal 2 8 10 11" xfId="34502" xr:uid="{00000000-0005-0000-0000-0000C9860000}"/>
    <cellStyle name="Normal 2 8 10 2" xfId="34503" xr:uid="{00000000-0005-0000-0000-0000CA860000}"/>
    <cellStyle name="Normal 2 8 10 2 2" xfId="34504" xr:uid="{00000000-0005-0000-0000-0000CB860000}"/>
    <cellStyle name="Normal 2 8 10 2 2 2" xfId="34505" xr:uid="{00000000-0005-0000-0000-0000CC860000}"/>
    <cellStyle name="Normal 2 8 10 2 2 2 2" xfId="34506" xr:uid="{00000000-0005-0000-0000-0000CD860000}"/>
    <cellStyle name="Normal 2 8 10 2 2 2 3" xfId="34507" xr:uid="{00000000-0005-0000-0000-0000CE860000}"/>
    <cellStyle name="Normal 2 8 10 2 2 3" xfId="34508" xr:uid="{00000000-0005-0000-0000-0000CF860000}"/>
    <cellStyle name="Normal 2 8 10 2 2 4" xfId="34509" xr:uid="{00000000-0005-0000-0000-0000D0860000}"/>
    <cellStyle name="Normal 2 8 10 2 2 5" xfId="34510" xr:uid="{00000000-0005-0000-0000-0000D1860000}"/>
    <cellStyle name="Normal 2 8 10 2 2 6" xfId="34511" xr:uid="{00000000-0005-0000-0000-0000D2860000}"/>
    <cellStyle name="Normal 2 8 10 2 3" xfId="34512" xr:uid="{00000000-0005-0000-0000-0000D3860000}"/>
    <cellStyle name="Normal 2 8 10 2 3 2" xfId="34513" xr:uid="{00000000-0005-0000-0000-0000D4860000}"/>
    <cellStyle name="Normal 2 8 10 2 3 2 2" xfId="34514" xr:uid="{00000000-0005-0000-0000-0000D5860000}"/>
    <cellStyle name="Normal 2 8 10 2 3 3" xfId="34515" xr:uid="{00000000-0005-0000-0000-0000D6860000}"/>
    <cellStyle name="Normal 2 8 10 2 3 4" xfId="34516" xr:uid="{00000000-0005-0000-0000-0000D7860000}"/>
    <cellStyle name="Normal 2 8 10 2 3 5" xfId="34517" xr:uid="{00000000-0005-0000-0000-0000D8860000}"/>
    <cellStyle name="Normal 2 8 10 2 4" xfId="34518" xr:uid="{00000000-0005-0000-0000-0000D9860000}"/>
    <cellStyle name="Normal 2 8 10 2 4 2" xfId="34519" xr:uid="{00000000-0005-0000-0000-0000DA860000}"/>
    <cellStyle name="Normal 2 8 10 2 4 3" xfId="34520" xr:uid="{00000000-0005-0000-0000-0000DB860000}"/>
    <cellStyle name="Normal 2 8 10 2 4 4" xfId="34521" xr:uid="{00000000-0005-0000-0000-0000DC860000}"/>
    <cellStyle name="Normal 2 8 10 2 5" xfId="34522" xr:uid="{00000000-0005-0000-0000-0000DD860000}"/>
    <cellStyle name="Normal 2 8 10 2 5 2" xfId="34523" xr:uid="{00000000-0005-0000-0000-0000DE860000}"/>
    <cellStyle name="Normal 2 8 10 2 6" xfId="34524" xr:uid="{00000000-0005-0000-0000-0000DF860000}"/>
    <cellStyle name="Normal 2 8 10 2 7" xfId="34525" xr:uid="{00000000-0005-0000-0000-0000E0860000}"/>
    <cellStyle name="Normal 2 8 10 2 8" xfId="34526" xr:uid="{00000000-0005-0000-0000-0000E1860000}"/>
    <cellStyle name="Normal 2 8 10 2 9" xfId="34527" xr:uid="{00000000-0005-0000-0000-0000E2860000}"/>
    <cellStyle name="Normal 2 8 10 3" xfId="34528" xr:uid="{00000000-0005-0000-0000-0000E3860000}"/>
    <cellStyle name="Normal 2 8 10 3 2" xfId="34529" xr:uid="{00000000-0005-0000-0000-0000E4860000}"/>
    <cellStyle name="Normal 2 8 10 3 2 2" xfId="34530" xr:uid="{00000000-0005-0000-0000-0000E5860000}"/>
    <cellStyle name="Normal 2 8 10 3 2 2 2" xfId="34531" xr:uid="{00000000-0005-0000-0000-0000E6860000}"/>
    <cellStyle name="Normal 2 8 10 3 2 2 3" xfId="34532" xr:uid="{00000000-0005-0000-0000-0000E7860000}"/>
    <cellStyle name="Normal 2 8 10 3 2 3" xfId="34533" xr:uid="{00000000-0005-0000-0000-0000E8860000}"/>
    <cellStyle name="Normal 2 8 10 3 2 4" xfId="34534" xr:uid="{00000000-0005-0000-0000-0000E9860000}"/>
    <cellStyle name="Normal 2 8 10 3 2 5" xfId="34535" xr:uid="{00000000-0005-0000-0000-0000EA860000}"/>
    <cellStyle name="Normal 2 8 10 3 2 6" xfId="34536" xr:uid="{00000000-0005-0000-0000-0000EB860000}"/>
    <cellStyle name="Normal 2 8 10 3 3" xfId="34537" xr:uid="{00000000-0005-0000-0000-0000EC860000}"/>
    <cellStyle name="Normal 2 8 10 3 3 2" xfId="34538" xr:uid="{00000000-0005-0000-0000-0000ED860000}"/>
    <cellStyle name="Normal 2 8 10 3 3 2 2" xfId="34539" xr:uid="{00000000-0005-0000-0000-0000EE860000}"/>
    <cellStyle name="Normal 2 8 10 3 3 3" xfId="34540" xr:uid="{00000000-0005-0000-0000-0000EF860000}"/>
    <cellStyle name="Normal 2 8 10 3 3 4" xfId="34541" xr:uid="{00000000-0005-0000-0000-0000F0860000}"/>
    <cellStyle name="Normal 2 8 10 3 3 5" xfId="34542" xr:uid="{00000000-0005-0000-0000-0000F1860000}"/>
    <cellStyle name="Normal 2 8 10 3 4" xfId="34543" xr:uid="{00000000-0005-0000-0000-0000F2860000}"/>
    <cellStyle name="Normal 2 8 10 3 4 2" xfId="34544" xr:uid="{00000000-0005-0000-0000-0000F3860000}"/>
    <cellStyle name="Normal 2 8 10 3 4 3" xfId="34545" xr:uid="{00000000-0005-0000-0000-0000F4860000}"/>
    <cellStyle name="Normal 2 8 10 3 4 4" xfId="34546" xr:uid="{00000000-0005-0000-0000-0000F5860000}"/>
    <cellStyle name="Normal 2 8 10 3 5" xfId="34547" xr:uid="{00000000-0005-0000-0000-0000F6860000}"/>
    <cellStyle name="Normal 2 8 10 3 5 2" xfId="34548" xr:uid="{00000000-0005-0000-0000-0000F7860000}"/>
    <cellStyle name="Normal 2 8 10 3 6" xfId="34549" xr:uid="{00000000-0005-0000-0000-0000F8860000}"/>
    <cellStyle name="Normal 2 8 10 3 7" xfId="34550" xr:uid="{00000000-0005-0000-0000-0000F9860000}"/>
    <cellStyle name="Normal 2 8 10 3 8" xfId="34551" xr:uid="{00000000-0005-0000-0000-0000FA860000}"/>
    <cellStyle name="Normal 2 8 10 3 9" xfId="34552" xr:uid="{00000000-0005-0000-0000-0000FB860000}"/>
    <cellStyle name="Normal 2 8 10 4" xfId="34553" xr:uid="{00000000-0005-0000-0000-0000FC860000}"/>
    <cellStyle name="Normal 2 8 10 4 2" xfId="34554" xr:uid="{00000000-0005-0000-0000-0000FD860000}"/>
    <cellStyle name="Normal 2 8 10 4 2 2" xfId="34555" xr:uid="{00000000-0005-0000-0000-0000FE860000}"/>
    <cellStyle name="Normal 2 8 10 4 2 3" xfId="34556" xr:uid="{00000000-0005-0000-0000-0000FF860000}"/>
    <cellStyle name="Normal 2 8 10 4 3" xfId="34557" xr:uid="{00000000-0005-0000-0000-000000870000}"/>
    <cellStyle name="Normal 2 8 10 4 4" xfId="34558" xr:uid="{00000000-0005-0000-0000-000001870000}"/>
    <cellStyle name="Normal 2 8 10 4 5" xfId="34559" xr:uid="{00000000-0005-0000-0000-000002870000}"/>
    <cellStyle name="Normal 2 8 10 4 6" xfId="34560" xr:uid="{00000000-0005-0000-0000-000003870000}"/>
    <cellStyle name="Normal 2 8 10 5" xfId="34561" xr:uid="{00000000-0005-0000-0000-000004870000}"/>
    <cellStyle name="Normal 2 8 10 5 2" xfId="34562" xr:uid="{00000000-0005-0000-0000-000005870000}"/>
    <cellStyle name="Normal 2 8 10 5 2 2" xfId="34563" xr:uid="{00000000-0005-0000-0000-000006870000}"/>
    <cellStyle name="Normal 2 8 10 5 3" xfId="34564" xr:uid="{00000000-0005-0000-0000-000007870000}"/>
    <cellStyle name="Normal 2 8 10 5 4" xfId="34565" xr:uid="{00000000-0005-0000-0000-000008870000}"/>
    <cellStyle name="Normal 2 8 10 5 5" xfId="34566" xr:uid="{00000000-0005-0000-0000-000009870000}"/>
    <cellStyle name="Normal 2 8 10 6" xfId="34567" xr:uid="{00000000-0005-0000-0000-00000A870000}"/>
    <cellStyle name="Normal 2 8 10 6 2" xfId="34568" xr:uid="{00000000-0005-0000-0000-00000B870000}"/>
    <cellStyle name="Normal 2 8 10 6 3" xfId="34569" xr:uid="{00000000-0005-0000-0000-00000C870000}"/>
    <cellStyle name="Normal 2 8 10 6 4" xfId="34570" xr:uid="{00000000-0005-0000-0000-00000D870000}"/>
    <cellStyle name="Normal 2 8 10 7" xfId="34571" xr:uid="{00000000-0005-0000-0000-00000E870000}"/>
    <cellStyle name="Normal 2 8 10 7 2" xfId="34572" xr:uid="{00000000-0005-0000-0000-00000F870000}"/>
    <cellStyle name="Normal 2 8 10 8" xfId="34573" xr:uid="{00000000-0005-0000-0000-000010870000}"/>
    <cellStyle name="Normal 2 8 10 9" xfId="34574" xr:uid="{00000000-0005-0000-0000-000011870000}"/>
    <cellStyle name="Normal 2 8 11" xfId="34575" xr:uid="{00000000-0005-0000-0000-000012870000}"/>
    <cellStyle name="Normal 2 8 11 10" xfId="34576" xr:uid="{00000000-0005-0000-0000-000013870000}"/>
    <cellStyle name="Normal 2 8 11 2" xfId="34577" xr:uid="{00000000-0005-0000-0000-000014870000}"/>
    <cellStyle name="Normal 2 8 11 2 2" xfId="34578" xr:uid="{00000000-0005-0000-0000-000015870000}"/>
    <cellStyle name="Normal 2 8 11 2 2 2" xfId="34579" xr:uid="{00000000-0005-0000-0000-000016870000}"/>
    <cellStyle name="Normal 2 8 11 2 2 3" xfId="34580" xr:uid="{00000000-0005-0000-0000-000017870000}"/>
    <cellStyle name="Normal 2 8 11 2 3" xfId="34581" xr:uid="{00000000-0005-0000-0000-000018870000}"/>
    <cellStyle name="Normal 2 8 11 2 4" xfId="34582" xr:uid="{00000000-0005-0000-0000-000019870000}"/>
    <cellStyle name="Normal 2 8 11 2 5" xfId="34583" xr:uid="{00000000-0005-0000-0000-00001A870000}"/>
    <cellStyle name="Normal 2 8 11 2 6" xfId="34584" xr:uid="{00000000-0005-0000-0000-00001B870000}"/>
    <cellStyle name="Normal 2 8 11 3" xfId="34585" xr:uid="{00000000-0005-0000-0000-00001C870000}"/>
    <cellStyle name="Normal 2 8 11 3 2" xfId="34586" xr:uid="{00000000-0005-0000-0000-00001D870000}"/>
    <cellStyle name="Normal 2 8 11 3 2 2" xfId="34587" xr:uid="{00000000-0005-0000-0000-00001E870000}"/>
    <cellStyle name="Normal 2 8 11 3 2 3" xfId="34588" xr:uid="{00000000-0005-0000-0000-00001F870000}"/>
    <cellStyle name="Normal 2 8 11 3 3" xfId="34589" xr:uid="{00000000-0005-0000-0000-000020870000}"/>
    <cellStyle name="Normal 2 8 11 3 4" xfId="34590" xr:uid="{00000000-0005-0000-0000-000021870000}"/>
    <cellStyle name="Normal 2 8 11 3 5" xfId="34591" xr:uid="{00000000-0005-0000-0000-000022870000}"/>
    <cellStyle name="Normal 2 8 11 3 6" xfId="34592" xr:uid="{00000000-0005-0000-0000-000023870000}"/>
    <cellStyle name="Normal 2 8 11 4" xfId="34593" xr:uid="{00000000-0005-0000-0000-000024870000}"/>
    <cellStyle name="Normal 2 8 11 4 2" xfId="34594" xr:uid="{00000000-0005-0000-0000-000025870000}"/>
    <cellStyle name="Normal 2 8 11 4 2 2" xfId="34595" xr:uid="{00000000-0005-0000-0000-000026870000}"/>
    <cellStyle name="Normal 2 8 11 4 3" xfId="34596" xr:uid="{00000000-0005-0000-0000-000027870000}"/>
    <cellStyle name="Normal 2 8 11 4 4" xfId="34597" xr:uid="{00000000-0005-0000-0000-000028870000}"/>
    <cellStyle name="Normal 2 8 11 4 5" xfId="34598" xr:uid="{00000000-0005-0000-0000-000029870000}"/>
    <cellStyle name="Normal 2 8 11 5" xfId="34599" xr:uid="{00000000-0005-0000-0000-00002A870000}"/>
    <cellStyle name="Normal 2 8 11 5 2" xfId="34600" xr:uid="{00000000-0005-0000-0000-00002B870000}"/>
    <cellStyle name="Normal 2 8 11 5 3" xfId="34601" xr:uid="{00000000-0005-0000-0000-00002C870000}"/>
    <cellStyle name="Normal 2 8 11 5 4" xfId="34602" xr:uid="{00000000-0005-0000-0000-00002D870000}"/>
    <cellStyle name="Normal 2 8 11 6" xfId="34603" xr:uid="{00000000-0005-0000-0000-00002E870000}"/>
    <cellStyle name="Normal 2 8 11 6 2" xfId="34604" xr:uid="{00000000-0005-0000-0000-00002F870000}"/>
    <cellStyle name="Normal 2 8 11 7" xfId="34605" xr:uid="{00000000-0005-0000-0000-000030870000}"/>
    <cellStyle name="Normal 2 8 11 8" xfId="34606" xr:uid="{00000000-0005-0000-0000-000031870000}"/>
    <cellStyle name="Normal 2 8 11 9" xfId="34607" xr:uid="{00000000-0005-0000-0000-000032870000}"/>
    <cellStyle name="Normal 2 8 12" xfId="34608" xr:uid="{00000000-0005-0000-0000-000033870000}"/>
    <cellStyle name="Normal 2 8 12 10" xfId="34609" xr:uid="{00000000-0005-0000-0000-000034870000}"/>
    <cellStyle name="Normal 2 8 12 2" xfId="34610" xr:uid="{00000000-0005-0000-0000-000035870000}"/>
    <cellStyle name="Normal 2 8 12 2 2" xfId="34611" xr:uid="{00000000-0005-0000-0000-000036870000}"/>
    <cellStyle name="Normal 2 8 12 2 2 2" xfId="34612" xr:uid="{00000000-0005-0000-0000-000037870000}"/>
    <cellStyle name="Normal 2 8 12 2 2 3" xfId="34613" xr:uid="{00000000-0005-0000-0000-000038870000}"/>
    <cellStyle name="Normal 2 8 12 2 3" xfId="34614" xr:uid="{00000000-0005-0000-0000-000039870000}"/>
    <cellStyle name="Normal 2 8 12 2 4" xfId="34615" xr:uid="{00000000-0005-0000-0000-00003A870000}"/>
    <cellStyle name="Normal 2 8 12 2 5" xfId="34616" xr:uid="{00000000-0005-0000-0000-00003B870000}"/>
    <cellStyle name="Normal 2 8 12 2 6" xfId="34617" xr:uid="{00000000-0005-0000-0000-00003C870000}"/>
    <cellStyle name="Normal 2 8 12 3" xfId="34618" xr:uid="{00000000-0005-0000-0000-00003D870000}"/>
    <cellStyle name="Normal 2 8 12 3 2" xfId="34619" xr:uid="{00000000-0005-0000-0000-00003E870000}"/>
    <cellStyle name="Normal 2 8 12 3 2 2" xfId="34620" xr:uid="{00000000-0005-0000-0000-00003F870000}"/>
    <cellStyle name="Normal 2 8 12 3 2 3" xfId="34621" xr:uid="{00000000-0005-0000-0000-000040870000}"/>
    <cellStyle name="Normal 2 8 12 3 3" xfId="34622" xr:uid="{00000000-0005-0000-0000-000041870000}"/>
    <cellStyle name="Normal 2 8 12 3 4" xfId="34623" xr:uid="{00000000-0005-0000-0000-000042870000}"/>
    <cellStyle name="Normal 2 8 12 3 5" xfId="34624" xr:uid="{00000000-0005-0000-0000-000043870000}"/>
    <cellStyle name="Normal 2 8 12 3 6" xfId="34625" xr:uid="{00000000-0005-0000-0000-000044870000}"/>
    <cellStyle name="Normal 2 8 12 4" xfId="34626" xr:uid="{00000000-0005-0000-0000-000045870000}"/>
    <cellStyle name="Normal 2 8 12 4 2" xfId="34627" xr:uid="{00000000-0005-0000-0000-000046870000}"/>
    <cellStyle name="Normal 2 8 12 4 2 2" xfId="34628" xr:uid="{00000000-0005-0000-0000-000047870000}"/>
    <cellStyle name="Normal 2 8 12 4 3" xfId="34629" xr:uid="{00000000-0005-0000-0000-000048870000}"/>
    <cellStyle name="Normal 2 8 12 4 4" xfId="34630" xr:uid="{00000000-0005-0000-0000-000049870000}"/>
    <cellStyle name="Normal 2 8 12 4 5" xfId="34631" xr:uid="{00000000-0005-0000-0000-00004A870000}"/>
    <cellStyle name="Normal 2 8 12 5" xfId="34632" xr:uid="{00000000-0005-0000-0000-00004B870000}"/>
    <cellStyle name="Normal 2 8 12 5 2" xfId="34633" xr:uid="{00000000-0005-0000-0000-00004C870000}"/>
    <cellStyle name="Normal 2 8 12 5 3" xfId="34634" xr:uid="{00000000-0005-0000-0000-00004D870000}"/>
    <cellStyle name="Normal 2 8 12 5 4" xfId="34635" xr:uid="{00000000-0005-0000-0000-00004E870000}"/>
    <cellStyle name="Normal 2 8 12 6" xfId="34636" xr:uid="{00000000-0005-0000-0000-00004F870000}"/>
    <cellStyle name="Normal 2 8 12 6 2" xfId="34637" xr:uid="{00000000-0005-0000-0000-000050870000}"/>
    <cellStyle name="Normal 2 8 12 7" xfId="34638" xr:uid="{00000000-0005-0000-0000-000051870000}"/>
    <cellStyle name="Normal 2 8 12 8" xfId="34639" xr:uid="{00000000-0005-0000-0000-000052870000}"/>
    <cellStyle name="Normal 2 8 12 9" xfId="34640" xr:uid="{00000000-0005-0000-0000-000053870000}"/>
    <cellStyle name="Normal 2 8 13" xfId="34641" xr:uid="{00000000-0005-0000-0000-000054870000}"/>
    <cellStyle name="Normal 2 8 13 10" xfId="34642" xr:uid="{00000000-0005-0000-0000-000055870000}"/>
    <cellStyle name="Normal 2 8 13 2" xfId="34643" xr:uid="{00000000-0005-0000-0000-000056870000}"/>
    <cellStyle name="Normal 2 8 13 2 2" xfId="34644" xr:uid="{00000000-0005-0000-0000-000057870000}"/>
    <cellStyle name="Normal 2 8 13 2 2 2" xfId="34645" xr:uid="{00000000-0005-0000-0000-000058870000}"/>
    <cellStyle name="Normal 2 8 13 2 2 3" xfId="34646" xr:uid="{00000000-0005-0000-0000-000059870000}"/>
    <cellStyle name="Normal 2 8 13 2 3" xfId="34647" xr:uid="{00000000-0005-0000-0000-00005A870000}"/>
    <cellStyle name="Normal 2 8 13 2 4" xfId="34648" xr:uid="{00000000-0005-0000-0000-00005B870000}"/>
    <cellStyle name="Normal 2 8 13 2 5" xfId="34649" xr:uid="{00000000-0005-0000-0000-00005C870000}"/>
    <cellStyle name="Normal 2 8 13 2 6" xfId="34650" xr:uid="{00000000-0005-0000-0000-00005D870000}"/>
    <cellStyle name="Normal 2 8 13 3" xfId="34651" xr:uid="{00000000-0005-0000-0000-00005E870000}"/>
    <cellStyle name="Normal 2 8 13 3 2" xfId="34652" xr:uid="{00000000-0005-0000-0000-00005F870000}"/>
    <cellStyle name="Normal 2 8 13 3 2 2" xfId="34653" xr:uid="{00000000-0005-0000-0000-000060870000}"/>
    <cellStyle name="Normal 2 8 13 3 2 3" xfId="34654" xr:uid="{00000000-0005-0000-0000-000061870000}"/>
    <cellStyle name="Normal 2 8 13 3 3" xfId="34655" xr:uid="{00000000-0005-0000-0000-000062870000}"/>
    <cellStyle name="Normal 2 8 13 3 4" xfId="34656" xr:uid="{00000000-0005-0000-0000-000063870000}"/>
    <cellStyle name="Normal 2 8 13 3 5" xfId="34657" xr:uid="{00000000-0005-0000-0000-000064870000}"/>
    <cellStyle name="Normal 2 8 13 3 6" xfId="34658" xr:uid="{00000000-0005-0000-0000-000065870000}"/>
    <cellStyle name="Normal 2 8 13 4" xfId="34659" xr:uid="{00000000-0005-0000-0000-000066870000}"/>
    <cellStyle name="Normal 2 8 13 4 2" xfId="34660" xr:uid="{00000000-0005-0000-0000-000067870000}"/>
    <cellStyle name="Normal 2 8 13 4 2 2" xfId="34661" xr:uid="{00000000-0005-0000-0000-000068870000}"/>
    <cellStyle name="Normal 2 8 13 4 3" xfId="34662" xr:uid="{00000000-0005-0000-0000-000069870000}"/>
    <cellStyle name="Normal 2 8 13 4 4" xfId="34663" xr:uid="{00000000-0005-0000-0000-00006A870000}"/>
    <cellStyle name="Normal 2 8 13 4 5" xfId="34664" xr:uid="{00000000-0005-0000-0000-00006B870000}"/>
    <cellStyle name="Normal 2 8 13 5" xfId="34665" xr:uid="{00000000-0005-0000-0000-00006C870000}"/>
    <cellStyle name="Normal 2 8 13 5 2" xfId="34666" xr:uid="{00000000-0005-0000-0000-00006D870000}"/>
    <cellStyle name="Normal 2 8 13 5 3" xfId="34667" xr:uid="{00000000-0005-0000-0000-00006E870000}"/>
    <cellStyle name="Normal 2 8 13 5 4" xfId="34668" xr:uid="{00000000-0005-0000-0000-00006F870000}"/>
    <cellStyle name="Normal 2 8 13 6" xfId="34669" xr:uid="{00000000-0005-0000-0000-000070870000}"/>
    <cellStyle name="Normal 2 8 13 6 2" xfId="34670" xr:uid="{00000000-0005-0000-0000-000071870000}"/>
    <cellStyle name="Normal 2 8 13 7" xfId="34671" xr:uid="{00000000-0005-0000-0000-000072870000}"/>
    <cellStyle name="Normal 2 8 13 8" xfId="34672" xr:uid="{00000000-0005-0000-0000-000073870000}"/>
    <cellStyle name="Normal 2 8 13 9" xfId="34673" xr:uid="{00000000-0005-0000-0000-000074870000}"/>
    <cellStyle name="Normal 2 8 14" xfId="34674" xr:uid="{00000000-0005-0000-0000-000075870000}"/>
    <cellStyle name="Normal 2 8 14 10" xfId="34675" xr:uid="{00000000-0005-0000-0000-000076870000}"/>
    <cellStyle name="Normal 2 8 14 2" xfId="34676" xr:uid="{00000000-0005-0000-0000-000077870000}"/>
    <cellStyle name="Normal 2 8 14 2 2" xfId="34677" xr:uid="{00000000-0005-0000-0000-000078870000}"/>
    <cellStyle name="Normal 2 8 14 2 2 2" xfId="34678" xr:uid="{00000000-0005-0000-0000-000079870000}"/>
    <cellStyle name="Normal 2 8 14 2 2 3" xfId="34679" xr:uid="{00000000-0005-0000-0000-00007A870000}"/>
    <cellStyle name="Normal 2 8 14 2 3" xfId="34680" xr:uid="{00000000-0005-0000-0000-00007B870000}"/>
    <cellStyle name="Normal 2 8 14 2 4" xfId="34681" xr:uid="{00000000-0005-0000-0000-00007C870000}"/>
    <cellStyle name="Normal 2 8 14 2 5" xfId="34682" xr:uid="{00000000-0005-0000-0000-00007D870000}"/>
    <cellStyle name="Normal 2 8 14 2 6" xfId="34683" xr:uid="{00000000-0005-0000-0000-00007E870000}"/>
    <cellStyle name="Normal 2 8 14 3" xfId="34684" xr:uid="{00000000-0005-0000-0000-00007F870000}"/>
    <cellStyle name="Normal 2 8 14 3 2" xfId="34685" xr:uid="{00000000-0005-0000-0000-000080870000}"/>
    <cellStyle name="Normal 2 8 14 3 2 2" xfId="34686" xr:uid="{00000000-0005-0000-0000-000081870000}"/>
    <cellStyle name="Normal 2 8 14 3 2 3" xfId="34687" xr:uid="{00000000-0005-0000-0000-000082870000}"/>
    <cellStyle name="Normal 2 8 14 3 3" xfId="34688" xr:uid="{00000000-0005-0000-0000-000083870000}"/>
    <cellStyle name="Normal 2 8 14 3 4" xfId="34689" xr:uid="{00000000-0005-0000-0000-000084870000}"/>
    <cellStyle name="Normal 2 8 14 3 5" xfId="34690" xr:uid="{00000000-0005-0000-0000-000085870000}"/>
    <cellStyle name="Normal 2 8 14 3 6" xfId="34691" xr:uid="{00000000-0005-0000-0000-000086870000}"/>
    <cellStyle name="Normal 2 8 14 4" xfId="34692" xr:uid="{00000000-0005-0000-0000-000087870000}"/>
    <cellStyle name="Normal 2 8 14 4 2" xfId="34693" xr:uid="{00000000-0005-0000-0000-000088870000}"/>
    <cellStyle name="Normal 2 8 14 4 2 2" xfId="34694" xr:uid="{00000000-0005-0000-0000-000089870000}"/>
    <cellStyle name="Normal 2 8 14 4 3" xfId="34695" xr:uid="{00000000-0005-0000-0000-00008A870000}"/>
    <cellStyle name="Normal 2 8 14 4 4" xfId="34696" xr:uid="{00000000-0005-0000-0000-00008B870000}"/>
    <cellStyle name="Normal 2 8 14 4 5" xfId="34697" xr:uid="{00000000-0005-0000-0000-00008C870000}"/>
    <cellStyle name="Normal 2 8 14 5" xfId="34698" xr:uid="{00000000-0005-0000-0000-00008D870000}"/>
    <cellStyle name="Normal 2 8 14 5 2" xfId="34699" xr:uid="{00000000-0005-0000-0000-00008E870000}"/>
    <cellStyle name="Normal 2 8 14 5 3" xfId="34700" xr:uid="{00000000-0005-0000-0000-00008F870000}"/>
    <cellStyle name="Normal 2 8 14 5 4" xfId="34701" xr:uid="{00000000-0005-0000-0000-000090870000}"/>
    <cellStyle name="Normal 2 8 14 6" xfId="34702" xr:uid="{00000000-0005-0000-0000-000091870000}"/>
    <cellStyle name="Normal 2 8 14 6 2" xfId="34703" xr:uid="{00000000-0005-0000-0000-000092870000}"/>
    <cellStyle name="Normal 2 8 14 7" xfId="34704" xr:uid="{00000000-0005-0000-0000-000093870000}"/>
    <cellStyle name="Normal 2 8 14 8" xfId="34705" xr:uid="{00000000-0005-0000-0000-000094870000}"/>
    <cellStyle name="Normal 2 8 14 9" xfId="34706" xr:uid="{00000000-0005-0000-0000-000095870000}"/>
    <cellStyle name="Normal 2 8 15" xfId="34707" xr:uid="{00000000-0005-0000-0000-000096870000}"/>
    <cellStyle name="Normal 2 8 15 10" xfId="34708" xr:uid="{00000000-0005-0000-0000-000097870000}"/>
    <cellStyle name="Normal 2 8 15 2" xfId="34709" xr:uid="{00000000-0005-0000-0000-000098870000}"/>
    <cellStyle name="Normal 2 8 15 2 2" xfId="34710" xr:uid="{00000000-0005-0000-0000-000099870000}"/>
    <cellStyle name="Normal 2 8 15 2 2 2" xfId="34711" xr:uid="{00000000-0005-0000-0000-00009A870000}"/>
    <cellStyle name="Normal 2 8 15 2 2 3" xfId="34712" xr:uid="{00000000-0005-0000-0000-00009B870000}"/>
    <cellStyle name="Normal 2 8 15 2 3" xfId="34713" xr:uid="{00000000-0005-0000-0000-00009C870000}"/>
    <cellStyle name="Normal 2 8 15 2 4" xfId="34714" xr:uid="{00000000-0005-0000-0000-00009D870000}"/>
    <cellStyle name="Normal 2 8 15 2 5" xfId="34715" xr:uid="{00000000-0005-0000-0000-00009E870000}"/>
    <cellStyle name="Normal 2 8 15 2 6" xfId="34716" xr:uid="{00000000-0005-0000-0000-00009F870000}"/>
    <cellStyle name="Normal 2 8 15 3" xfId="34717" xr:uid="{00000000-0005-0000-0000-0000A0870000}"/>
    <cellStyle name="Normal 2 8 15 3 2" xfId="34718" xr:uid="{00000000-0005-0000-0000-0000A1870000}"/>
    <cellStyle name="Normal 2 8 15 3 2 2" xfId="34719" xr:uid="{00000000-0005-0000-0000-0000A2870000}"/>
    <cellStyle name="Normal 2 8 15 3 2 3" xfId="34720" xr:uid="{00000000-0005-0000-0000-0000A3870000}"/>
    <cellStyle name="Normal 2 8 15 3 3" xfId="34721" xr:uid="{00000000-0005-0000-0000-0000A4870000}"/>
    <cellStyle name="Normal 2 8 15 3 4" xfId="34722" xr:uid="{00000000-0005-0000-0000-0000A5870000}"/>
    <cellStyle name="Normal 2 8 15 3 5" xfId="34723" xr:uid="{00000000-0005-0000-0000-0000A6870000}"/>
    <cellStyle name="Normal 2 8 15 3 6" xfId="34724" xr:uid="{00000000-0005-0000-0000-0000A7870000}"/>
    <cellStyle name="Normal 2 8 15 4" xfId="34725" xr:uid="{00000000-0005-0000-0000-0000A8870000}"/>
    <cellStyle name="Normal 2 8 15 4 2" xfId="34726" xr:uid="{00000000-0005-0000-0000-0000A9870000}"/>
    <cellStyle name="Normal 2 8 15 4 2 2" xfId="34727" xr:uid="{00000000-0005-0000-0000-0000AA870000}"/>
    <cellStyle name="Normal 2 8 15 4 3" xfId="34728" xr:uid="{00000000-0005-0000-0000-0000AB870000}"/>
    <cellStyle name="Normal 2 8 15 4 4" xfId="34729" xr:uid="{00000000-0005-0000-0000-0000AC870000}"/>
    <cellStyle name="Normal 2 8 15 4 5" xfId="34730" xr:uid="{00000000-0005-0000-0000-0000AD870000}"/>
    <cellStyle name="Normal 2 8 15 5" xfId="34731" xr:uid="{00000000-0005-0000-0000-0000AE870000}"/>
    <cellStyle name="Normal 2 8 15 5 2" xfId="34732" xr:uid="{00000000-0005-0000-0000-0000AF870000}"/>
    <cellStyle name="Normal 2 8 15 5 3" xfId="34733" xr:uid="{00000000-0005-0000-0000-0000B0870000}"/>
    <cellStyle name="Normal 2 8 15 5 4" xfId="34734" xr:uid="{00000000-0005-0000-0000-0000B1870000}"/>
    <cellStyle name="Normal 2 8 15 6" xfId="34735" xr:uid="{00000000-0005-0000-0000-0000B2870000}"/>
    <cellStyle name="Normal 2 8 15 6 2" xfId="34736" xr:uid="{00000000-0005-0000-0000-0000B3870000}"/>
    <cellStyle name="Normal 2 8 15 7" xfId="34737" xr:uid="{00000000-0005-0000-0000-0000B4870000}"/>
    <cellStyle name="Normal 2 8 15 8" xfId="34738" xr:uid="{00000000-0005-0000-0000-0000B5870000}"/>
    <cellStyle name="Normal 2 8 15 9" xfId="34739" xr:uid="{00000000-0005-0000-0000-0000B6870000}"/>
    <cellStyle name="Normal 2 8 16" xfId="34740" xr:uid="{00000000-0005-0000-0000-0000B7870000}"/>
    <cellStyle name="Normal 2 8 16 10" xfId="34741" xr:uid="{00000000-0005-0000-0000-0000B8870000}"/>
    <cellStyle name="Normal 2 8 16 2" xfId="34742" xr:uid="{00000000-0005-0000-0000-0000B9870000}"/>
    <cellStyle name="Normal 2 8 16 2 2" xfId="34743" xr:uid="{00000000-0005-0000-0000-0000BA870000}"/>
    <cellStyle name="Normal 2 8 16 2 2 2" xfId="34744" xr:uid="{00000000-0005-0000-0000-0000BB870000}"/>
    <cellStyle name="Normal 2 8 16 2 2 3" xfId="34745" xr:uid="{00000000-0005-0000-0000-0000BC870000}"/>
    <cellStyle name="Normal 2 8 16 2 3" xfId="34746" xr:uid="{00000000-0005-0000-0000-0000BD870000}"/>
    <cellStyle name="Normal 2 8 16 2 4" xfId="34747" xr:uid="{00000000-0005-0000-0000-0000BE870000}"/>
    <cellStyle name="Normal 2 8 16 2 5" xfId="34748" xr:uid="{00000000-0005-0000-0000-0000BF870000}"/>
    <cellStyle name="Normal 2 8 16 2 6" xfId="34749" xr:uid="{00000000-0005-0000-0000-0000C0870000}"/>
    <cellStyle name="Normal 2 8 16 3" xfId="34750" xr:uid="{00000000-0005-0000-0000-0000C1870000}"/>
    <cellStyle name="Normal 2 8 16 3 2" xfId="34751" xr:uid="{00000000-0005-0000-0000-0000C2870000}"/>
    <cellStyle name="Normal 2 8 16 3 2 2" xfId="34752" xr:uid="{00000000-0005-0000-0000-0000C3870000}"/>
    <cellStyle name="Normal 2 8 16 3 2 3" xfId="34753" xr:uid="{00000000-0005-0000-0000-0000C4870000}"/>
    <cellStyle name="Normal 2 8 16 3 3" xfId="34754" xr:uid="{00000000-0005-0000-0000-0000C5870000}"/>
    <cellStyle name="Normal 2 8 16 3 4" xfId="34755" xr:uid="{00000000-0005-0000-0000-0000C6870000}"/>
    <cellStyle name="Normal 2 8 16 3 5" xfId="34756" xr:uid="{00000000-0005-0000-0000-0000C7870000}"/>
    <cellStyle name="Normal 2 8 16 3 6" xfId="34757" xr:uid="{00000000-0005-0000-0000-0000C8870000}"/>
    <cellStyle name="Normal 2 8 16 4" xfId="34758" xr:uid="{00000000-0005-0000-0000-0000C9870000}"/>
    <cellStyle name="Normal 2 8 16 4 2" xfId="34759" xr:uid="{00000000-0005-0000-0000-0000CA870000}"/>
    <cellStyle name="Normal 2 8 16 4 2 2" xfId="34760" xr:uid="{00000000-0005-0000-0000-0000CB870000}"/>
    <cellStyle name="Normal 2 8 16 4 3" xfId="34761" xr:uid="{00000000-0005-0000-0000-0000CC870000}"/>
    <cellStyle name="Normal 2 8 16 4 4" xfId="34762" xr:uid="{00000000-0005-0000-0000-0000CD870000}"/>
    <cellStyle name="Normal 2 8 16 4 5" xfId="34763" xr:uid="{00000000-0005-0000-0000-0000CE870000}"/>
    <cellStyle name="Normal 2 8 16 5" xfId="34764" xr:uid="{00000000-0005-0000-0000-0000CF870000}"/>
    <cellStyle name="Normal 2 8 16 5 2" xfId="34765" xr:uid="{00000000-0005-0000-0000-0000D0870000}"/>
    <cellStyle name="Normal 2 8 16 5 3" xfId="34766" xr:uid="{00000000-0005-0000-0000-0000D1870000}"/>
    <cellStyle name="Normal 2 8 16 5 4" xfId="34767" xr:uid="{00000000-0005-0000-0000-0000D2870000}"/>
    <cellStyle name="Normal 2 8 16 6" xfId="34768" xr:uid="{00000000-0005-0000-0000-0000D3870000}"/>
    <cellStyle name="Normal 2 8 16 6 2" xfId="34769" xr:uid="{00000000-0005-0000-0000-0000D4870000}"/>
    <cellStyle name="Normal 2 8 16 7" xfId="34770" xr:uid="{00000000-0005-0000-0000-0000D5870000}"/>
    <cellStyle name="Normal 2 8 16 8" xfId="34771" xr:uid="{00000000-0005-0000-0000-0000D6870000}"/>
    <cellStyle name="Normal 2 8 16 9" xfId="34772" xr:uid="{00000000-0005-0000-0000-0000D7870000}"/>
    <cellStyle name="Normal 2 8 17" xfId="34773" xr:uid="{00000000-0005-0000-0000-0000D8870000}"/>
    <cellStyle name="Normal 2 8 17 10" xfId="34774" xr:uid="{00000000-0005-0000-0000-0000D9870000}"/>
    <cellStyle name="Normal 2 8 17 2" xfId="34775" xr:uid="{00000000-0005-0000-0000-0000DA870000}"/>
    <cellStyle name="Normal 2 8 17 2 2" xfId="34776" xr:uid="{00000000-0005-0000-0000-0000DB870000}"/>
    <cellStyle name="Normal 2 8 17 2 2 2" xfId="34777" xr:uid="{00000000-0005-0000-0000-0000DC870000}"/>
    <cellStyle name="Normal 2 8 17 2 2 3" xfId="34778" xr:uid="{00000000-0005-0000-0000-0000DD870000}"/>
    <cellStyle name="Normal 2 8 17 2 3" xfId="34779" xr:uid="{00000000-0005-0000-0000-0000DE870000}"/>
    <cellStyle name="Normal 2 8 17 2 4" xfId="34780" xr:uid="{00000000-0005-0000-0000-0000DF870000}"/>
    <cellStyle name="Normal 2 8 17 2 5" xfId="34781" xr:uid="{00000000-0005-0000-0000-0000E0870000}"/>
    <cellStyle name="Normal 2 8 17 2 6" xfId="34782" xr:uid="{00000000-0005-0000-0000-0000E1870000}"/>
    <cellStyle name="Normal 2 8 17 3" xfId="34783" xr:uid="{00000000-0005-0000-0000-0000E2870000}"/>
    <cellStyle name="Normal 2 8 17 3 2" xfId="34784" xr:uid="{00000000-0005-0000-0000-0000E3870000}"/>
    <cellStyle name="Normal 2 8 17 3 2 2" xfId="34785" xr:uid="{00000000-0005-0000-0000-0000E4870000}"/>
    <cellStyle name="Normal 2 8 17 3 2 3" xfId="34786" xr:uid="{00000000-0005-0000-0000-0000E5870000}"/>
    <cellStyle name="Normal 2 8 17 3 3" xfId="34787" xr:uid="{00000000-0005-0000-0000-0000E6870000}"/>
    <cellStyle name="Normal 2 8 17 3 4" xfId="34788" xr:uid="{00000000-0005-0000-0000-0000E7870000}"/>
    <cellStyle name="Normal 2 8 17 3 5" xfId="34789" xr:uid="{00000000-0005-0000-0000-0000E8870000}"/>
    <cellStyle name="Normal 2 8 17 3 6" xfId="34790" xr:uid="{00000000-0005-0000-0000-0000E9870000}"/>
    <cellStyle name="Normal 2 8 17 4" xfId="34791" xr:uid="{00000000-0005-0000-0000-0000EA870000}"/>
    <cellStyle name="Normal 2 8 17 4 2" xfId="34792" xr:uid="{00000000-0005-0000-0000-0000EB870000}"/>
    <cellStyle name="Normal 2 8 17 4 2 2" xfId="34793" xr:uid="{00000000-0005-0000-0000-0000EC870000}"/>
    <cellStyle name="Normal 2 8 17 4 3" xfId="34794" xr:uid="{00000000-0005-0000-0000-0000ED870000}"/>
    <cellStyle name="Normal 2 8 17 4 4" xfId="34795" xr:uid="{00000000-0005-0000-0000-0000EE870000}"/>
    <cellStyle name="Normal 2 8 17 4 5" xfId="34796" xr:uid="{00000000-0005-0000-0000-0000EF870000}"/>
    <cellStyle name="Normal 2 8 17 5" xfId="34797" xr:uid="{00000000-0005-0000-0000-0000F0870000}"/>
    <cellStyle name="Normal 2 8 17 5 2" xfId="34798" xr:uid="{00000000-0005-0000-0000-0000F1870000}"/>
    <cellStyle name="Normal 2 8 17 5 3" xfId="34799" xr:uid="{00000000-0005-0000-0000-0000F2870000}"/>
    <cellStyle name="Normal 2 8 17 5 4" xfId="34800" xr:uid="{00000000-0005-0000-0000-0000F3870000}"/>
    <cellStyle name="Normal 2 8 17 6" xfId="34801" xr:uid="{00000000-0005-0000-0000-0000F4870000}"/>
    <cellStyle name="Normal 2 8 17 6 2" xfId="34802" xr:uid="{00000000-0005-0000-0000-0000F5870000}"/>
    <cellStyle name="Normal 2 8 17 7" xfId="34803" xr:uid="{00000000-0005-0000-0000-0000F6870000}"/>
    <cellStyle name="Normal 2 8 17 8" xfId="34804" xr:uid="{00000000-0005-0000-0000-0000F7870000}"/>
    <cellStyle name="Normal 2 8 17 9" xfId="34805" xr:uid="{00000000-0005-0000-0000-0000F8870000}"/>
    <cellStyle name="Normal 2 8 18" xfId="34806" xr:uid="{00000000-0005-0000-0000-0000F9870000}"/>
    <cellStyle name="Normal 2 8 18 10" xfId="34807" xr:uid="{00000000-0005-0000-0000-0000FA870000}"/>
    <cellStyle name="Normal 2 8 18 2" xfId="34808" xr:uid="{00000000-0005-0000-0000-0000FB870000}"/>
    <cellStyle name="Normal 2 8 18 2 2" xfId="34809" xr:uid="{00000000-0005-0000-0000-0000FC870000}"/>
    <cellStyle name="Normal 2 8 18 2 2 2" xfId="34810" xr:uid="{00000000-0005-0000-0000-0000FD870000}"/>
    <cellStyle name="Normal 2 8 18 2 2 3" xfId="34811" xr:uid="{00000000-0005-0000-0000-0000FE870000}"/>
    <cellStyle name="Normal 2 8 18 2 3" xfId="34812" xr:uid="{00000000-0005-0000-0000-0000FF870000}"/>
    <cellStyle name="Normal 2 8 18 2 4" xfId="34813" xr:uid="{00000000-0005-0000-0000-000000880000}"/>
    <cellStyle name="Normal 2 8 18 2 5" xfId="34814" xr:uid="{00000000-0005-0000-0000-000001880000}"/>
    <cellStyle name="Normal 2 8 18 2 6" xfId="34815" xr:uid="{00000000-0005-0000-0000-000002880000}"/>
    <cellStyle name="Normal 2 8 18 3" xfId="34816" xr:uid="{00000000-0005-0000-0000-000003880000}"/>
    <cellStyle name="Normal 2 8 18 3 2" xfId="34817" xr:uid="{00000000-0005-0000-0000-000004880000}"/>
    <cellStyle name="Normal 2 8 18 3 2 2" xfId="34818" xr:uid="{00000000-0005-0000-0000-000005880000}"/>
    <cellStyle name="Normal 2 8 18 3 2 3" xfId="34819" xr:uid="{00000000-0005-0000-0000-000006880000}"/>
    <cellStyle name="Normal 2 8 18 3 3" xfId="34820" xr:uid="{00000000-0005-0000-0000-000007880000}"/>
    <cellStyle name="Normal 2 8 18 3 4" xfId="34821" xr:uid="{00000000-0005-0000-0000-000008880000}"/>
    <cellStyle name="Normal 2 8 18 3 5" xfId="34822" xr:uid="{00000000-0005-0000-0000-000009880000}"/>
    <cellStyle name="Normal 2 8 18 3 6" xfId="34823" xr:uid="{00000000-0005-0000-0000-00000A880000}"/>
    <cellStyle name="Normal 2 8 18 4" xfId="34824" xr:uid="{00000000-0005-0000-0000-00000B880000}"/>
    <cellStyle name="Normal 2 8 18 4 2" xfId="34825" xr:uid="{00000000-0005-0000-0000-00000C880000}"/>
    <cellStyle name="Normal 2 8 18 4 2 2" xfId="34826" xr:uid="{00000000-0005-0000-0000-00000D880000}"/>
    <cellStyle name="Normal 2 8 18 4 3" xfId="34827" xr:uid="{00000000-0005-0000-0000-00000E880000}"/>
    <cellStyle name="Normal 2 8 18 4 4" xfId="34828" xr:uid="{00000000-0005-0000-0000-00000F880000}"/>
    <cellStyle name="Normal 2 8 18 4 5" xfId="34829" xr:uid="{00000000-0005-0000-0000-000010880000}"/>
    <cellStyle name="Normal 2 8 18 5" xfId="34830" xr:uid="{00000000-0005-0000-0000-000011880000}"/>
    <cellStyle name="Normal 2 8 18 5 2" xfId="34831" xr:uid="{00000000-0005-0000-0000-000012880000}"/>
    <cellStyle name="Normal 2 8 18 5 3" xfId="34832" xr:uid="{00000000-0005-0000-0000-000013880000}"/>
    <cellStyle name="Normal 2 8 18 5 4" xfId="34833" xr:uid="{00000000-0005-0000-0000-000014880000}"/>
    <cellStyle name="Normal 2 8 18 6" xfId="34834" xr:uid="{00000000-0005-0000-0000-000015880000}"/>
    <cellStyle name="Normal 2 8 18 6 2" xfId="34835" xr:uid="{00000000-0005-0000-0000-000016880000}"/>
    <cellStyle name="Normal 2 8 18 7" xfId="34836" xr:uid="{00000000-0005-0000-0000-000017880000}"/>
    <cellStyle name="Normal 2 8 18 8" xfId="34837" xr:uid="{00000000-0005-0000-0000-000018880000}"/>
    <cellStyle name="Normal 2 8 18 9" xfId="34838" xr:uid="{00000000-0005-0000-0000-000019880000}"/>
    <cellStyle name="Normal 2 8 19" xfId="34839" xr:uid="{00000000-0005-0000-0000-00001A880000}"/>
    <cellStyle name="Normal 2 8 19 10" xfId="34840" xr:uid="{00000000-0005-0000-0000-00001B880000}"/>
    <cellStyle name="Normal 2 8 19 2" xfId="34841" xr:uid="{00000000-0005-0000-0000-00001C880000}"/>
    <cellStyle name="Normal 2 8 19 2 2" xfId="34842" xr:uid="{00000000-0005-0000-0000-00001D880000}"/>
    <cellStyle name="Normal 2 8 19 2 2 2" xfId="34843" xr:uid="{00000000-0005-0000-0000-00001E880000}"/>
    <cellStyle name="Normal 2 8 19 2 2 3" xfId="34844" xr:uid="{00000000-0005-0000-0000-00001F880000}"/>
    <cellStyle name="Normal 2 8 19 2 3" xfId="34845" xr:uid="{00000000-0005-0000-0000-000020880000}"/>
    <cellStyle name="Normal 2 8 19 2 4" xfId="34846" xr:uid="{00000000-0005-0000-0000-000021880000}"/>
    <cellStyle name="Normal 2 8 19 2 5" xfId="34847" xr:uid="{00000000-0005-0000-0000-000022880000}"/>
    <cellStyle name="Normal 2 8 19 2 6" xfId="34848" xr:uid="{00000000-0005-0000-0000-000023880000}"/>
    <cellStyle name="Normal 2 8 19 3" xfId="34849" xr:uid="{00000000-0005-0000-0000-000024880000}"/>
    <cellStyle name="Normal 2 8 19 3 2" xfId="34850" xr:uid="{00000000-0005-0000-0000-000025880000}"/>
    <cellStyle name="Normal 2 8 19 3 2 2" xfId="34851" xr:uid="{00000000-0005-0000-0000-000026880000}"/>
    <cellStyle name="Normal 2 8 19 3 2 3" xfId="34852" xr:uid="{00000000-0005-0000-0000-000027880000}"/>
    <cellStyle name="Normal 2 8 19 3 3" xfId="34853" xr:uid="{00000000-0005-0000-0000-000028880000}"/>
    <cellStyle name="Normal 2 8 19 3 4" xfId="34854" xr:uid="{00000000-0005-0000-0000-000029880000}"/>
    <cellStyle name="Normal 2 8 19 3 5" xfId="34855" xr:uid="{00000000-0005-0000-0000-00002A880000}"/>
    <cellStyle name="Normal 2 8 19 3 6" xfId="34856" xr:uid="{00000000-0005-0000-0000-00002B880000}"/>
    <cellStyle name="Normal 2 8 19 4" xfId="34857" xr:uid="{00000000-0005-0000-0000-00002C880000}"/>
    <cellStyle name="Normal 2 8 19 4 2" xfId="34858" xr:uid="{00000000-0005-0000-0000-00002D880000}"/>
    <cellStyle name="Normal 2 8 19 4 2 2" xfId="34859" xr:uid="{00000000-0005-0000-0000-00002E880000}"/>
    <cellStyle name="Normal 2 8 19 4 3" xfId="34860" xr:uid="{00000000-0005-0000-0000-00002F880000}"/>
    <cellStyle name="Normal 2 8 19 4 4" xfId="34861" xr:uid="{00000000-0005-0000-0000-000030880000}"/>
    <cellStyle name="Normal 2 8 19 4 5" xfId="34862" xr:uid="{00000000-0005-0000-0000-000031880000}"/>
    <cellStyle name="Normal 2 8 19 5" xfId="34863" xr:uid="{00000000-0005-0000-0000-000032880000}"/>
    <cellStyle name="Normal 2 8 19 5 2" xfId="34864" xr:uid="{00000000-0005-0000-0000-000033880000}"/>
    <cellStyle name="Normal 2 8 19 5 3" xfId="34865" xr:uid="{00000000-0005-0000-0000-000034880000}"/>
    <cellStyle name="Normal 2 8 19 5 4" xfId="34866" xr:uid="{00000000-0005-0000-0000-000035880000}"/>
    <cellStyle name="Normal 2 8 19 6" xfId="34867" xr:uid="{00000000-0005-0000-0000-000036880000}"/>
    <cellStyle name="Normal 2 8 19 6 2" xfId="34868" xr:uid="{00000000-0005-0000-0000-000037880000}"/>
    <cellStyle name="Normal 2 8 19 7" xfId="34869" xr:uid="{00000000-0005-0000-0000-000038880000}"/>
    <cellStyle name="Normal 2 8 19 8" xfId="34870" xr:uid="{00000000-0005-0000-0000-000039880000}"/>
    <cellStyle name="Normal 2 8 19 9" xfId="34871" xr:uid="{00000000-0005-0000-0000-00003A880000}"/>
    <cellStyle name="Normal 2 8 2" xfId="34872" xr:uid="{00000000-0005-0000-0000-00003B880000}"/>
    <cellStyle name="Normal 2 8 2 10" xfId="34873" xr:uid="{00000000-0005-0000-0000-00003C880000}"/>
    <cellStyle name="Normal 2 8 2 10 10" xfId="34874" xr:uid="{00000000-0005-0000-0000-00003D880000}"/>
    <cellStyle name="Normal 2 8 2 10 2" xfId="34875" xr:uid="{00000000-0005-0000-0000-00003E880000}"/>
    <cellStyle name="Normal 2 8 2 10 2 2" xfId="34876" xr:uid="{00000000-0005-0000-0000-00003F880000}"/>
    <cellStyle name="Normal 2 8 2 10 2 2 2" xfId="34877" xr:uid="{00000000-0005-0000-0000-000040880000}"/>
    <cellStyle name="Normal 2 8 2 10 2 2 3" xfId="34878" xr:uid="{00000000-0005-0000-0000-000041880000}"/>
    <cellStyle name="Normal 2 8 2 10 2 3" xfId="34879" xr:uid="{00000000-0005-0000-0000-000042880000}"/>
    <cellStyle name="Normal 2 8 2 10 2 4" xfId="34880" xr:uid="{00000000-0005-0000-0000-000043880000}"/>
    <cellStyle name="Normal 2 8 2 10 2 5" xfId="34881" xr:uid="{00000000-0005-0000-0000-000044880000}"/>
    <cellStyle name="Normal 2 8 2 10 2 6" xfId="34882" xr:uid="{00000000-0005-0000-0000-000045880000}"/>
    <cellStyle name="Normal 2 8 2 10 3" xfId="34883" xr:uid="{00000000-0005-0000-0000-000046880000}"/>
    <cellStyle name="Normal 2 8 2 10 3 2" xfId="34884" xr:uid="{00000000-0005-0000-0000-000047880000}"/>
    <cellStyle name="Normal 2 8 2 10 3 2 2" xfId="34885" xr:uid="{00000000-0005-0000-0000-000048880000}"/>
    <cellStyle name="Normal 2 8 2 10 3 2 3" xfId="34886" xr:uid="{00000000-0005-0000-0000-000049880000}"/>
    <cellStyle name="Normal 2 8 2 10 3 3" xfId="34887" xr:uid="{00000000-0005-0000-0000-00004A880000}"/>
    <cellStyle name="Normal 2 8 2 10 3 4" xfId="34888" xr:uid="{00000000-0005-0000-0000-00004B880000}"/>
    <cellStyle name="Normal 2 8 2 10 3 5" xfId="34889" xr:uid="{00000000-0005-0000-0000-00004C880000}"/>
    <cellStyle name="Normal 2 8 2 10 3 6" xfId="34890" xr:uid="{00000000-0005-0000-0000-00004D880000}"/>
    <cellStyle name="Normal 2 8 2 10 4" xfId="34891" xr:uid="{00000000-0005-0000-0000-00004E880000}"/>
    <cellStyle name="Normal 2 8 2 10 4 2" xfId="34892" xr:uid="{00000000-0005-0000-0000-00004F880000}"/>
    <cellStyle name="Normal 2 8 2 10 4 2 2" xfId="34893" xr:uid="{00000000-0005-0000-0000-000050880000}"/>
    <cellStyle name="Normal 2 8 2 10 4 3" xfId="34894" xr:uid="{00000000-0005-0000-0000-000051880000}"/>
    <cellStyle name="Normal 2 8 2 10 4 4" xfId="34895" xr:uid="{00000000-0005-0000-0000-000052880000}"/>
    <cellStyle name="Normal 2 8 2 10 4 5" xfId="34896" xr:uid="{00000000-0005-0000-0000-000053880000}"/>
    <cellStyle name="Normal 2 8 2 10 5" xfId="34897" xr:uid="{00000000-0005-0000-0000-000054880000}"/>
    <cellStyle name="Normal 2 8 2 10 5 2" xfId="34898" xr:uid="{00000000-0005-0000-0000-000055880000}"/>
    <cellStyle name="Normal 2 8 2 10 5 3" xfId="34899" xr:uid="{00000000-0005-0000-0000-000056880000}"/>
    <cellStyle name="Normal 2 8 2 10 5 4" xfId="34900" xr:uid="{00000000-0005-0000-0000-000057880000}"/>
    <cellStyle name="Normal 2 8 2 10 6" xfId="34901" xr:uid="{00000000-0005-0000-0000-000058880000}"/>
    <cellStyle name="Normal 2 8 2 10 6 2" xfId="34902" xr:uid="{00000000-0005-0000-0000-000059880000}"/>
    <cellStyle name="Normal 2 8 2 10 7" xfId="34903" xr:uid="{00000000-0005-0000-0000-00005A880000}"/>
    <cellStyle name="Normal 2 8 2 10 8" xfId="34904" xr:uid="{00000000-0005-0000-0000-00005B880000}"/>
    <cellStyle name="Normal 2 8 2 10 9" xfId="34905" xr:uid="{00000000-0005-0000-0000-00005C880000}"/>
    <cellStyle name="Normal 2 8 2 11" xfId="34906" xr:uid="{00000000-0005-0000-0000-00005D880000}"/>
    <cellStyle name="Normal 2 8 2 11 10" xfId="34907" xr:uid="{00000000-0005-0000-0000-00005E880000}"/>
    <cellStyle name="Normal 2 8 2 11 2" xfId="34908" xr:uid="{00000000-0005-0000-0000-00005F880000}"/>
    <cellStyle name="Normal 2 8 2 11 2 2" xfId="34909" xr:uid="{00000000-0005-0000-0000-000060880000}"/>
    <cellStyle name="Normal 2 8 2 11 2 2 2" xfId="34910" xr:uid="{00000000-0005-0000-0000-000061880000}"/>
    <cellStyle name="Normal 2 8 2 11 2 2 3" xfId="34911" xr:uid="{00000000-0005-0000-0000-000062880000}"/>
    <cellStyle name="Normal 2 8 2 11 2 3" xfId="34912" xr:uid="{00000000-0005-0000-0000-000063880000}"/>
    <cellStyle name="Normal 2 8 2 11 2 4" xfId="34913" xr:uid="{00000000-0005-0000-0000-000064880000}"/>
    <cellStyle name="Normal 2 8 2 11 2 5" xfId="34914" xr:uid="{00000000-0005-0000-0000-000065880000}"/>
    <cellStyle name="Normal 2 8 2 11 2 6" xfId="34915" xr:uid="{00000000-0005-0000-0000-000066880000}"/>
    <cellStyle name="Normal 2 8 2 11 3" xfId="34916" xr:uid="{00000000-0005-0000-0000-000067880000}"/>
    <cellStyle name="Normal 2 8 2 11 3 2" xfId="34917" xr:uid="{00000000-0005-0000-0000-000068880000}"/>
    <cellStyle name="Normal 2 8 2 11 3 2 2" xfId="34918" xr:uid="{00000000-0005-0000-0000-000069880000}"/>
    <cellStyle name="Normal 2 8 2 11 3 2 3" xfId="34919" xr:uid="{00000000-0005-0000-0000-00006A880000}"/>
    <cellStyle name="Normal 2 8 2 11 3 3" xfId="34920" xr:uid="{00000000-0005-0000-0000-00006B880000}"/>
    <cellStyle name="Normal 2 8 2 11 3 4" xfId="34921" xr:uid="{00000000-0005-0000-0000-00006C880000}"/>
    <cellStyle name="Normal 2 8 2 11 3 5" xfId="34922" xr:uid="{00000000-0005-0000-0000-00006D880000}"/>
    <cellStyle name="Normal 2 8 2 11 3 6" xfId="34923" xr:uid="{00000000-0005-0000-0000-00006E880000}"/>
    <cellStyle name="Normal 2 8 2 11 4" xfId="34924" xr:uid="{00000000-0005-0000-0000-00006F880000}"/>
    <cellStyle name="Normal 2 8 2 11 4 2" xfId="34925" xr:uid="{00000000-0005-0000-0000-000070880000}"/>
    <cellStyle name="Normal 2 8 2 11 4 2 2" xfId="34926" xr:uid="{00000000-0005-0000-0000-000071880000}"/>
    <cellStyle name="Normal 2 8 2 11 4 3" xfId="34927" xr:uid="{00000000-0005-0000-0000-000072880000}"/>
    <cellStyle name="Normal 2 8 2 11 4 4" xfId="34928" xr:uid="{00000000-0005-0000-0000-000073880000}"/>
    <cellStyle name="Normal 2 8 2 11 4 5" xfId="34929" xr:uid="{00000000-0005-0000-0000-000074880000}"/>
    <cellStyle name="Normal 2 8 2 11 5" xfId="34930" xr:uid="{00000000-0005-0000-0000-000075880000}"/>
    <cellStyle name="Normal 2 8 2 11 5 2" xfId="34931" xr:uid="{00000000-0005-0000-0000-000076880000}"/>
    <cellStyle name="Normal 2 8 2 11 5 3" xfId="34932" xr:uid="{00000000-0005-0000-0000-000077880000}"/>
    <cellStyle name="Normal 2 8 2 11 5 4" xfId="34933" xr:uid="{00000000-0005-0000-0000-000078880000}"/>
    <cellStyle name="Normal 2 8 2 11 6" xfId="34934" xr:uid="{00000000-0005-0000-0000-000079880000}"/>
    <cellStyle name="Normal 2 8 2 11 6 2" xfId="34935" xr:uid="{00000000-0005-0000-0000-00007A880000}"/>
    <cellStyle name="Normal 2 8 2 11 7" xfId="34936" xr:uid="{00000000-0005-0000-0000-00007B880000}"/>
    <cellStyle name="Normal 2 8 2 11 8" xfId="34937" xr:uid="{00000000-0005-0000-0000-00007C880000}"/>
    <cellStyle name="Normal 2 8 2 11 9" xfId="34938" xr:uid="{00000000-0005-0000-0000-00007D880000}"/>
    <cellStyle name="Normal 2 8 2 12" xfId="34939" xr:uid="{00000000-0005-0000-0000-00007E880000}"/>
    <cellStyle name="Normal 2 8 2 12 10" xfId="34940" xr:uid="{00000000-0005-0000-0000-00007F880000}"/>
    <cellStyle name="Normal 2 8 2 12 2" xfId="34941" xr:uid="{00000000-0005-0000-0000-000080880000}"/>
    <cellStyle name="Normal 2 8 2 12 2 2" xfId="34942" xr:uid="{00000000-0005-0000-0000-000081880000}"/>
    <cellStyle name="Normal 2 8 2 12 2 2 2" xfId="34943" xr:uid="{00000000-0005-0000-0000-000082880000}"/>
    <cellStyle name="Normal 2 8 2 12 2 2 3" xfId="34944" xr:uid="{00000000-0005-0000-0000-000083880000}"/>
    <cellStyle name="Normal 2 8 2 12 2 3" xfId="34945" xr:uid="{00000000-0005-0000-0000-000084880000}"/>
    <cellStyle name="Normal 2 8 2 12 2 4" xfId="34946" xr:uid="{00000000-0005-0000-0000-000085880000}"/>
    <cellStyle name="Normal 2 8 2 12 2 5" xfId="34947" xr:uid="{00000000-0005-0000-0000-000086880000}"/>
    <cellStyle name="Normal 2 8 2 12 2 6" xfId="34948" xr:uid="{00000000-0005-0000-0000-000087880000}"/>
    <cellStyle name="Normal 2 8 2 12 3" xfId="34949" xr:uid="{00000000-0005-0000-0000-000088880000}"/>
    <cellStyle name="Normal 2 8 2 12 3 2" xfId="34950" xr:uid="{00000000-0005-0000-0000-000089880000}"/>
    <cellStyle name="Normal 2 8 2 12 3 2 2" xfId="34951" xr:uid="{00000000-0005-0000-0000-00008A880000}"/>
    <cellStyle name="Normal 2 8 2 12 3 2 3" xfId="34952" xr:uid="{00000000-0005-0000-0000-00008B880000}"/>
    <cellStyle name="Normal 2 8 2 12 3 3" xfId="34953" xr:uid="{00000000-0005-0000-0000-00008C880000}"/>
    <cellStyle name="Normal 2 8 2 12 3 4" xfId="34954" xr:uid="{00000000-0005-0000-0000-00008D880000}"/>
    <cellStyle name="Normal 2 8 2 12 3 5" xfId="34955" xr:uid="{00000000-0005-0000-0000-00008E880000}"/>
    <cellStyle name="Normal 2 8 2 12 3 6" xfId="34956" xr:uid="{00000000-0005-0000-0000-00008F880000}"/>
    <cellStyle name="Normal 2 8 2 12 4" xfId="34957" xr:uid="{00000000-0005-0000-0000-000090880000}"/>
    <cellStyle name="Normal 2 8 2 12 4 2" xfId="34958" xr:uid="{00000000-0005-0000-0000-000091880000}"/>
    <cellStyle name="Normal 2 8 2 12 4 2 2" xfId="34959" xr:uid="{00000000-0005-0000-0000-000092880000}"/>
    <cellStyle name="Normal 2 8 2 12 4 3" xfId="34960" xr:uid="{00000000-0005-0000-0000-000093880000}"/>
    <cellStyle name="Normal 2 8 2 12 4 4" xfId="34961" xr:uid="{00000000-0005-0000-0000-000094880000}"/>
    <cellStyle name="Normal 2 8 2 12 4 5" xfId="34962" xr:uid="{00000000-0005-0000-0000-000095880000}"/>
    <cellStyle name="Normal 2 8 2 12 5" xfId="34963" xr:uid="{00000000-0005-0000-0000-000096880000}"/>
    <cellStyle name="Normal 2 8 2 12 5 2" xfId="34964" xr:uid="{00000000-0005-0000-0000-000097880000}"/>
    <cellStyle name="Normal 2 8 2 12 5 3" xfId="34965" xr:uid="{00000000-0005-0000-0000-000098880000}"/>
    <cellStyle name="Normal 2 8 2 12 5 4" xfId="34966" xr:uid="{00000000-0005-0000-0000-000099880000}"/>
    <cellStyle name="Normal 2 8 2 12 6" xfId="34967" xr:uid="{00000000-0005-0000-0000-00009A880000}"/>
    <cellStyle name="Normal 2 8 2 12 6 2" xfId="34968" xr:uid="{00000000-0005-0000-0000-00009B880000}"/>
    <cellStyle name="Normal 2 8 2 12 7" xfId="34969" xr:uid="{00000000-0005-0000-0000-00009C880000}"/>
    <cellStyle name="Normal 2 8 2 12 8" xfId="34970" xr:uid="{00000000-0005-0000-0000-00009D880000}"/>
    <cellStyle name="Normal 2 8 2 12 9" xfId="34971" xr:uid="{00000000-0005-0000-0000-00009E880000}"/>
    <cellStyle name="Normal 2 8 2 13" xfId="34972" xr:uid="{00000000-0005-0000-0000-00009F880000}"/>
    <cellStyle name="Normal 2 8 2 13 2" xfId="34973" xr:uid="{00000000-0005-0000-0000-0000A0880000}"/>
    <cellStyle name="Normal 2 8 2 13 2 2" xfId="34974" xr:uid="{00000000-0005-0000-0000-0000A1880000}"/>
    <cellStyle name="Normal 2 8 2 13 2 2 2" xfId="34975" xr:uid="{00000000-0005-0000-0000-0000A2880000}"/>
    <cellStyle name="Normal 2 8 2 13 2 2 3" xfId="34976" xr:uid="{00000000-0005-0000-0000-0000A3880000}"/>
    <cellStyle name="Normal 2 8 2 13 2 3" xfId="34977" xr:uid="{00000000-0005-0000-0000-0000A4880000}"/>
    <cellStyle name="Normal 2 8 2 13 2 4" xfId="34978" xr:uid="{00000000-0005-0000-0000-0000A5880000}"/>
    <cellStyle name="Normal 2 8 2 13 2 5" xfId="34979" xr:uid="{00000000-0005-0000-0000-0000A6880000}"/>
    <cellStyle name="Normal 2 8 2 13 2 6" xfId="34980" xr:uid="{00000000-0005-0000-0000-0000A7880000}"/>
    <cellStyle name="Normal 2 8 2 13 3" xfId="34981" xr:uid="{00000000-0005-0000-0000-0000A8880000}"/>
    <cellStyle name="Normal 2 8 2 13 3 2" xfId="34982" xr:uid="{00000000-0005-0000-0000-0000A9880000}"/>
    <cellStyle name="Normal 2 8 2 13 3 2 2" xfId="34983" xr:uid="{00000000-0005-0000-0000-0000AA880000}"/>
    <cellStyle name="Normal 2 8 2 13 3 3" xfId="34984" xr:uid="{00000000-0005-0000-0000-0000AB880000}"/>
    <cellStyle name="Normal 2 8 2 13 3 4" xfId="34985" xr:uid="{00000000-0005-0000-0000-0000AC880000}"/>
    <cellStyle name="Normal 2 8 2 13 3 5" xfId="34986" xr:uid="{00000000-0005-0000-0000-0000AD880000}"/>
    <cellStyle name="Normal 2 8 2 13 4" xfId="34987" xr:uid="{00000000-0005-0000-0000-0000AE880000}"/>
    <cellStyle name="Normal 2 8 2 13 4 2" xfId="34988" xr:uid="{00000000-0005-0000-0000-0000AF880000}"/>
    <cellStyle name="Normal 2 8 2 13 4 3" xfId="34989" xr:uid="{00000000-0005-0000-0000-0000B0880000}"/>
    <cellStyle name="Normal 2 8 2 13 4 4" xfId="34990" xr:uid="{00000000-0005-0000-0000-0000B1880000}"/>
    <cellStyle name="Normal 2 8 2 13 5" xfId="34991" xr:uid="{00000000-0005-0000-0000-0000B2880000}"/>
    <cellStyle name="Normal 2 8 2 13 5 2" xfId="34992" xr:uid="{00000000-0005-0000-0000-0000B3880000}"/>
    <cellStyle name="Normal 2 8 2 13 6" xfId="34993" xr:uid="{00000000-0005-0000-0000-0000B4880000}"/>
    <cellStyle name="Normal 2 8 2 13 7" xfId="34994" xr:uid="{00000000-0005-0000-0000-0000B5880000}"/>
    <cellStyle name="Normal 2 8 2 13 8" xfId="34995" xr:uid="{00000000-0005-0000-0000-0000B6880000}"/>
    <cellStyle name="Normal 2 8 2 13 9" xfId="34996" xr:uid="{00000000-0005-0000-0000-0000B7880000}"/>
    <cellStyle name="Normal 2 8 2 14" xfId="34997" xr:uid="{00000000-0005-0000-0000-0000B8880000}"/>
    <cellStyle name="Normal 2 8 2 14 2" xfId="34998" xr:uid="{00000000-0005-0000-0000-0000B9880000}"/>
    <cellStyle name="Normal 2 8 2 14 2 2" xfId="34999" xr:uid="{00000000-0005-0000-0000-0000BA880000}"/>
    <cellStyle name="Normal 2 8 2 14 2 2 2" xfId="35000" xr:uid="{00000000-0005-0000-0000-0000BB880000}"/>
    <cellStyle name="Normal 2 8 2 14 2 2 3" xfId="35001" xr:uid="{00000000-0005-0000-0000-0000BC880000}"/>
    <cellStyle name="Normal 2 8 2 14 2 3" xfId="35002" xr:uid="{00000000-0005-0000-0000-0000BD880000}"/>
    <cellStyle name="Normal 2 8 2 14 2 4" xfId="35003" xr:uid="{00000000-0005-0000-0000-0000BE880000}"/>
    <cellStyle name="Normal 2 8 2 14 2 5" xfId="35004" xr:uid="{00000000-0005-0000-0000-0000BF880000}"/>
    <cellStyle name="Normal 2 8 2 14 2 6" xfId="35005" xr:uid="{00000000-0005-0000-0000-0000C0880000}"/>
    <cellStyle name="Normal 2 8 2 14 3" xfId="35006" xr:uid="{00000000-0005-0000-0000-0000C1880000}"/>
    <cellStyle name="Normal 2 8 2 14 3 2" xfId="35007" xr:uid="{00000000-0005-0000-0000-0000C2880000}"/>
    <cellStyle name="Normal 2 8 2 14 3 2 2" xfId="35008" xr:uid="{00000000-0005-0000-0000-0000C3880000}"/>
    <cellStyle name="Normal 2 8 2 14 3 3" xfId="35009" xr:uid="{00000000-0005-0000-0000-0000C4880000}"/>
    <cellStyle name="Normal 2 8 2 14 3 4" xfId="35010" xr:uid="{00000000-0005-0000-0000-0000C5880000}"/>
    <cellStyle name="Normal 2 8 2 14 3 5" xfId="35011" xr:uid="{00000000-0005-0000-0000-0000C6880000}"/>
    <cellStyle name="Normal 2 8 2 14 4" xfId="35012" xr:uid="{00000000-0005-0000-0000-0000C7880000}"/>
    <cellStyle name="Normal 2 8 2 14 4 2" xfId="35013" xr:uid="{00000000-0005-0000-0000-0000C8880000}"/>
    <cellStyle name="Normal 2 8 2 14 4 3" xfId="35014" xr:uid="{00000000-0005-0000-0000-0000C9880000}"/>
    <cellStyle name="Normal 2 8 2 14 4 4" xfId="35015" xr:uid="{00000000-0005-0000-0000-0000CA880000}"/>
    <cellStyle name="Normal 2 8 2 14 5" xfId="35016" xr:uid="{00000000-0005-0000-0000-0000CB880000}"/>
    <cellStyle name="Normal 2 8 2 14 5 2" xfId="35017" xr:uid="{00000000-0005-0000-0000-0000CC880000}"/>
    <cellStyle name="Normal 2 8 2 14 6" xfId="35018" xr:uid="{00000000-0005-0000-0000-0000CD880000}"/>
    <cellStyle name="Normal 2 8 2 14 7" xfId="35019" xr:uid="{00000000-0005-0000-0000-0000CE880000}"/>
    <cellStyle name="Normal 2 8 2 14 8" xfId="35020" xr:uid="{00000000-0005-0000-0000-0000CF880000}"/>
    <cellStyle name="Normal 2 8 2 14 9" xfId="35021" xr:uid="{00000000-0005-0000-0000-0000D0880000}"/>
    <cellStyle name="Normal 2 8 2 15" xfId="35022" xr:uid="{00000000-0005-0000-0000-0000D1880000}"/>
    <cellStyle name="Normal 2 8 2 15 2" xfId="35023" xr:uid="{00000000-0005-0000-0000-0000D2880000}"/>
    <cellStyle name="Normal 2 8 2 15 2 2" xfId="35024" xr:uid="{00000000-0005-0000-0000-0000D3880000}"/>
    <cellStyle name="Normal 2 8 2 15 2 3" xfId="35025" xr:uid="{00000000-0005-0000-0000-0000D4880000}"/>
    <cellStyle name="Normal 2 8 2 15 3" xfId="35026" xr:uid="{00000000-0005-0000-0000-0000D5880000}"/>
    <cellStyle name="Normal 2 8 2 15 4" xfId="35027" xr:uid="{00000000-0005-0000-0000-0000D6880000}"/>
    <cellStyle name="Normal 2 8 2 15 5" xfId="35028" xr:uid="{00000000-0005-0000-0000-0000D7880000}"/>
    <cellStyle name="Normal 2 8 2 15 6" xfId="35029" xr:uid="{00000000-0005-0000-0000-0000D8880000}"/>
    <cellStyle name="Normal 2 8 2 16" xfId="35030" xr:uid="{00000000-0005-0000-0000-0000D9880000}"/>
    <cellStyle name="Normal 2 8 2 16 2" xfId="35031" xr:uid="{00000000-0005-0000-0000-0000DA880000}"/>
    <cellStyle name="Normal 2 8 2 16 2 2" xfId="35032" xr:uid="{00000000-0005-0000-0000-0000DB880000}"/>
    <cellStyle name="Normal 2 8 2 16 3" xfId="35033" xr:uid="{00000000-0005-0000-0000-0000DC880000}"/>
    <cellStyle name="Normal 2 8 2 16 4" xfId="35034" xr:uid="{00000000-0005-0000-0000-0000DD880000}"/>
    <cellStyle name="Normal 2 8 2 16 5" xfId="35035" xr:uid="{00000000-0005-0000-0000-0000DE880000}"/>
    <cellStyle name="Normal 2 8 2 17" xfId="35036" xr:uid="{00000000-0005-0000-0000-0000DF880000}"/>
    <cellStyle name="Normal 2 8 2 17 2" xfId="35037" xr:uid="{00000000-0005-0000-0000-0000E0880000}"/>
    <cellStyle name="Normal 2 8 2 17 2 2" xfId="35038" xr:uid="{00000000-0005-0000-0000-0000E1880000}"/>
    <cellStyle name="Normal 2 8 2 17 3" xfId="35039" xr:uid="{00000000-0005-0000-0000-0000E2880000}"/>
    <cellStyle name="Normal 2 8 2 17 4" xfId="35040" xr:uid="{00000000-0005-0000-0000-0000E3880000}"/>
    <cellStyle name="Normal 2 8 2 17 5" xfId="35041" xr:uid="{00000000-0005-0000-0000-0000E4880000}"/>
    <cellStyle name="Normal 2 8 2 18" xfId="35042" xr:uid="{00000000-0005-0000-0000-0000E5880000}"/>
    <cellStyle name="Normal 2 8 2 18 2" xfId="35043" xr:uid="{00000000-0005-0000-0000-0000E6880000}"/>
    <cellStyle name="Normal 2 8 2 19" xfId="35044" xr:uid="{00000000-0005-0000-0000-0000E7880000}"/>
    <cellStyle name="Normal 2 8 2 2" xfId="35045" xr:uid="{00000000-0005-0000-0000-0000E8880000}"/>
    <cellStyle name="Normal 2 8 2 2 10" xfId="35046" xr:uid="{00000000-0005-0000-0000-0000E9880000}"/>
    <cellStyle name="Normal 2 8 2 2 11" xfId="35047" xr:uid="{00000000-0005-0000-0000-0000EA880000}"/>
    <cellStyle name="Normal 2 8 2 2 2" xfId="35048" xr:uid="{00000000-0005-0000-0000-0000EB880000}"/>
    <cellStyle name="Normal 2 8 2 2 2 2" xfId="35049" xr:uid="{00000000-0005-0000-0000-0000EC880000}"/>
    <cellStyle name="Normal 2 8 2 2 2 2 2" xfId="35050" xr:uid="{00000000-0005-0000-0000-0000ED880000}"/>
    <cellStyle name="Normal 2 8 2 2 2 2 2 2" xfId="35051" xr:uid="{00000000-0005-0000-0000-0000EE880000}"/>
    <cellStyle name="Normal 2 8 2 2 2 2 2 3" xfId="35052" xr:uid="{00000000-0005-0000-0000-0000EF880000}"/>
    <cellStyle name="Normal 2 8 2 2 2 2 3" xfId="35053" xr:uid="{00000000-0005-0000-0000-0000F0880000}"/>
    <cellStyle name="Normal 2 8 2 2 2 2 4" xfId="35054" xr:uid="{00000000-0005-0000-0000-0000F1880000}"/>
    <cellStyle name="Normal 2 8 2 2 2 2 5" xfId="35055" xr:uid="{00000000-0005-0000-0000-0000F2880000}"/>
    <cellStyle name="Normal 2 8 2 2 2 2 6" xfId="35056" xr:uid="{00000000-0005-0000-0000-0000F3880000}"/>
    <cellStyle name="Normal 2 8 2 2 2 3" xfId="35057" xr:uid="{00000000-0005-0000-0000-0000F4880000}"/>
    <cellStyle name="Normal 2 8 2 2 2 3 2" xfId="35058" xr:uid="{00000000-0005-0000-0000-0000F5880000}"/>
    <cellStyle name="Normal 2 8 2 2 2 3 2 2" xfId="35059" xr:uid="{00000000-0005-0000-0000-0000F6880000}"/>
    <cellStyle name="Normal 2 8 2 2 2 3 3" xfId="35060" xr:uid="{00000000-0005-0000-0000-0000F7880000}"/>
    <cellStyle name="Normal 2 8 2 2 2 3 4" xfId="35061" xr:uid="{00000000-0005-0000-0000-0000F8880000}"/>
    <cellStyle name="Normal 2 8 2 2 2 3 5" xfId="35062" xr:uid="{00000000-0005-0000-0000-0000F9880000}"/>
    <cellStyle name="Normal 2 8 2 2 2 4" xfId="35063" xr:uid="{00000000-0005-0000-0000-0000FA880000}"/>
    <cellStyle name="Normal 2 8 2 2 2 4 2" xfId="35064" xr:uid="{00000000-0005-0000-0000-0000FB880000}"/>
    <cellStyle name="Normal 2 8 2 2 2 4 3" xfId="35065" xr:uid="{00000000-0005-0000-0000-0000FC880000}"/>
    <cellStyle name="Normal 2 8 2 2 2 4 4" xfId="35066" xr:uid="{00000000-0005-0000-0000-0000FD880000}"/>
    <cellStyle name="Normal 2 8 2 2 2 5" xfId="35067" xr:uid="{00000000-0005-0000-0000-0000FE880000}"/>
    <cellStyle name="Normal 2 8 2 2 2 5 2" xfId="35068" xr:uid="{00000000-0005-0000-0000-0000FF880000}"/>
    <cellStyle name="Normal 2 8 2 2 2 6" xfId="35069" xr:uid="{00000000-0005-0000-0000-000000890000}"/>
    <cellStyle name="Normal 2 8 2 2 2 7" xfId="35070" xr:uid="{00000000-0005-0000-0000-000001890000}"/>
    <cellStyle name="Normal 2 8 2 2 2 8" xfId="35071" xr:uid="{00000000-0005-0000-0000-000002890000}"/>
    <cellStyle name="Normal 2 8 2 2 2 9" xfId="35072" xr:uid="{00000000-0005-0000-0000-000003890000}"/>
    <cellStyle name="Normal 2 8 2 2 3" xfId="35073" xr:uid="{00000000-0005-0000-0000-000004890000}"/>
    <cellStyle name="Normal 2 8 2 2 3 2" xfId="35074" xr:uid="{00000000-0005-0000-0000-000005890000}"/>
    <cellStyle name="Normal 2 8 2 2 3 2 2" xfId="35075" xr:uid="{00000000-0005-0000-0000-000006890000}"/>
    <cellStyle name="Normal 2 8 2 2 3 2 2 2" xfId="35076" xr:uid="{00000000-0005-0000-0000-000007890000}"/>
    <cellStyle name="Normal 2 8 2 2 3 2 2 3" xfId="35077" xr:uid="{00000000-0005-0000-0000-000008890000}"/>
    <cellStyle name="Normal 2 8 2 2 3 2 3" xfId="35078" xr:uid="{00000000-0005-0000-0000-000009890000}"/>
    <cellStyle name="Normal 2 8 2 2 3 2 4" xfId="35079" xr:uid="{00000000-0005-0000-0000-00000A890000}"/>
    <cellStyle name="Normal 2 8 2 2 3 2 5" xfId="35080" xr:uid="{00000000-0005-0000-0000-00000B890000}"/>
    <cellStyle name="Normal 2 8 2 2 3 2 6" xfId="35081" xr:uid="{00000000-0005-0000-0000-00000C890000}"/>
    <cellStyle name="Normal 2 8 2 2 3 3" xfId="35082" xr:uid="{00000000-0005-0000-0000-00000D890000}"/>
    <cellStyle name="Normal 2 8 2 2 3 3 2" xfId="35083" xr:uid="{00000000-0005-0000-0000-00000E890000}"/>
    <cellStyle name="Normal 2 8 2 2 3 3 2 2" xfId="35084" xr:uid="{00000000-0005-0000-0000-00000F890000}"/>
    <cellStyle name="Normal 2 8 2 2 3 3 3" xfId="35085" xr:uid="{00000000-0005-0000-0000-000010890000}"/>
    <cellStyle name="Normal 2 8 2 2 3 3 4" xfId="35086" xr:uid="{00000000-0005-0000-0000-000011890000}"/>
    <cellStyle name="Normal 2 8 2 2 3 3 5" xfId="35087" xr:uid="{00000000-0005-0000-0000-000012890000}"/>
    <cellStyle name="Normal 2 8 2 2 3 4" xfId="35088" xr:uid="{00000000-0005-0000-0000-000013890000}"/>
    <cellStyle name="Normal 2 8 2 2 3 4 2" xfId="35089" xr:uid="{00000000-0005-0000-0000-000014890000}"/>
    <cellStyle name="Normal 2 8 2 2 3 4 3" xfId="35090" xr:uid="{00000000-0005-0000-0000-000015890000}"/>
    <cellStyle name="Normal 2 8 2 2 3 4 4" xfId="35091" xr:uid="{00000000-0005-0000-0000-000016890000}"/>
    <cellStyle name="Normal 2 8 2 2 3 5" xfId="35092" xr:uid="{00000000-0005-0000-0000-000017890000}"/>
    <cellStyle name="Normal 2 8 2 2 3 5 2" xfId="35093" xr:uid="{00000000-0005-0000-0000-000018890000}"/>
    <cellStyle name="Normal 2 8 2 2 3 6" xfId="35094" xr:uid="{00000000-0005-0000-0000-000019890000}"/>
    <cellStyle name="Normal 2 8 2 2 3 7" xfId="35095" xr:uid="{00000000-0005-0000-0000-00001A890000}"/>
    <cellStyle name="Normal 2 8 2 2 3 8" xfId="35096" xr:uid="{00000000-0005-0000-0000-00001B890000}"/>
    <cellStyle name="Normal 2 8 2 2 3 9" xfId="35097" xr:uid="{00000000-0005-0000-0000-00001C890000}"/>
    <cellStyle name="Normal 2 8 2 2 4" xfId="35098" xr:uid="{00000000-0005-0000-0000-00001D890000}"/>
    <cellStyle name="Normal 2 8 2 2 4 2" xfId="35099" xr:uid="{00000000-0005-0000-0000-00001E890000}"/>
    <cellStyle name="Normal 2 8 2 2 4 2 2" xfId="35100" xr:uid="{00000000-0005-0000-0000-00001F890000}"/>
    <cellStyle name="Normal 2 8 2 2 4 2 3" xfId="35101" xr:uid="{00000000-0005-0000-0000-000020890000}"/>
    <cellStyle name="Normal 2 8 2 2 4 3" xfId="35102" xr:uid="{00000000-0005-0000-0000-000021890000}"/>
    <cellStyle name="Normal 2 8 2 2 4 4" xfId="35103" xr:uid="{00000000-0005-0000-0000-000022890000}"/>
    <cellStyle name="Normal 2 8 2 2 4 5" xfId="35104" xr:uid="{00000000-0005-0000-0000-000023890000}"/>
    <cellStyle name="Normal 2 8 2 2 4 6" xfId="35105" xr:uid="{00000000-0005-0000-0000-000024890000}"/>
    <cellStyle name="Normal 2 8 2 2 5" xfId="35106" xr:uid="{00000000-0005-0000-0000-000025890000}"/>
    <cellStyle name="Normal 2 8 2 2 5 2" xfId="35107" xr:uid="{00000000-0005-0000-0000-000026890000}"/>
    <cellStyle name="Normal 2 8 2 2 5 2 2" xfId="35108" xr:uid="{00000000-0005-0000-0000-000027890000}"/>
    <cellStyle name="Normal 2 8 2 2 5 3" xfId="35109" xr:uid="{00000000-0005-0000-0000-000028890000}"/>
    <cellStyle name="Normal 2 8 2 2 5 4" xfId="35110" xr:uid="{00000000-0005-0000-0000-000029890000}"/>
    <cellStyle name="Normal 2 8 2 2 5 5" xfId="35111" xr:uid="{00000000-0005-0000-0000-00002A890000}"/>
    <cellStyle name="Normal 2 8 2 2 6" xfId="35112" xr:uid="{00000000-0005-0000-0000-00002B890000}"/>
    <cellStyle name="Normal 2 8 2 2 6 2" xfId="35113" xr:uid="{00000000-0005-0000-0000-00002C890000}"/>
    <cellStyle name="Normal 2 8 2 2 6 3" xfId="35114" xr:uid="{00000000-0005-0000-0000-00002D890000}"/>
    <cellStyle name="Normal 2 8 2 2 6 4" xfId="35115" xr:uid="{00000000-0005-0000-0000-00002E890000}"/>
    <cellStyle name="Normal 2 8 2 2 7" xfId="35116" xr:uid="{00000000-0005-0000-0000-00002F890000}"/>
    <cellStyle name="Normal 2 8 2 2 7 2" xfId="35117" xr:uid="{00000000-0005-0000-0000-000030890000}"/>
    <cellStyle name="Normal 2 8 2 2 8" xfId="35118" xr:uid="{00000000-0005-0000-0000-000031890000}"/>
    <cellStyle name="Normal 2 8 2 2 9" xfId="35119" xr:uid="{00000000-0005-0000-0000-000032890000}"/>
    <cellStyle name="Normal 2 8 2 20" xfId="35120" xr:uid="{00000000-0005-0000-0000-000033890000}"/>
    <cellStyle name="Normal 2 8 2 21" xfId="35121" xr:uid="{00000000-0005-0000-0000-000034890000}"/>
    <cellStyle name="Normal 2 8 2 22" xfId="35122" xr:uid="{00000000-0005-0000-0000-000035890000}"/>
    <cellStyle name="Normal 2 8 2 3" xfId="35123" xr:uid="{00000000-0005-0000-0000-000036890000}"/>
    <cellStyle name="Normal 2 8 2 3 10" xfId="35124" xr:uid="{00000000-0005-0000-0000-000037890000}"/>
    <cellStyle name="Normal 2 8 2 3 11" xfId="35125" xr:uid="{00000000-0005-0000-0000-000038890000}"/>
    <cellStyle name="Normal 2 8 2 3 2" xfId="35126" xr:uid="{00000000-0005-0000-0000-000039890000}"/>
    <cellStyle name="Normal 2 8 2 3 2 2" xfId="35127" xr:uid="{00000000-0005-0000-0000-00003A890000}"/>
    <cellStyle name="Normal 2 8 2 3 2 2 2" xfId="35128" xr:uid="{00000000-0005-0000-0000-00003B890000}"/>
    <cellStyle name="Normal 2 8 2 3 2 2 2 2" xfId="35129" xr:uid="{00000000-0005-0000-0000-00003C890000}"/>
    <cellStyle name="Normal 2 8 2 3 2 2 2 3" xfId="35130" xr:uid="{00000000-0005-0000-0000-00003D890000}"/>
    <cellStyle name="Normal 2 8 2 3 2 2 3" xfId="35131" xr:uid="{00000000-0005-0000-0000-00003E890000}"/>
    <cellStyle name="Normal 2 8 2 3 2 2 4" xfId="35132" xr:uid="{00000000-0005-0000-0000-00003F890000}"/>
    <cellStyle name="Normal 2 8 2 3 2 2 5" xfId="35133" xr:uid="{00000000-0005-0000-0000-000040890000}"/>
    <cellStyle name="Normal 2 8 2 3 2 2 6" xfId="35134" xr:uid="{00000000-0005-0000-0000-000041890000}"/>
    <cellStyle name="Normal 2 8 2 3 2 3" xfId="35135" xr:uid="{00000000-0005-0000-0000-000042890000}"/>
    <cellStyle name="Normal 2 8 2 3 2 3 2" xfId="35136" xr:uid="{00000000-0005-0000-0000-000043890000}"/>
    <cellStyle name="Normal 2 8 2 3 2 3 2 2" xfId="35137" xr:uid="{00000000-0005-0000-0000-000044890000}"/>
    <cellStyle name="Normal 2 8 2 3 2 3 3" xfId="35138" xr:uid="{00000000-0005-0000-0000-000045890000}"/>
    <cellStyle name="Normal 2 8 2 3 2 3 4" xfId="35139" xr:uid="{00000000-0005-0000-0000-000046890000}"/>
    <cellStyle name="Normal 2 8 2 3 2 3 5" xfId="35140" xr:uid="{00000000-0005-0000-0000-000047890000}"/>
    <cellStyle name="Normal 2 8 2 3 2 4" xfId="35141" xr:uid="{00000000-0005-0000-0000-000048890000}"/>
    <cellStyle name="Normal 2 8 2 3 2 4 2" xfId="35142" xr:uid="{00000000-0005-0000-0000-000049890000}"/>
    <cellStyle name="Normal 2 8 2 3 2 4 3" xfId="35143" xr:uid="{00000000-0005-0000-0000-00004A890000}"/>
    <cellStyle name="Normal 2 8 2 3 2 4 4" xfId="35144" xr:uid="{00000000-0005-0000-0000-00004B890000}"/>
    <cellStyle name="Normal 2 8 2 3 2 5" xfId="35145" xr:uid="{00000000-0005-0000-0000-00004C890000}"/>
    <cellStyle name="Normal 2 8 2 3 2 5 2" xfId="35146" xr:uid="{00000000-0005-0000-0000-00004D890000}"/>
    <cellStyle name="Normal 2 8 2 3 2 6" xfId="35147" xr:uid="{00000000-0005-0000-0000-00004E890000}"/>
    <cellStyle name="Normal 2 8 2 3 2 7" xfId="35148" xr:uid="{00000000-0005-0000-0000-00004F890000}"/>
    <cellStyle name="Normal 2 8 2 3 2 8" xfId="35149" xr:uid="{00000000-0005-0000-0000-000050890000}"/>
    <cellStyle name="Normal 2 8 2 3 2 9" xfId="35150" xr:uid="{00000000-0005-0000-0000-000051890000}"/>
    <cellStyle name="Normal 2 8 2 3 3" xfId="35151" xr:uid="{00000000-0005-0000-0000-000052890000}"/>
    <cellStyle name="Normal 2 8 2 3 3 2" xfId="35152" xr:uid="{00000000-0005-0000-0000-000053890000}"/>
    <cellStyle name="Normal 2 8 2 3 3 2 2" xfId="35153" xr:uid="{00000000-0005-0000-0000-000054890000}"/>
    <cellStyle name="Normal 2 8 2 3 3 2 2 2" xfId="35154" xr:uid="{00000000-0005-0000-0000-000055890000}"/>
    <cellStyle name="Normal 2 8 2 3 3 2 2 3" xfId="35155" xr:uid="{00000000-0005-0000-0000-000056890000}"/>
    <cellStyle name="Normal 2 8 2 3 3 2 3" xfId="35156" xr:uid="{00000000-0005-0000-0000-000057890000}"/>
    <cellStyle name="Normal 2 8 2 3 3 2 4" xfId="35157" xr:uid="{00000000-0005-0000-0000-000058890000}"/>
    <cellStyle name="Normal 2 8 2 3 3 2 5" xfId="35158" xr:uid="{00000000-0005-0000-0000-000059890000}"/>
    <cellStyle name="Normal 2 8 2 3 3 2 6" xfId="35159" xr:uid="{00000000-0005-0000-0000-00005A890000}"/>
    <cellStyle name="Normal 2 8 2 3 3 3" xfId="35160" xr:uid="{00000000-0005-0000-0000-00005B890000}"/>
    <cellStyle name="Normal 2 8 2 3 3 3 2" xfId="35161" xr:uid="{00000000-0005-0000-0000-00005C890000}"/>
    <cellStyle name="Normal 2 8 2 3 3 3 2 2" xfId="35162" xr:uid="{00000000-0005-0000-0000-00005D890000}"/>
    <cellStyle name="Normal 2 8 2 3 3 3 3" xfId="35163" xr:uid="{00000000-0005-0000-0000-00005E890000}"/>
    <cellStyle name="Normal 2 8 2 3 3 3 4" xfId="35164" xr:uid="{00000000-0005-0000-0000-00005F890000}"/>
    <cellStyle name="Normal 2 8 2 3 3 3 5" xfId="35165" xr:uid="{00000000-0005-0000-0000-000060890000}"/>
    <cellStyle name="Normal 2 8 2 3 3 4" xfId="35166" xr:uid="{00000000-0005-0000-0000-000061890000}"/>
    <cellStyle name="Normal 2 8 2 3 3 4 2" xfId="35167" xr:uid="{00000000-0005-0000-0000-000062890000}"/>
    <cellStyle name="Normal 2 8 2 3 3 4 3" xfId="35168" xr:uid="{00000000-0005-0000-0000-000063890000}"/>
    <cellStyle name="Normal 2 8 2 3 3 4 4" xfId="35169" xr:uid="{00000000-0005-0000-0000-000064890000}"/>
    <cellStyle name="Normal 2 8 2 3 3 5" xfId="35170" xr:uid="{00000000-0005-0000-0000-000065890000}"/>
    <cellStyle name="Normal 2 8 2 3 3 5 2" xfId="35171" xr:uid="{00000000-0005-0000-0000-000066890000}"/>
    <cellStyle name="Normal 2 8 2 3 3 6" xfId="35172" xr:uid="{00000000-0005-0000-0000-000067890000}"/>
    <cellStyle name="Normal 2 8 2 3 3 7" xfId="35173" xr:uid="{00000000-0005-0000-0000-000068890000}"/>
    <cellStyle name="Normal 2 8 2 3 3 8" xfId="35174" xr:uid="{00000000-0005-0000-0000-000069890000}"/>
    <cellStyle name="Normal 2 8 2 3 3 9" xfId="35175" xr:uid="{00000000-0005-0000-0000-00006A890000}"/>
    <cellStyle name="Normal 2 8 2 3 4" xfId="35176" xr:uid="{00000000-0005-0000-0000-00006B890000}"/>
    <cellStyle name="Normal 2 8 2 3 4 2" xfId="35177" xr:uid="{00000000-0005-0000-0000-00006C890000}"/>
    <cellStyle name="Normal 2 8 2 3 4 2 2" xfId="35178" xr:uid="{00000000-0005-0000-0000-00006D890000}"/>
    <cellStyle name="Normal 2 8 2 3 4 2 3" xfId="35179" xr:uid="{00000000-0005-0000-0000-00006E890000}"/>
    <cellStyle name="Normal 2 8 2 3 4 3" xfId="35180" xr:uid="{00000000-0005-0000-0000-00006F890000}"/>
    <cellStyle name="Normal 2 8 2 3 4 4" xfId="35181" xr:uid="{00000000-0005-0000-0000-000070890000}"/>
    <cellStyle name="Normal 2 8 2 3 4 5" xfId="35182" xr:uid="{00000000-0005-0000-0000-000071890000}"/>
    <cellStyle name="Normal 2 8 2 3 4 6" xfId="35183" xr:uid="{00000000-0005-0000-0000-000072890000}"/>
    <cellStyle name="Normal 2 8 2 3 5" xfId="35184" xr:uid="{00000000-0005-0000-0000-000073890000}"/>
    <cellStyle name="Normal 2 8 2 3 5 2" xfId="35185" xr:uid="{00000000-0005-0000-0000-000074890000}"/>
    <cellStyle name="Normal 2 8 2 3 5 2 2" xfId="35186" xr:uid="{00000000-0005-0000-0000-000075890000}"/>
    <cellStyle name="Normal 2 8 2 3 5 3" xfId="35187" xr:uid="{00000000-0005-0000-0000-000076890000}"/>
    <cellStyle name="Normal 2 8 2 3 5 4" xfId="35188" xr:uid="{00000000-0005-0000-0000-000077890000}"/>
    <cellStyle name="Normal 2 8 2 3 5 5" xfId="35189" xr:uid="{00000000-0005-0000-0000-000078890000}"/>
    <cellStyle name="Normal 2 8 2 3 6" xfId="35190" xr:uid="{00000000-0005-0000-0000-000079890000}"/>
    <cellStyle name="Normal 2 8 2 3 6 2" xfId="35191" xr:uid="{00000000-0005-0000-0000-00007A890000}"/>
    <cellStyle name="Normal 2 8 2 3 6 3" xfId="35192" xr:uid="{00000000-0005-0000-0000-00007B890000}"/>
    <cellStyle name="Normal 2 8 2 3 6 4" xfId="35193" xr:uid="{00000000-0005-0000-0000-00007C890000}"/>
    <cellStyle name="Normal 2 8 2 3 7" xfId="35194" xr:uid="{00000000-0005-0000-0000-00007D890000}"/>
    <cellStyle name="Normal 2 8 2 3 7 2" xfId="35195" xr:uid="{00000000-0005-0000-0000-00007E890000}"/>
    <cellStyle name="Normal 2 8 2 3 8" xfId="35196" xr:uid="{00000000-0005-0000-0000-00007F890000}"/>
    <cellStyle name="Normal 2 8 2 3 9" xfId="35197" xr:uid="{00000000-0005-0000-0000-000080890000}"/>
    <cellStyle name="Normal 2 8 2 4" xfId="35198" xr:uid="{00000000-0005-0000-0000-000081890000}"/>
    <cellStyle name="Normal 2 8 2 4 10" xfId="35199" xr:uid="{00000000-0005-0000-0000-000082890000}"/>
    <cellStyle name="Normal 2 8 2 4 11" xfId="35200" xr:uid="{00000000-0005-0000-0000-000083890000}"/>
    <cellStyle name="Normal 2 8 2 4 2" xfId="35201" xr:uid="{00000000-0005-0000-0000-000084890000}"/>
    <cellStyle name="Normal 2 8 2 4 2 2" xfId="35202" xr:uid="{00000000-0005-0000-0000-000085890000}"/>
    <cellStyle name="Normal 2 8 2 4 2 2 2" xfId="35203" xr:uid="{00000000-0005-0000-0000-000086890000}"/>
    <cellStyle name="Normal 2 8 2 4 2 2 2 2" xfId="35204" xr:uid="{00000000-0005-0000-0000-000087890000}"/>
    <cellStyle name="Normal 2 8 2 4 2 2 2 3" xfId="35205" xr:uid="{00000000-0005-0000-0000-000088890000}"/>
    <cellStyle name="Normal 2 8 2 4 2 2 3" xfId="35206" xr:uid="{00000000-0005-0000-0000-000089890000}"/>
    <cellStyle name="Normal 2 8 2 4 2 2 4" xfId="35207" xr:uid="{00000000-0005-0000-0000-00008A890000}"/>
    <cellStyle name="Normal 2 8 2 4 2 2 5" xfId="35208" xr:uid="{00000000-0005-0000-0000-00008B890000}"/>
    <cellStyle name="Normal 2 8 2 4 2 2 6" xfId="35209" xr:uid="{00000000-0005-0000-0000-00008C890000}"/>
    <cellStyle name="Normal 2 8 2 4 2 3" xfId="35210" xr:uid="{00000000-0005-0000-0000-00008D890000}"/>
    <cellStyle name="Normal 2 8 2 4 2 3 2" xfId="35211" xr:uid="{00000000-0005-0000-0000-00008E890000}"/>
    <cellStyle name="Normal 2 8 2 4 2 3 2 2" xfId="35212" xr:uid="{00000000-0005-0000-0000-00008F890000}"/>
    <cellStyle name="Normal 2 8 2 4 2 3 3" xfId="35213" xr:uid="{00000000-0005-0000-0000-000090890000}"/>
    <cellStyle name="Normal 2 8 2 4 2 3 4" xfId="35214" xr:uid="{00000000-0005-0000-0000-000091890000}"/>
    <cellStyle name="Normal 2 8 2 4 2 3 5" xfId="35215" xr:uid="{00000000-0005-0000-0000-000092890000}"/>
    <cellStyle name="Normal 2 8 2 4 2 4" xfId="35216" xr:uid="{00000000-0005-0000-0000-000093890000}"/>
    <cellStyle name="Normal 2 8 2 4 2 4 2" xfId="35217" xr:uid="{00000000-0005-0000-0000-000094890000}"/>
    <cellStyle name="Normal 2 8 2 4 2 4 3" xfId="35218" xr:uid="{00000000-0005-0000-0000-000095890000}"/>
    <cellStyle name="Normal 2 8 2 4 2 4 4" xfId="35219" xr:uid="{00000000-0005-0000-0000-000096890000}"/>
    <cellStyle name="Normal 2 8 2 4 2 5" xfId="35220" xr:uid="{00000000-0005-0000-0000-000097890000}"/>
    <cellStyle name="Normal 2 8 2 4 2 5 2" xfId="35221" xr:uid="{00000000-0005-0000-0000-000098890000}"/>
    <cellStyle name="Normal 2 8 2 4 2 6" xfId="35222" xr:uid="{00000000-0005-0000-0000-000099890000}"/>
    <cellStyle name="Normal 2 8 2 4 2 7" xfId="35223" xr:uid="{00000000-0005-0000-0000-00009A890000}"/>
    <cellStyle name="Normal 2 8 2 4 2 8" xfId="35224" xr:uid="{00000000-0005-0000-0000-00009B890000}"/>
    <cellStyle name="Normal 2 8 2 4 2 9" xfId="35225" xr:uid="{00000000-0005-0000-0000-00009C890000}"/>
    <cellStyle name="Normal 2 8 2 4 3" xfId="35226" xr:uid="{00000000-0005-0000-0000-00009D890000}"/>
    <cellStyle name="Normal 2 8 2 4 3 2" xfId="35227" xr:uid="{00000000-0005-0000-0000-00009E890000}"/>
    <cellStyle name="Normal 2 8 2 4 3 2 2" xfId="35228" xr:uid="{00000000-0005-0000-0000-00009F890000}"/>
    <cellStyle name="Normal 2 8 2 4 3 2 2 2" xfId="35229" xr:uid="{00000000-0005-0000-0000-0000A0890000}"/>
    <cellStyle name="Normal 2 8 2 4 3 2 2 3" xfId="35230" xr:uid="{00000000-0005-0000-0000-0000A1890000}"/>
    <cellStyle name="Normal 2 8 2 4 3 2 3" xfId="35231" xr:uid="{00000000-0005-0000-0000-0000A2890000}"/>
    <cellStyle name="Normal 2 8 2 4 3 2 4" xfId="35232" xr:uid="{00000000-0005-0000-0000-0000A3890000}"/>
    <cellStyle name="Normal 2 8 2 4 3 2 5" xfId="35233" xr:uid="{00000000-0005-0000-0000-0000A4890000}"/>
    <cellStyle name="Normal 2 8 2 4 3 2 6" xfId="35234" xr:uid="{00000000-0005-0000-0000-0000A5890000}"/>
    <cellStyle name="Normal 2 8 2 4 3 3" xfId="35235" xr:uid="{00000000-0005-0000-0000-0000A6890000}"/>
    <cellStyle name="Normal 2 8 2 4 3 3 2" xfId="35236" xr:uid="{00000000-0005-0000-0000-0000A7890000}"/>
    <cellStyle name="Normal 2 8 2 4 3 3 2 2" xfId="35237" xr:uid="{00000000-0005-0000-0000-0000A8890000}"/>
    <cellStyle name="Normal 2 8 2 4 3 3 3" xfId="35238" xr:uid="{00000000-0005-0000-0000-0000A9890000}"/>
    <cellStyle name="Normal 2 8 2 4 3 3 4" xfId="35239" xr:uid="{00000000-0005-0000-0000-0000AA890000}"/>
    <cellStyle name="Normal 2 8 2 4 3 3 5" xfId="35240" xr:uid="{00000000-0005-0000-0000-0000AB890000}"/>
    <cellStyle name="Normal 2 8 2 4 3 4" xfId="35241" xr:uid="{00000000-0005-0000-0000-0000AC890000}"/>
    <cellStyle name="Normal 2 8 2 4 3 4 2" xfId="35242" xr:uid="{00000000-0005-0000-0000-0000AD890000}"/>
    <cellStyle name="Normal 2 8 2 4 3 4 3" xfId="35243" xr:uid="{00000000-0005-0000-0000-0000AE890000}"/>
    <cellStyle name="Normal 2 8 2 4 3 4 4" xfId="35244" xr:uid="{00000000-0005-0000-0000-0000AF890000}"/>
    <cellStyle name="Normal 2 8 2 4 3 5" xfId="35245" xr:uid="{00000000-0005-0000-0000-0000B0890000}"/>
    <cellStyle name="Normal 2 8 2 4 3 5 2" xfId="35246" xr:uid="{00000000-0005-0000-0000-0000B1890000}"/>
    <cellStyle name="Normal 2 8 2 4 3 6" xfId="35247" xr:uid="{00000000-0005-0000-0000-0000B2890000}"/>
    <cellStyle name="Normal 2 8 2 4 3 7" xfId="35248" xr:uid="{00000000-0005-0000-0000-0000B3890000}"/>
    <cellStyle name="Normal 2 8 2 4 3 8" xfId="35249" xr:uid="{00000000-0005-0000-0000-0000B4890000}"/>
    <cellStyle name="Normal 2 8 2 4 3 9" xfId="35250" xr:uid="{00000000-0005-0000-0000-0000B5890000}"/>
    <cellStyle name="Normal 2 8 2 4 4" xfId="35251" xr:uid="{00000000-0005-0000-0000-0000B6890000}"/>
    <cellStyle name="Normal 2 8 2 4 4 2" xfId="35252" xr:uid="{00000000-0005-0000-0000-0000B7890000}"/>
    <cellStyle name="Normal 2 8 2 4 4 2 2" xfId="35253" xr:uid="{00000000-0005-0000-0000-0000B8890000}"/>
    <cellStyle name="Normal 2 8 2 4 4 2 3" xfId="35254" xr:uid="{00000000-0005-0000-0000-0000B9890000}"/>
    <cellStyle name="Normal 2 8 2 4 4 3" xfId="35255" xr:uid="{00000000-0005-0000-0000-0000BA890000}"/>
    <cellStyle name="Normal 2 8 2 4 4 4" xfId="35256" xr:uid="{00000000-0005-0000-0000-0000BB890000}"/>
    <cellStyle name="Normal 2 8 2 4 4 5" xfId="35257" xr:uid="{00000000-0005-0000-0000-0000BC890000}"/>
    <cellStyle name="Normal 2 8 2 4 4 6" xfId="35258" xr:uid="{00000000-0005-0000-0000-0000BD890000}"/>
    <cellStyle name="Normal 2 8 2 4 5" xfId="35259" xr:uid="{00000000-0005-0000-0000-0000BE890000}"/>
    <cellStyle name="Normal 2 8 2 4 5 2" xfId="35260" xr:uid="{00000000-0005-0000-0000-0000BF890000}"/>
    <cellStyle name="Normal 2 8 2 4 5 2 2" xfId="35261" xr:uid="{00000000-0005-0000-0000-0000C0890000}"/>
    <cellStyle name="Normal 2 8 2 4 5 3" xfId="35262" xr:uid="{00000000-0005-0000-0000-0000C1890000}"/>
    <cellStyle name="Normal 2 8 2 4 5 4" xfId="35263" xr:uid="{00000000-0005-0000-0000-0000C2890000}"/>
    <cellStyle name="Normal 2 8 2 4 5 5" xfId="35264" xr:uid="{00000000-0005-0000-0000-0000C3890000}"/>
    <cellStyle name="Normal 2 8 2 4 6" xfId="35265" xr:uid="{00000000-0005-0000-0000-0000C4890000}"/>
    <cellStyle name="Normal 2 8 2 4 6 2" xfId="35266" xr:uid="{00000000-0005-0000-0000-0000C5890000}"/>
    <cellStyle name="Normal 2 8 2 4 6 3" xfId="35267" xr:uid="{00000000-0005-0000-0000-0000C6890000}"/>
    <cellStyle name="Normal 2 8 2 4 6 4" xfId="35268" xr:uid="{00000000-0005-0000-0000-0000C7890000}"/>
    <cellStyle name="Normal 2 8 2 4 7" xfId="35269" xr:uid="{00000000-0005-0000-0000-0000C8890000}"/>
    <cellStyle name="Normal 2 8 2 4 7 2" xfId="35270" xr:uid="{00000000-0005-0000-0000-0000C9890000}"/>
    <cellStyle name="Normal 2 8 2 4 8" xfId="35271" xr:uid="{00000000-0005-0000-0000-0000CA890000}"/>
    <cellStyle name="Normal 2 8 2 4 9" xfId="35272" xr:uid="{00000000-0005-0000-0000-0000CB890000}"/>
    <cellStyle name="Normal 2 8 2 5" xfId="35273" xr:uid="{00000000-0005-0000-0000-0000CC890000}"/>
    <cellStyle name="Normal 2 8 2 5 10" xfId="35274" xr:uid="{00000000-0005-0000-0000-0000CD890000}"/>
    <cellStyle name="Normal 2 8 2 5 11" xfId="35275" xr:uid="{00000000-0005-0000-0000-0000CE890000}"/>
    <cellStyle name="Normal 2 8 2 5 2" xfId="35276" xr:uid="{00000000-0005-0000-0000-0000CF890000}"/>
    <cellStyle name="Normal 2 8 2 5 2 2" xfId="35277" xr:uid="{00000000-0005-0000-0000-0000D0890000}"/>
    <cellStyle name="Normal 2 8 2 5 2 2 2" xfId="35278" xr:uid="{00000000-0005-0000-0000-0000D1890000}"/>
    <cellStyle name="Normal 2 8 2 5 2 2 2 2" xfId="35279" xr:uid="{00000000-0005-0000-0000-0000D2890000}"/>
    <cellStyle name="Normal 2 8 2 5 2 2 2 3" xfId="35280" xr:uid="{00000000-0005-0000-0000-0000D3890000}"/>
    <cellStyle name="Normal 2 8 2 5 2 2 3" xfId="35281" xr:uid="{00000000-0005-0000-0000-0000D4890000}"/>
    <cellStyle name="Normal 2 8 2 5 2 2 4" xfId="35282" xr:uid="{00000000-0005-0000-0000-0000D5890000}"/>
    <cellStyle name="Normal 2 8 2 5 2 2 5" xfId="35283" xr:uid="{00000000-0005-0000-0000-0000D6890000}"/>
    <cellStyle name="Normal 2 8 2 5 2 2 6" xfId="35284" xr:uid="{00000000-0005-0000-0000-0000D7890000}"/>
    <cellStyle name="Normal 2 8 2 5 2 3" xfId="35285" xr:uid="{00000000-0005-0000-0000-0000D8890000}"/>
    <cellStyle name="Normal 2 8 2 5 2 3 2" xfId="35286" xr:uid="{00000000-0005-0000-0000-0000D9890000}"/>
    <cellStyle name="Normal 2 8 2 5 2 3 2 2" xfId="35287" xr:uid="{00000000-0005-0000-0000-0000DA890000}"/>
    <cellStyle name="Normal 2 8 2 5 2 3 3" xfId="35288" xr:uid="{00000000-0005-0000-0000-0000DB890000}"/>
    <cellStyle name="Normal 2 8 2 5 2 3 4" xfId="35289" xr:uid="{00000000-0005-0000-0000-0000DC890000}"/>
    <cellStyle name="Normal 2 8 2 5 2 3 5" xfId="35290" xr:uid="{00000000-0005-0000-0000-0000DD890000}"/>
    <cellStyle name="Normal 2 8 2 5 2 4" xfId="35291" xr:uid="{00000000-0005-0000-0000-0000DE890000}"/>
    <cellStyle name="Normal 2 8 2 5 2 4 2" xfId="35292" xr:uid="{00000000-0005-0000-0000-0000DF890000}"/>
    <cellStyle name="Normal 2 8 2 5 2 4 3" xfId="35293" xr:uid="{00000000-0005-0000-0000-0000E0890000}"/>
    <cellStyle name="Normal 2 8 2 5 2 4 4" xfId="35294" xr:uid="{00000000-0005-0000-0000-0000E1890000}"/>
    <cellStyle name="Normal 2 8 2 5 2 5" xfId="35295" xr:uid="{00000000-0005-0000-0000-0000E2890000}"/>
    <cellStyle name="Normal 2 8 2 5 2 5 2" xfId="35296" xr:uid="{00000000-0005-0000-0000-0000E3890000}"/>
    <cellStyle name="Normal 2 8 2 5 2 6" xfId="35297" xr:uid="{00000000-0005-0000-0000-0000E4890000}"/>
    <cellStyle name="Normal 2 8 2 5 2 7" xfId="35298" xr:uid="{00000000-0005-0000-0000-0000E5890000}"/>
    <cellStyle name="Normal 2 8 2 5 2 8" xfId="35299" xr:uid="{00000000-0005-0000-0000-0000E6890000}"/>
    <cellStyle name="Normal 2 8 2 5 2 9" xfId="35300" xr:uid="{00000000-0005-0000-0000-0000E7890000}"/>
    <cellStyle name="Normal 2 8 2 5 3" xfId="35301" xr:uid="{00000000-0005-0000-0000-0000E8890000}"/>
    <cellStyle name="Normal 2 8 2 5 3 2" xfId="35302" xr:uid="{00000000-0005-0000-0000-0000E9890000}"/>
    <cellStyle name="Normal 2 8 2 5 3 2 2" xfId="35303" xr:uid="{00000000-0005-0000-0000-0000EA890000}"/>
    <cellStyle name="Normal 2 8 2 5 3 2 2 2" xfId="35304" xr:uid="{00000000-0005-0000-0000-0000EB890000}"/>
    <cellStyle name="Normal 2 8 2 5 3 2 2 3" xfId="35305" xr:uid="{00000000-0005-0000-0000-0000EC890000}"/>
    <cellStyle name="Normal 2 8 2 5 3 2 3" xfId="35306" xr:uid="{00000000-0005-0000-0000-0000ED890000}"/>
    <cellStyle name="Normal 2 8 2 5 3 2 4" xfId="35307" xr:uid="{00000000-0005-0000-0000-0000EE890000}"/>
    <cellStyle name="Normal 2 8 2 5 3 2 5" xfId="35308" xr:uid="{00000000-0005-0000-0000-0000EF890000}"/>
    <cellStyle name="Normal 2 8 2 5 3 2 6" xfId="35309" xr:uid="{00000000-0005-0000-0000-0000F0890000}"/>
    <cellStyle name="Normal 2 8 2 5 3 3" xfId="35310" xr:uid="{00000000-0005-0000-0000-0000F1890000}"/>
    <cellStyle name="Normal 2 8 2 5 3 3 2" xfId="35311" xr:uid="{00000000-0005-0000-0000-0000F2890000}"/>
    <cellStyle name="Normal 2 8 2 5 3 3 2 2" xfId="35312" xr:uid="{00000000-0005-0000-0000-0000F3890000}"/>
    <cellStyle name="Normal 2 8 2 5 3 3 3" xfId="35313" xr:uid="{00000000-0005-0000-0000-0000F4890000}"/>
    <cellStyle name="Normal 2 8 2 5 3 3 4" xfId="35314" xr:uid="{00000000-0005-0000-0000-0000F5890000}"/>
    <cellStyle name="Normal 2 8 2 5 3 3 5" xfId="35315" xr:uid="{00000000-0005-0000-0000-0000F6890000}"/>
    <cellStyle name="Normal 2 8 2 5 3 4" xfId="35316" xr:uid="{00000000-0005-0000-0000-0000F7890000}"/>
    <cellStyle name="Normal 2 8 2 5 3 4 2" xfId="35317" xr:uid="{00000000-0005-0000-0000-0000F8890000}"/>
    <cellStyle name="Normal 2 8 2 5 3 4 3" xfId="35318" xr:uid="{00000000-0005-0000-0000-0000F9890000}"/>
    <cellStyle name="Normal 2 8 2 5 3 4 4" xfId="35319" xr:uid="{00000000-0005-0000-0000-0000FA890000}"/>
    <cellStyle name="Normal 2 8 2 5 3 5" xfId="35320" xr:uid="{00000000-0005-0000-0000-0000FB890000}"/>
    <cellStyle name="Normal 2 8 2 5 3 5 2" xfId="35321" xr:uid="{00000000-0005-0000-0000-0000FC890000}"/>
    <cellStyle name="Normal 2 8 2 5 3 6" xfId="35322" xr:uid="{00000000-0005-0000-0000-0000FD890000}"/>
    <cellStyle name="Normal 2 8 2 5 3 7" xfId="35323" xr:uid="{00000000-0005-0000-0000-0000FE890000}"/>
    <cellStyle name="Normal 2 8 2 5 3 8" xfId="35324" xr:uid="{00000000-0005-0000-0000-0000FF890000}"/>
    <cellStyle name="Normal 2 8 2 5 3 9" xfId="35325" xr:uid="{00000000-0005-0000-0000-0000008A0000}"/>
    <cellStyle name="Normal 2 8 2 5 4" xfId="35326" xr:uid="{00000000-0005-0000-0000-0000018A0000}"/>
    <cellStyle name="Normal 2 8 2 5 4 2" xfId="35327" xr:uid="{00000000-0005-0000-0000-0000028A0000}"/>
    <cellStyle name="Normal 2 8 2 5 4 2 2" xfId="35328" xr:uid="{00000000-0005-0000-0000-0000038A0000}"/>
    <cellStyle name="Normal 2 8 2 5 4 2 3" xfId="35329" xr:uid="{00000000-0005-0000-0000-0000048A0000}"/>
    <cellStyle name="Normal 2 8 2 5 4 3" xfId="35330" xr:uid="{00000000-0005-0000-0000-0000058A0000}"/>
    <cellStyle name="Normal 2 8 2 5 4 4" xfId="35331" xr:uid="{00000000-0005-0000-0000-0000068A0000}"/>
    <cellStyle name="Normal 2 8 2 5 4 5" xfId="35332" xr:uid="{00000000-0005-0000-0000-0000078A0000}"/>
    <cellStyle name="Normal 2 8 2 5 4 6" xfId="35333" xr:uid="{00000000-0005-0000-0000-0000088A0000}"/>
    <cellStyle name="Normal 2 8 2 5 5" xfId="35334" xr:uid="{00000000-0005-0000-0000-0000098A0000}"/>
    <cellStyle name="Normal 2 8 2 5 5 2" xfId="35335" xr:uid="{00000000-0005-0000-0000-00000A8A0000}"/>
    <cellStyle name="Normal 2 8 2 5 5 2 2" xfId="35336" xr:uid="{00000000-0005-0000-0000-00000B8A0000}"/>
    <cellStyle name="Normal 2 8 2 5 5 3" xfId="35337" xr:uid="{00000000-0005-0000-0000-00000C8A0000}"/>
    <cellStyle name="Normal 2 8 2 5 5 4" xfId="35338" xr:uid="{00000000-0005-0000-0000-00000D8A0000}"/>
    <cellStyle name="Normal 2 8 2 5 5 5" xfId="35339" xr:uid="{00000000-0005-0000-0000-00000E8A0000}"/>
    <cellStyle name="Normal 2 8 2 5 6" xfId="35340" xr:uid="{00000000-0005-0000-0000-00000F8A0000}"/>
    <cellStyle name="Normal 2 8 2 5 6 2" xfId="35341" xr:uid="{00000000-0005-0000-0000-0000108A0000}"/>
    <cellStyle name="Normal 2 8 2 5 6 3" xfId="35342" xr:uid="{00000000-0005-0000-0000-0000118A0000}"/>
    <cellStyle name="Normal 2 8 2 5 6 4" xfId="35343" xr:uid="{00000000-0005-0000-0000-0000128A0000}"/>
    <cellStyle name="Normal 2 8 2 5 7" xfId="35344" xr:uid="{00000000-0005-0000-0000-0000138A0000}"/>
    <cellStyle name="Normal 2 8 2 5 7 2" xfId="35345" xr:uid="{00000000-0005-0000-0000-0000148A0000}"/>
    <cellStyle name="Normal 2 8 2 5 8" xfId="35346" xr:uid="{00000000-0005-0000-0000-0000158A0000}"/>
    <cellStyle name="Normal 2 8 2 5 9" xfId="35347" xr:uid="{00000000-0005-0000-0000-0000168A0000}"/>
    <cellStyle name="Normal 2 8 2 6" xfId="35348" xr:uid="{00000000-0005-0000-0000-0000178A0000}"/>
    <cellStyle name="Normal 2 8 2 6 10" xfId="35349" xr:uid="{00000000-0005-0000-0000-0000188A0000}"/>
    <cellStyle name="Normal 2 8 2 6 11" xfId="35350" xr:uid="{00000000-0005-0000-0000-0000198A0000}"/>
    <cellStyle name="Normal 2 8 2 6 2" xfId="35351" xr:uid="{00000000-0005-0000-0000-00001A8A0000}"/>
    <cellStyle name="Normal 2 8 2 6 2 2" xfId="35352" xr:uid="{00000000-0005-0000-0000-00001B8A0000}"/>
    <cellStyle name="Normal 2 8 2 6 2 2 2" xfId="35353" xr:uid="{00000000-0005-0000-0000-00001C8A0000}"/>
    <cellStyle name="Normal 2 8 2 6 2 2 2 2" xfId="35354" xr:uid="{00000000-0005-0000-0000-00001D8A0000}"/>
    <cellStyle name="Normal 2 8 2 6 2 2 2 3" xfId="35355" xr:uid="{00000000-0005-0000-0000-00001E8A0000}"/>
    <cellStyle name="Normal 2 8 2 6 2 2 3" xfId="35356" xr:uid="{00000000-0005-0000-0000-00001F8A0000}"/>
    <cellStyle name="Normal 2 8 2 6 2 2 4" xfId="35357" xr:uid="{00000000-0005-0000-0000-0000208A0000}"/>
    <cellStyle name="Normal 2 8 2 6 2 2 5" xfId="35358" xr:uid="{00000000-0005-0000-0000-0000218A0000}"/>
    <cellStyle name="Normal 2 8 2 6 2 2 6" xfId="35359" xr:uid="{00000000-0005-0000-0000-0000228A0000}"/>
    <cellStyle name="Normal 2 8 2 6 2 3" xfId="35360" xr:uid="{00000000-0005-0000-0000-0000238A0000}"/>
    <cellStyle name="Normal 2 8 2 6 2 3 2" xfId="35361" xr:uid="{00000000-0005-0000-0000-0000248A0000}"/>
    <cellStyle name="Normal 2 8 2 6 2 3 2 2" xfId="35362" xr:uid="{00000000-0005-0000-0000-0000258A0000}"/>
    <cellStyle name="Normal 2 8 2 6 2 3 3" xfId="35363" xr:uid="{00000000-0005-0000-0000-0000268A0000}"/>
    <cellStyle name="Normal 2 8 2 6 2 3 4" xfId="35364" xr:uid="{00000000-0005-0000-0000-0000278A0000}"/>
    <cellStyle name="Normal 2 8 2 6 2 3 5" xfId="35365" xr:uid="{00000000-0005-0000-0000-0000288A0000}"/>
    <cellStyle name="Normal 2 8 2 6 2 4" xfId="35366" xr:uid="{00000000-0005-0000-0000-0000298A0000}"/>
    <cellStyle name="Normal 2 8 2 6 2 4 2" xfId="35367" xr:uid="{00000000-0005-0000-0000-00002A8A0000}"/>
    <cellStyle name="Normal 2 8 2 6 2 4 3" xfId="35368" xr:uid="{00000000-0005-0000-0000-00002B8A0000}"/>
    <cellStyle name="Normal 2 8 2 6 2 4 4" xfId="35369" xr:uid="{00000000-0005-0000-0000-00002C8A0000}"/>
    <cellStyle name="Normal 2 8 2 6 2 5" xfId="35370" xr:uid="{00000000-0005-0000-0000-00002D8A0000}"/>
    <cellStyle name="Normal 2 8 2 6 2 5 2" xfId="35371" xr:uid="{00000000-0005-0000-0000-00002E8A0000}"/>
    <cellStyle name="Normal 2 8 2 6 2 6" xfId="35372" xr:uid="{00000000-0005-0000-0000-00002F8A0000}"/>
    <cellStyle name="Normal 2 8 2 6 2 7" xfId="35373" xr:uid="{00000000-0005-0000-0000-0000308A0000}"/>
    <cellStyle name="Normal 2 8 2 6 2 8" xfId="35374" xr:uid="{00000000-0005-0000-0000-0000318A0000}"/>
    <cellStyle name="Normal 2 8 2 6 2 9" xfId="35375" xr:uid="{00000000-0005-0000-0000-0000328A0000}"/>
    <cellStyle name="Normal 2 8 2 6 3" xfId="35376" xr:uid="{00000000-0005-0000-0000-0000338A0000}"/>
    <cellStyle name="Normal 2 8 2 6 3 2" xfId="35377" xr:uid="{00000000-0005-0000-0000-0000348A0000}"/>
    <cellStyle name="Normal 2 8 2 6 3 2 2" xfId="35378" xr:uid="{00000000-0005-0000-0000-0000358A0000}"/>
    <cellStyle name="Normal 2 8 2 6 3 2 2 2" xfId="35379" xr:uid="{00000000-0005-0000-0000-0000368A0000}"/>
    <cellStyle name="Normal 2 8 2 6 3 2 2 3" xfId="35380" xr:uid="{00000000-0005-0000-0000-0000378A0000}"/>
    <cellStyle name="Normal 2 8 2 6 3 2 3" xfId="35381" xr:uid="{00000000-0005-0000-0000-0000388A0000}"/>
    <cellStyle name="Normal 2 8 2 6 3 2 4" xfId="35382" xr:uid="{00000000-0005-0000-0000-0000398A0000}"/>
    <cellStyle name="Normal 2 8 2 6 3 2 5" xfId="35383" xr:uid="{00000000-0005-0000-0000-00003A8A0000}"/>
    <cellStyle name="Normal 2 8 2 6 3 2 6" xfId="35384" xr:uid="{00000000-0005-0000-0000-00003B8A0000}"/>
    <cellStyle name="Normal 2 8 2 6 3 3" xfId="35385" xr:uid="{00000000-0005-0000-0000-00003C8A0000}"/>
    <cellStyle name="Normal 2 8 2 6 3 3 2" xfId="35386" xr:uid="{00000000-0005-0000-0000-00003D8A0000}"/>
    <cellStyle name="Normal 2 8 2 6 3 3 2 2" xfId="35387" xr:uid="{00000000-0005-0000-0000-00003E8A0000}"/>
    <cellStyle name="Normal 2 8 2 6 3 3 3" xfId="35388" xr:uid="{00000000-0005-0000-0000-00003F8A0000}"/>
    <cellStyle name="Normal 2 8 2 6 3 3 4" xfId="35389" xr:uid="{00000000-0005-0000-0000-0000408A0000}"/>
    <cellStyle name="Normal 2 8 2 6 3 3 5" xfId="35390" xr:uid="{00000000-0005-0000-0000-0000418A0000}"/>
    <cellStyle name="Normal 2 8 2 6 3 4" xfId="35391" xr:uid="{00000000-0005-0000-0000-0000428A0000}"/>
    <cellStyle name="Normal 2 8 2 6 3 4 2" xfId="35392" xr:uid="{00000000-0005-0000-0000-0000438A0000}"/>
    <cellStyle name="Normal 2 8 2 6 3 4 3" xfId="35393" xr:uid="{00000000-0005-0000-0000-0000448A0000}"/>
    <cellStyle name="Normal 2 8 2 6 3 4 4" xfId="35394" xr:uid="{00000000-0005-0000-0000-0000458A0000}"/>
    <cellStyle name="Normal 2 8 2 6 3 5" xfId="35395" xr:uid="{00000000-0005-0000-0000-0000468A0000}"/>
    <cellStyle name="Normal 2 8 2 6 3 5 2" xfId="35396" xr:uid="{00000000-0005-0000-0000-0000478A0000}"/>
    <cellStyle name="Normal 2 8 2 6 3 6" xfId="35397" xr:uid="{00000000-0005-0000-0000-0000488A0000}"/>
    <cellStyle name="Normal 2 8 2 6 3 7" xfId="35398" xr:uid="{00000000-0005-0000-0000-0000498A0000}"/>
    <cellStyle name="Normal 2 8 2 6 3 8" xfId="35399" xr:uid="{00000000-0005-0000-0000-00004A8A0000}"/>
    <cellStyle name="Normal 2 8 2 6 3 9" xfId="35400" xr:uid="{00000000-0005-0000-0000-00004B8A0000}"/>
    <cellStyle name="Normal 2 8 2 6 4" xfId="35401" xr:uid="{00000000-0005-0000-0000-00004C8A0000}"/>
    <cellStyle name="Normal 2 8 2 6 4 2" xfId="35402" xr:uid="{00000000-0005-0000-0000-00004D8A0000}"/>
    <cellStyle name="Normal 2 8 2 6 4 2 2" xfId="35403" xr:uid="{00000000-0005-0000-0000-00004E8A0000}"/>
    <cellStyle name="Normal 2 8 2 6 4 2 3" xfId="35404" xr:uid="{00000000-0005-0000-0000-00004F8A0000}"/>
    <cellStyle name="Normal 2 8 2 6 4 3" xfId="35405" xr:uid="{00000000-0005-0000-0000-0000508A0000}"/>
    <cellStyle name="Normal 2 8 2 6 4 4" xfId="35406" xr:uid="{00000000-0005-0000-0000-0000518A0000}"/>
    <cellStyle name="Normal 2 8 2 6 4 5" xfId="35407" xr:uid="{00000000-0005-0000-0000-0000528A0000}"/>
    <cellStyle name="Normal 2 8 2 6 4 6" xfId="35408" xr:uid="{00000000-0005-0000-0000-0000538A0000}"/>
    <cellStyle name="Normal 2 8 2 6 5" xfId="35409" xr:uid="{00000000-0005-0000-0000-0000548A0000}"/>
    <cellStyle name="Normal 2 8 2 6 5 2" xfId="35410" xr:uid="{00000000-0005-0000-0000-0000558A0000}"/>
    <cellStyle name="Normal 2 8 2 6 5 2 2" xfId="35411" xr:uid="{00000000-0005-0000-0000-0000568A0000}"/>
    <cellStyle name="Normal 2 8 2 6 5 3" xfId="35412" xr:uid="{00000000-0005-0000-0000-0000578A0000}"/>
    <cellStyle name="Normal 2 8 2 6 5 4" xfId="35413" xr:uid="{00000000-0005-0000-0000-0000588A0000}"/>
    <cellStyle name="Normal 2 8 2 6 5 5" xfId="35414" xr:uid="{00000000-0005-0000-0000-0000598A0000}"/>
    <cellStyle name="Normal 2 8 2 6 6" xfId="35415" xr:uid="{00000000-0005-0000-0000-00005A8A0000}"/>
    <cellStyle name="Normal 2 8 2 6 6 2" xfId="35416" xr:uid="{00000000-0005-0000-0000-00005B8A0000}"/>
    <cellStyle name="Normal 2 8 2 6 6 3" xfId="35417" xr:uid="{00000000-0005-0000-0000-00005C8A0000}"/>
    <cellStyle name="Normal 2 8 2 6 6 4" xfId="35418" xr:uid="{00000000-0005-0000-0000-00005D8A0000}"/>
    <cellStyle name="Normal 2 8 2 6 7" xfId="35419" xr:uid="{00000000-0005-0000-0000-00005E8A0000}"/>
    <cellStyle name="Normal 2 8 2 6 7 2" xfId="35420" xr:uid="{00000000-0005-0000-0000-00005F8A0000}"/>
    <cellStyle name="Normal 2 8 2 6 8" xfId="35421" xr:uid="{00000000-0005-0000-0000-0000608A0000}"/>
    <cellStyle name="Normal 2 8 2 6 9" xfId="35422" xr:uid="{00000000-0005-0000-0000-0000618A0000}"/>
    <cellStyle name="Normal 2 8 2 7" xfId="35423" xr:uid="{00000000-0005-0000-0000-0000628A0000}"/>
    <cellStyle name="Normal 2 8 2 7 10" xfId="35424" xr:uid="{00000000-0005-0000-0000-0000638A0000}"/>
    <cellStyle name="Normal 2 8 2 7 11" xfId="35425" xr:uid="{00000000-0005-0000-0000-0000648A0000}"/>
    <cellStyle name="Normal 2 8 2 7 2" xfId="35426" xr:uid="{00000000-0005-0000-0000-0000658A0000}"/>
    <cellStyle name="Normal 2 8 2 7 2 2" xfId="35427" xr:uid="{00000000-0005-0000-0000-0000668A0000}"/>
    <cellStyle name="Normal 2 8 2 7 2 2 2" xfId="35428" xr:uid="{00000000-0005-0000-0000-0000678A0000}"/>
    <cellStyle name="Normal 2 8 2 7 2 2 2 2" xfId="35429" xr:uid="{00000000-0005-0000-0000-0000688A0000}"/>
    <cellStyle name="Normal 2 8 2 7 2 2 2 3" xfId="35430" xr:uid="{00000000-0005-0000-0000-0000698A0000}"/>
    <cellStyle name="Normal 2 8 2 7 2 2 3" xfId="35431" xr:uid="{00000000-0005-0000-0000-00006A8A0000}"/>
    <cellStyle name="Normal 2 8 2 7 2 2 4" xfId="35432" xr:uid="{00000000-0005-0000-0000-00006B8A0000}"/>
    <cellStyle name="Normal 2 8 2 7 2 2 5" xfId="35433" xr:uid="{00000000-0005-0000-0000-00006C8A0000}"/>
    <cellStyle name="Normal 2 8 2 7 2 2 6" xfId="35434" xr:uid="{00000000-0005-0000-0000-00006D8A0000}"/>
    <cellStyle name="Normal 2 8 2 7 2 3" xfId="35435" xr:uid="{00000000-0005-0000-0000-00006E8A0000}"/>
    <cellStyle name="Normal 2 8 2 7 2 3 2" xfId="35436" xr:uid="{00000000-0005-0000-0000-00006F8A0000}"/>
    <cellStyle name="Normal 2 8 2 7 2 3 2 2" xfId="35437" xr:uid="{00000000-0005-0000-0000-0000708A0000}"/>
    <cellStyle name="Normal 2 8 2 7 2 3 3" xfId="35438" xr:uid="{00000000-0005-0000-0000-0000718A0000}"/>
    <cellStyle name="Normal 2 8 2 7 2 3 4" xfId="35439" xr:uid="{00000000-0005-0000-0000-0000728A0000}"/>
    <cellStyle name="Normal 2 8 2 7 2 3 5" xfId="35440" xr:uid="{00000000-0005-0000-0000-0000738A0000}"/>
    <cellStyle name="Normal 2 8 2 7 2 4" xfId="35441" xr:uid="{00000000-0005-0000-0000-0000748A0000}"/>
    <cellStyle name="Normal 2 8 2 7 2 4 2" xfId="35442" xr:uid="{00000000-0005-0000-0000-0000758A0000}"/>
    <cellStyle name="Normal 2 8 2 7 2 4 3" xfId="35443" xr:uid="{00000000-0005-0000-0000-0000768A0000}"/>
    <cellStyle name="Normal 2 8 2 7 2 4 4" xfId="35444" xr:uid="{00000000-0005-0000-0000-0000778A0000}"/>
    <cellStyle name="Normal 2 8 2 7 2 5" xfId="35445" xr:uid="{00000000-0005-0000-0000-0000788A0000}"/>
    <cellStyle name="Normal 2 8 2 7 2 5 2" xfId="35446" xr:uid="{00000000-0005-0000-0000-0000798A0000}"/>
    <cellStyle name="Normal 2 8 2 7 2 6" xfId="35447" xr:uid="{00000000-0005-0000-0000-00007A8A0000}"/>
    <cellStyle name="Normal 2 8 2 7 2 7" xfId="35448" xr:uid="{00000000-0005-0000-0000-00007B8A0000}"/>
    <cellStyle name="Normal 2 8 2 7 2 8" xfId="35449" xr:uid="{00000000-0005-0000-0000-00007C8A0000}"/>
    <cellStyle name="Normal 2 8 2 7 2 9" xfId="35450" xr:uid="{00000000-0005-0000-0000-00007D8A0000}"/>
    <cellStyle name="Normal 2 8 2 7 3" xfId="35451" xr:uid="{00000000-0005-0000-0000-00007E8A0000}"/>
    <cellStyle name="Normal 2 8 2 7 3 2" xfId="35452" xr:uid="{00000000-0005-0000-0000-00007F8A0000}"/>
    <cellStyle name="Normal 2 8 2 7 3 2 2" xfId="35453" xr:uid="{00000000-0005-0000-0000-0000808A0000}"/>
    <cellStyle name="Normal 2 8 2 7 3 2 2 2" xfId="35454" xr:uid="{00000000-0005-0000-0000-0000818A0000}"/>
    <cellStyle name="Normal 2 8 2 7 3 2 2 3" xfId="35455" xr:uid="{00000000-0005-0000-0000-0000828A0000}"/>
    <cellStyle name="Normal 2 8 2 7 3 2 3" xfId="35456" xr:uid="{00000000-0005-0000-0000-0000838A0000}"/>
    <cellStyle name="Normal 2 8 2 7 3 2 4" xfId="35457" xr:uid="{00000000-0005-0000-0000-0000848A0000}"/>
    <cellStyle name="Normal 2 8 2 7 3 2 5" xfId="35458" xr:uid="{00000000-0005-0000-0000-0000858A0000}"/>
    <cellStyle name="Normal 2 8 2 7 3 2 6" xfId="35459" xr:uid="{00000000-0005-0000-0000-0000868A0000}"/>
    <cellStyle name="Normal 2 8 2 7 3 3" xfId="35460" xr:uid="{00000000-0005-0000-0000-0000878A0000}"/>
    <cellStyle name="Normal 2 8 2 7 3 3 2" xfId="35461" xr:uid="{00000000-0005-0000-0000-0000888A0000}"/>
    <cellStyle name="Normal 2 8 2 7 3 3 2 2" xfId="35462" xr:uid="{00000000-0005-0000-0000-0000898A0000}"/>
    <cellStyle name="Normal 2 8 2 7 3 3 3" xfId="35463" xr:uid="{00000000-0005-0000-0000-00008A8A0000}"/>
    <cellStyle name="Normal 2 8 2 7 3 3 4" xfId="35464" xr:uid="{00000000-0005-0000-0000-00008B8A0000}"/>
    <cellStyle name="Normal 2 8 2 7 3 3 5" xfId="35465" xr:uid="{00000000-0005-0000-0000-00008C8A0000}"/>
    <cellStyle name="Normal 2 8 2 7 3 4" xfId="35466" xr:uid="{00000000-0005-0000-0000-00008D8A0000}"/>
    <cellStyle name="Normal 2 8 2 7 3 4 2" xfId="35467" xr:uid="{00000000-0005-0000-0000-00008E8A0000}"/>
    <cellStyle name="Normal 2 8 2 7 3 4 3" xfId="35468" xr:uid="{00000000-0005-0000-0000-00008F8A0000}"/>
    <cellStyle name="Normal 2 8 2 7 3 4 4" xfId="35469" xr:uid="{00000000-0005-0000-0000-0000908A0000}"/>
    <cellStyle name="Normal 2 8 2 7 3 5" xfId="35470" xr:uid="{00000000-0005-0000-0000-0000918A0000}"/>
    <cellStyle name="Normal 2 8 2 7 3 5 2" xfId="35471" xr:uid="{00000000-0005-0000-0000-0000928A0000}"/>
    <cellStyle name="Normal 2 8 2 7 3 6" xfId="35472" xr:uid="{00000000-0005-0000-0000-0000938A0000}"/>
    <cellStyle name="Normal 2 8 2 7 3 7" xfId="35473" xr:uid="{00000000-0005-0000-0000-0000948A0000}"/>
    <cellStyle name="Normal 2 8 2 7 3 8" xfId="35474" xr:uid="{00000000-0005-0000-0000-0000958A0000}"/>
    <cellStyle name="Normal 2 8 2 7 3 9" xfId="35475" xr:uid="{00000000-0005-0000-0000-0000968A0000}"/>
    <cellStyle name="Normal 2 8 2 7 4" xfId="35476" xr:uid="{00000000-0005-0000-0000-0000978A0000}"/>
    <cellStyle name="Normal 2 8 2 7 4 2" xfId="35477" xr:uid="{00000000-0005-0000-0000-0000988A0000}"/>
    <cellStyle name="Normal 2 8 2 7 4 2 2" xfId="35478" xr:uid="{00000000-0005-0000-0000-0000998A0000}"/>
    <cellStyle name="Normal 2 8 2 7 4 2 3" xfId="35479" xr:uid="{00000000-0005-0000-0000-00009A8A0000}"/>
    <cellStyle name="Normal 2 8 2 7 4 3" xfId="35480" xr:uid="{00000000-0005-0000-0000-00009B8A0000}"/>
    <cellStyle name="Normal 2 8 2 7 4 4" xfId="35481" xr:uid="{00000000-0005-0000-0000-00009C8A0000}"/>
    <cellStyle name="Normal 2 8 2 7 4 5" xfId="35482" xr:uid="{00000000-0005-0000-0000-00009D8A0000}"/>
    <cellStyle name="Normal 2 8 2 7 4 6" xfId="35483" xr:uid="{00000000-0005-0000-0000-00009E8A0000}"/>
    <cellStyle name="Normal 2 8 2 7 5" xfId="35484" xr:uid="{00000000-0005-0000-0000-00009F8A0000}"/>
    <cellStyle name="Normal 2 8 2 7 5 2" xfId="35485" xr:uid="{00000000-0005-0000-0000-0000A08A0000}"/>
    <cellStyle name="Normal 2 8 2 7 5 2 2" xfId="35486" xr:uid="{00000000-0005-0000-0000-0000A18A0000}"/>
    <cellStyle name="Normal 2 8 2 7 5 3" xfId="35487" xr:uid="{00000000-0005-0000-0000-0000A28A0000}"/>
    <cellStyle name="Normal 2 8 2 7 5 4" xfId="35488" xr:uid="{00000000-0005-0000-0000-0000A38A0000}"/>
    <cellStyle name="Normal 2 8 2 7 5 5" xfId="35489" xr:uid="{00000000-0005-0000-0000-0000A48A0000}"/>
    <cellStyle name="Normal 2 8 2 7 6" xfId="35490" xr:uid="{00000000-0005-0000-0000-0000A58A0000}"/>
    <cellStyle name="Normal 2 8 2 7 6 2" xfId="35491" xr:uid="{00000000-0005-0000-0000-0000A68A0000}"/>
    <cellStyle name="Normal 2 8 2 7 6 3" xfId="35492" xr:uid="{00000000-0005-0000-0000-0000A78A0000}"/>
    <cellStyle name="Normal 2 8 2 7 6 4" xfId="35493" xr:uid="{00000000-0005-0000-0000-0000A88A0000}"/>
    <cellStyle name="Normal 2 8 2 7 7" xfId="35494" xr:uid="{00000000-0005-0000-0000-0000A98A0000}"/>
    <cellStyle name="Normal 2 8 2 7 7 2" xfId="35495" xr:uid="{00000000-0005-0000-0000-0000AA8A0000}"/>
    <cellStyle name="Normal 2 8 2 7 8" xfId="35496" xr:uid="{00000000-0005-0000-0000-0000AB8A0000}"/>
    <cellStyle name="Normal 2 8 2 7 9" xfId="35497" xr:uid="{00000000-0005-0000-0000-0000AC8A0000}"/>
    <cellStyle name="Normal 2 8 2 8" xfId="35498" xr:uid="{00000000-0005-0000-0000-0000AD8A0000}"/>
    <cellStyle name="Normal 2 8 2 8 10" xfId="35499" xr:uid="{00000000-0005-0000-0000-0000AE8A0000}"/>
    <cellStyle name="Normal 2 8 2 8 2" xfId="35500" xr:uid="{00000000-0005-0000-0000-0000AF8A0000}"/>
    <cellStyle name="Normal 2 8 2 8 2 2" xfId="35501" xr:uid="{00000000-0005-0000-0000-0000B08A0000}"/>
    <cellStyle name="Normal 2 8 2 8 2 2 2" xfId="35502" xr:uid="{00000000-0005-0000-0000-0000B18A0000}"/>
    <cellStyle name="Normal 2 8 2 8 2 2 3" xfId="35503" xr:uid="{00000000-0005-0000-0000-0000B28A0000}"/>
    <cellStyle name="Normal 2 8 2 8 2 3" xfId="35504" xr:uid="{00000000-0005-0000-0000-0000B38A0000}"/>
    <cellStyle name="Normal 2 8 2 8 2 4" xfId="35505" xr:uid="{00000000-0005-0000-0000-0000B48A0000}"/>
    <cellStyle name="Normal 2 8 2 8 2 5" xfId="35506" xr:uid="{00000000-0005-0000-0000-0000B58A0000}"/>
    <cellStyle name="Normal 2 8 2 8 2 6" xfId="35507" xr:uid="{00000000-0005-0000-0000-0000B68A0000}"/>
    <cellStyle name="Normal 2 8 2 8 3" xfId="35508" xr:uid="{00000000-0005-0000-0000-0000B78A0000}"/>
    <cellStyle name="Normal 2 8 2 8 3 2" xfId="35509" xr:uid="{00000000-0005-0000-0000-0000B88A0000}"/>
    <cellStyle name="Normal 2 8 2 8 3 2 2" xfId="35510" xr:uid="{00000000-0005-0000-0000-0000B98A0000}"/>
    <cellStyle name="Normal 2 8 2 8 3 2 3" xfId="35511" xr:uid="{00000000-0005-0000-0000-0000BA8A0000}"/>
    <cellStyle name="Normal 2 8 2 8 3 3" xfId="35512" xr:uid="{00000000-0005-0000-0000-0000BB8A0000}"/>
    <cellStyle name="Normal 2 8 2 8 3 4" xfId="35513" xr:uid="{00000000-0005-0000-0000-0000BC8A0000}"/>
    <cellStyle name="Normal 2 8 2 8 3 5" xfId="35514" xr:uid="{00000000-0005-0000-0000-0000BD8A0000}"/>
    <cellStyle name="Normal 2 8 2 8 3 6" xfId="35515" xr:uid="{00000000-0005-0000-0000-0000BE8A0000}"/>
    <cellStyle name="Normal 2 8 2 8 4" xfId="35516" xr:uid="{00000000-0005-0000-0000-0000BF8A0000}"/>
    <cellStyle name="Normal 2 8 2 8 4 2" xfId="35517" xr:uid="{00000000-0005-0000-0000-0000C08A0000}"/>
    <cellStyle name="Normal 2 8 2 8 4 2 2" xfId="35518" xr:uid="{00000000-0005-0000-0000-0000C18A0000}"/>
    <cellStyle name="Normal 2 8 2 8 4 3" xfId="35519" xr:uid="{00000000-0005-0000-0000-0000C28A0000}"/>
    <cellStyle name="Normal 2 8 2 8 4 4" xfId="35520" xr:uid="{00000000-0005-0000-0000-0000C38A0000}"/>
    <cellStyle name="Normal 2 8 2 8 4 5" xfId="35521" xr:uid="{00000000-0005-0000-0000-0000C48A0000}"/>
    <cellStyle name="Normal 2 8 2 8 5" xfId="35522" xr:uid="{00000000-0005-0000-0000-0000C58A0000}"/>
    <cellStyle name="Normal 2 8 2 8 5 2" xfId="35523" xr:uid="{00000000-0005-0000-0000-0000C68A0000}"/>
    <cellStyle name="Normal 2 8 2 8 5 3" xfId="35524" xr:uid="{00000000-0005-0000-0000-0000C78A0000}"/>
    <cellStyle name="Normal 2 8 2 8 5 4" xfId="35525" xr:uid="{00000000-0005-0000-0000-0000C88A0000}"/>
    <cellStyle name="Normal 2 8 2 8 6" xfId="35526" xr:uid="{00000000-0005-0000-0000-0000C98A0000}"/>
    <cellStyle name="Normal 2 8 2 8 6 2" xfId="35527" xr:uid="{00000000-0005-0000-0000-0000CA8A0000}"/>
    <cellStyle name="Normal 2 8 2 8 7" xfId="35528" xr:uid="{00000000-0005-0000-0000-0000CB8A0000}"/>
    <cellStyle name="Normal 2 8 2 8 8" xfId="35529" xr:uid="{00000000-0005-0000-0000-0000CC8A0000}"/>
    <cellStyle name="Normal 2 8 2 8 9" xfId="35530" xr:uid="{00000000-0005-0000-0000-0000CD8A0000}"/>
    <cellStyle name="Normal 2 8 2 9" xfId="35531" xr:uid="{00000000-0005-0000-0000-0000CE8A0000}"/>
    <cellStyle name="Normal 2 8 2 9 10" xfId="35532" xr:uid="{00000000-0005-0000-0000-0000CF8A0000}"/>
    <cellStyle name="Normal 2 8 2 9 2" xfId="35533" xr:uid="{00000000-0005-0000-0000-0000D08A0000}"/>
    <cellStyle name="Normal 2 8 2 9 2 2" xfId="35534" xr:uid="{00000000-0005-0000-0000-0000D18A0000}"/>
    <cellStyle name="Normal 2 8 2 9 2 2 2" xfId="35535" xr:uid="{00000000-0005-0000-0000-0000D28A0000}"/>
    <cellStyle name="Normal 2 8 2 9 2 2 3" xfId="35536" xr:uid="{00000000-0005-0000-0000-0000D38A0000}"/>
    <cellStyle name="Normal 2 8 2 9 2 3" xfId="35537" xr:uid="{00000000-0005-0000-0000-0000D48A0000}"/>
    <cellStyle name="Normal 2 8 2 9 2 4" xfId="35538" xr:uid="{00000000-0005-0000-0000-0000D58A0000}"/>
    <cellStyle name="Normal 2 8 2 9 2 5" xfId="35539" xr:uid="{00000000-0005-0000-0000-0000D68A0000}"/>
    <cellStyle name="Normal 2 8 2 9 2 6" xfId="35540" xr:uid="{00000000-0005-0000-0000-0000D78A0000}"/>
    <cellStyle name="Normal 2 8 2 9 3" xfId="35541" xr:uid="{00000000-0005-0000-0000-0000D88A0000}"/>
    <cellStyle name="Normal 2 8 2 9 3 2" xfId="35542" xr:uid="{00000000-0005-0000-0000-0000D98A0000}"/>
    <cellStyle name="Normal 2 8 2 9 3 2 2" xfId="35543" xr:uid="{00000000-0005-0000-0000-0000DA8A0000}"/>
    <cellStyle name="Normal 2 8 2 9 3 2 3" xfId="35544" xr:uid="{00000000-0005-0000-0000-0000DB8A0000}"/>
    <cellStyle name="Normal 2 8 2 9 3 3" xfId="35545" xr:uid="{00000000-0005-0000-0000-0000DC8A0000}"/>
    <cellStyle name="Normal 2 8 2 9 3 4" xfId="35546" xr:uid="{00000000-0005-0000-0000-0000DD8A0000}"/>
    <cellStyle name="Normal 2 8 2 9 3 5" xfId="35547" xr:uid="{00000000-0005-0000-0000-0000DE8A0000}"/>
    <cellStyle name="Normal 2 8 2 9 3 6" xfId="35548" xr:uid="{00000000-0005-0000-0000-0000DF8A0000}"/>
    <cellStyle name="Normal 2 8 2 9 4" xfId="35549" xr:uid="{00000000-0005-0000-0000-0000E08A0000}"/>
    <cellStyle name="Normal 2 8 2 9 4 2" xfId="35550" xr:uid="{00000000-0005-0000-0000-0000E18A0000}"/>
    <cellStyle name="Normal 2 8 2 9 4 2 2" xfId="35551" xr:uid="{00000000-0005-0000-0000-0000E28A0000}"/>
    <cellStyle name="Normal 2 8 2 9 4 3" xfId="35552" xr:uid="{00000000-0005-0000-0000-0000E38A0000}"/>
    <cellStyle name="Normal 2 8 2 9 4 4" xfId="35553" xr:uid="{00000000-0005-0000-0000-0000E48A0000}"/>
    <cellStyle name="Normal 2 8 2 9 4 5" xfId="35554" xr:uid="{00000000-0005-0000-0000-0000E58A0000}"/>
    <cellStyle name="Normal 2 8 2 9 5" xfId="35555" xr:uid="{00000000-0005-0000-0000-0000E68A0000}"/>
    <cellStyle name="Normal 2 8 2 9 5 2" xfId="35556" xr:uid="{00000000-0005-0000-0000-0000E78A0000}"/>
    <cellStyle name="Normal 2 8 2 9 5 3" xfId="35557" xr:uid="{00000000-0005-0000-0000-0000E88A0000}"/>
    <cellStyle name="Normal 2 8 2 9 5 4" xfId="35558" xr:uid="{00000000-0005-0000-0000-0000E98A0000}"/>
    <cellStyle name="Normal 2 8 2 9 6" xfId="35559" xr:uid="{00000000-0005-0000-0000-0000EA8A0000}"/>
    <cellStyle name="Normal 2 8 2 9 6 2" xfId="35560" xr:uid="{00000000-0005-0000-0000-0000EB8A0000}"/>
    <cellStyle name="Normal 2 8 2 9 7" xfId="35561" xr:uid="{00000000-0005-0000-0000-0000EC8A0000}"/>
    <cellStyle name="Normal 2 8 2 9 8" xfId="35562" xr:uid="{00000000-0005-0000-0000-0000ED8A0000}"/>
    <cellStyle name="Normal 2 8 2 9 9" xfId="35563" xr:uid="{00000000-0005-0000-0000-0000EE8A0000}"/>
    <cellStyle name="Normal 2 8 20" xfId="35564" xr:uid="{00000000-0005-0000-0000-0000EF8A0000}"/>
    <cellStyle name="Normal 2 8 20 10" xfId="35565" xr:uid="{00000000-0005-0000-0000-0000F08A0000}"/>
    <cellStyle name="Normal 2 8 20 2" xfId="35566" xr:uid="{00000000-0005-0000-0000-0000F18A0000}"/>
    <cellStyle name="Normal 2 8 20 2 2" xfId="35567" xr:uid="{00000000-0005-0000-0000-0000F28A0000}"/>
    <cellStyle name="Normal 2 8 20 2 2 2" xfId="35568" xr:uid="{00000000-0005-0000-0000-0000F38A0000}"/>
    <cellStyle name="Normal 2 8 20 2 2 3" xfId="35569" xr:uid="{00000000-0005-0000-0000-0000F48A0000}"/>
    <cellStyle name="Normal 2 8 20 2 3" xfId="35570" xr:uid="{00000000-0005-0000-0000-0000F58A0000}"/>
    <cellStyle name="Normal 2 8 20 2 4" xfId="35571" xr:uid="{00000000-0005-0000-0000-0000F68A0000}"/>
    <cellStyle name="Normal 2 8 20 2 5" xfId="35572" xr:uid="{00000000-0005-0000-0000-0000F78A0000}"/>
    <cellStyle name="Normal 2 8 20 2 6" xfId="35573" xr:uid="{00000000-0005-0000-0000-0000F88A0000}"/>
    <cellStyle name="Normal 2 8 20 3" xfId="35574" xr:uid="{00000000-0005-0000-0000-0000F98A0000}"/>
    <cellStyle name="Normal 2 8 20 3 2" xfId="35575" xr:uid="{00000000-0005-0000-0000-0000FA8A0000}"/>
    <cellStyle name="Normal 2 8 20 3 2 2" xfId="35576" xr:uid="{00000000-0005-0000-0000-0000FB8A0000}"/>
    <cellStyle name="Normal 2 8 20 3 2 3" xfId="35577" xr:uid="{00000000-0005-0000-0000-0000FC8A0000}"/>
    <cellStyle name="Normal 2 8 20 3 3" xfId="35578" xr:uid="{00000000-0005-0000-0000-0000FD8A0000}"/>
    <cellStyle name="Normal 2 8 20 3 4" xfId="35579" xr:uid="{00000000-0005-0000-0000-0000FE8A0000}"/>
    <cellStyle name="Normal 2 8 20 3 5" xfId="35580" xr:uid="{00000000-0005-0000-0000-0000FF8A0000}"/>
    <cellStyle name="Normal 2 8 20 3 6" xfId="35581" xr:uid="{00000000-0005-0000-0000-0000008B0000}"/>
    <cellStyle name="Normal 2 8 20 4" xfId="35582" xr:uid="{00000000-0005-0000-0000-0000018B0000}"/>
    <cellStyle name="Normal 2 8 20 4 2" xfId="35583" xr:uid="{00000000-0005-0000-0000-0000028B0000}"/>
    <cellStyle name="Normal 2 8 20 4 2 2" xfId="35584" xr:uid="{00000000-0005-0000-0000-0000038B0000}"/>
    <cellStyle name="Normal 2 8 20 4 3" xfId="35585" xr:uid="{00000000-0005-0000-0000-0000048B0000}"/>
    <cellStyle name="Normal 2 8 20 4 4" xfId="35586" xr:uid="{00000000-0005-0000-0000-0000058B0000}"/>
    <cellStyle name="Normal 2 8 20 4 5" xfId="35587" xr:uid="{00000000-0005-0000-0000-0000068B0000}"/>
    <cellStyle name="Normal 2 8 20 5" xfId="35588" xr:uid="{00000000-0005-0000-0000-0000078B0000}"/>
    <cellStyle name="Normal 2 8 20 5 2" xfId="35589" xr:uid="{00000000-0005-0000-0000-0000088B0000}"/>
    <cellStyle name="Normal 2 8 20 5 3" xfId="35590" xr:uid="{00000000-0005-0000-0000-0000098B0000}"/>
    <cellStyle name="Normal 2 8 20 5 4" xfId="35591" xr:uid="{00000000-0005-0000-0000-00000A8B0000}"/>
    <cellStyle name="Normal 2 8 20 6" xfId="35592" xr:uid="{00000000-0005-0000-0000-00000B8B0000}"/>
    <cellStyle name="Normal 2 8 20 6 2" xfId="35593" xr:uid="{00000000-0005-0000-0000-00000C8B0000}"/>
    <cellStyle name="Normal 2 8 20 7" xfId="35594" xr:uid="{00000000-0005-0000-0000-00000D8B0000}"/>
    <cellStyle name="Normal 2 8 20 8" xfId="35595" xr:uid="{00000000-0005-0000-0000-00000E8B0000}"/>
    <cellStyle name="Normal 2 8 20 9" xfId="35596" xr:uid="{00000000-0005-0000-0000-00000F8B0000}"/>
    <cellStyle name="Normal 2 8 21" xfId="35597" xr:uid="{00000000-0005-0000-0000-0000108B0000}"/>
    <cellStyle name="Normal 2 8 21 10" xfId="35598" xr:uid="{00000000-0005-0000-0000-0000118B0000}"/>
    <cellStyle name="Normal 2 8 21 2" xfId="35599" xr:uid="{00000000-0005-0000-0000-0000128B0000}"/>
    <cellStyle name="Normal 2 8 21 2 2" xfId="35600" xr:uid="{00000000-0005-0000-0000-0000138B0000}"/>
    <cellStyle name="Normal 2 8 21 2 2 2" xfId="35601" xr:uid="{00000000-0005-0000-0000-0000148B0000}"/>
    <cellStyle name="Normal 2 8 21 2 2 3" xfId="35602" xr:uid="{00000000-0005-0000-0000-0000158B0000}"/>
    <cellStyle name="Normal 2 8 21 2 3" xfId="35603" xr:uid="{00000000-0005-0000-0000-0000168B0000}"/>
    <cellStyle name="Normal 2 8 21 2 4" xfId="35604" xr:uid="{00000000-0005-0000-0000-0000178B0000}"/>
    <cellStyle name="Normal 2 8 21 2 5" xfId="35605" xr:uid="{00000000-0005-0000-0000-0000188B0000}"/>
    <cellStyle name="Normal 2 8 21 2 6" xfId="35606" xr:uid="{00000000-0005-0000-0000-0000198B0000}"/>
    <cellStyle name="Normal 2 8 21 3" xfId="35607" xr:uid="{00000000-0005-0000-0000-00001A8B0000}"/>
    <cellStyle name="Normal 2 8 21 3 2" xfId="35608" xr:uid="{00000000-0005-0000-0000-00001B8B0000}"/>
    <cellStyle name="Normal 2 8 21 3 2 2" xfId="35609" xr:uid="{00000000-0005-0000-0000-00001C8B0000}"/>
    <cellStyle name="Normal 2 8 21 3 2 3" xfId="35610" xr:uid="{00000000-0005-0000-0000-00001D8B0000}"/>
    <cellStyle name="Normal 2 8 21 3 3" xfId="35611" xr:uid="{00000000-0005-0000-0000-00001E8B0000}"/>
    <cellStyle name="Normal 2 8 21 3 4" xfId="35612" xr:uid="{00000000-0005-0000-0000-00001F8B0000}"/>
    <cellStyle name="Normal 2 8 21 3 5" xfId="35613" xr:uid="{00000000-0005-0000-0000-0000208B0000}"/>
    <cellStyle name="Normal 2 8 21 3 6" xfId="35614" xr:uid="{00000000-0005-0000-0000-0000218B0000}"/>
    <cellStyle name="Normal 2 8 21 4" xfId="35615" xr:uid="{00000000-0005-0000-0000-0000228B0000}"/>
    <cellStyle name="Normal 2 8 21 4 2" xfId="35616" xr:uid="{00000000-0005-0000-0000-0000238B0000}"/>
    <cellStyle name="Normal 2 8 21 4 2 2" xfId="35617" xr:uid="{00000000-0005-0000-0000-0000248B0000}"/>
    <cellStyle name="Normal 2 8 21 4 3" xfId="35618" xr:uid="{00000000-0005-0000-0000-0000258B0000}"/>
    <cellStyle name="Normal 2 8 21 4 4" xfId="35619" xr:uid="{00000000-0005-0000-0000-0000268B0000}"/>
    <cellStyle name="Normal 2 8 21 4 5" xfId="35620" xr:uid="{00000000-0005-0000-0000-0000278B0000}"/>
    <cellStyle name="Normal 2 8 21 5" xfId="35621" xr:uid="{00000000-0005-0000-0000-0000288B0000}"/>
    <cellStyle name="Normal 2 8 21 5 2" xfId="35622" xr:uid="{00000000-0005-0000-0000-0000298B0000}"/>
    <cellStyle name="Normal 2 8 21 5 3" xfId="35623" xr:uid="{00000000-0005-0000-0000-00002A8B0000}"/>
    <cellStyle name="Normal 2 8 21 5 4" xfId="35624" xr:uid="{00000000-0005-0000-0000-00002B8B0000}"/>
    <cellStyle name="Normal 2 8 21 6" xfId="35625" xr:uid="{00000000-0005-0000-0000-00002C8B0000}"/>
    <cellStyle name="Normal 2 8 21 6 2" xfId="35626" xr:uid="{00000000-0005-0000-0000-00002D8B0000}"/>
    <cellStyle name="Normal 2 8 21 7" xfId="35627" xr:uid="{00000000-0005-0000-0000-00002E8B0000}"/>
    <cellStyle name="Normal 2 8 21 8" xfId="35628" xr:uid="{00000000-0005-0000-0000-00002F8B0000}"/>
    <cellStyle name="Normal 2 8 21 9" xfId="35629" xr:uid="{00000000-0005-0000-0000-0000308B0000}"/>
    <cellStyle name="Normal 2 8 22" xfId="35630" xr:uid="{00000000-0005-0000-0000-0000318B0000}"/>
    <cellStyle name="Normal 2 8 22 10" xfId="35631" xr:uid="{00000000-0005-0000-0000-0000328B0000}"/>
    <cellStyle name="Normal 2 8 22 2" xfId="35632" xr:uid="{00000000-0005-0000-0000-0000338B0000}"/>
    <cellStyle name="Normal 2 8 22 2 2" xfId="35633" xr:uid="{00000000-0005-0000-0000-0000348B0000}"/>
    <cellStyle name="Normal 2 8 22 2 2 2" xfId="35634" xr:uid="{00000000-0005-0000-0000-0000358B0000}"/>
    <cellStyle name="Normal 2 8 22 2 2 3" xfId="35635" xr:uid="{00000000-0005-0000-0000-0000368B0000}"/>
    <cellStyle name="Normal 2 8 22 2 3" xfId="35636" xr:uid="{00000000-0005-0000-0000-0000378B0000}"/>
    <cellStyle name="Normal 2 8 22 2 4" xfId="35637" xr:uid="{00000000-0005-0000-0000-0000388B0000}"/>
    <cellStyle name="Normal 2 8 22 2 5" xfId="35638" xr:uid="{00000000-0005-0000-0000-0000398B0000}"/>
    <cellStyle name="Normal 2 8 22 2 6" xfId="35639" xr:uid="{00000000-0005-0000-0000-00003A8B0000}"/>
    <cellStyle name="Normal 2 8 22 3" xfId="35640" xr:uid="{00000000-0005-0000-0000-00003B8B0000}"/>
    <cellStyle name="Normal 2 8 22 3 2" xfId="35641" xr:uid="{00000000-0005-0000-0000-00003C8B0000}"/>
    <cellStyle name="Normal 2 8 22 3 2 2" xfId="35642" xr:uid="{00000000-0005-0000-0000-00003D8B0000}"/>
    <cellStyle name="Normal 2 8 22 3 2 3" xfId="35643" xr:uid="{00000000-0005-0000-0000-00003E8B0000}"/>
    <cellStyle name="Normal 2 8 22 3 3" xfId="35644" xr:uid="{00000000-0005-0000-0000-00003F8B0000}"/>
    <cellStyle name="Normal 2 8 22 3 4" xfId="35645" xr:uid="{00000000-0005-0000-0000-0000408B0000}"/>
    <cellStyle name="Normal 2 8 22 3 5" xfId="35646" xr:uid="{00000000-0005-0000-0000-0000418B0000}"/>
    <cellStyle name="Normal 2 8 22 3 6" xfId="35647" xr:uid="{00000000-0005-0000-0000-0000428B0000}"/>
    <cellStyle name="Normal 2 8 22 4" xfId="35648" xr:uid="{00000000-0005-0000-0000-0000438B0000}"/>
    <cellStyle name="Normal 2 8 22 4 2" xfId="35649" xr:uid="{00000000-0005-0000-0000-0000448B0000}"/>
    <cellStyle name="Normal 2 8 22 4 2 2" xfId="35650" xr:uid="{00000000-0005-0000-0000-0000458B0000}"/>
    <cellStyle name="Normal 2 8 22 4 3" xfId="35651" xr:uid="{00000000-0005-0000-0000-0000468B0000}"/>
    <cellStyle name="Normal 2 8 22 4 4" xfId="35652" xr:uid="{00000000-0005-0000-0000-0000478B0000}"/>
    <cellStyle name="Normal 2 8 22 4 5" xfId="35653" xr:uid="{00000000-0005-0000-0000-0000488B0000}"/>
    <cellStyle name="Normal 2 8 22 5" xfId="35654" xr:uid="{00000000-0005-0000-0000-0000498B0000}"/>
    <cellStyle name="Normal 2 8 22 5 2" xfId="35655" xr:uid="{00000000-0005-0000-0000-00004A8B0000}"/>
    <cellStyle name="Normal 2 8 22 5 3" xfId="35656" xr:uid="{00000000-0005-0000-0000-00004B8B0000}"/>
    <cellStyle name="Normal 2 8 22 5 4" xfId="35657" xr:uid="{00000000-0005-0000-0000-00004C8B0000}"/>
    <cellStyle name="Normal 2 8 22 6" xfId="35658" xr:uid="{00000000-0005-0000-0000-00004D8B0000}"/>
    <cellStyle name="Normal 2 8 22 6 2" xfId="35659" xr:uid="{00000000-0005-0000-0000-00004E8B0000}"/>
    <cellStyle name="Normal 2 8 22 7" xfId="35660" xr:uid="{00000000-0005-0000-0000-00004F8B0000}"/>
    <cellStyle name="Normal 2 8 22 8" xfId="35661" xr:uid="{00000000-0005-0000-0000-0000508B0000}"/>
    <cellStyle name="Normal 2 8 22 9" xfId="35662" xr:uid="{00000000-0005-0000-0000-0000518B0000}"/>
    <cellStyle name="Normal 2 8 23" xfId="35663" xr:uid="{00000000-0005-0000-0000-0000528B0000}"/>
    <cellStyle name="Normal 2 8 23 10" xfId="35664" xr:uid="{00000000-0005-0000-0000-0000538B0000}"/>
    <cellStyle name="Normal 2 8 23 2" xfId="35665" xr:uid="{00000000-0005-0000-0000-0000548B0000}"/>
    <cellStyle name="Normal 2 8 23 2 2" xfId="35666" xr:uid="{00000000-0005-0000-0000-0000558B0000}"/>
    <cellStyle name="Normal 2 8 23 2 2 2" xfId="35667" xr:uid="{00000000-0005-0000-0000-0000568B0000}"/>
    <cellStyle name="Normal 2 8 23 2 2 3" xfId="35668" xr:uid="{00000000-0005-0000-0000-0000578B0000}"/>
    <cellStyle name="Normal 2 8 23 2 3" xfId="35669" xr:uid="{00000000-0005-0000-0000-0000588B0000}"/>
    <cellStyle name="Normal 2 8 23 2 4" xfId="35670" xr:uid="{00000000-0005-0000-0000-0000598B0000}"/>
    <cellStyle name="Normal 2 8 23 2 5" xfId="35671" xr:uid="{00000000-0005-0000-0000-00005A8B0000}"/>
    <cellStyle name="Normal 2 8 23 2 6" xfId="35672" xr:uid="{00000000-0005-0000-0000-00005B8B0000}"/>
    <cellStyle name="Normal 2 8 23 3" xfId="35673" xr:uid="{00000000-0005-0000-0000-00005C8B0000}"/>
    <cellStyle name="Normal 2 8 23 3 2" xfId="35674" xr:uid="{00000000-0005-0000-0000-00005D8B0000}"/>
    <cellStyle name="Normal 2 8 23 3 2 2" xfId="35675" xr:uid="{00000000-0005-0000-0000-00005E8B0000}"/>
    <cellStyle name="Normal 2 8 23 3 2 3" xfId="35676" xr:uid="{00000000-0005-0000-0000-00005F8B0000}"/>
    <cellStyle name="Normal 2 8 23 3 3" xfId="35677" xr:uid="{00000000-0005-0000-0000-0000608B0000}"/>
    <cellStyle name="Normal 2 8 23 3 4" xfId="35678" xr:uid="{00000000-0005-0000-0000-0000618B0000}"/>
    <cellStyle name="Normal 2 8 23 3 5" xfId="35679" xr:uid="{00000000-0005-0000-0000-0000628B0000}"/>
    <cellStyle name="Normal 2 8 23 3 6" xfId="35680" xr:uid="{00000000-0005-0000-0000-0000638B0000}"/>
    <cellStyle name="Normal 2 8 23 4" xfId="35681" xr:uid="{00000000-0005-0000-0000-0000648B0000}"/>
    <cellStyle name="Normal 2 8 23 4 2" xfId="35682" xr:uid="{00000000-0005-0000-0000-0000658B0000}"/>
    <cellStyle name="Normal 2 8 23 4 2 2" xfId="35683" xr:uid="{00000000-0005-0000-0000-0000668B0000}"/>
    <cellStyle name="Normal 2 8 23 4 3" xfId="35684" xr:uid="{00000000-0005-0000-0000-0000678B0000}"/>
    <cellStyle name="Normal 2 8 23 4 4" xfId="35685" xr:uid="{00000000-0005-0000-0000-0000688B0000}"/>
    <cellStyle name="Normal 2 8 23 4 5" xfId="35686" xr:uid="{00000000-0005-0000-0000-0000698B0000}"/>
    <cellStyle name="Normal 2 8 23 5" xfId="35687" xr:uid="{00000000-0005-0000-0000-00006A8B0000}"/>
    <cellStyle name="Normal 2 8 23 5 2" xfId="35688" xr:uid="{00000000-0005-0000-0000-00006B8B0000}"/>
    <cellStyle name="Normal 2 8 23 5 3" xfId="35689" xr:uid="{00000000-0005-0000-0000-00006C8B0000}"/>
    <cellStyle name="Normal 2 8 23 5 4" xfId="35690" xr:uid="{00000000-0005-0000-0000-00006D8B0000}"/>
    <cellStyle name="Normal 2 8 23 6" xfId="35691" xr:uid="{00000000-0005-0000-0000-00006E8B0000}"/>
    <cellStyle name="Normal 2 8 23 6 2" xfId="35692" xr:uid="{00000000-0005-0000-0000-00006F8B0000}"/>
    <cellStyle name="Normal 2 8 23 7" xfId="35693" xr:uid="{00000000-0005-0000-0000-0000708B0000}"/>
    <cellStyle name="Normal 2 8 23 8" xfId="35694" xr:uid="{00000000-0005-0000-0000-0000718B0000}"/>
    <cellStyle name="Normal 2 8 23 9" xfId="35695" xr:uid="{00000000-0005-0000-0000-0000728B0000}"/>
    <cellStyle name="Normal 2 8 24" xfId="35696" xr:uid="{00000000-0005-0000-0000-0000738B0000}"/>
    <cellStyle name="Normal 2 8 24 10" xfId="35697" xr:uid="{00000000-0005-0000-0000-0000748B0000}"/>
    <cellStyle name="Normal 2 8 24 2" xfId="35698" xr:uid="{00000000-0005-0000-0000-0000758B0000}"/>
    <cellStyle name="Normal 2 8 24 2 2" xfId="35699" xr:uid="{00000000-0005-0000-0000-0000768B0000}"/>
    <cellStyle name="Normal 2 8 24 2 2 2" xfId="35700" xr:uid="{00000000-0005-0000-0000-0000778B0000}"/>
    <cellStyle name="Normal 2 8 24 2 2 3" xfId="35701" xr:uid="{00000000-0005-0000-0000-0000788B0000}"/>
    <cellStyle name="Normal 2 8 24 2 3" xfId="35702" xr:uid="{00000000-0005-0000-0000-0000798B0000}"/>
    <cellStyle name="Normal 2 8 24 2 4" xfId="35703" xr:uid="{00000000-0005-0000-0000-00007A8B0000}"/>
    <cellStyle name="Normal 2 8 24 2 5" xfId="35704" xr:uid="{00000000-0005-0000-0000-00007B8B0000}"/>
    <cellStyle name="Normal 2 8 24 2 6" xfId="35705" xr:uid="{00000000-0005-0000-0000-00007C8B0000}"/>
    <cellStyle name="Normal 2 8 24 3" xfId="35706" xr:uid="{00000000-0005-0000-0000-00007D8B0000}"/>
    <cellStyle name="Normal 2 8 24 3 2" xfId="35707" xr:uid="{00000000-0005-0000-0000-00007E8B0000}"/>
    <cellStyle name="Normal 2 8 24 3 2 2" xfId="35708" xr:uid="{00000000-0005-0000-0000-00007F8B0000}"/>
    <cellStyle name="Normal 2 8 24 3 2 3" xfId="35709" xr:uid="{00000000-0005-0000-0000-0000808B0000}"/>
    <cellStyle name="Normal 2 8 24 3 3" xfId="35710" xr:uid="{00000000-0005-0000-0000-0000818B0000}"/>
    <cellStyle name="Normal 2 8 24 3 4" xfId="35711" xr:uid="{00000000-0005-0000-0000-0000828B0000}"/>
    <cellStyle name="Normal 2 8 24 3 5" xfId="35712" xr:uid="{00000000-0005-0000-0000-0000838B0000}"/>
    <cellStyle name="Normal 2 8 24 3 6" xfId="35713" xr:uid="{00000000-0005-0000-0000-0000848B0000}"/>
    <cellStyle name="Normal 2 8 24 4" xfId="35714" xr:uid="{00000000-0005-0000-0000-0000858B0000}"/>
    <cellStyle name="Normal 2 8 24 4 2" xfId="35715" xr:uid="{00000000-0005-0000-0000-0000868B0000}"/>
    <cellStyle name="Normal 2 8 24 4 2 2" xfId="35716" xr:uid="{00000000-0005-0000-0000-0000878B0000}"/>
    <cellStyle name="Normal 2 8 24 4 3" xfId="35717" xr:uid="{00000000-0005-0000-0000-0000888B0000}"/>
    <cellStyle name="Normal 2 8 24 4 4" xfId="35718" xr:uid="{00000000-0005-0000-0000-0000898B0000}"/>
    <cellStyle name="Normal 2 8 24 4 5" xfId="35719" xr:uid="{00000000-0005-0000-0000-00008A8B0000}"/>
    <cellStyle name="Normal 2 8 24 5" xfId="35720" xr:uid="{00000000-0005-0000-0000-00008B8B0000}"/>
    <cellStyle name="Normal 2 8 24 5 2" xfId="35721" xr:uid="{00000000-0005-0000-0000-00008C8B0000}"/>
    <cellStyle name="Normal 2 8 24 5 3" xfId="35722" xr:uid="{00000000-0005-0000-0000-00008D8B0000}"/>
    <cellStyle name="Normal 2 8 24 5 4" xfId="35723" xr:uid="{00000000-0005-0000-0000-00008E8B0000}"/>
    <cellStyle name="Normal 2 8 24 6" xfId="35724" xr:uid="{00000000-0005-0000-0000-00008F8B0000}"/>
    <cellStyle name="Normal 2 8 24 6 2" xfId="35725" xr:uid="{00000000-0005-0000-0000-0000908B0000}"/>
    <cellStyle name="Normal 2 8 24 7" xfId="35726" xr:uid="{00000000-0005-0000-0000-0000918B0000}"/>
    <cellStyle name="Normal 2 8 24 8" xfId="35727" xr:uid="{00000000-0005-0000-0000-0000928B0000}"/>
    <cellStyle name="Normal 2 8 24 9" xfId="35728" xr:uid="{00000000-0005-0000-0000-0000938B0000}"/>
    <cellStyle name="Normal 2 8 25" xfId="35729" xr:uid="{00000000-0005-0000-0000-0000948B0000}"/>
    <cellStyle name="Normal 2 8 25 10" xfId="35730" xr:uid="{00000000-0005-0000-0000-0000958B0000}"/>
    <cellStyle name="Normal 2 8 25 2" xfId="35731" xr:uid="{00000000-0005-0000-0000-0000968B0000}"/>
    <cellStyle name="Normal 2 8 25 2 2" xfId="35732" xr:uid="{00000000-0005-0000-0000-0000978B0000}"/>
    <cellStyle name="Normal 2 8 25 2 2 2" xfId="35733" xr:uid="{00000000-0005-0000-0000-0000988B0000}"/>
    <cellStyle name="Normal 2 8 25 2 2 3" xfId="35734" xr:uid="{00000000-0005-0000-0000-0000998B0000}"/>
    <cellStyle name="Normal 2 8 25 2 3" xfId="35735" xr:uid="{00000000-0005-0000-0000-00009A8B0000}"/>
    <cellStyle name="Normal 2 8 25 2 4" xfId="35736" xr:uid="{00000000-0005-0000-0000-00009B8B0000}"/>
    <cellStyle name="Normal 2 8 25 2 5" xfId="35737" xr:uid="{00000000-0005-0000-0000-00009C8B0000}"/>
    <cellStyle name="Normal 2 8 25 2 6" xfId="35738" xr:uid="{00000000-0005-0000-0000-00009D8B0000}"/>
    <cellStyle name="Normal 2 8 25 3" xfId="35739" xr:uid="{00000000-0005-0000-0000-00009E8B0000}"/>
    <cellStyle name="Normal 2 8 25 3 2" xfId="35740" xr:uid="{00000000-0005-0000-0000-00009F8B0000}"/>
    <cellStyle name="Normal 2 8 25 3 2 2" xfId="35741" xr:uid="{00000000-0005-0000-0000-0000A08B0000}"/>
    <cellStyle name="Normal 2 8 25 3 2 3" xfId="35742" xr:uid="{00000000-0005-0000-0000-0000A18B0000}"/>
    <cellStyle name="Normal 2 8 25 3 3" xfId="35743" xr:uid="{00000000-0005-0000-0000-0000A28B0000}"/>
    <cellStyle name="Normal 2 8 25 3 4" xfId="35744" xr:uid="{00000000-0005-0000-0000-0000A38B0000}"/>
    <cellStyle name="Normal 2 8 25 3 5" xfId="35745" xr:uid="{00000000-0005-0000-0000-0000A48B0000}"/>
    <cellStyle name="Normal 2 8 25 3 6" xfId="35746" xr:uid="{00000000-0005-0000-0000-0000A58B0000}"/>
    <cellStyle name="Normal 2 8 25 4" xfId="35747" xr:uid="{00000000-0005-0000-0000-0000A68B0000}"/>
    <cellStyle name="Normal 2 8 25 4 2" xfId="35748" xr:uid="{00000000-0005-0000-0000-0000A78B0000}"/>
    <cellStyle name="Normal 2 8 25 4 2 2" xfId="35749" xr:uid="{00000000-0005-0000-0000-0000A88B0000}"/>
    <cellStyle name="Normal 2 8 25 4 3" xfId="35750" xr:uid="{00000000-0005-0000-0000-0000A98B0000}"/>
    <cellStyle name="Normal 2 8 25 4 4" xfId="35751" xr:uid="{00000000-0005-0000-0000-0000AA8B0000}"/>
    <cellStyle name="Normal 2 8 25 4 5" xfId="35752" xr:uid="{00000000-0005-0000-0000-0000AB8B0000}"/>
    <cellStyle name="Normal 2 8 25 5" xfId="35753" xr:uid="{00000000-0005-0000-0000-0000AC8B0000}"/>
    <cellStyle name="Normal 2 8 25 5 2" xfId="35754" xr:uid="{00000000-0005-0000-0000-0000AD8B0000}"/>
    <cellStyle name="Normal 2 8 25 5 3" xfId="35755" xr:uid="{00000000-0005-0000-0000-0000AE8B0000}"/>
    <cellStyle name="Normal 2 8 25 5 4" xfId="35756" xr:uid="{00000000-0005-0000-0000-0000AF8B0000}"/>
    <cellStyle name="Normal 2 8 25 6" xfId="35757" xr:uid="{00000000-0005-0000-0000-0000B08B0000}"/>
    <cellStyle name="Normal 2 8 25 6 2" xfId="35758" xr:uid="{00000000-0005-0000-0000-0000B18B0000}"/>
    <cellStyle name="Normal 2 8 25 7" xfId="35759" xr:uid="{00000000-0005-0000-0000-0000B28B0000}"/>
    <cellStyle name="Normal 2 8 25 8" xfId="35760" xr:uid="{00000000-0005-0000-0000-0000B38B0000}"/>
    <cellStyle name="Normal 2 8 25 9" xfId="35761" xr:uid="{00000000-0005-0000-0000-0000B48B0000}"/>
    <cellStyle name="Normal 2 8 26" xfId="35762" xr:uid="{00000000-0005-0000-0000-0000B58B0000}"/>
    <cellStyle name="Normal 2 8 26 10" xfId="35763" xr:uid="{00000000-0005-0000-0000-0000B68B0000}"/>
    <cellStyle name="Normal 2 8 26 2" xfId="35764" xr:uid="{00000000-0005-0000-0000-0000B78B0000}"/>
    <cellStyle name="Normal 2 8 26 2 2" xfId="35765" xr:uid="{00000000-0005-0000-0000-0000B88B0000}"/>
    <cellStyle name="Normal 2 8 26 2 2 2" xfId="35766" xr:uid="{00000000-0005-0000-0000-0000B98B0000}"/>
    <cellStyle name="Normal 2 8 26 2 2 3" xfId="35767" xr:uid="{00000000-0005-0000-0000-0000BA8B0000}"/>
    <cellStyle name="Normal 2 8 26 2 3" xfId="35768" xr:uid="{00000000-0005-0000-0000-0000BB8B0000}"/>
    <cellStyle name="Normal 2 8 26 2 4" xfId="35769" xr:uid="{00000000-0005-0000-0000-0000BC8B0000}"/>
    <cellStyle name="Normal 2 8 26 2 5" xfId="35770" xr:uid="{00000000-0005-0000-0000-0000BD8B0000}"/>
    <cellStyle name="Normal 2 8 26 2 6" xfId="35771" xr:uid="{00000000-0005-0000-0000-0000BE8B0000}"/>
    <cellStyle name="Normal 2 8 26 3" xfId="35772" xr:uid="{00000000-0005-0000-0000-0000BF8B0000}"/>
    <cellStyle name="Normal 2 8 26 3 2" xfId="35773" xr:uid="{00000000-0005-0000-0000-0000C08B0000}"/>
    <cellStyle name="Normal 2 8 26 3 2 2" xfId="35774" xr:uid="{00000000-0005-0000-0000-0000C18B0000}"/>
    <cellStyle name="Normal 2 8 26 3 2 3" xfId="35775" xr:uid="{00000000-0005-0000-0000-0000C28B0000}"/>
    <cellStyle name="Normal 2 8 26 3 3" xfId="35776" xr:uid="{00000000-0005-0000-0000-0000C38B0000}"/>
    <cellStyle name="Normal 2 8 26 3 4" xfId="35777" xr:uid="{00000000-0005-0000-0000-0000C48B0000}"/>
    <cellStyle name="Normal 2 8 26 3 5" xfId="35778" xr:uid="{00000000-0005-0000-0000-0000C58B0000}"/>
    <cellStyle name="Normal 2 8 26 3 6" xfId="35779" xr:uid="{00000000-0005-0000-0000-0000C68B0000}"/>
    <cellStyle name="Normal 2 8 26 4" xfId="35780" xr:uid="{00000000-0005-0000-0000-0000C78B0000}"/>
    <cellStyle name="Normal 2 8 26 4 2" xfId="35781" xr:uid="{00000000-0005-0000-0000-0000C88B0000}"/>
    <cellStyle name="Normal 2 8 26 4 2 2" xfId="35782" xr:uid="{00000000-0005-0000-0000-0000C98B0000}"/>
    <cellStyle name="Normal 2 8 26 4 3" xfId="35783" xr:uid="{00000000-0005-0000-0000-0000CA8B0000}"/>
    <cellStyle name="Normal 2 8 26 4 4" xfId="35784" xr:uid="{00000000-0005-0000-0000-0000CB8B0000}"/>
    <cellStyle name="Normal 2 8 26 4 5" xfId="35785" xr:uid="{00000000-0005-0000-0000-0000CC8B0000}"/>
    <cellStyle name="Normal 2 8 26 5" xfId="35786" xr:uid="{00000000-0005-0000-0000-0000CD8B0000}"/>
    <cellStyle name="Normal 2 8 26 5 2" xfId="35787" xr:uid="{00000000-0005-0000-0000-0000CE8B0000}"/>
    <cellStyle name="Normal 2 8 26 5 3" xfId="35788" xr:uid="{00000000-0005-0000-0000-0000CF8B0000}"/>
    <cellStyle name="Normal 2 8 26 5 4" xfId="35789" xr:uid="{00000000-0005-0000-0000-0000D08B0000}"/>
    <cellStyle name="Normal 2 8 26 6" xfId="35790" xr:uid="{00000000-0005-0000-0000-0000D18B0000}"/>
    <cellStyle name="Normal 2 8 26 6 2" xfId="35791" xr:uid="{00000000-0005-0000-0000-0000D28B0000}"/>
    <cellStyle name="Normal 2 8 26 7" xfId="35792" xr:uid="{00000000-0005-0000-0000-0000D38B0000}"/>
    <cellStyle name="Normal 2 8 26 8" xfId="35793" xr:uid="{00000000-0005-0000-0000-0000D48B0000}"/>
    <cellStyle name="Normal 2 8 26 9" xfId="35794" xr:uid="{00000000-0005-0000-0000-0000D58B0000}"/>
    <cellStyle name="Normal 2 8 27" xfId="35795" xr:uid="{00000000-0005-0000-0000-0000D68B0000}"/>
    <cellStyle name="Normal 2 8 27 10" xfId="35796" xr:uid="{00000000-0005-0000-0000-0000D78B0000}"/>
    <cellStyle name="Normal 2 8 27 2" xfId="35797" xr:uid="{00000000-0005-0000-0000-0000D88B0000}"/>
    <cellStyle name="Normal 2 8 27 2 2" xfId="35798" xr:uid="{00000000-0005-0000-0000-0000D98B0000}"/>
    <cellStyle name="Normal 2 8 27 2 2 2" xfId="35799" xr:uid="{00000000-0005-0000-0000-0000DA8B0000}"/>
    <cellStyle name="Normal 2 8 27 2 2 3" xfId="35800" xr:uid="{00000000-0005-0000-0000-0000DB8B0000}"/>
    <cellStyle name="Normal 2 8 27 2 3" xfId="35801" xr:uid="{00000000-0005-0000-0000-0000DC8B0000}"/>
    <cellStyle name="Normal 2 8 27 2 4" xfId="35802" xr:uid="{00000000-0005-0000-0000-0000DD8B0000}"/>
    <cellStyle name="Normal 2 8 27 2 5" xfId="35803" xr:uid="{00000000-0005-0000-0000-0000DE8B0000}"/>
    <cellStyle name="Normal 2 8 27 2 6" xfId="35804" xr:uid="{00000000-0005-0000-0000-0000DF8B0000}"/>
    <cellStyle name="Normal 2 8 27 3" xfId="35805" xr:uid="{00000000-0005-0000-0000-0000E08B0000}"/>
    <cellStyle name="Normal 2 8 27 3 2" xfId="35806" xr:uid="{00000000-0005-0000-0000-0000E18B0000}"/>
    <cellStyle name="Normal 2 8 27 3 2 2" xfId="35807" xr:uid="{00000000-0005-0000-0000-0000E28B0000}"/>
    <cellStyle name="Normal 2 8 27 3 2 3" xfId="35808" xr:uid="{00000000-0005-0000-0000-0000E38B0000}"/>
    <cellStyle name="Normal 2 8 27 3 3" xfId="35809" xr:uid="{00000000-0005-0000-0000-0000E48B0000}"/>
    <cellStyle name="Normal 2 8 27 3 4" xfId="35810" xr:uid="{00000000-0005-0000-0000-0000E58B0000}"/>
    <cellStyle name="Normal 2 8 27 3 5" xfId="35811" xr:uid="{00000000-0005-0000-0000-0000E68B0000}"/>
    <cellStyle name="Normal 2 8 27 3 6" xfId="35812" xr:uid="{00000000-0005-0000-0000-0000E78B0000}"/>
    <cellStyle name="Normal 2 8 27 4" xfId="35813" xr:uid="{00000000-0005-0000-0000-0000E88B0000}"/>
    <cellStyle name="Normal 2 8 27 4 2" xfId="35814" xr:uid="{00000000-0005-0000-0000-0000E98B0000}"/>
    <cellStyle name="Normal 2 8 27 4 2 2" xfId="35815" xr:uid="{00000000-0005-0000-0000-0000EA8B0000}"/>
    <cellStyle name="Normal 2 8 27 4 3" xfId="35816" xr:uid="{00000000-0005-0000-0000-0000EB8B0000}"/>
    <cellStyle name="Normal 2 8 27 4 4" xfId="35817" xr:uid="{00000000-0005-0000-0000-0000EC8B0000}"/>
    <cellStyle name="Normal 2 8 27 4 5" xfId="35818" xr:uid="{00000000-0005-0000-0000-0000ED8B0000}"/>
    <cellStyle name="Normal 2 8 27 5" xfId="35819" xr:uid="{00000000-0005-0000-0000-0000EE8B0000}"/>
    <cellStyle name="Normal 2 8 27 5 2" xfId="35820" xr:uid="{00000000-0005-0000-0000-0000EF8B0000}"/>
    <cellStyle name="Normal 2 8 27 5 3" xfId="35821" xr:uid="{00000000-0005-0000-0000-0000F08B0000}"/>
    <cellStyle name="Normal 2 8 27 5 4" xfId="35822" xr:uid="{00000000-0005-0000-0000-0000F18B0000}"/>
    <cellStyle name="Normal 2 8 27 6" xfId="35823" xr:uid="{00000000-0005-0000-0000-0000F28B0000}"/>
    <cellStyle name="Normal 2 8 27 6 2" xfId="35824" xr:uid="{00000000-0005-0000-0000-0000F38B0000}"/>
    <cellStyle name="Normal 2 8 27 7" xfId="35825" xr:uid="{00000000-0005-0000-0000-0000F48B0000}"/>
    <cellStyle name="Normal 2 8 27 8" xfId="35826" xr:uid="{00000000-0005-0000-0000-0000F58B0000}"/>
    <cellStyle name="Normal 2 8 27 9" xfId="35827" xr:uid="{00000000-0005-0000-0000-0000F68B0000}"/>
    <cellStyle name="Normal 2 8 28" xfId="35828" xr:uid="{00000000-0005-0000-0000-0000F78B0000}"/>
    <cellStyle name="Normal 2 8 28 10" xfId="35829" xr:uid="{00000000-0005-0000-0000-0000F88B0000}"/>
    <cellStyle name="Normal 2 8 28 2" xfId="35830" xr:uid="{00000000-0005-0000-0000-0000F98B0000}"/>
    <cellStyle name="Normal 2 8 28 2 2" xfId="35831" xr:uid="{00000000-0005-0000-0000-0000FA8B0000}"/>
    <cellStyle name="Normal 2 8 28 2 2 2" xfId="35832" xr:uid="{00000000-0005-0000-0000-0000FB8B0000}"/>
    <cellStyle name="Normal 2 8 28 2 2 3" xfId="35833" xr:uid="{00000000-0005-0000-0000-0000FC8B0000}"/>
    <cellStyle name="Normal 2 8 28 2 3" xfId="35834" xr:uid="{00000000-0005-0000-0000-0000FD8B0000}"/>
    <cellStyle name="Normal 2 8 28 2 4" xfId="35835" xr:uid="{00000000-0005-0000-0000-0000FE8B0000}"/>
    <cellStyle name="Normal 2 8 28 2 5" xfId="35836" xr:uid="{00000000-0005-0000-0000-0000FF8B0000}"/>
    <cellStyle name="Normal 2 8 28 2 6" xfId="35837" xr:uid="{00000000-0005-0000-0000-0000008C0000}"/>
    <cellStyle name="Normal 2 8 28 3" xfId="35838" xr:uid="{00000000-0005-0000-0000-0000018C0000}"/>
    <cellStyle name="Normal 2 8 28 3 2" xfId="35839" xr:uid="{00000000-0005-0000-0000-0000028C0000}"/>
    <cellStyle name="Normal 2 8 28 3 2 2" xfId="35840" xr:uid="{00000000-0005-0000-0000-0000038C0000}"/>
    <cellStyle name="Normal 2 8 28 3 2 3" xfId="35841" xr:uid="{00000000-0005-0000-0000-0000048C0000}"/>
    <cellStyle name="Normal 2 8 28 3 3" xfId="35842" xr:uid="{00000000-0005-0000-0000-0000058C0000}"/>
    <cellStyle name="Normal 2 8 28 3 4" xfId="35843" xr:uid="{00000000-0005-0000-0000-0000068C0000}"/>
    <cellStyle name="Normal 2 8 28 3 5" xfId="35844" xr:uid="{00000000-0005-0000-0000-0000078C0000}"/>
    <cellStyle name="Normal 2 8 28 3 6" xfId="35845" xr:uid="{00000000-0005-0000-0000-0000088C0000}"/>
    <cellStyle name="Normal 2 8 28 4" xfId="35846" xr:uid="{00000000-0005-0000-0000-0000098C0000}"/>
    <cellStyle name="Normal 2 8 28 4 2" xfId="35847" xr:uid="{00000000-0005-0000-0000-00000A8C0000}"/>
    <cellStyle name="Normal 2 8 28 4 2 2" xfId="35848" xr:uid="{00000000-0005-0000-0000-00000B8C0000}"/>
    <cellStyle name="Normal 2 8 28 4 3" xfId="35849" xr:uid="{00000000-0005-0000-0000-00000C8C0000}"/>
    <cellStyle name="Normal 2 8 28 4 4" xfId="35850" xr:uid="{00000000-0005-0000-0000-00000D8C0000}"/>
    <cellStyle name="Normal 2 8 28 4 5" xfId="35851" xr:uid="{00000000-0005-0000-0000-00000E8C0000}"/>
    <cellStyle name="Normal 2 8 28 5" xfId="35852" xr:uid="{00000000-0005-0000-0000-00000F8C0000}"/>
    <cellStyle name="Normal 2 8 28 5 2" xfId="35853" xr:uid="{00000000-0005-0000-0000-0000108C0000}"/>
    <cellStyle name="Normal 2 8 28 5 3" xfId="35854" xr:uid="{00000000-0005-0000-0000-0000118C0000}"/>
    <cellStyle name="Normal 2 8 28 5 4" xfId="35855" xr:uid="{00000000-0005-0000-0000-0000128C0000}"/>
    <cellStyle name="Normal 2 8 28 6" xfId="35856" xr:uid="{00000000-0005-0000-0000-0000138C0000}"/>
    <cellStyle name="Normal 2 8 28 6 2" xfId="35857" xr:uid="{00000000-0005-0000-0000-0000148C0000}"/>
    <cellStyle name="Normal 2 8 28 7" xfId="35858" xr:uid="{00000000-0005-0000-0000-0000158C0000}"/>
    <cellStyle name="Normal 2 8 28 8" xfId="35859" xr:uid="{00000000-0005-0000-0000-0000168C0000}"/>
    <cellStyle name="Normal 2 8 28 9" xfId="35860" xr:uid="{00000000-0005-0000-0000-0000178C0000}"/>
    <cellStyle name="Normal 2 8 29" xfId="35861" xr:uid="{00000000-0005-0000-0000-0000188C0000}"/>
    <cellStyle name="Normal 2 8 29 10" xfId="35862" xr:uid="{00000000-0005-0000-0000-0000198C0000}"/>
    <cellStyle name="Normal 2 8 29 2" xfId="35863" xr:uid="{00000000-0005-0000-0000-00001A8C0000}"/>
    <cellStyle name="Normal 2 8 29 2 2" xfId="35864" xr:uid="{00000000-0005-0000-0000-00001B8C0000}"/>
    <cellStyle name="Normal 2 8 29 2 2 2" xfId="35865" xr:uid="{00000000-0005-0000-0000-00001C8C0000}"/>
    <cellStyle name="Normal 2 8 29 2 2 3" xfId="35866" xr:uid="{00000000-0005-0000-0000-00001D8C0000}"/>
    <cellStyle name="Normal 2 8 29 2 3" xfId="35867" xr:uid="{00000000-0005-0000-0000-00001E8C0000}"/>
    <cellStyle name="Normal 2 8 29 2 4" xfId="35868" xr:uid="{00000000-0005-0000-0000-00001F8C0000}"/>
    <cellStyle name="Normal 2 8 29 2 5" xfId="35869" xr:uid="{00000000-0005-0000-0000-0000208C0000}"/>
    <cellStyle name="Normal 2 8 29 2 6" xfId="35870" xr:uid="{00000000-0005-0000-0000-0000218C0000}"/>
    <cellStyle name="Normal 2 8 29 3" xfId="35871" xr:uid="{00000000-0005-0000-0000-0000228C0000}"/>
    <cellStyle name="Normal 2 8 29 3 2" xfId="35872" xr:uid="{00000000-0005-0000-0000-0000238C0000}"/>
    <cellStyle name="Normal 2 8 29 3 2 2" xfId="35873" xr:uid="{00000000-0005-0000-0000-0000248C0000}"/>
    <cellStyle name="Normal 2 8 29 3 2 3" xfId="35874" xr:uid="{00000000-0005-0000-0000-0000258C0000}"/>
    <cellStyle name="Normal 2 8 29 3 3" xfId="35875" xr:uid="{00000000-0005-0000-0000-0000268C0000}"/>
    <cellStyle name="Normal 2 8 29 3 4" xfId="35876" xr:uid="{00000000-0005-0000-0000-0000278C0000}"/>
    <cellStyle name="Normal 2 8 29 3 5" xfId="35877" xr:uid="{00000000-0005-0000-0000-0000288C0000}"/>
    <cellStyle name="Normal 2 8 29 3 6" xfId="35878" xr:uid="{00000000-0005-0000-0000-0000298C0000}"/>
    <cellStyle name="Normal 2 8 29 4" xfId="35879" xr:uid="{00000000-0005-0000-0000-00002A8C0000}"/>
    <cellStyle name="Normal 2 8 29 4 2" xfId="35880" xr:uid="{00000000-0005-0000-0000-00002B8C0000}"/>
    <cellStyle name="Normal 2 8 29 4 2 2" xfId="35881" xr:uid="{00000000-0005-0000-0000-00002C8C0000}"/>
    <cellStyle name="Normal 2 8 29 4 3" xfId="35882" xr:uid="{00000000-0005-0000-0000-00002D8C0000}"/>
    <cellStyle name="Normal 2 8 29 4 4" xfId="35883" xr:uid="{00000000-0005-0000-0000-00002E8C0000}"/>
    <cellStyle name="Normal 2 8 29 4 5" xfId="35884" xr:uid="{00000000-0005-0000-0000-00002F8C0000}"/>
    <cellStyle name="Normal 2 8 29 5" xfId="35885" xr:uid="{00000000-0005-0000-0000-0000308C0000}"/>
    <cellStyle name="Normal 2 8 29 5 2" xfId="35886" xr:uid="{00000000-0005-0000-0000-0000318C0000}"/>
    <cellStyle name="Normal 2 8 29 5 3" xfId="35887" xr:uid="{00000000-0005-0000-0000-0000328C0000}"/>
    <cellStyle name="Normal 2 8 29 5 4" xfId="35888" xr:uid="{00000000-0005-0000-0000-0000338C0000}"/>
    <cellStyle name="Normal 2 8 29 6" xfId="35889" xr:uid="{00000000-0005-0000-0000-0000348C0000}"/>
    <cellStyle name="Normal 2 8 29 6 2" xfId="35890" xr:uid="{00000000-0005-0000-0000-0000358C0000}"/>
    <cellStyle name="Normal 2 8 29 7" xfId="35891" xr:uid="{00000000-0005-0000-0000-0000368C0000}"/>
    <cellStyle name="Normal 2 8 29 8" xfId="35892" xr:uid="{00000000-0005-0000-0000-0000378C0000}"/>
    <cellStyle name="Normal 2 8 29 9" xfId="35893" xr:uid="{00000000-0005-0000-0000-0000388C0000}"/>
    <cellStyle name="Normal 2 8 3" xfId="35894" xr:uid="{00000000-0005-0000-0000-0000398C0000}"/>
    <cellStyle name="Normal 2 8 3 10" xfId="35895" xr:uid="{00000000-0005-0000-0000-00003A8C0000}"/>
    <cellStyle name="Normal 2 8 3 10 10" xfId="35896" xr:uid="{00000000-0005-0000-0000-00003B8C0000}"/>
    <cellStyle name="Normal 2 8 3 10 2" xfId="35897" xr:uid="{00000000-0005-0000-0000-00003C8C0000}"/>
    <cellStyle name="Normal 2 8 3 10 2 2" xfId="35898" xr:uid="{00000000-0005-0000-0000-00003D8C0000}"/>
    <cellStyle name="Normal 2 8 3 10 2 2 2" xfId="35899" xr:uid="{00000000-0005-0000-0000-00003E8C0000}"/>
    <cellStyle name="Normal 2 8 3 10 2 2 3" xfId="35900" xr:uid="{00000000-0005-0000-0000-00003F8C0000}"/>
    <cellStyle name="Normal 2 8 3 10 2 3" xfId="35901" xr:uid="{00000000-0005-0000-0000-0000408C0000}"/>
    <cellStyle name="Normal 2 8 3 10 2 4" xfId="35902" xr:uid="{00000000-0005-0000-0000-0000418C0000}"/>
    <cellStyle name="Normal 2 8 3 10 2 5" xfId="35903" xr:uid="{00000000-0005-0000-0000-0000428C0000}"/>
    <cellStyle name="Normal 2 8 3 10 2 6" xfId="35904" xr:uid="{00000000-0005-0000-0000-0000438C0000}"/>
    <cellStyle name="Normal 2 8 3 10 3" xfId="35905" xr:uid="{00000000-0005-0000-0000-0000448C0000}"/>
    <cellStyle name="Normal 2 8 3 10 3 2" xfId="35906" xr:uid="{00000000-0005-0000-0000-0000458C0000}"/>
    <cellStyle name="Normal 2 8 3 10 3 2 2" xfId="35907" xr:uid="{00000000-0005-0000-0000-0000468C0000}"/>
    <cellStyle name="Normal 2 8 3 10 3 2 3" xfId="35908" xr:uid="{00000000-0005-0000-0000-0000478C0000}"/>
    <cellStyle name="Normal 2 8 3 10 3 3" xfId="35909" xr:uid="{00000000-0005-0000-0000-0000488C0000}"/>
    <cellStyle name="Normal 2 8 3 10 3 4" xfId="35910" xr:uid="{00000000-0005-0000-0000-0000498C0000}"/>
    <cellStyle name="Normal 2 8 3 10 3 5" xfId="35911" xr:uid="{00000000-0005-0000-0000-00004A8C0000}"/>
    <cellStyle name="Normal 2 8 3 10 3 6" xfId="35912" xr:uid="{00000000-0005-0000-0000-00004B8C0000}"/>
    <cellStyle name="Normal 2 8 3 10 4" xfId="35913" xr:uid="{00000000-0005-0000-0000-00004C8C0000}"/>
    <cellStyle name="Normal 2 8 3 10 4 2" xfId="35914" xr:uid="{00000000-0005-0000-0000-00004D8C0000}"/>
    <cellStyle name="Normal 2 8 3 10 4 2 2" xfId="35915" xr:uid="{00000000-0005-0000-0000-00004E8C0000}"/>
    <cellStyle name="Normal 2 8 3 10 4 3" xfId="35916" xr:uid="{00000000-0005-0000-0000-00004F8C0000}"/>
    <cellStyle name="Normal 2 8 3 10 4 4" xfId="35917" xr:uid="{00000000-0005-0000-0000-0000508C0000}"/>
    <cellStyle name="Normal 2 8 3 10 4 5" xfId="35918" xr:uid="{00000000-0005-0000-0000-0000518C0000}"/>
    <cellStyle name="Normal 2 8 3 10 5" xfId="35919" xr:uid="{00000000-0005-0000-0000-0000528C0000}"/>
    <cellStyle name="Normal 2 8 3 10 5 2" xfId="35920" xr:uid="{00000000-0005-0000-0000-0000538C0000}"/>
    <cellStyle name="Normal 2 8 3 10 5 3" xfId="35921" xr:uid="{00000000-0005-0000-0000-0000548C0000}"/>
    <cellStyle name="Normal 2 8 3 10 5 4" xfId="35922" xr:uid="{00000000-0005-0000-0000-0000558C0000}"/>
    <cellStyle name="Normal 2 8 3 10 6" xfId="35923" xr:uid="{00000000-0005-0000-0000-0000568C0000}"/>
    <cellStyle name="Normal 2 8 3 10 6 2" xfId="35924" xr:uid="{00000000-0005-0000-0000-0000578C0000}"/>
    <cellStyle name="Normal 2 8 3 10 7" xfId="35925" xr:uid="{00000000-0005-0000-0000-0000588C0000}"/>
    <cellStyle name="Normal 2 8 3 10 8" xfId="35926" xr:uid="{00000000-0005-0000-0000-0000598C0000}"/>
    <cellStyle name="Normal 2 8 3 10 9" xfId="35927" xr:uid="{00000000-0005-0000-0000-00005A8C0000}"/>
    <cellStyle name="Normal 2 8 3 11" xfId="35928" xr:uid="{00000000-0005-0000-0000-00005B8C0000}"/>
    <cellStyle name="Normal 2 8 3 11 10" xfId="35929" xr:uid="{00000000-0005-0000-0000-00005C8C0000}"/>
    <cellStyle name="Normal 2 8 3 11 2" xfId="35930" xr:uid="{00000000-0005-0000-0000-00005D8C0000}"/>
    <cellStyle name="Normal 2 8 3 11 2 2" xfId="35931" xr:uid="{00000000-0005-0000-0000-00005E8C0000}"/>
    <cellStyle name="Normal 2 8 3 11 2 2 2" xfId="35932" xr:uid="{00000000-0005-0000-0000-00005F8C0000}"/>
    <cellStyle name="Normal 2 8 3 11 2 2 3" xfId="35933" xr:uid="{00000000-0005-0000-0000-0000608C0000}"/>
    <cellStyle name="Normal 2 8 3 11 2 3" xfId="35934" xr:uid="{00000000-0005-0000-0000-0000618C0000}"/>
    <cellStyle name="Normal 2 8 3 11 2 4" xfId="35935" xr:uid="{00000000-0005-0000-0000-0000628C0000}"/>
    <cellStyle name="Normal 2 8 3 11 2 5" xfId="35936" xr:uid="{00000000-0005-0000-0000-0000638C0000}"/>
    <cellStyle name="Normal 2 8 3 11 2 6" xfId="35937" xr:uid="{00000000-0005-0000-0000-0000648C0000}"/>
    <cellStyle name="Normal 2 8 3 11 3" xfId="35938" xr:uid="{00000000-0005-0000-0000-0000658C0000}"/>
    <cellStyle name="Normal 2 8 3 11 3 2" xfId="35939" xr:uid="{00000000-0005-0000-0000-0000668C0000}"/>
    <cellStyle name="Normal 2 8 3 11 3 2 2" xfId="35940" xr:uid="{00000000-0005-0000-0000-0000678C0000}"/>
    <cellStyle name="Normal 2 8 3 11 3 2 3" xfId="35941" xr:uid="{00000000-0005-0000-0000-0000688C0000}"/>
    <cellStyle name="Normal 2 8 3 11 3 3" xfId="35942" xr:uid="{00000000-0005-0000-0000-0000698C0000}"/>
    <cellStyle name="Normal 2 8 3 11 3 4" xfId="35943" xr:uid="{00000000-0005-0000-0000-00006A8C0000}"/>
    <cellStyle name="Normal 2 8 3 11 3 5" xfId="35944" xr:uid="{00000000-0005-0000-0000-00006B8C0000}"/>
    <cellStyle name="Normal 2 8 3 11 3 6" xfId="35945" xr:uid="{00000000-0005-0000-0000-00006C8C0000}"/>
    <cellStyle name="Normal 2 8 3 11 4" xfId="35946" xr:uid="{00000000-0005-0000-0000-00006D8C0000}"/>
    <cellStyle name="Normal 2 8 3 11 4 2" xfId="35947" xr:uid="{00000000-0005-0000-0000-00006E8C0000}"/>
    <cellStyle name="Normal 2 8 3 11 4 2 2" xfId="35948" xr:uid="{00000000-0005-0000-0000-00006F8C0000}"/>
    <cellStyle name="Normal 2 8 3 11 4 3" xfId="35949" xr:uid="{00000000-0005-0000-0000-0000708C0000}"/>
    <cellStyle name="Normal 2 8 3 11 4 4" xfId="35950" xr:uid="{00000000-0005-0000-0000-0000718C0000}"/>
    <cellStyle name="Normal 2 8 3 11 4 5" xfId="35951" xr:uid="{00000000-0005-0000-0000-0000728C0000}"/>
    <cellStyle name="Normal 2 8 3 11 5" xfId="35952" xr:uid="{00000000-0005-0000-0000-0000738C0000}"/>
    <cellStyle name="Normal 2 8 3 11 5 2" xfId="35953" xr:uid="{00000000-0005-0000-0000-0000748C0000}"/>
    <cellStyle name="Normal 2 8 3 11 5 3" xfId="35954" xr:uid="{00000000-0005-0000-0000-0000758C0000}"/>
    <cellStyle name="Normal 2 8 3 11 5 4" xfId="35955" xr:uid="{00000000-0005-0000-0000-0000768C0000}"/>
    <cellStyle name="Normal 2 8 3 11 6" xfId="35956" xr:uid="{00000000-0005-0000-0000-0000778C0000}"/>
    <cellStyle name="Normal 2 8 3 11 6 2" xfId="35957" xr:uid="{00000000-0005-0000-0000-0000788C0000}"/>
    <cellStyle name="Normal 2 8 3 11 7" xfId="35958" xr:uid="{00000000-0005-0000-0000-0000798C0000}"/>
    <cellStyle name="Normal 2 8 3 11 8" xfId="35959" xr:uid="{00000000-0005-0000-0000-00007A8C0000}"/>
    <cellStyle name="Normal 2 8 3 11 9" xfId="35960" xr:uid="{00000000-0005-0000-0000-00007B8C0000}"/>
    <cellStyle name="Normal 2 8 3 12" xfId="35961" xr:uid="{00000000-0005-0000-0000-00007C8C0000}"/>
    <cellStyle name="Normal 2 8 3 12 10" xfId="35962" xr:uid="{00000000-0005-0000-0000-00007D8C0000}"/>
    <cellStyle name="Normal 2 8 3 12 2" xfId="35963" xr:uid="{00000000-0005-0000-0000-00007E8C0000}"/>
    <cellStyle name="Normal 2 8 3 12 2 2" xfId="35964" xr:uid="{00000000-0005-0000-0000-00007F8C0000}"/>
    <cellStyle name="Normal 2 8 3 12 2 2 2" xfId="35965" xr:uid="{00000000-0005-0000-0000-0000808C0000}"/>
    <cellStyle name="Normal 2 8 3 12 2 2 3" xfId="35966" xr:uid="{00000000-0005-0000-0000-0000818C0000}"/>
    <cellStyle name="Normal 2 8 3 12 2 3" xfId="35967" xr:uid="{00000000-0005-0000-0000-0000828C0000}"/>
    <cellStyle name="Normal 2 8 3 12 2 4" xfId="35968" xr:uid="{00000000-0005-0000-0000-0000838C0000}"/>
    <cellStyle name="Normal 2 8 3 12 2 5" xfId="35969" xr:uid="{00000000-0005-0000-0000-0000848C0000}"/>
    <cellStyle name="Normal 2 8 3 12 2 6" xfId="35970" xr:uid="{00000000-0005-0000-0000-0000858C0000}"/>
    <cellStyle name="Normal 2 8 3 12 3" xfId="35971" xr:uid="{00000000-0005-0000-0000-0000868C0000}"/>
    <cellStyle name="Normal 2 8 3 12 3 2" xfId="35972" xr:uid="{00000000-0005-0000-0000-0000878C0000}"/>
    <cellStyle name="Normal 2 8 3 12 3 2 2" xfId="35973" xr:uid="{00000000-0005-0000-0000-0000888C0000}"/>
    <cellStyle name="Normal 2 8 3 12 3 2 3" xfId="35974" xr:uid="{00000000-0005-0000-0000-0000898C0000}"/>
    <cellStyle name="Normal 2 8 3 12 3 3" xfId="35975" xr:uid="{00000000-0005-0000-0000-00008A8C0000}"/>
    <cellStyle name="Normal 2 8 3 12 3 4" xfId="35976" xr:uid="{00000000-0005-0000-0000-00008B8C0000}"/>
    <cellStyle name="Normal 2 8 3 12 3 5" xfId="35977" xr:uid="{00000000-0005-0000-0000-00008C8C0000}"/>
    <cellStyle name="Normal 2 8 3 12 3 6" xfId="35978" xr:uid="{00000000-0005-0000-0000-00008D8C0000}"/>
    <cellStyle name="Normal 2 8 3 12 4" xfId="35979" xr:uid="{00000000-0005-0000-0000-00008E8C0000}"/>
    <cellStyle name="Normal 2 8 3 12 4 2" xfId="35980" xr:uid="{00000000-0005-0000-0000-00008F8C0000}"/>
    <cellStyle name="Normal 2 8 3 12 4 2 2" xfId="35981" xr:uid="{00000000-0005-0000-0000-0000908C0000}"/>
    <cellStyle name="Normal 2 8 3 12 4 3" xfId="35982" xr:uid="{00000000-0005-0000-0000-0000918C0000}"/>
    <cellStyle name="Normal 2 8 3 12 4 4" xfId="35983" xr:uid="{00000000-0005-0000-0000-0000928C0000}"/>
    <cellStyle name="Normal 2 8 3 12 4 5" xfId="35984" xr:uid="{00000000-0005-0000-0000-0000938C0000}"/>
    <cellStyle name="Normal 2 8 3 12 5" xfId="35985" xr:uid="{00000000-0005-0000-0000-0000948C0000}"/>
    <cellStyle name="Normal 2 8 3 12 5 2" xfId="35986" xr:uid="{00000000-0005-0000-0000-0000958C0000}"/>
    <cellStyle name="Normal 2 8 3 12 5 3" xfId="35987" xr:uid="{00000000-0005-0000-0000-0000968C0000}"/>
    <cellStyle name="Normal 2 8 3 12 5 4" xfId="35988" xr:uid="{00000000-0005-0000-0000-0000978C0000}"/>
    <cellStyle name="Normal 2 8 3 12 6" xfId="35989" xr:uid="{00000000-0005-0000-0000-0000988C0000}"/>
    <cellStyle name="Normal 2 8 3 12 6 2" xfId="35990" xr:uid="{00000000-0005-0000-0000-0000998C0000}"/>
    <cellStyle name="Normal 2 8 3 12 7" xfId="35991" xr:uid="{00000000-0005-0000-0000-00009A8C0000}"/>
    <cellStyle name="Normal 2 8 3 12 8" xfId="35992" xr:uid="{00000000-0005-0000-0000-00009B8C0000}"/>
    <cellStyle name="Normal 2 8 3 12 9" xfId="35993" xr:uid="{00000000-0005-0000-0000-00009C8C0000}"/>
    <cellStyle name="Normal 2 8 3 13" xfId="35994" xr:uid="{00000000-0005-0000-0000-00009D8C0000}"/>
    <cellStyle name="Normal 2 8 3 13 2" xfId="35995" xr:uid="{00000000-0005-0000-0000-00009E8C0000}"/>
    <cellStyle name="Normal 2 8 3 13 2 2" xfId="35996" xr:uid="{00000000-0005-0000-0000-00009F8C0000}"/>
    <cellStyle name="Normal 2 8 3 13 2 2 2" xfId="35997" xr:uid="{00000000-0005-0000-0000-0000A08C0000}"/>
    <cellStyle name="Normal 2 8 3 13 2 2 3" xfId="35998" xr:uid="{00000000-0005-0000-0000-0000A18C0000}"/>
    <cellStyle name="Normal 2 8 3 13 2 3" xfId="35999" xr:uid="{00000000-0005-0000-0000-0000A28C0000}"/>
    <cellStyle name="Normal 2 8 3 13 2 4" xfId="36000" xr:uid="{00000000-0005-0000-0000-0000A38C0000}"/>
    <cellStyle name="Normal 2 8 3 13 2 5" xfId="36001" xr:uid="{00000000-0005-0000-0000-0000A48C0000}"/>
    <cellStyle name="Normal 2 8 3 13 2 6" xfId="36002" xr:uid="{00000000-0005-0000-0000-0000A58C0000}"/>
    <cellStyle name="Normal 2 8 3 13 3" xfId="36003" xr:uid="{00000000-0005-0000-0000-0000A68C0000}"/>
    <cellStyle name="Normal 2 8 3 13 3 2" xfId="36004" xr:uid="{00000000-0005-0000-0000-0000A78C0000}"/>
    <cellStyle name="Normal 2 8 3 13 3 2 2" xfId="36005" xr:uid="{00000000-0005-0000-0000-0000A88C0000}"/>
    <cellStyle name="Normal 2 8 3 13 3 3" xfId="36006" xr:uid="{00000000-0005-0000-0000-0000A98C0000}"/>
    <cellStyle name="Normal 2 8 3 13 3 4" xfId="36007" xr:uid="{00000000-0005-0000-0000-0000AA8C0000}"/>
    <cellStyle name="Normal 2 8 3 13 3 5" xfId="36008" xr:uid="{00000000-0005-0000-0000-0000AB8C0000}"/>
    <cellStyle name="Normal 2 8 3 13 4" xfId="36009" xr:uid="{00000000-0005-0000-0000-0000AC8C0000}"/>
    <cellStyle name="Normal 2 8 3 13 4 2" xfId="36010" xr:uid="{00000000-0005-0000-0000-0000AD8C0000}"/>
    <cellStyle name="Normal 2 8 3 13 4 3" xfId="36011" xr:uid="{00000000-0005-0000-0000-0000AE8C0000}"/>
    <cellStyle name="Normal 2 8 3 13 4 4" xfId="36012" xr:uid="{00000000-0005-0000-0000-0000AF8C0000}"/>
    <cellStyle name="Normal 2 8 3 13 5" xfId="36013" xr:uid="{00000000-0005-0000-0000-0000B08C0000}"/>
    <cellStyle name="Normal 2 8 3 13 5 2" xfId="36014" xr:uid="{00000000-0005-0000-0000-0000B18C0000}"/>
    <cellStyle name="Normal 2 8 3 13 6" xfId="36015" xr:uid="{00000000-0005-0000-0000-0000B28C0000}"/>
    <cellStyle name="Normal 2 8 3 13 7" xfId="36016" xr:uid="{00000000-0005-0000-0000-0000B38C0000}"/>
    <cellStyle name="Normal 2 8 3 13 8" xfId="36017" xr:uid="{00000000-0005-0000-0000-0000B48C0000}"/>
    <cellStyle name="Normal 2 8 3 13 9" xfId="36018" xr:uid="{00000000-0005-0000-0000-0000B58C0000}"/>
    <cellStyle name="Normal 2 8 3 14" xfId="36019" xr:uid="{00000000-0005-0000-0000-0000B68C0000}"/>
    <cellStyle name="Normal 2 8 3 14 2" xfId="36020" xr:uid="{00000000-0005-0000-0000-0000B78C0000}"/>
    <cellStyle name="Normal 2 8 3 14 2 2" xfId="36021" xr:uid="{00000000-0005-0000-0000-0000B88C0000}"/>
    <cellStyle name="Normal 2 8 3 14 2 2 2" xfId="36022" xr:uid="{00000000-0005-0000-0000-0000B98C0000}"/>
    <cellStyle name="Normal 2 8 3 14 2 2 3" xfId="36023" xr:uid="{00000000-0005-0000-0000-0000BA8C0000}"/>
    <cellStyle name="Normal 2 8 3 14 2 3" xfId="36024" xr:uid="{00000000-0005-0000-0000-0000BB8C0000}"/>
    <cellStyle name="Normal 2 8 3 14 2 4" xfId="36025" xr:uid="{00000000-0005-0000-0000-0000BC8C0000}"/>
    <cellStyle name="Normal 2 8 3 14 2 5" xfId="36026" xr:uid="{00000000-0005-0000-0000-0000BD8C0000}"/>
    <cellStyle name="Normal 2 8 3 14 2 6" xfId="36027" xr:uid="{00000000-0005-0000-0000-0000BE8C0000}"/>
    <cellStyle name="Normal 2 8 3 14 3" xfId="36028" xr:uid="{00000000-0005-0000-0000-0000BF8C0000}"/>
    <cellStyle name="Normal 2 8 3 14 3 2" xfId="36029" xr:uid="{00000000-0005-0000-0000-0000C08C0000}"/>
    <cellStyle name="Normal 2 8 3 14 3 2 2" xfId="36030" xr:uid="{00000000-0005-0000-0000-0000C18C0000}"/>
    <cellStyle name="Normal 2 8 3 14 3 3" xfId="36031" xr:uid="{00000000-0005-0000-0000-0000C28C0000}"/>
    <cellStyle name="Normal 2 8 3 14 3 4" xfId="36032" xr:uid="{00000000-0005-0000-0000-0000C38C0000}"/>
    <cellStyle name="Normal 2 8 3 14 3 5" xfId="36033" xr:uid="{00000000-0005-0000-0000-0000C48C0000}"/>
    <cellStyle name="Normal 2 8 3 14 4" xfId="36034" xr:uid="{00000000-0005-0000-0000-0000C58C0000}"/>
    <cellStyle name="Normal 2 8 3 14 4 2" xfId="36035" xr:uid="{00000000-0005-0000-0000-0000C68C0000}"/>
    <cellStyle name="Normal 2 8 3 14 4 3" xfId="36036" xr:uid="{00000000-0005-0000-0000-0000C78C0000}"/>
    <cellStyle name="Normal 2 8 3 14 4 4" xfId="36037" xr:uid="{00000000-0005-0000-0000-0000C88C0000}"/>
    <cellStyle name="Normal 2 8 3 14 5" xfId="36038" xr:uid="{00000000-0005-0000-0000-0000C98C0000}"/>
    <cellStyle name="Normal 2 8 3 14 5 2" xfId="36039" xr:uid="{00000000-0005-0000-0000-0000CA8C0000}"/>
    <cellStyle name="Normal 2 8 3 14 6" xfId="36040" xr:uid="{00000000-0005-0000-0000-0000CB8C0000}"/>
    <cellStyle name="Normal 2 8 3 14 7" xfId="36041" xr:uid="{00000000-0005-0000-0000-0000CC8C0000}"/>
    <cellStyle name="Normal 2 8 3 14 8" xfId="36042" xr:uid="{00000000-0005-0000-0000-0000CD8C0000}"/>
    <cellStyle name="Normal 2 8 3 14 9" xfId="36043" xr:uid="{00000000-0005-0000-0000-0000CE8C0000}"/>
    <cellStyle name="Normal 2 8 3 15" xfId="36044" xr:uid="{00000000-0005-0000-0000-0000CF8C0000}"/>
    <cellStyle name="Normal 2 8 3 15 2" xfId="36045" xr:uid="{00000000-0005-0000-0000-0000D08C0000}"/>
    <cellStyle name="Normal 2 8 3 15 2 2" xfId="36046" xr:uid="{00000000-0005-0000-0000-0000D18C0000}"/>
    <cellStyle name="Normal 2 8 3 15 2 3" xfId="36047" xr:uid="{00000000-0005-0000-0000-0000D28C0000}"/>
    <cellStyle name="Normal 2 8 3 15 3" xfId="36048" xr:uid="{00000000-0005-0000-0000-0000D38C0000}"/>
    <cellStyle name="Normal 2 8 3 15 4" xfId="36049" xr:uid="{00000000-0005-0000-0000-0000D48C0000}"/>
    <cellStyle name="Normal 2 8 3 15 5" xfId="36050" xr:uid="{00000000-0005-0000-0000-0000D58C0000}"/>
    <cellStyle name="Normal 2 8 3 15 6" xfId="36051" xr:uid="{00000000-0005-0000-0000-0000D68C0000}"/>
    <cellStyle name="Normal 2 8 3 16" xfId="36052" xr:uid="{00000000-0005-0000-0000-0000D78C0000}"/>
    <cellStyle name="Normal 2 8 3 16 2" xfId="36053" xr:uid="{00000000-0005-0000-0000-0000D88C0000}"/>
    <cellStyle name="Normal 2 8 3 16 2 2" xfId="36054" xr:uid="{00000000-0005-0000-0000-0000D98C0000}"/>
    <cellStyle name="Normal 2 8 3 16 3" xfId="36055" xr:uid="{00000000-0005-0000-0000-0000DA8C0000}"/>
    <cellStyle name="Normal 2 8 3 16 4" xfId="36056" xr:uid="{00000000-0005-0000-0000-0000DB8C0000}"/>
    <cellStyle name="Normal 2 8 3 16 5" xfId="36057" xr:uid="{00000000-0005-0000-0000-0000DC8C0000}"/>
    <cellStyle name="Normal 2 8 3 17" xfId="36058" xr:uid="{00000000-0005-0000-0000-0000DD8C0000}"/>
    <cellStyle name="Normal 2 8 3 17 2" xfId="36059" xr:uid="{00000000-0005-0000-0000-0000DE8C0000}"/>
    <cellStyle name="Normal 2 8 3 17 2 2" xfId="36060" xr:uid="{00000000-0005-0000-0000-0000DF8C0000}"/>
    <cellStyle name="Normal 2 8 3 17 3" xfId="36061" xr:uid="{00000000-0005-0000-0000-0000E08C0000}"/>
    <cellStyle name="Normal 2 8 3 17 4" xfId="36062" xr:uid="{00000000-0005-0000-0000-0000E18C0000}"/>
    <cellStyle name="Normal 2 8 3 17 5" xfId="36063" xr:uid="{00000000-0005-0000-0000-0000E28C0000}"/>
    <cellStyle name="Normal 2 8 3 18" xfId="36064" xr:uid="{00000000-0005-0000-0000-0000E38C0000}"/>
    <cellStyle name="Normal 2 8 3 18 2" xfId="36065" xr:uid="{00000000-0005-0000-0000-0000E48C0000}"/>
    <cellStyle name="Normal 2 8 3 19" xfId="36066" xr:uid="{00000000-0005-0000-0000-0000E58C0000}"/>
    <cellStyle name="Normal 2 8 3 2" xfId="36067" xr:uid="{00000000-0005-0000-0000-0000E68C0000}"/>
    <cellStyle name="Normal 2 8 3 2 10" xfId="36068" xr:uid="{00000000-0005-0000-0000-0000E78C0000}"/>
    <cellStyle name="Normal 2 8 3 2 11" xfId="36069" xr:uid="{00000000-0005-0000-0000-0000E88C0000}"/>
    <cellStyle name="Normal 2 8 3 2 2" xfId="36070" xr:uid="{00000000-0005-0000-0000-0000E98C0000}"/>
    <cellStyle name="Normal 2 8 3 2 2 2" xfId="36071" xr:uid="{00000000-0005-0000-0000-0000EA8C0000}"/>
    <cellStyle name="Normal 2 8 3 2 2 2 2" xfId="36072" xr:uid="{00000000-0005-0000-0000-0000EB8C0000}"/>
    <cellStyle name="Normal 2 8 3 2 2 2 2 2" xfId="36073" xr:uid="{00000000-0005-0000-0000-0000EC8C0000}"/>
    <cellStyle name="Normal 2 8 3 2 2 2 2 3" xfId="36074" xr:uid="{00000000-0005-0000-0000-0000ED8C0000}"/>
    <cellStyle name="Normal 2 8 3 2 2 2 3" xfId="36075" xr:uid="{00000000-0005-0000-0000-0000EE8C0000}"/>
    <cellStyle name="Normal 2 8 3 2 2 2 4" xfId="36076" xr:uid="{00000000-0005-0000-0000-0000EF8C0000}"/>
    <cellStyle name="Normal 2 8 3 2 2 2 5" xfId="36077" xr:uid="{00000000-0005-0000-0000-0000F08C0000}"/>
    <cellStyle name="Normal 2 8 3 2 2 2 6" xfId="36078" xr:uid="{00000000-0005-0000-0000-0000F18C0000}"/>
    <cellStyle name="Normal 2 8 3 2 2 3" xfId="36079" xr:uid="{00000000-0005-0000-0000-0000F28C0000}"/>
    <cellStyle name="Normal 2 8 3 2 2 3 2" xfId="36080" xr:uid="{00000000-0005-0000-0000-0000F38C0000}"/>
    <cellStyle name="Normal 2 8 3 2 2 3 2 2" xfId="36081" xr:uid="{00000000-0005-0000-0000-0000F48C0000}"/>
    <cellStyle name="Normal 2 8 3 2 2 3 3" xfId="36082" xr:uid="{00000000-0005-0000-0000-0000F58C0000}"/>
    <cellStyle name="Normal 2 8 3 2 2 3 4" xfId="36083" xr:uid="{00000000-0005-0000-0000-0000F68C0000}"/>
    <cellStyle name="Normal 2 8 3 2 2 3 5" xfId="36084" xr:uid="{00000000-0005-0000-0000-0000F78C0000}"/>
    <cellStyle name="Normal 2 8 3 2 2 4" xfId="36085" xr:uid="{00000000-0005-0000-0000-0000F88C0000}"/>
    <cellStyle name="Normal 2 8 3 2 2 4 2" xfId="36086" xr:uid="{00000000-0005-0000-0000-0000F98C0000}"/>
    <cellStyle name="Normal 2 8 3 2 2 4 3" xfId="36087" xr:uid="{00000000-0005-0000-0000-0000FA8C0000}"/>
    <cellStyle name="Normal 2 8 3 2 2 4 4" xfId="36088" xr:uid="{00000000-0005-0000-0000-0000FB8C0000}"/>
    <cellStyle name="Normal 2 8 3 2 2 5" xfId="36089" xr:uid="{00000000-0005-0000-0000-0000FC8C0000}"/>
    <cellStyle name="Normal 2 8 3 2 2 5 2" xfId="36090" xr:uid="{00000000-0005-0000-0000-0000FD8C0000}"/>
    <cellStyle name="Normal 2 8 3 2 2 6" xfId="36091" xr:uid="{00000000-0005-0000-0000-0000FE8C0000}"/>
    <cellStyle name="Normal 2 8 3 2 2 7" xfId="36092" xr:uid="{00000000-0005-0000-0000-0000FF8C0000}"/>
    <cellStyle name="Normal 2 8 3 2 2 8" xfId="36093" xr:uid="{00000000-0005-0000-0000-0000008D0000}"/>
    <cellStyle name="Normal 2 8 3 2 2 9" xfId="36094" xr:uid="{00000000-0005-0000-0000-0000018D0000}"/>
    <cellStyle name="Normal 2 8 3 2 3" xfId="36095" xr:uid="{00000000-0005-0000-0000-0000028D0000}"/>
    <cellStyle name="Normal 2 8 3 2 3 2" xfId="36096" xr:uid="{00000000-0005-0000-0000-0000038D0000}"/>
    <cellStyle name="Normal 2 8 3 2 3 2 2" xfId="36097" xr:uid="{00000000-0005-0000-0000-0000048D0000}"/>
    <cellStyle name="Normal 2 8 3 2 3 2 2 2" xfId="36098" xr:uid="{00000000-0005-0000-0000-0000058D0000}"/>
    <cellStyle name="Normal 2 8 3 2 3 2 2 3" xfId="36099" xr:uid="{00000000-0005-0000-0000-0000068D0000}"/>
    <cellStyle name="Normal 2 8 3 2 3 2 3" xfId="36100" xr:uid="{00000000-0005-0000-0000-0000078D0000}"/>
    <cellStyle name="Normal 2 8 3 2 3 2 4" xfId="36101" xr:uid="{00000000-0005-0000-0000-0000088D0000}"/>
    <cellStyle name="Normal 2 8 3 2 3 2 5" xfId="36102" xr:uid="{00000000-0005-0000-0000-0000098D0000}"/>
    <cellStyle name="Normal 2 8 3 2 3 2 6" xfId="36103" xr:uid="{00000000-0005-0000-0000-00000A8D0000}"/>
    <cellStyle name="Normal 2 8 3 2 3 3" xfId="36104" xr:uid="{00000000-0005-0000-0000-00000B8D0000}"/>
    <cellStyle name="Normal 2 8 3 2 3 3 2" xfId="36105" xr:uid="{00000000-0005-0000-0000-00000C8D0000}"/>
    <cellStyle name="Normal 2 8 3 2 3 3 2 2" xfId="36106" xr:uid="{00000000-0005-0000-0000-00000D8D0000}"/>
    <cellStyle name="Normal 2 8 3 2 3 3 3" xfId="36107" xr:uid="{00000000-0005-0000-0000-00000E8D0000}"/>
    <cellStyle name="Normal 2 8 3 2 3 3 4" xfId="36108" xr:uid="{00000000-0005-0000-0000-00000F8D0000}"/>
    <cellStyle name="Normal 2 8 3 2 3 3 5" xfId="36109" xr:uid="{00000000-0005-0000-0000-0000108D0000}"/>
    <cellStyle name="Normal 2 8 3 2 3 4" xfId="36110" xr:uid="{00000000-0005-0000-0000-0000118D0000}"/>
    <cellStyle name="Normal 2 8 3 2 3 4 2" xfId="36111" xr:uid="{00000000-0005-0000-0000-0000128D0000}"/>
    <cellStyle name="Normal 2 8 3 2 3 4 3" xfId="36112" xr:uid="{00000000-0005-0000-0000-0000138D0000}"/>
    <cellStyle name="Normal 2 8 3 2 3 4 4" xfId="36113" xr:uid="{00000000-0005-0000-0000-0000148D0000}"/>
    <cellStyle name="Normal 2 8 3 2 3 5" xfId="36114" xr:uid="{00000000-0005-0000-0000-0000158D0000}"/>
    <cellStyle name="Normal 2 8 3 2 3 5 2" xfId="36115" xr:uid="{00000000-0005-0000-0000-0000168D0000}"/>
    <cellStyle name="Normal 2 8 3 2 3 6" xfId="36116" xr:uid="{00000000-0005-0000-0000-0000178D0000}"/>
    <cellStyle name="Normal 2 8 3 2 3 7" xfId="36117" xr:uid="{00000000-0005-0000-0000-0000188D0000}"/>
    <cellStyle name="Normal 2 8 3 2 3 8" xfId="36118" xr:uid="{00000000-0005-0000-0000-0000198D0000}"/>
    <cellStyle name="Normal 2 8 3 2 3 9" xfId="36119" xr:uid="{00000000-0005-0000-0000-00001A8D0000}"/>
    <cellStyle name="Normal 2 8 3 2 4" xfId="36120" xr:uid="{00000000-0005-0000-0000-00001B8D0000}"/>
    <cellStyle name="Normal 2 8 3 2 4 2" xfId="36121" xr:uid="{00000000-0005-0000-0000-00001C8D0000}"/>
    <cellStyle name="Normal 2 8 3 2 4 2 2" xfId="36122" xr:uid="{00000000-0005-0000-0000-00001D8D0000}"/>
    <cellStyle name="Normal 2 8 3 2 4 2 3" xfId="36123" xr:uid="{00000000-0005-0000-0000-00001E8D0000}"/>
    <cellStyle name="Normal 2 8 3 2 4 3" xfId="36124" xr:uid="{00000000-0005-0000-0000-00001F8D0000}"/>
    <cellStyle name="Normal 2 8 3 2 4 4" xfId="36125" xr:uid="{00000000-0005-0000-0000-0000208D0000}"/>
    <cellStyle name="Normal 2 8 3 2 4 5" xfId="36126" xr:uid="{00000000-0005-0000-0000-0000218D0000}"/>
    <cellStyle name="Normal 2 8 3 2 4 6" xfId="36127" xr:uid="{00000000-0005-0000-0000-0000228D0000}"/>
    <cellStyle name="Normal 2 8 3 2 5" xfId="36128" xr:uid="{00000000-0005-0000-0000-0000238D0000}"/>
    <cellStyle name="Normal 2 8 3 2 5 2" xfId="36129" xr:uid="{00000000-0005-0000-0000-0000248D0000}"/>
    <cellStyle name="Normal 2 8 3 2 5 2 2" xfId="36130" xr:uid="{00000000-0005-0000-0000-0000258D0000}"/>
    <cellStyle name="Normal 2 8 3 2 5 3" xfId="36131" xr:uid="{00000000-0005-0000-0000-0000268D0000}"/>
    <cellStyle name="Normal 2 8 3 2 5 4" xfId="36132" xr:uid="{00000000-0005-0000-0000-0000278D0000}"/>
    <cellStyle name="Normal 2 8 3 2 5 5" xfId="36133" xr:uid="{00000000-0005-0000-0000-0000288D0000}"/>
    <cellStyle name="Normal 2 8 3 2 6" xfId="36134" xr:uid="{00000000-0005-0000-0000-0000298D0000}"/>
    <cellStyle name="Normal 2 8 3 2 6 2" xfId="36135" xr:uid="{00000000-0005-0000-0000-00002A8D0000}"/>
    <cellStyle name="Normal 2 8 3 2 6 3" xfId="36136" xr:uid="{00000000-0005-0000-0000-00002B8D0000}"/>
    <cellStyle name="Normal 2 8 3 2 6 4" xfId="36137" xr:uid="{00000000-0005-0000-0000-00002C8D0000}"/>
    <cellStyle name="Normal 2 8 3 2 7" xfId="36138" xr:uid="{00000000-0005-0000-0000-00002D8D0000}"/>
    <cellStyle name="Normal 2 8 3 2 7 2" xfId="36139" xr:uid="{00000000-0005-0000-0000-00002E8D0000}"/>
    <cellStyle name="Normal 2 8 3 2 8" xfId="36140" xr:uid="{00000000-0005-0000-0000-00002F8D0000}"/>
    <cellStyle name="Normal 2 8 3 2 9" xfId="36141" xr:uid="{00000000-0005-0000-0000-0000308D0000}"/>
    <cellStyle name="Normal 2 8 3 20" xfId="36142" xr:uid="{00000000-0005-0000-0000-0000318D0000}"/>
    <cellStyle name="Normal 2 8 3 21" xfId="36143" xr:uid="{00000000-0005-0000-0000-0000328D0000}"/>
    <cellStyle name="Normal 2 8 3 22" xfId="36144" xr:uid="{00000000-0005-0000-0000-0000338D0000}"/>
    <cellStyle name="Normal 2 8 3 3" xfId="36145" xr:uid="{00000000-0005-0000-0000-0000348D0000}"/>
    <cellStyle name="Normal 2 8 3 3 10" xfId="36146" xr:uid="{00000000-0005-0000-0000-0000358D0000}"/>
    <cellStyle name="Normal 2 8 3 3 11" xfId="36147" xr:uid="{00000000-0005-0000-0000-0000368D0000}"/>
    <cellStyle name="Normal 2 8 3 3 2" xfId="36148" xr:uid="{00000000-0005-0000-0000-0000378D0000}"/>
    <cellStyle name="Normal 2 8 3 3 2 2" xfId="36149" xr:uid="{00000000-0005-0000-0000-0000388D0000}"/>
    <cellStyle name="Normal 2 8 3 3 2 2 2" xfId="36150" xr:uid="{00000000-0005-0000-0000-0000398D0000}"/>
    <cellStyle name="Normal 2 8 3 3 2 2 2 2" xfId="36151" xr:uid="{00000000-0005-0000-0000-00003A8D0000}"/>
    <cellStyle name="Normal 2 8 3 3 2 2 2 3" xfId="36152" xr:uid="{00000000-0005-0000-0000-00003B8D0000}"/>
    <cellStyle name="Normal 2 8 3 3 2 2 3" xfId="36153" xr:uid="{00000000-0005-0000-0000-00003C8D0000}"/>
    <cellStyle name="Normal 2 8 3 3 2 2 4" xfId="36154" xr:uid="{00000000-0005-0000-0000-00003D8D0000}"/>
    <cellStyle name="Normal 2 8 3 3 2 2 5" xfId="36155" xr:uid="{00000000-0005-0000-0000-00003E8D0000}"/>
    <cellStyle name="Normal 2 8 3 3 2 2 6" xfId="36156" xr:uid="{00000000-0005-0000-0000-00003F8D0000}"/>
    <cellStyle name="Normal 2 8 3 3 2 3" xfId="36157" xr:uid="{00000000-0005-0000-0000-0000408D0000}"/>
    <cellStyle name="Normal 2 8 3 3 2 3 2" xfId="36158" xr:uid="{00000000-0005-0000-0000-0000418D0000}"/>
    <cellStyle name="Normal 2 8 3 3 2 3 2 2" xfId="36159" xr:uid="{00000000-0005-0000-0000-0000428D0000}"/>
    <cellStyle name="Normal 2 8 3 3 2 3 3" xfId="36160" xr:uid="{00000000-0005-0000-0000-0000438D0000}"/>
    <cellStyle name="Normal 2 8 3 3 2 3 4" xfId="36161" xr:uid="{00000000-0005-0000-0000-0000448D0000}"/>
    <cellStyle name="Normal 2 8 3 3 2 3 5" xfId="36162" xr:uid="{00000000-0005-0000-0000-0000458D0000}"/>
    <cellStyle name="Normal 2 8 3 3 2 4" xfId="36163" xr:uid="{00000000-0005-0000-0000-0000468D0000}"/>
    <cellStyle name="Normal 2 8 3 3 2 4 2" xfId="36164" xr:uid="{00000000-0005-0000-0000-0000478D0000}"/>
    <cellStyle name="Normal 2 8 3 3 2 4 3" xfId="36165" xr:uid="{00000000-0005-0000-0000-0000488D0000}"/>
    <cellStyle name="Normal 2 8 3 3 2 4 4" xfId="36166" xr:uid="{00000000-0005-0000-0000-0000498D0000}"/>
    <cellStyle name="Normal 2 8 3 3 2 5" xfId="36167" xr:uid="{00000000-0005-0000-0000-00004A8D0000}"/>
    <cellStyle name="Normal 2 8 3 3 2 5 2" xfId="36168" xr:uid="{00000000-0005-0000-0000-00004B8D0000}"/>
    <cellStyle name="Normal 2 8 3 3 2 6" xfId="36169" xr:uid="{00000000-0005-0000-0000-00004C8D0000}"/>
    <cellStyle name="Normal 2 8 3 3 2 7" xfId="36170" xr:uid="{00000000-0005-0000-0000-00004D8D0000}"/>
    <cellStyle name="Normal 2 8 3 3 2 8" xfId="36171" xr:uid="{00000000-0005-0000-0000-00004E8D0000}"/>
    <cellStyle name="Normal 2 8 3 3 2 9" xfId="36172" xr:uid="{00000000-0005-0000-0000-00004F8D0000}"/>
    <cellStyle name="Normal 2 8 3 3 3" xfId="36173" xr:uid="{00000000-0005-0000-0000-0000508D0000}"/>
    <cellStyle name="Normal 2 8 3 3 3 2" xfId="36174" xr:uid="{00000000-0005-0000-0000-0000518D0000}"/>
    <cellStyle name="Normal 2 8 3 3 3 2 2" xfId="36175" xr:uid="{00000000-0005-0000-0000-0000528D0000}"/>
    <cellStyle name="Normal 2 8 3 3 3 2 2 2" xfId="36176" xr:uid="{00000000-0005-0000-0000-0000538D0000}"/>
    <cellStyle name="Normal 2 8 3 3 3 2 2 3" xfId="36177" xr:uid="{00000000-0005-0000-0000-0000548D0000}"/>
    <cellStyle name="Normal 2 8 3 3 3 2 3" xfId="36178" xr:uid="{00000000-0005-0000-0000-0000558D0000}"/>
    <cellStyle name="Normal 2 8 3 3 3 2 4" xfId="36179" xr:uid="{00000000-0005-0000-0000-0000568D0000}"/>
    <cellStyle name="Normal 2 8 3 3 3 2 5" xfId="36180" xr:uid="{00000000-0005-0000-0000-0000578D0000}"/>
    <cellStyle name="Normal 2 8 3 3 3 2 6" xfId="36181" xr:uid="{00000000-0005-0000-0000-0000588D0000}"/>
    <cellStyle name="Normal 2 8 3 3 3 3" xfId="36182" xr:uid="{00000000-0005-0000-0000-0000598D0000}"/>
    <cellStyle name="Normal 2 8 3 3 3 3 2" xfId="36183" xr:uid="{00000000-0005-0000-0000-00005A8D0000}"/>
    <cellStyle name="Normal 2 8 3 3 3 3 2 2" xfId="36184" xr:uid="{00000000-0005-0000-0000-00005B8D0000}"/>
    <cellStyle name="Normal 2 8 3 3 3 3 3" xfId="36185" xr:uid="{00000000-0005-0000-0000-00005C8D0000}"/>
    <cellStyle name="Normal 2 8 3 3 3 3 4" xfId="36186" xr:uid="{00000000-0005-0000-0000-00005D8D0000}"/>
    <cellStyle name="Normal 2 8 3 3 3 3 5" xfId="36187" xr:uid="{00000000-0005-0000-0000-00005E8D0000}"/>
    <cellStyle name="Normal 2 8 3 3 3 4" xfId="36188" xr:uid="{00000000-0005-0000-0000-00005F8D0000}"/>
    <cellStyle name="Normal 2 8 3 3 3 4 2" xfId="36189" xr:uid="{00000000-0005-0000-0000-0000608D0000}"/>
    <cellStyle name="Normal 2 8 3 3 3 4 3" xfId="36190" xr:uid="{00000000-0005-0000-0000-0000618D0000}"/>
    <cellStyle name="Normal 2 8 3 3 3 4 4" xfId="36191" xr:uid="{00000000-0005-0000-0000-0000628D0000}"/>
    <cellStyle name="Normal 2 8 3 3 3 5" xfId="36192" xr:uid="{00000000-0005-0000-0000-0000638D0000}"/>
    <cellStyle name="Normal 2 8 3 3 3 5 2" xfId="36193" xr:uid="{00000000-0005-0000-0000-0000648D0000}"/>
    <cellStyle name="Normal 2 8 3 3 3 6" xfId="36194" xr:uid="{00000000-0005-0000-0000-0000658D0000}"/>
    <cellStyle name="Normal 2 8 3 3 3 7" xfId="36195" xr:uid="{00000000-0005-0000-0000-0000668D0000}"/>
    <cellStyle name="Normal 2 8 3 3 3 8" xfId="36196" xr:uid="{00000000-0005-0000-0000-0000678D0000}"/>
    <cellStyle name="Normal 2 8 3 3 3 9" xfId="36197" xr:uid="{00000000-0005-0000-0000-0000688D0000}"/>
    <cellStyle name="Normal 2 8 3 3 4" xfId="36198" xr:uid="{00000000-0005-0000-0000-0000698D0000}"/>
    <cellStyle name="Normal 2 8 3 3 4 2" xfId="36199" xr:uid="{00000000-0005-0000-0000-00006A8D0000}"/>
    <cellStyle name="Normal 2 8 3 3 4 2 2" xfId="36200" xr:uid="{00000000-0005-0000-0000-00006B8D0000}"/>
    <cellStyle name="Normal 2 8 3 3 4 2 3" xfId="36201" xr:uid="{00000000-0005-0000-0000-00006C8D0000}"/>
    <cellStyle name="Normal 2 8 3 3 4 3" xfId="36202" xr:uid="{00000000-0005-0000-0000-00006D8D0000}"/>
    <cellStyle name="Normal 2 8 3 3 4 4" xfId="36203" xr:uid="{00000000-0005-0000-0000-00006E8D0000}"/>
    <cellStyle name="Normal 2 8 3 3 4 5" xfId="36204" xr:uid="{00000000-0005-0000-0000-00006F8D0000}"/>
    <cellStyle name="Normal 2 8 3 3 4 6" xfId="36205" xr:uid="{00000000-0005-0000-0000-0000708D0000}"/>
    <cellStyle name="Normal 2 8 3 3 5" xfId="36206" xr:uid="{00000000-0005-0000-0000-0000718D0000}"/>
    <cellStyle name="Normal 2 8 3 3 5 2" xfId="36207" xr:uid="{00000000-0005-0000-0000-0000728D0000}"/>
    <cellStyle name="Normal 2 8 3 3 5 2 2" xfId="36208" xr:uid="{00000000-0005-0000-0000-0000738D0000}"/>
    <cellStyle name="Normal 2 8 3 3 5 3" xfId="36209" xr:uid="{00000000-0005-0000-0000-0000748D0000}"/>
    <cellStyle name="Normal 2 8 3 3 5 4" xfId="36210" xr:uid="{00000000-0005-0000-0000-0000758D0000}"/>
    <cellStyle name="Normal 2 8 3 3 5 5" xfId="36211" xr:uid="{00000000-0005-0000-0000-0000768D0000}"/>
    <cellStyle name="Normal 2 8 3 3 6" xfId="36212" xr:uid="{00000000-0005-0000-0000-0000778D0000}"/>
    <cellStyle name="Normal 2 8 3 3 6 2" xfId="36213" xr:uid="{00000000-0005-0000-0000-0000788D0000}"/>
    <cellStyle name="Normal 2 8 3 3 6 3" xfId="36214" xr:uid="{00000000-0005-0000-0000-0000798D0000}"/>
    <cellStyle name="Normal 2 8 3 3 6 4" xfId="36215" xr:uid="{00000000-0005-0000-0000-00007A8D0000}"/>
    <cellStyle name="Normal 2 8 3 3 7" xfId="36216" xr:uid="{00000000-0005-0000-0000-00007B8D0000}"/>
    <cellStyle name="Normal 2 8 3 3 7 2" xfId="36217" xr:uid="{00000000-0005-0000-0000-00007C8D0000}"/>
    <cellStyle name="Normal 2 8 3 3 8" xfId="36218" xr:uid="{00000000-0005-0000-0000-00007D8D0000}"/>
    <cellStyle name="Normal 2 8 3 3 9" xfId="36219" xr:uid="{00000000-0005-0000-0000-00007E8D0000}"/>
    <cellStyle name="Normal 2 8 3 4" xfId="36220" xr:uid="{00000000-0005-0000-0000-00007F8D0000}"/>
    <cellStyle name="Normal 2 8 3 4 10" xfId="36221" xr:uid="{00000000-0005-0000-0000-0000808D0000}"/>
    <cellStyle name="Normal 2 8 3 4 11" xfId="36222" xr:uid="{00000000-0005-0000-0000-0000818D0000}"/>
    <cellStyle name="Normal 2 8 3 4 2" xfId="36223" xr:uid="{00000000-0005-0000-0000-0000828D0000}"/>
    <cellStyle name="Normal 2 8 3 4 2 2" xfId="36224" xr:uid="{00000000-0005-0000-0000-0000838D0000}"/>
    <cellStyle name="Normal 2 8 3 4 2 2 2" xfId="36225" xr:uid="{00000000-0005-0000-0000-0000848D0000}"/>
    <cellStyle name="Normal 2 8 3 4 2 2 2 2" xfId="36226" xr:uid="{00000000-0005-0000-0000-0000858D0000}"/>
    <cellStyle name="Normal 2 8 3 4 2 2 2 3" xfId="36227" xr:uid="{00000000-0005-0000-0000-0000868D0000}"/>
    <cellStyle name="Normal 2 8 3 4 2 2 3" xfId="36228" xr:uid="{00000000-0005-0000-0000-0000878D0000}"/>
    <cellStyle name="Normal 2 8 3 4 2 2 4" xfId="36229" xr:uid="{00000000-0005-0000-0000-0000888D0000}"/>
    <cellStyle name="Normal 2 8 3 4 2 2 5" xfId="36230" xr:uid="{00000000-0005-0000-0000-0000898D0000}"/>
    <cellStyle name="Normal 2 8 3 4 2 2 6" xfId="36231" xr:uid="{00000000-0005-0000-0000-00008A8D0000}"/>
    <cellStyle name="Normal 2 8 3 4 2 3" xfId="36232" xr:uid="{00000000-0005-0000-0000-00008B8D0000}"/>
    <cellStyle name="Normal 2 8 3 4 2 3 2" xfId="36233" xr:uid="{00000000-0005-0000-0000-00008C8D0000}"/>
    <cellStyle name="Normal 2 8 3 4 2 3 2 2" xfId="36234" xr:uid="{00000000-0005-0000-0000-00008D8D0000}"/>
    <cellStyle name="Normal 2 8 3 4 2 3 3" xfId="36235" xr:uid="{00000000-0005-0000-0000-00008E8D0000}"/>
    <cellStyle name="Normal 2 8 3 4 2 3 4" xfId="36236" xr:uid="{00000000-0005-0000-0000-00008F8D0000}"/>
    <cellStyle name="Normal 2 8 3 4 2 3 5" xfId="36237" xr:uid="{00000000-0005-0000-0000-0000908D0000}"/>
    <cellStyle name="Normal 2 8 3 4 2 4" xfId="36238" xr:uid="{00000000-0005-0000-0000-0000918D0000}"/>
    <cellStyle name="Normal 2 8 3 4 2 4 2" xfId="36239" xr:uid="{00000000-0005-0000-0000-0000928D0000}"/>
    <cellStyle name="Normal 2 8 3 4 2 4 3" xfId="36240" xr:uid="{00000000-0005-0000-0000-0000938D0000}"/>
    <cellStyle name="Normal 2 8 3 4 2 4 4" xfId="36241" xr:uid="{00000000-0005-0000-0000-0000948D0000}"/>
    <cellStyle name="Normal 2 8 3 4 2 5" xfId="36242" xr:uid="{00000000-0005-0000-0000-0000958D0000}"/>
    <cellStyle name="Normal 2 8 3 4 2 5 2" xfId="36243" xr:uid="{00000000-0005-0000-0000-0000968D0000}"/>
    <cellStyle name="Normal 2 8 3 4 2 6" xfId="36244" xr:uid="{00000000-0005-0000-0000-0000978D0000}"/>
    <cellStyle name="Normal 2 8 3 4 2 7" xfId="36245" xr:uid="{00000000-0005-0000-0000-0000988D0000}"/>
    <cellStyle name="Normal 2 8 3 4 2 8" xfId="36246" xr:uid="{00000000-0005-0000-0000-0000998D0000}"/>
    <cellStyle name="Normal 2 8 3 4 2 9" xfId="36247" xr:uid="{00000000-0005-0000-0000-00009A8D0000}"/>
    <cellStyle name="Normal 2 8 3 4 3" xfId="36248" xr:uid="{00000000-0005-0000-0000-00009B8D0000}"/>
    <cellStyle name="Normal 2 8 3 4 3 2" xfId="36249" xr:uid="{00000000-0005-0000-0000-00009C8D0000}"/>
    <cellStyle name="Normal 2 8 3 4 3 2 2" xfId="36250" xr:uid="{00000000-0005-0000-0000-00009D8D0000}"/>
    <cellStyle name="Normal 2 8 3 4 3 2 2 2" xfId="36251" xr:uid="{00000000-0005-0000-0000-00009E8D0000}"/>
    <cellStyle name="Normal 2 8 3 4 3 2 2 3" xfId="36252" xr:uid="{00000000-0005-0000-0000-00009F8D0000}"/>
    <cellStyle name="Normal 2 8 3 4 3 2 3" xfId="36253" xr:uid="{00000000-0005-0000-0000-0000A08D0000}"/>
    <cellStyle name="Normal 2 8 3 4 3 2 4" xfId="36254" xr:uid="{00000000-0005-0000-0000-0000A18D0000}"/>
    <cellStyle name="Normal 2 8 3 4 3 2 5" xfId="36255" xr:uid="{00000000-0005-0000-0000-0000A28D0000}"/>
    <cellStyle name="Normal 2 8 3 4 3 2 6" xfId="36256" xr:uid="{00000000-0005-0000-0000-0000A38D0000}"/>
    <cellStyle name="Normal 2 8 3 4 3 3" xfId="36257" xr:uid="{00000000-0005-0000-0000-0000A48D0000}"/>
    <cellStyle name="Normal 2 8 3 4 3 3 2" xfId="36258" xr:uid="{00000000-0005-0000-0000-0000A58D0000}"/>
    <cellStyle name="Normal 2 8 3 4 3 3 2 2" xfId="36259" xr:uid="{00000000-0005-0000-0000-0000A68D0000}"/>
    <cellStyle name="Normal 2 8 3 4 3 3 3" xfId="36260" xr:uid="{00000000-0005-0000-0000-0000A78D0000}"/>
    <cellStyle name="Normal 2 8 3 4 3 3 4" xfId="36261" xr:uid="{00000000-0005-0000-0000-0000A88D0000}"/>
    <cellStyle name="Normal 2 8 3 4 3 3 5" xfId="36262" xr:uid="{00000000-0005-0000-0000-0000A98D0000}"/>
    <cellStyle name="Normal 2 8 3 4 3 4" xfId="36263" xr:uid="{00000000-0005-0000-0000-0000AA8D0000}"/>
    <cellStyle name="Normal 2 8 3 4 3 4 2" xfId="36264" xr:uid="{00000000-0005-0000-0000-0000AB8D0000}"/>
    <cellStyle name="Normal 2 8 3 4 3 4 3" xfId="36265" xr:uid="{00000000-0005-0000-0000-0000AC8D0000}"/>
    <cellStyle name="Normal 2 8 3 4 3 4 4" xfId="36266" xr:uid="{00000000-0005-0000-0000-0000AD8D0000}"/>
    <cellStyle name="Normal 2 8 3 4 3 5" xfId="36267" xr:uid="{00000000-0005-0000-0000-0000AE8D0000}"/>
    <cellStyle name="Normal 2 8 3 4 3 5 2" xfId="36268" xr:uid="{00000000-0005-0000-0000-0000AF8D0000}"/>
    <cellStyle name="Normal 2 8 3 4 3 6" xfId="36269" xr:uid="{00000000-0005-0000-0000-0000B08D0000}"/>
    <cellStyle name="Normal 2 8 3 4 3 7" xfId="36270" xr:uid="{00000000-0005-0000-0000-0000B18D0000}"/>
    <cellStyle name="Normal 2 8 3 4 3 8" xfId="36271" xr:uid="{00000000-0005-0000-0000-0000B28D0000}"/>
    <cellStyle name="Normal 2 8 3 4 3 9" xfId="36272" xr:uid="{00000000-0005-0000-0000-0000B38D0000}"/>
    <cellStyle name="Normal 2 8 3 4 4" xfId="36273" xr:uid="{00000000-0005-0000-0000-0000B48D0000}"/>
    <cellStyle name="Normal 2 8 3 4 4 2" xfId="36274" xr:uid="{00000000-0005-0000-0000-0000B58D0000}"/>
    <cellStyle name="Normal 2 8 3 4 4 2 2" xfId="36275" xr:uid="{00000000-0005-0000-0000-0000B68D0000}"/>
    <cellStyle name="Normal 2 8 3 4 4 2 3" xfId="36276" xr:uid="{00000000-0005-0000-0000-0000B78D0000}"/>
    <cellStyle name="Normal 2 8 3 4 4 3" xfId="36277" xr:uid="{00000000-0005-0000-0000-0000B88D0000}"/>
    <cellStyle name="Normal 2 8 3 4 4 4" xfId="36278" xr:uid="{00000000-0005-0000-0000-0000B98D0000}"/>
    <cellStyle name="Normal 2 8 3 4 4 5" xfId="36279" xr:uid="{00000000-0005-0000-0000-0000BA8D0000}"/>
    <cellStyle name="Normal 2 8 3 4 4 6" xfId="36280" xr:uid="{00000000-0005-0000-0000-0000BB8D0000}"/>
    <cellStyle name="Normal 2 8 3 4 5" xfId="36281" xr:uid="{00000000-0005-0000-0000-0000BC8D0000}"/>
    <cellStyle name="Normal 2 8 3 4 5 2" xfId="36282" xr:uid="{00000000-0005-0000-0000-0000BD8D0000}"/>
    <cellStyle name="Normal 2 8 3 4 5 2 2" xfId="36283" xr:uid="{00000000-0005-0000-0000-0000BE8D0000}"/>
    <cellStyle name="Normal 2 8 3 4 5 3" xfId="36284" xr:uid="{00000000-0005-0000-0000-0000BF8D0000}"/>
    <cellStyle name="Normal 2 8 3 4 5 4" xfId="36285" xr:uid="{00000000-0005-0000-0000-0000C08D0000}"/>
    <cellStyle name="Normal 2 8 3 4 5 5" xfId="36286" xr:uid="{00000000-0005-0000-0000-0000C18D0000}"/>
    <cellStyle name="Normal 2 8 3 4 6" xfId="36287" xr:uid="{00000000-0005-0000-0000-0000C28D0000}"/>
    <cellStyle name="Normal 2 8 3 4 6 2" xfId="36288" xr:uid="{00000000-0005-0000-0000-0000C38D0000}"/>
    <cellStyle name="Normal 2 8 3 4 6 3" xfId="36289" xr:uid="{00000000-0005-0000-0000-0000C48D0000}"/>
    <cellStyle name="Normal 2 8 3 4 6 4" xfId="36290" xr:uid="{00000000-0005-0000-0000-0000C58D0000}"/>
    <cellStyle name="Normal 2 8 3 4 7" xfId="36291" xr:uid="{00000000-0005-0000-0000-0000C68D0000}"/>
    <cellStyle name="Normal 2 8 3 4 7 2" xfId="36292" xr:uid="{00000000-0005-0000-0000-0000C78D0000}"/>
    <cellStyle name="Normal 2 8 3 4 8" xfId="36293" xr:uid="{00000000-0005-0000-0000-0000C88D0000}"/>
    <cellStyle name="Normal 2 8 3 4 9" xfId="36294" xr:uid="{00000000-0005-0000-0000-0000C98D0000}"/>
    <cellStyle name="Normal 2 8 3 5" xfId="36295" xr:uid="{00000000-0005-0000-0000-0000CA8D0000}"/>
    <cellStyle name="Normal 2 8 3 5 10" xfId="36296" xr:uid="{00000000-0005-0000-0000-0000CB8D0000}"/>
    <cellStyle name="Normal 2 8 3 5 11" xfId="36297" xr:uid="{00000000-0005-0000-0000-0000CC8D0000}"/>
    <cellStyle name="Normal 2 8 3 5 2" xfId="36298" xr:uid="{00000000-0005-0000-0000-0000CD8D0000}"/>
    <cellStyle name="Normal 2 8 3 5 2 2" xfId="36299" xr:uid="{00000000-0005-0000-0000-0000CE8D0000}"/>
    <cellStyle name="Normal 2 8 3 5 2 2 2" xfId="36300" xr:uid="{00000000-0005-0000-0000-0000CF8D0000}"/>
    <cellStyle name="Normal 2 8 3 5 2 2 2 2" xfId="36301" xr:uid="{00000000-0005-0000-0000-0000D08D0000}"/>
    <cellStyle name="Normal 2 8 3 5 2 2 2 3" xfId="36302" xr:uid="{00000000-0005-0000-0000-0000D18D0000}"/>
    <cellStyle name="Normal 2 8 3 5 2 2 3" xfId="36303" xr:uid="{00000000-0005-0000-0000-0000D28D0000}"/>
    <cellStyle name="Normal 2 8 3 5 2 2 4" xfId="36304" xr:uid="{00000000-0005-0000-0000-0000D38D0000}"/>
    <cellStyle name="Normal 2 8 3 5 2 2 5" xfId="36305" xr:uid="{00000000-0005-0000-0000-0000D48D0000}"/>
    <cellStyle name="Normal 2 8 3 5 2 2 6" xfId="36306" xr:uid="{00000000-0005-0000-0000-0000D58D0000}"/>
    <cellStyle name="Normal 2 8 3 5 2 3" xfId="36307" xr:uid="{00000000-0005-0000-0000-0000D68D0000}"/>
    <cellStyle name="Normal 2 8 3 5 2 3 2" xfId="36308" xr:uid="{00000000-0005-0000-0000-0000D78D0000}"/>
    <cellStyle name="Normal 2 8 3 5 2 3 2 2" xfId="36309" xr:uid="{00000000-0005-0000-0000-0000D88D0000}"/>
    <cellStyle name="Normal 2 8 3 5 2 3 3" xfId="36310" xr:uid="{00000000-0005-0000-0000-0000D98D0000}"/>
    <cellStyle name="Normal 2 8 3 5 2 3 4" xfId="36311" xr:uid="{00000000-0005-0000-0000-0000DA8D0000}"/>
    <cellStyle name="Normal 2 8 3 5 2 3 5" xfId="36312" xr:uid="{00000000-0005-0000-0000-0000DB8D0000}"/>
    <cellStyle name="Normal 2 8 3 5 2 4" xfId="36313" xr:uid="{00000000-0005-0000-0000-0000DC8D0000}"/>
    <cellStyle name="Normal 2 8 3 5 2 4 2" xfId="36314" xr:uid="{00000000-0005-0000-0000-0000DD8D0000}"/>
    <cellStyle name="Normal 2 8 3 5 2 4 3" xfId="36315" xr:uid="{00000000-0005-0000-0000-0000DE8D0000}"/>
    <cellStyle name="Normal 2 8 3 5 2 4 4" xfId="36316" xr:uid="{00000000-0005-0000-0000-0000DF8D0000}"/>
    <cellStyle name="Normal 2 8 3 5 2 5" xfId="36317" xr:uid="{00000000-0005-0000-0000-0000E08D0000}"/>
    <cellStyle name="Normal 2 8 3 5 2 5 2" xfId="36318" xr:uid="{00000000-0005-0000-0000-0000E18D0000}"/>
    <cellStyle name="Normal 2 8 3 5 2 6" xfId="36319" xr:uid="{00000000-0005-0000-0000-0000E28D0000}"/>
    <cellStyle name="Normal 2 8 3 5 2 7" xfId="36320" xr:uid="{00000000-0005-0000-0000-0000E38D0000}"/>
    <cellStyle name="Normal 2 8 3 5 2 8" xfId="36321" xr:uid="{00000000-0005-0000-0000-0000E48D0000}"/>
    <cellStyle name="Normal 2 8 3 5 2 9" xfId="36322" xr:uid="{00000000-0005-0000-0000-0000E58D0000}"/>
    <cellStyle name="Normal 2 8 3 5 3" xfId="36323" xr:uid="{00000000-0005-0000-0000-0000E68D0000}"/>
    <cellStyle name="Normal 2 8 3 5 3 2" xfId="36324" xr:uid="{00000000-0005-0000-0000-0000E78D0000}"/>
    <cellStyle name="Normal 2 8 3 5 3 2 2" xfId="36325" xr:uid="{00000000-0005-0000-0000-0000E88D0000}"/>
    <cellStyle name="Normal 2 8 3 5 3 2 2 2" xfId="36326" xr:uid="{00000000-0005-0000-0000-0000E98D0000}"/>
    <cellStyle name="Normal 2 8 3 5 3 2 2 3" xfId="36327" xr:uid="{00000000-0005-0000-0000-0000EA8D0000}"/>
    <cellStyle name="Normal 2 8 3 5 3 2 3" xfId="36328" xr:uid="{00000000-0005-0000-0000-0000EB8D0000}"/>
    <cellStyle name="Normal 2 8 3 5 3 2 4" xfId="36329" xr:uid="{00000000-0005-0000-0000-0000EC8D0000}"/>
    <cellStyle name="Normal 2 8 3 5 3 2 5" xfId="36330" xr:uid="{00000000-0005-0000-0000-0000ED8D0000}"/>
    <cellStyle name="Normal 2 8 3 5 3 2 6" xfId="36331" xr:uid="{00000000-0005-0000-0000-0000EE8D0000}"/>
    <cellStyle name="Normal 2 8 3 5 3 3" xfId="36332" xr:uid="{00000000-0005-0000-0000-0000EF8D0000}"/>
    <cellStyle name="Normal 2 8 3 5 3 3 2" xfId="36333" xr:uid="{00000000-0005-0000-0000-0000F08D0000}"/>
    <cellStyle name="Normal 2 8 3 5 3 3 2 2" xfId="36334" xr:uid="{00000000-0005-0000-0000-0000F18D0000}"/>
    <cellStyle name="Normal 2 8 3 5 3 3 3" xfId="36335" xr:uid="{00000000-0005-0000-0000-0000F28D0000}"/>
    <cellStyle name="Normal 2 8 3 5 3 3 4" xfId="36336" xr:uid="{00000000-0005-0000-0000-0000F38D0000}"/>
    <cellStyle name="Normal 2 8 3 5 3 3 5" xfId="36337" xr:uid="{00000000-0005-0000-0000-0000F48D0000}"/>
    <cellStyle name="Normal 2 8 3 5 3 4" xfId="36338" xr:uid="{00000000-0005-0000-0000-0000F58D0000}"/>
    <cellStyle name="Normal 2 8 3 5 3 4 2" xfId="36339" xr:uid="{00000000-0005-0000-0000-0000F68D0000}"/>
    <cellStyle name="Normal 2 8 3 5 3 4 3" xfId="36340" xr:uid="{00000000-0005-0000-0000-0000F78D0000}"/>
    <cellStyle name="Normal 2 8 3 5 3 4 4" xfId="36341" xr:uid="{00000000-0005-0000-0000-0000F88D0000}"/>
    <cellStyle name="Normal 2 8 3 5 3 5" xfId="36342" xr:uid="{00000000-0005-0000-0000-0000F98D0000}"/>
    <cellStyle name="Normal 2 8 3 5 3 5 2" xfId="36343" xr:uid="{00000000-0005-0000-0000-0000FA8D0000}"/>
    <cellStyle name="Normal 2 8 3 5 3 6" xfId="36344" xr:uid="{00000000-0005-0000-0000-0000FB8D0000}"/>
    <cellStyle name="Normal 2 8 3 5 3 7" xfId="36345" xr:uid="{00000000-0005-0000-0000-0000FC8D0000}"/>
    <cellStyle name="Normal 2 8 3 5 3 8" xfId="36346" xr:uid="{00000000-0005-0000-0000-0000FD8D0000}"/>
    <cellStyle name="Normal 2 8 3 5 3 9" xfId="36347" xr:uid="{00000000-0005-0000-0000-0000FE8D0000}"/>
    <cellStyle name="Normal 2 8 3 5 4" xfId="36348" xr:uid="{00000000-0005-0000-0000-0000FF8D0000}"/>
    <cellStyle name="Normal 2 8 3 5 4 2" xfId="36349" xr:uid="{00000000-0005-0000-0000-0000008E0000}"/>
    <cellStyle name="Normal 2 8 3 5 4 2 2" xfId="36350" xr:uid="{00000000-0005-0000-0000-0000018E0000}"/>
    <cellStyle name="Normal 2 8 3 5 4 2 3" xfId="36351" xr:uid="{00000000-0005-0000-0000-0000028E0000}"/>
    <cellStyle name="Normal 2 8 3 5 4 3" xfId="36352" xr:uid="{00000000-0005-0000-0000-0000038E0000}"/>
    <cellStyle name="Normal 2 8 3 5 4 4" xfId="36353" xr:uid="{00000000-0005-0000-0000-0000048E0000}"/>
    <cellStyle name="Normal 2 8 3 5 4 5" xfId="36354" xr:uid="{00000000-0005-0000-0000-0000058E0000}"/>
    <cellStyle name="Normal 2 8 3 5 4 6" xfId="36355" xr:uid="{00000000-0005-0000-0000-0000068E0000}"/>
    <cellStyle name="Normal 2 8 3 5 5" xfId="36356" xr:uid="{00000000-0005-0000-0000-0000078E0000}"/>
    <cellStyle name="Normal 2 8 3 5 5 2" xfId="36357" xr:uid="{00000000-0005-0000-0000-0000088E0000}"/>
    <cellStyle name="Normal 2 8 3 5 5 2 2" xfId="36358" xr:uid="{00000000-0005-0000-0000-0000098E0000}"/>
    <cellStyle name="Normal 2 8 3 5 5 3" xfId="36359" xr:uid="{00000000-0005-0000-0000-00000A8E0000}"/>
    <cellStyle name="Normal 2 8 3 5 5 4" xfId="36360" xr:uid="{00000000-0005-0000-0000-00000B8E0000}"/>
    <cellStyle name="Normal 2 8 3 5 5 5" xfId="36361" xr:uid="{00000000-0005-0000-0000-00000C8E0000}"/>
    <cellStyle name="Normal 2 8 3 5 6" xfId="36362" xr:uid="{00000000-0005-0000-0000-00000D8E0000}"/>
    <cellStyle name="Normal 2 8 3 5 6 2" xfId="36363" xr:uid="{00000000-0005-0000-0000-00000E8E0000}"/>
    <cellStyle name="Normal 2 8 3 5 6 3" xfId="36364" xr:uid="{00000000-0005-0000-0000-00000F8E0000}"/>
    <cellStyle name="Normal 2 8 3 5 6 4" xfId="36365" xr:uid="{00000000-0005-0000-0000-0000108E0000}"/>
    <cellStyle name="Normal 2 8 3 5 7" xfId="36366" xr:uid="{00000000-0005-0000-0000-0000118E0000}"/>
    <cellStyle name="Normal 2 8 3 5 7 2" xfId="36367" xr:uid="{00000000-0005-0000-0000-0000128E0000}"/>
    <cellStyle name="Normal 2 8 3 5 8" xfId="36368" xr:uid="{00000000-0005-0000-0000-0000138E0000}"/>
    <cellStyle name="Normal 2 8 3 5 9" xfId="36369" xr:uid="{00000000-0005-0000-0000-0000148E0000}"/>
    <cellStyle name="Normal 2 8 3 6" xfId="36370" xr:uid="{00000000-0005-0000-0000-0000158E0000}"/>
    <cellStyle name="Normal 2 8 3 6 10" xfId="36371" xr:uid="{00000000-0005-0000-0000-0000168E0000}"/>
    <cellStyle name="Normal 2 8 3 6 11" xfId="36372" xr:uid="{00000000-0005-0000-0000-0000178E0000}"/>
    <cellStyle name="Normal 2 8 3 6 2" xfId="36373" xr:uid="{00000000-0005-0000-0000-0000188E0000}"/>
    <cellStyle name="Normal 2 8 3 6 2 2" xfId="36374" xr:uid="{00000000-0005-0000-0000-0000198E0000}"/>
    <cellStyle name="Normal 2 8 3 6 2 2 2" xfId="36375" xr:uid="{00000000-0005-0000-0000-00001A8E0000}"/>
    <cellStyle name="Normal 2 8 3 6 2 2 2 2" xfId="36376" xr:uid="{00000000-0005-0000-0000-00001B8E0000}"/>
    <cellStyle name="Normal 2 8 3 6 2 2 2 3" xfId="36377" xr:uid="{00000000-0005-0000-0000-00001C8E0000}"/>
    <cellStyle name="Normal 2 8 3 6 2 2 3" xfId="36378" xr:uid="{00000000-0005-0000-0000-00001D8E0000}"/>
    <cellStyle name="Normal 2 8 3 6 2 2 4" xfId="36379" xr:uid="{00000000-0005-0000-0000-00001E8E0000}"/>
    <cellStyle name="Normal 2 8 3 6 2 2 5" xfId="36380" xr:uid="{00000000-0005-0000-0000-00001F8E0000}"/>
    <cellStyle name="Normal 2 8 3 6 2 2 6" xfId="36381" xr:uid="{00000000-0005-0000-0000-0000208E0000}"/>
    <cellStyle name="Normal 2 8 3 6 2 3" xfId="36382" xr:uid="{00000000-0005-0000-0000-0000218E0000}"/>
    <cellStyle name="Normal 2 8 3 6 2 3 2" xfId="36383" xr:uid="{00000000-0005-0000-0000-0000228E0000}"/>
    <cellStyle name="Normal 2 8 3 6 2 3 2 2" xfId="36384" xr:uid="{00000000-0005-0000-0000-0000238E0000}"/>
    <cellStyle name="Normal 2 8 3 6 2 3 3" xfId="36385" xr:uid="{00000000-0005-0000-0000-0000248E0000}"/>
    <cellStyle name="Normal 2 8 3 6 2 3 4" xfId="36386" xr:uid="{00000000-0005-0000-0000-0000258E0000}"/>
    <cellStyle name="Normal 2 8 3 6 2 3 5" xfId="36387" xr:uid="{00000000-0005-0000-0000-0000268E0000}"/>
    <cellStyle name="Normal 2 8 3 6 2 4" xfId="36388" xr:uid="{00000000-0005-0000-0000-0000278E0000}"/>
    <cellStyle name="Normal 2 8 3 6 2 4 2" xfId="36389" xr:uid="{00000000-0005-0000-0000-0000288E0000}"/>
    <cellStyle name="Normal 2 8 3 6 2 4 3" xfId="36390" xr:uid="{00000000-0005-0000-0000-0000298E0000}"/>
    <cellStyle name="Normal 2 8 3 6 2 4 4" xfId="36391" xr:uid="{00000000-0005-0000-0000-00002A8E0000}"/>
    <cellStyle name="Normal 2 8 3 6 2 5" xfId="36392" xr:uid="{00000000-0005-0000-0000-00002B8E0000}"/>
    <cellStyle name="Normal 2 8 3 6 2 5 2" xfId="36393" xr:uid="{00000000-0005-0000-0000-00002C8E0000}"/>
    <cellStyle name="Normal 2 8 3 6 2 6" xfId="36394" xr:uid="{00000000-0005-0000-0000-00002D8E0000}"/>
    <cellStyle name="Normal 2 8 3 6 2 7" xfId="36395" xr:uid="{00000000-0005-0000-0000-00002E8E0000}"/>
    <cellStyle name="Normal 2 8 3 6 2 8" xfId="36396" xr:uid="{00000000-0005-0000-0000-00002F8E0000}"/>
    <cellStyle name="Normal 2 8 3 6 2 9" xfId="36397" xr:uid="{00000000-0005-0000-0000-0000308E0000}"/>
    <cellStyle name="Normal 2 8 3 6 3" xfId="36398" xr:uid="{00000000-0005-0000-0000-0000318E0000}"/>
    <cellStyle name="Normal 2 8 3 6 3 2" xfId="36399" xr:uid="{00000000-0005-0000-0000-0000328E0000}"/>
    <cellStyle name="Normal 2 8 3 6 3 2 2" xfId="36400" xr:uid="{00000000-0005-0000-0000-0000338E0000}"/>
    <cellStyle name="Normal 2 8 3 6 3 2 2 2" xfId="36401" xr:uid="{00000000-0005-0000-0000-0000348E0000}"/>
    <cellStyle name="Normal 2 8 3 6 3 2 2 3" xfId="36402" xr:uid="{00000000-0005-0000-0000-0000358E0000}"/>
    <cellStyle name="Normal 2 8 3 6 3 2 3" xfId="36403" xr:uid="{00000000-0005-0000-0000-0000368E0000}"/>
    <cellStyle name="Normal 2 8 3 6 3 2 4" xfId="36404" xr:uid="{00000000-0005-0000-0000-0000378E0000}"/>
    <cellStyle name="Normal 2 8 3 6 3 2 5" xfId="36405" xr:uid="{00000000-0005-0000-0000-0000388E0000}"/>
    <cellStyle name="Normal 2 8 3 6 3 2 6" xfId="36406" xr:uid="{00000000-0005-0000-0000-0000398E0000}"/>
    <cellStyle name="Normal 2 8 3 6 3 3" xfId="36407" xr:uid="{00000000-0005-0000-0000-00003A8E0000}"/>
    <cellStyle name="Normal 2 8 3 6 3 3 2" xfId="36408" xr:uid="{00000000-0005-0000-0000-00003B8E0000}"/>
    <cellStyle name="Normal 2 8 3 6 3 3 2 2" xfId="36409" xr:uid="{00000000-0005-0000-0000-00003C8E0000}"/>
    <cellStyle name="Normal 2 8 3 6 3 3 3" xfId="36410" xr:uid="{00000000-0005-0000-0000-00003D8E0000}"/>
    <cellStyle name="Normal 2 8 3 6 3 3 4" xfId="36411" xr:uid="{00000000-0005-0000-0000-00003E8E0000}"/>
    <cellStyle name="Normal 2 8 3 6 3 3 5" xfId="36412" xr:uid="{00000000-0005-0000-0000-00003F8E0000}"/>
    <cellStyle name="Normal 2 8 3 6 3 4" xfId="36413" xr:uid="{00000000-0005-0000-0000-0000408E0000}"/>
    <cellStyle name="Normal 2 8 3 6 3 4 2" xfId="36414" xr:uid="{00000000-0005-0000-0000-0000418E0000}"/>
    <cellStyle name="Normal 2 8 3 6 3 4 3" xfId="36415" xr:uid="{00000000-0005-0000-0000-0000428E0000}"/>
    <cellStyle name="Normal 2 8 3 6 3 4 4" xfId="36416" xr:uid="{00000000-0005-0000-0000-0000438E0000}"/>
    <cellStyle name="Normal 2 8 3 6 3 5" xfId="36417" xr:uid="{00000000-0005-0000-0000-0000448E0000}"/>
    <cellStyle name="Normal 2 8 3 6 3 5 2" xfId="36418" xr:uid="{00000000-0005-0000-0000-0000458E0000}"/>
    <cellStyle name="Normal 2 8 3 6 3 6" xfId="36419" xr:uid="{00000000-0005-0000-0000-0000468E0000}"/>
    <cellStyle name="Normal 2 8 3 6 3 7" xfId="36420" xr:uid="{00000000-0005-0000-0000-0000478E0000}"/>
    <cellStyle name="Normal 2 8 3 6 3 8" xfId="36421" xr:uid="{00000000-0005-0000-0000-0000488E0000}"/>
    <cellStyle name="Normal 2 8 3 6 3 9" xfId="36422" xr:uid="{00000000-0005-0000-0000-0000498E0000}"/>
    <cellStyle name="Normal 2 8 3 6 4" xfId="36423" xr:uid="{00000000-0005-0000-0000-00004A8E0000}"/>
    <cellStyle name="Normal 2 8 3 6 4 2" xfId="36424" xr:uid="{00000000-0005-0000-0000-00004B8E0000}"/>
    <cellStyle name="Normal 2 8 3 6 4 2 2" xfId="36425" xr:uid="{00000000-0005-0000-0000-00004C8E0000}"/>
    <cellStyle name="Normal 2 8 3 6 4 2 3" xfId="36426" xr:uid="{00000000-0005-0000-0000-00004D8E0000}"/>
    <cellStyle name="Normal 2 8 3 6 4 3" xfId="36427" xr:uid="{00000000-0005-0000-0000-00004E8E0000}"/>
    <cellStyle name="Normal 2 8 3 6 4 4" xfId="36428" xr:uid="{00000000-0005-0000-0000-00004F8E0000}"/>
    <cellStyle name="Normal 2 8 3 6 4 5" xfId="36429" xr:uid="{00000000-0005-0000-0000-0000508E0000}"/>
    <cellStyle name="Normal 2 8 3 6 4 6" xfId="36430" xr:uid="{00000000-0005-0000-0000-0000518E0000}"/>
    <cellStyle name="Normal 2 8 3 6 5" xfId="36431" xr:uid="{00000000-0005-0000-0000-0000528E0000}"/>
    <cellStyle name="Normal 2 8 3 6 5 2" xfId="36432" xr:uid="{00000000-0005-0000-0000-0000538E0000}"/>
    <cellStyle name="Normal 2 8 3 6 5 2 2" xfId="36433" xr:uid="{00000000-0005-0000-0000-0000548E0000}"/>
    <cellStyle name="Normal 2 8 3 6 5 3" xfId="36434" xr:uid="{00000000-0005-0000-0000-0000558E0000}"/>
    <cellStyle name="Normal 2 8 3 6 5 4" xfId="36435" xr:uid="{00000000-0005-0000-0000-0000568E0000}"/>
    <cellStyle name="Normal 2 8 3 6 5 5" xfId="36436" xr:uid="{00000000-0005-0000-0000-0000578E0000}"/>
    <cellStyle name="Normal 2 8 3 6 6" xfId="36437" xr:uid="{00000000-0005-0000-0000-0000588E0000}"/>
    <cellStyle name="Normal 2 8 3 6 6 2" xfId="36438" xr:uid="{00000000-0005-0000-0000-0000598E0000}"/>
    <cellStyle name="Normal 2 8 3 6 6 3" xfId="36439" xr:uid="{00000000-0005-0000-0000-00005A8E0000}"/>
    <cellStyle name="Normal 2 8 3 6 6 4" xfId="36440" xr:uid="{00000000-0005-0000-0000-00005B8E0000}"/>
    <cellStyle name="Normal 2 8 3 6 7" xfId="36441" xr:uid="{00000000-0005-0000-0000-00005C8E0000}"/>
    <cellStyle name="Normal 2 8 3 6 7 2" xfId="36442" xr:uid="{00000000-0005-0000-0000-00005D8E0000}"/>
    <cellStyle name="Normal 2 8 3 6 8" xfId="36443" xr:uid="{00000000-0005-0000-0000-00005E8E0000}"/>
    <cellStyle name="Normal 2 8 3 6 9" xfId="36444" xr:uid="{00000000-0005-0000-0000-00005F8E0000}"/>
    <cellStyle name="Normal 2 8 3 7" xfId="36445" xr:uid="{00000000-0005-0000-0000-0000608E0000}"/>
    <cellStyle name="Normal 2 8 3 7 10" xfId="36446" xr:uid="{00000000-0005-0000-0000-0000618E0000}"/>
    <cellStyle name="Normal 2 8 3 7 11" xfId="36447" xr:uid="{00000000-0005-0000-0000-0000628E0000}"/>
    <cellStyle name="Normal 2 8 3 7 2" xfId="36448" xr:uid="{00000000-0005-0000-0000-0000638E0000}"/>
    <cellStyle name="Normal 2 8 3 7 2 2" xfId="36449" xr:uid="{00000000-0005-0000-0000-0000648E0000}"/>
    <cellStyle name="Normal 2 8 3 7 2 2 2" xfId="36450" xr:uid="{00000000-0005-0000-0000-0000658E0000}"/>
    <cellStyle name="Normal 2 8 3 7 2 2 2 2" xfId="36451" xr:uid="{00000000-0005-0000-0000-0000668E0000}"/>
    <cellStyle name="Normal 2 8 3 7 2 2 2 3" xfId="36452" xr:uid="{00000000-0005-0000-0000-0000678E0000}"/>
    <cellStyle name="Normal 2 8 3 7 2 2 3" xfId="36453" xr:uid="{00000000-0005-0000-0000-0000688E0000}"/>
    <cellStyle name="Normal 2 8 3 7 2 2 4" xfId="36454" xr:uid="{00000000-0005-0000-0000-0000698E0000}"/>
    <cellStyle name="Normal 2 8 3 7 2 2 5" xfId="36455" xr:uid="{00000000-0005-0000-0000-00006A8E0000}"/>
    <cellStyle name="Normal 2 8 3 7 2 2 6" xfId="36456" xr:uid="{00000000-0005-0000-0000-00006B8E0000}"/>
    <cellStyle name="Normal 2 8 3 7 2 3" xfId="36457" xr:uid="{00000000-0005-0000-0000-00006C8E0000}"/>
    <cellStyle name="Normal 2 8 3 7 2 3 2" xfId="36458" xr:uid="{00000000-0005-0000-0000-00006D8E0000}"/>
    <cellStyle name="Normal 2 8 3 7 2 3 2 2" xfId="36459" xr:uid="{00000000-0005-0000-0000-00006E8E0000}"/>
    <cellStyle name="Normal 2 8 3 7 2 3 3" xfId="36460" xr:uid="{00000000-0005-0000-0000-00006F8E0000}"/>
    <cellStyle name="Normal 2 8 3 7 2 3 4" xfId="36461" xr:uid="{00000000-0005-0000-0000-0000708E0000}"/>
    <cellStyle name="Normal 2 8 3 7 2 3 5" xfId="36462" xr:uid="{00000000-0005-0000-0000-0000718E0000}"/>
    <cellStyle name="Normal 2 8 3 7 2 4" xfId="36463" xr:uid="{00000000-0005-0000-0000-0000728E0000}"/>
    <cellStyle name="Normal 2 8 3 7 2 4 2" xfId="36464" xr:uid="{00000000-0005-0000-0000-0000738E0000}"/>
    <cellStyle name="Normal 2 8 3 7 2 4 3" xfId="36465" xr:uid="{00000000-0005-0000-0000-0000748E0000}"/>
    <cellStyle name="Normal 2 8 3 7 2 4 4" xfId="36466" xr:uid="{00000000-0005-0000-0000-0000758E0000}"/>
    <cellStyle name="Normal 2 8 3 7 2 5" xfId="36467" xr:uid="{00000000-0005-0000-0000-0000768E0000}"/>
    <cellStyle name="Normal 2 8 3 7 2 5 2" xfId="36468" xr:uid="{00000000-0005-0000-0000-0000778E0000}"/>
    <cellStyle name="Normal 2 8 3 7 2 6" xfId="36469" xr:uid="{00000000-0005-0000-0000-0000788E0000}"/>
    <cellStyle name="Normal 2 8 3 7 2 7" xfId="36470" xr:uid="{00000000-0005-0000-0000-0000798E0000}"/>
    <cellStyle name="Normal 2 8 3 7 2 8" xfId="36471" xr:uid="{00000000-0005-0000-0000-00007A8E0000}"/>
    <cellStyle name="Normal 2 8 3 7 2 9" xfId="36472" xr:uid="{00000000-0005-0000-0000-00007B8E0000}"/>
    <cellStyle name="Normal 2 8 3 7 3" xfId="36473" xr:uid="{00000000-0005-0000-0000-00007C8E0000}"/>
    <cellStyle name="Normal 2 8 3 7 3 2" xfId="36474" xr:uid="{00000000-0005-0000-0000-00007D8E0000}"/>
    <cellStyle name="Normal 2 8 3 7 3 2 2" xfId="36475" xr:uid="{00000000-0005-0000-0000-00007E8E0000}"/>
    <cellStyle name="Normal 2 8 3 7 3 2 2 2" xfId="36476" xr:uid="{00000000-0005-0000-0000-00007F8E0000}"/>
    <cellStyle name="Normal 2 8 3 7 3 2 2 3" xfId="36477" xr:uid="{00000000-0005-0000-0000-0000808E0000}"/>
    <cellStyle name="Normal 2 8 3 7 3 2 3" xfId="36478" xr:uid="{00000000-0005-0000-0000-0000818E0000}"/>
    <cellStyle name="Normal 2 8 3 7 3 2 4" xfId="36479" xr:uid="{00000000-0005-0000-0000-0000828E0000}"/>
    <cellStyle name="Normal 2 8 3 7 3 2 5" xfId="36480" xr:uid="{00000000-0005-0000-0000-0000838E0000}"/>
    <cellStyle name="Normal 2 8 3 7 3 2 6" xfId="36481" xr:uid="{00000000-0005-0000-0000-0000848E0000}"/>
    <cellStyle name="Normal 2 8 3 7 3 3" xfId="36482" xr:uid="{00000000-0005-0000-0000-0000858E0000}"/>
    <cellStyle name="Normal 2 8 3 7 3 3 2" xfId="36483" xr:uid="{00000000-0005-0000-0000-0000868E0000}"/>
    <cellStyle name="Normal 2 8 3 7 3 3 2 2" xfId="36484" xr:uid="{00000000-0005-0000-0000-0000878E0000}"/>
    <cellStyle name="Normal 2 8 3 7 3 3 3" xfId="36485" xr:uid="{00000000-0005-0000-0000-0000888E0000}"/>
    <cellStyle name="Normal 2 8 3 7 3 3 4" xfId="36486" xr:uid="{00000000-0005-0000-0000-0000898E0000}"/>
    <cellStyle name="Normal 2 8 3 7 3 3 5" xfId="36487" xr:uid="{00000000-0005-0000-0000-00008A8E0000}"/>
    <cellStyle name="Normal 2 8 3 7 3 4" xfId="36488" xr:uid="{00000000-0005-0000-0000-00008B8E0000}"/>
    <cellStyle name="Normal 2 8 3 7 3 4 2" xfId="36489" xr:uid="{00000000-0005-0000-0000-00008C8E0000}"/>
    <cellStyle name="Normal 2 8 3 7 3 4 3" xfId="36490" xr:uid="{00000000-0005-0000-0000-00008D8E0000}"/>
    <cellStyle name="Normal 2 8 3 7 3 4 4" xfId="36491" xr:uid="{00000000-0005-0000-0000-00008E8E0000}"/>
    <cellStyle name="Normal 2 8 3 7 3 5" xfId="36492" xr:uid="{00000000-0005-0000-0000-00008F8E0000}"/>
    <cellStyle name="Normal 2 8 3 7 3 5 2" xfId="36493" xr:uid="{00000000-0005-0000-0000-0000908E0000}"/>
    <cellStyle name="Normal 2 8 3 7 3 6" xfId="36494" xr:uid="{00000000-0005-0000-0000-0000918E0000}"/>
    <cellStyle name="Normal 2 8 3 7 3 7" xfId="36495" xr:uid="{00000000-0005-0000-0000-0000928E0000}"/>
    <cellStyle name="Normal 2 8 3 7 3 8" xfId="36496" xr:uid="{00000000-0005-0000-0000-0000938E0000}"/>
    <cellStyle name="Normal 2 8 3 7 3 9" xfId="36497" xr:uid="{00000000-0005-0000-0000-0000948E0000}"/>
    <cellStyle name="Normal 2 8 3 7 4" xfId="36498" xr:uid="{00000000-0005-0000-0000-0000958E0000}"/>
    <cellStyle name="Normal 2 8 3 7 4 2" xfId="36499" xr:uid="{00000000-0005-0000-0000-0000968E0000}"/>
    <cellStyle name="Normal 2 8 3 7 4 2 2" xfId="36500" xr:uid="{00000000-0005-0000-0000-0000978E0000}"/>
    <cellStyle name="Normal 2 8 3 7 4 2 3" xfId="36501" xr:uid="{00000000-0005-0000-0000-0000988E0000}"/>
    <cellStyle name="Normal 2 8 3 7 4 3" xfId="36502" xr:uid="{00000000-0005-0000-0000-0000998E0000}"/>
    <cellStyle name="Normal 2 8 3 7 4 4" xfId="36503" xr:uid="{00000000-0005-0000-0000-00009A8E0000}"/>
    <cellStyle name="Normal 2 8 3 7 4 5" xfId="36504" xr:uid="{00000000-0005-0000-0000-00009B8E0000}"/>
    <cellStyle name="Normal 2 8 3 7 4 6" xfId="36505" xr:uid="{00000000-0005-0000-0000-00009C8E0000}"/>
    <cellStyle name="Normal 2 8 3 7 5" xfId="36506" xr:uid="{00000000-0005-0000-0000-00009D8E0000}"/>
    <cellStyle name="Normal 2 8 3 7 5 2" xfId="36507" xr:uid="{00000000-0005-0000-0000-00009E8E0000}"/>
    <cellStyle name="Normal 2 8 3 7 5 2 2" xfId="36508" xr:uid="{00000000-0005-0000-0000-00009F8E0000}"/>
    <cellStyle name="Normal 2 8 3 7 5 3" xfId="36509" xr:uid="{00000000-0005-0000-0000-0000A08E0000}"/>
    <cellStyle name="Normal 2 8 3 7 5 4" xfId="36510" xr:uid="{00000000-0005-0000-0000-0000A18E0000}"/>
    <cellStyle name="Normal 2 8 3 7 5 5" xfId="36511" xr:uid="{00000000-0005-0000-0000-0000A28E0000}"/>
    <cellStyle name="Normal 2 8 3 7 6" xfId="36512" xr:uid="{00000000-0005-0000-0000-0000A38E0000}"/>
    <cellStyle name="Normal 2 8 3 7 6 2" xfId="36513" xr:uid="{00000000-0005-0000-0000-0000A48E0000}"/>
    <cellStyle name="Normal 2 8 3 7 6 3" xfId="36514" xr:uid="{00000000-0005-0000-0000-0000A58E0000}"/>
    <cellStyle name="Normal 2 8 3 7 6 4" xfId="36515" xr:uid="{00000000-0005-0000-0000-0000A68E0000}"/>
    <cellStyle name="Normal 2 8 3 7 7" xfId="36516" xr:uid="{00000000-0005-0000-0000-0000A78E0000}"/>
    <cellStyle name="Normal 2 8 3 7 7 2" xfId="36517" xr:uid="{00000000-0005-0000-0000-0000A88E0000}"/>
    <cellStyle name="Normal 2 8 3 7 8" xfId="36518" xr:uid="{00000000-0005-0000-0000-0000A98E0000}"/>
    <cellStyle name="Normal 2 8 3 7 9" xfId="36519" xr:uid="{00000000-0005-0000-0000-0000AA8E0000}"/>
    <cellStyle name="Normal 2 8 3 8" xfId="36520" xr:uid="{00000000-0005-0000-0000-0000AB8E0000}"/>
    <cellStyle name="Normal 2 8 3 8 10" xfId="36521" xr:uid="{00000000-0005-0000-0000-0000AC8E0000}"/>
    <cellStyle name="Normal 2 8 3 8 2" xfId="36522" xr:uid="{00000000-0005-0000-0000-0000AD8E0000}"/>
    <cellStyle name="Normal 2 8 3 8 2 2" xfId="36523" xr:uid="{00000000-0005-0000-0000-0000AE8E0000}"/>
    <cellStyle name="Normal 2 8 3 8 2 2 2" xfId="36524" xr:uid="{00000000-0005-0000-0000-0000AF8E0000}"/>
    <cellStyle name="Normal 2 8 3 8 2 2 3" xfId="36525" xr:uid="{00000000-0005-0000-0000-0000B08E0000}"/>
    <cellStyle name="Normal 2 8 3 8 2 3" xfId="36526" xr:uid="{00000000-0005-0000-0000-0000B18E0000}"/>
    <cellStyle name="Normal 2 8 3 8 2 4" xfId="36527" xr:uid="{00000000-0005-0000-0000-0000B28E0000}"/>
    <cellStyle name="Normal 2 8 3 8 2 5" xfId="36528" xr:uid="{00000000-0005-0000-0000-0000B38E0000}"/>
    <cellStyle name="Normal 2 8 3 8 2 6" xfId="36529" xr:uid="{00000000-0005-0000-0000-0000B48E0000}"/>
    <cellStyle name="Normal 2 8 3 8 3" xfId="36530" xr:uid="{00000000-0005-0000-0000-0000B58E0000}"/>
    <cellStyle name="Normal 2 8 3 8 3 2" xfId="36531" xr:uid="{00000000-0005-0000-0000-0000B68E0000}"/>
    <cellStyle name="Normal 2 8 3 8 3 2 2" xfId="36532" xr:uid="{00000000-0005-0000-0000-0000B78E0000}"/>
    <cellStyle name="Normal 2 8 3 8 3 2 3" xfId="36533" xr:uid="{00000000-0005-0000-0000-0000B88E0000}"/>
    <cellStyle name="Normal 2 8 3 8 3 3" xfId="36534" xr:uid="{00000000-0005-0000-0000-0000B98E0000}"/>
    <cellStyle name="Normal 2 8 3 8 3 4" xfId="36535" xr:uid="{00000000-0005-0000-0000-0000BA8E0000}"/>
    <cellStyle name="Normal 2 8 3 8 3 5" xfId="36536" xr:uid="{00000000-0005-0000-0000-0000BB8E0000}"/>
    <cellStyle name="Normal 2 8 3 8 3 6" xfId="36537" xr:uid="{00000000-0005-0000-0000-0000BC8E0000}"/>
    <cellStyle name="Normal 2 8 3 8 4" xfId="36538" xr:uid="{00000000-0005-0000-0000-0000BD8E0000}"/>
    <cellStyle name="Normal 2 8 3 8 4 2" xfId="36539" xr:uid="{00000000-0005-0000-0000-0000BE8E0000}"/>
    <cellStyle name="Normal 2 8 3 8 4 2 2" xfId="36540" xr:uid="{00000000-0005-0000-0000-0000BF8E0000}"/>
    <cellStyle name="Normal 2 8 3 8 4 3" xfId="36541" xr:uid="{00000000-0005-0000-0000-0000C08E0000}"/>
    <cellStyle name="Normal 2 8 3 8 4 4" xfId="36542" xr:uid="{00000000-0005-0000-0000-0000C18E0000}"/>
    <cellStyle name="Normal 2 8 3 8 4 5" xfId="36543" xr:uid="{00000000-0005-0000-0000-0000C28E0000}"/>
    <cellStyle name="Normal 2 8 3 8 5" xfId="36544" xr:uid="{00000000-0005-0000-0000-0000C38E0000}"/>
    <cellStyle name="Normal 2 8 3 8 5 2" xfId="36545" xr:uid="{00000000-0005-0000-0000-0000C48E0000}"/>
    <cellStyle name="Normal 2 8 3 8 5 3" xfId="36546" xr:uid="{00000000-0005-0000-0000-0000C58E0000}"/>
    <cellStyle name="Normal 2 8 3 8 5 4" xfId="36547" xr:uid="{00000000-0005-0000-0000-0000C68E0000}"/>
    <cellStyle name="Normal 2 8 3 8 6" xfId="36548" xr:uid="{00000000-0005-0000-0000-0000C78E0000}"/>
    <cellStyle name="Normal 2 8 3 8 6 2" xfId="36549" xr:uid="{00000000-0005-0000-0000-0000C88E0000}"/>
    <cellStyle name="Normal 2 8 3 8 7" xfId="36550" xr:uid="{00000000-0005-0000-0000-0000C98E0000}"/>
    <cellStyle name="Normal 2 8 3 8 8" xfId="36551" xr:uid="{00000000-0005-0000-0000-0000CA8E0000}"/>
    <cellStyle name="Normal 2 8 3 8 9" xfId="36552" xr:uid="{00000000-0005-0000-0000-0000CB8E0000}"/>
    <cellStyle name="Normal 2 8 3 9" xfId="36553" xr:uid="{00000000-0005-0000-0000-0000CC8E0000}"/>
    <cellStyle name="Normal 2 8 3 9 10" xfId="36554" xr:uid="{00000000-0005-0000-0000-0000CD8E0000}"/>
    <cellStyle name="Normal 2 8 3 9 2" xfId="36555" xr:uid="{00000000-0005-0000-0000-0000CE8E0000}"/>
    <cellStyle name="Normal 2 8 3 9 2 2" xfId="36556" xr:uid="{00000000-0005-0000-0000-0000CF8E0000}"/>
    <cellStyle name="Normal 2 8 3 9 2 2 2" xfId="36557" xr:uid="{00000000-0005-0000-0000-0000D08E0000}"/>
    <cellStyle name="Normal 2 8 3 9 2 2 3" xfId="36558" xr:uid="{00000000-0005-0000-0000-0000D18E0000}"/>
    <cellStyle name="Normal 2 8 3 9 2 3" xfId="36559" xr:uid="{00000000-0005-0000-0000-0000D28E0000}"/>
    <cellStyle name="Normal 2 8 3 9 2 4" xfId="36560" xr:uid="{00000000-0005-0000-0000-0000D38E0000}"/>
    <cellStyle name="Normal 2 8 3 9 2 5" xfId="36561" xr:uid="{00000000-0005-0000-0000-0000D48E0000}"/>
    <cellStyle name="Normal 2 8 3 9 2 6" xfId="36562" xr:uid="{00000000-0005-0000-0000-0000D58E0000}"/>
    <cellStyle name="Normal 2 8 3 9 3" xfId="36563" xr:uid="{00000000-0005-0000-0000-0000D68E0000}"/>
    <cellStyle name="Normal 2 8 3 9 3 2" xfId="36564" xr:uid="{00000000-0005-0000-0000-0000D78E0000}"/>
    <cellStyle name="Normal 2 8 3 9 3 2 2" xfId="36565" xr:uid="{00000000-0005-0000-0000-0000D88E0000}"/>
    <cellStyle name="Normal 2 8 3 9 3 2 3" xfId="36566" xr:uid="{00000000-0005-0000-0000-0000D98E0000}"/>
    <cellStyle name="Normal 2 8 3 9 3 3" xfId="36567" xr:uid="{00000000-0005-0000-0000-0000DA8E0000}"/>
    <cellStyle name="Normal 2 8 3 9 3 4" xfId="36568" xr:uid="{00000000-0005-0000-0000-0000DB8E0000}"/>
    <cellStyle name="Normal 2 8 3 9 3 5" xfId="36569" xr:uid="{00000000-0005-0000-0000-0000DC8E0000}"/>
    <cellStyle name="Normal 2 8 3 9 3 6" xfId="36570" xr:uid="{00000000-0005-0000-0000-0000DD8E0000}"/>
    <cellStyle name="Normal 2 8 3 9 4" xfId="36571" xr:uid="{00000000-0005-0000-0000-0000DE8E0000}"/>
    <cellStyle name="Normal 2 8 3 9 4 2" xfId="36572" xr:uid="{00000000-0005-0000-0000-0000DF8E0000}"/>
    <cellStyle name="Normal 2 8 3 9 4 2 2" xfId="36573" xr:uid="{00000000-0005-0000-0000-0000E08E0000}"/>
    <cellStyle name="Normal 2 8 3 9 4 3" xfId="36574" xr:uid="{00000000-0005-0000-0000-0000E18E0000}"/>
    <cellStyle name="Normal 2 8 3 9 4 4" xfId="36575" xr:uid="{00000000-0005-0000-0000-0000E28E0000}"/>
    <cellStyle name="Normal 2 8 3 9 4 5" xfId="36576" xr:uid="{00000000-0005-0000-0000-0000E38E0000}"/>
    <cellStyle name="Normal 2 8 3 9 5" xfId="36577" xr:uid="{00000000-0005-0000-0000-0000E48E0000}"/>
    <cellStyle name="Normal 2 8 3 9 5 2" xfId="36578" xr:uid="{00000000-0005-0000-0000-0000E58E0000}"/>
    <cellStyle name="Normal 2 8 3 9 5 3" xfId="36579" xr:uid="{00000000-0005-0000-0000-0000E68E0000}"/>
    <cellStyle name="Normal 2 8 3 9 5 4" xfId="36580" xr:uid="{00000000-0005-0000-0000-0000E78E0000}"/>
    <cellStyle name="Normal 2 8 3 9 6" xfId="36581" xr:uid="{00000000-0005-0000-0000-0000E88E0000}"/>
    <cellStyle name="Normal 2 8 3 9 6 2" xfId="36582" xr:uid="{00000000-0005-0000-0000-0000E98E0000}"/>
    <cellStyle name="Normal 2 8 3 9 7" xfId="36583" xr:uid="{00000000-0005-0000-0000-0000EA8E0000}"/>
    <cellStyle name="Normal 2 8 3 9 8" xfId="36584" xr:uid="{00000000-0005-0000-0000-0000EB8E0000}"/>
    <cellStyle name="Normal 2 8 3 9 9" xfId="36585" xr:uid="{00000000-0005-0000-0000-0000EC8E0000}"/>
    <cellStyle name="Normal 2 8 30" xfId="36586" xr:uid="{00000000-0005-0000-0000-0000ED8E0000}"/>
    <cellStyle name="Normal 2 8 30 2" xfId="36587" xr:uid="{00000000-0005-0000-0000-0000EE8E0000}"/>
    <cellStyle name="Normal 2 8 30 2 2" xfId="36588" xr:uid="{00000000-0005-0000-0000-0000EF8E0000}"/>
    <cellStyle name="Normal 2 8 30 2 2 2" xfId="36589" xr:uid="{00000000-0005-0000-0000-0000F08E0000}"/>
    <cellStyle name="Normal 2 8 30 2 2 3" xfId="36590" xr:uid="{00000000-0005-0000-0000-0000F18E0000}"/>
    <cellStyle name="Normal 2 8 30 2 3" xfId="36591" xr:uid="{00000000-0005-0000-0000-0000F28E0000}"/>
    <cellStyle name="Normal 2 8 30 2 4" xfId="36592" xr:uid="{00000000-0005-0000-0000-0000F38E0000}"/>
    <cellStyle name="Normal 2 8 30 2 5" xfId="36593" xr:uid="{00000000-0005-0000-0000-0000F48E0000}"/>
    <cellStyle name="Normal 2 8 30 2 6" xfId="36594" xr:uid="{00000000-0005-0000-0000-0000F58E0000}"/>
    <cellStyle name="Normal 2 8 30 3" xfId="36595" xr:uid="{00000000-0005-0000-0000-0000F68E0000}"/>
    <cellStyle name="Normal 2 8 30 3 2" xfId="36596" xr:uid="{00000000-0005-0000-0000-0000F78E0000}"/>
    <cellStyle name="Normal 2 8 30 3 2 2" xfId="36597" xr:uid="{00000000-0005-0000-0000-0000F88E0000}"/>
    <cellStyle name="Normal 2 8 30 3 3" xfId="36598" xr:uid="{00000000-0005-0000-0000-0000F98E0000}"/>
    <cellStyle name="Normal 2 8 30 3 4" xfId="36599" xr:uid="{00000000-0005-0000-0000-0000FA8E0000}"/>
    <cellStyle name="Normal 2 8 30 3 5" xfId="36600" xr:uid="{00000000-0005-0000-0000-0000FB8E0000}"/>
    <cellStyle name="Normal 2 8 30 4" xfId="36601" xr:uid="{00000000-0005-0000-0000-0000FC8E0000}"/>
    <cellStyle name="Normal 2 8 30 4 2" xfId="36602" xr:uid="{00000000-0005-0000-0000-0000FD8E0000}"/>
    <cellStyle name="Normal 2 8 30 4 3" xfId="36603" xr:uid="{00000000-0005-0000-0000-0000FE8E0000}"/>
    <cellStyle name="Normal 2 8 30 4 4" xfId="36604" xr:uid="{00000000-0005-0000-0000-0000FF8E0000}"/>
    <cellStyle name="Normal 2 8 30 5" xfId="36605" xr:uid="{00000000-0005-0000-0000-0000008F0000}"/>
    <cellStyle name="Normal 2 8 30 5 2" xfId="36606" xr:uid="{00000000-0005-0000-0000-0000018F0000}"/>
    <cellStyle name="Normal 2 8 30 6" xfId="36607" xr:uid="{00000000-0005-0000-0000-0000028F0000}"/>
    <cellStyle name="Normal 2 8 30 7" xfId="36608" xr:uid="{00000000-0005-0000-0000-0000038F0000}"/>
    <cellStyle name="Normal 2 8 30 8" xfId="36609" xr:uid="{00000000-0005-0000-0000-0000048F0000}"/>
    <cellStyle name="Normal 2 8 30 9" xfId="36610" xr:uid="{00000000-0005-0000-0000-0000058F0000}"/>
    <cellStyle name="Normal 2 8 31" xfId="36611" xr:uid="{00000000-0005-0000-0000-0000068F0000}"/>
    <cellStyle name="Normal 2 8 31 2" xfId="36612" xr:uid="{00000000-0005-0000-0000-0000078F0000}"/>
    <cellStyle name="Normal 2 8 31 2 2" xfId="36613" xr:uid="{00000000-0005-0000-0000-0000088F0000}"/>
    <cellStyle name="Normal 2 8 31 2 2 2" xfId="36614" xr:uid="{00000000-0005-0000-0000-0000098F0000}"/>
    <cellStyle name="Normal 2 8 31 2 2 3" xfId="36615" xr:uid="{00000000-0005-0000-0000-00000A8F0000}"/>
    <cellStyle name="Normal 2 8 31 2 3" xfId="36616" xr:uid="{00000000-0005-0000-0000-00000B8F0000}"/>
    <cellStyle name="Normal 2 8 31 2 4" xfId="36617" xr:uid="{00000000-0005-0000-0000-00000C8F0000}"/>
    <cellStyle name="Normal 2 8 31 2 5" xfId="36618" xr:uid="{00000000-0005-0000-0000-00000D8F0000}"/>
    <cellStyle name="Normal 2 8 31 2 6" xfId="36619" xr:uid="{00000000-0005-0000-0000-00000E8F0000}"/>
    <cellStyle name="Normal 2 8 31 3" xfId="36620" xr:uid="{00000000-0005-0000-0000-00000F8F0000}"/>
    <cellStyle name="Normal 2 8 31 3 2" xfId="36621" xr:uid="{00000000-0005-0000-0000-0000108F0000}"/>
    <cellStyle name="Normal 2 8 31 3 2 2" xfId="36622" xr:uid="{00000000-0005-0000-0000-0000118F0000}"/>
    <cellStyle name="Normal 2 8 31 3 3" xfId="36623" xr:uid="{00000000-0005-0000-0000-0000128F0000}"/>
    <cellStyle name="Normal 2 8 31 3 4" xfId="36624" xr:uid="{00000000-0005-0000-0000-0000138F0000}"/>
    <cellStyle name="Normal 2 8 31 3 5" xfId="36625" xr:uid="{00000000-0005-0000-0000-0000148F0000}"/>
    <cellStyle name="Normal 2 8 31 4" xfId="36626" xr:uid="{00000000-0005-0000-0000-0000158F0000}"/>
    <cellStyle name="Normal 2 8 31 4 2" xfId="36627" xr:uid="{00000000-0005-0000-0000-0000168F0000}"/>
    <cellStyle name="Normal 2 8 31 4 3" xfId="36628" xr:uid="{00000000-0005-0000-0000-0000178F0000}"/>
    <cellStyle name="Normal 2 8 31 4 4" xfId="36629" xr:uid="{00000000-0005-0000-0000-0000188F0000}"/>
    <cellStyle name="Normal 2 8 31 5" xfId="36630" xr:uid="{00000000-0005-0000-0000-0000198F0000}"/>
    <cellStyle name="Normal 2 8 31 5 2" xfId="36631" xr:uid="{00000000-0005-0000-0000-00001A8F0000}"/>
    <cellStyle name="Normal 2 8 31 6" xfId="36632" xr:uid="{00000000-0005-0000-0000-00001B8F0000}"/>
    <cellStyle name="Normal 2 8 31 7" xfId="36633" xr:uid="{00000000-0005-0000-0000-00001C8F0000}"/>
    <cellStyle name="Normal 2 8 31 8" xfId="36634" xr:uid="{00000000-0005-0000-0000-00001D8F0000}"/>
    <cellStyle name="Normal 2 8 31 9" xfId="36635" xr:uid="{00000000-0005-0000-0000-00001E8F0000}"/>
    <cellStyle name="Normal 2 8 32" xfId="36636" xr:uid="{00000000-0005-0000-0000-00001F8F0000}"/>
    <cellStyle name="Normal 2 8 32 2" xfId="36637" xr:uid="{00000000-0005-0000-0000-0000208F0000}"/>
    <cellStyle name="Normal 2 8 32 2 2" xfId="36638" xr:uid="{00000000-0005-0000-0000-0000218F0000}"/>
    <cellStyle name="Normal 2 8 32 2 3" xfId="36639" xr:uid="{00000000-0005-0000-0000-0000228F0000}"/>
    <cellStyle name="Normal 2 8 32 3" xfId="36640" xr:uid="{00000000-0005-0000-0000-0000238F0000}"/>
    <cellStyle name="Normal 2 8 32 4" xfId="36641" xr:uid="{00000000-0005-0000-0000-0000248F0000}"/>
    <cellStyle name="Normal 2 8 32 5" xfId="36642" xr:uid="{00000000-0005-0000-0000-0000258F0000}"/>
    <cellStyle name="Normal 2 8 32 6" xfId="36643" xr:uid="{00000000-0005-0000-0000-0000268F0000}"/>
    <cellStyle name="Normal 2 8 33" xfId="36644" xr:uid="{00000000-0005-0000-0000-0000278F0000}"/>
    <cellStyle name="Normal 2 8 33 2" xfId="36645" xr:uid="{00000000-0005-0000-0000-0000288F0000}"/>
    <cellStyle name="Normal 2 8 33 2 2" xfId="36646" xr:uid="{00000000-0005-0000-0000-0000298F0000}"/>
    <cellStyle name="Normal 2 8 33 3" xfId="36647" xr:uid="{00000000-0005-0000-0000-00002A8F0000}"/>
    <cellStyle name="Normal 2 8 33 4" xfId="36648" xr:uid="{00000000-0005-0000-0000-00002B8F0000}"/>
    <cellStyle name="Normal 2 8 33 5" xfId="36649" xr:uid="{00000000-0005-0000-0000-00002C8F0000}"/>
    <cellStyle name="Normal 2 8 34" xfId="36650" xr:uid="{00000000-0005-0000-0000-00002D8F0000}"/>
    <cellStyle name="Normal 2 8 34 2" xfId="36651" xr:uid="{00000000-0005-0000-0000-00002E8F0000}"/>
    <cellStyle name="Normal 2 8 34 2 2" xfId="36652" xr:uid="{00000000-0005-0000-0000-00002F8F0000}"/>
    <cellStyle name="Normal 2 8 34 3" xfId="36653" xr:uid="{00000000-0005-0000-0000-0000308F0000}"/>
    <cellStyle name="Normal 2 8 34 4" xfId="36654" xr:uid="{00000000-0005-0000-0000-0000318F0000}"/>
    <cellStyle name="Normal 2 8 34 5" xfId="36655" xr:uid="{00000000-0005-0000-0000-0000328F0000}"/>
    <cellStyle name="Normal 2 8 35" xfId="36656" xr:uid="{00000000-0005-0000-0000-0000338F0000}"/>
    <cellStyle name="Normal 2 8 35 2" xfId="36657" xr:uid="{00000000-0005-0000-0000-0000348F0000}"/>
    <cellStyle name="Normal 2 8 36" xfId="36658" xr:uid="{00000000-0005-0000-0000-0000358F0000}"/>
    <cellStyle name="Normal 2 8 37" xfId="36659" xr:uid="{00000000-0005-0000-0000-0000368F0000}"/>
    <cellStyle name="Normal 2 8 38" xfId="36660" xr:uid="{00000000-0005-0000-0000-0000378F0000}"/>
    <cellStyle name="Normal 2 8 39" xfId="36661" xr:uid="{00000000-0005-0000-0000-0000388F0000}"/>
    <cellStyle name="Normal 2 8 4" xfId="36662" xr:uid="{00000000-0005-0000-0000-0000398F0000}"/>
    <cellStyle name="Normal 2 8 4 10" xfId="36663" xr:uid="{00000000-0005-0000-0000-00003A8F0000}"/>
    <cellStyle name="Normal 2 8 4 10 10" xfId="36664" xr:uid="{00000000-0005-0000-0000-00003B8F0000}"/>
    <cellStyle name="Normal 2 8 4 10 2" xfId="36665" xr:uid="{00000000-0005-0000-0000-00003C8F0000}"/>
    <cellStyle name="Normal 2 8 4 10 2 2" xfId="36666" xr:uid="{00000000-0005-0000-0000-00003D8F0000}"/>
    <cellStyle name="Normal 2 8 4 10 2 2 2" xfId="36667" xr:uid="{00000000-0005-0000-0000-00003E8F0000}"/>
    <cellStyle name="Normal 2 8 4 10 2 2 3" xfId="36668" xr:uid="{00000000-0005-0000-0000-00003F8F0000}"/>
    <cellStyle name="Normal 2 8 4 10 2 3" xfId="36669" xr:uid="{00000000-0005-0000-0000-0000408F0000}"/>
    <cellStyle name="Normal 2 8 4 10 2 4" xfId="36670" xr:uid="{00000000-0005-0000-0000-0000418F0000}"/>
    <cellStyle name="Normal 2 8 4 10 2 5" xfId="36671" xr:uid="{00000000-0005-0000-0000-0000428F0000}"/>
    <cellStyle name="Normal 2 8 4 10 2 6" xfId="36672" xr:uid="{00000000-0005-0000-0000-0000438F0000}"/>
    <cellStyle name="Normal 2 8 4 10 3" xfId="36673" xr:uid="{00000000-0005-0000-0000-0000448F0000}"/>
    <cellStyle name="Normal 2 8 4 10 3 2" xfId="36674" xr:uid="{00000000-0005-0000-0000-0000458F0000}"/>
    <cellStyle name="Normal 2 8 4 10 3 2 2" xfId="36675" xr:uid="{00000000-0005-0000-0000-0000468F0000}"/>
    <cellStyle name="Normal 2 8 4 10 3 2 3" xfId="36676" xr:uid="{00000000-0005-0000-0000-0000478F0000}"/>
    <cellStyle name="Normal 2 8 4 10 3 3" xfId="36677" xr:uid="{00000000-0005-0000-0000-0000488F0000}"/>
    <cellStyle name="Normal 2 8 4 10 3 4" xfId="36678" xr:uid="{00000000-0005-0000-0000-0000498F0000}"/>
    <cellStyle name="Normal 2 8 4 10 3 5" xfId="36679" xr:uid="{00000000-0005-0000-0000-00004A8F0000}"/>
    <cellStyle name="Normal 2 8 4 10 3 6" xfId="36680" xr:uid="{00000000-0005-0000-0000-00004B8F0000}"/>
    <cellStyle name="Normal 2 8 4 10 4" xfId="36681" xr:uid="{00000000-0005-0000-0000-00004C8F0000}"/>
    <cellStyle name="Normal 2 8 4 10 4 2" xfId="36682" xr:uid="{00000000-0005-0000-0000-00004D8F0000}"/>
    <cellStyle name="Normal 2 8 4 10 4 2 2" xfId="36683" xr:uid="{00000000-0005-0000-0000-00004E8F0000}"/>
    <cellStyle name="Normal 2 8 4 10 4 3" xfId="36684" xr:uid="{00000000-0005-0000-0000-00004F8F0000}"/>
    <cellStyle name="Normal 2 8 4 10 4 4" xfId="36685" xr:uid="{00000000-0005-0000-0000-0000508F0000}"/>
    <cellStyle name="Normal 2 8 4 10 4 5" xfId="36686" xr:uid="{00000000-0005-0000-0000-0000518F0000}"/>
    <cellStyle name="Normal 2 8 4 10 5" xfId="36687" xr:uid="{00000000-0005-0000-0000-0000528F0000}"/>
    <cellStyle name="Normal 2 8 4 10 5 2" xfId="36688" xr:uid="{00000000-0005-0000-0000-0000538F0000}"/>
    <cellStyle name="Normal 2 8 4 10 5 3" xfId="36689" xr:uid="{00000000-0005-0000-0000-0000548F0000}"/>
    <cellStyle name="Normal 2 8 4 10 5 4" xfId="36690" xr:uid="{00000000-0005-0000-0000-0000558F0000}"/>
    <cellStyle name="Normal 2 8 4 10 6" xfId="36691" xr:uid="{00000000-0005-0000-0000-0000568F0000}"/>
    <cellStyle name="Normal 2 8 4 10 6 2" xfId="36692" xr:uid="{00000000-0005-0000-0000-0000578F0000}"/>
    <cellStyle name="Normal 2 8 4 10 7" xfId="36693" xr:uid="{00000000-0005-0000-0000-0000588F0000}"/>
    <cellStyle name="Normal 2 8 4 10 8" xfId="36694" xr:uid="{00000000-0005-0000-0000-0000598F0000}"/>
    <cellStyle name="Normal 2 8 4 10 9" xfId="36695" xr:uid="{00000000-0005-0000-0000-00005A8F0000}"/>
    <cellStyle name="Normal 2 8 4 11" xfId="36696" xr:uid="{00000000-0005-0000-0000-00005B8F0000}"/>
    <cellStyle name="Normal 2 8 4 11 10" xfId="36697" xr:uid="{00000000-0005-0000-0000-00005C8F0000}"/>
    <cellStyle name="Normal 2 8 4 11 2" xfId="36698" xr:uid="{00000000-0005-0000-0000-00005D8F0000}"/>
    <cellStyle name="Normal 2 8 4 11 2 2" xfId="36699" xr:uid="{00000000-0005-0000-0000-00005E8F0000}"/>
    <cellStyle name="Normal 2 8 4 11 2 2 2" xfId="36700" xr:uid="{00000000-0005-0000-0000-00005F8F0000}"/>
    <cellStyle name="Normal 2 8 4 11 2 2 3" xfId="36701" xr:uid="{00000000-0005-0000-0000-0000608F0000}"/>
    <cellStyle name="Normal 2 8 4 11 2 3" xfId="36702" xr:uid="{00000000-0005-0000-0000-0000618F0000}"/>
    <cellStyle name="Normal 2 8 4 11 2 4" xfId="36703" xr:uid="{00000000-0005-0000-0000-0000628F0000}"/>
    <cellStyle name="Normal 2 8 4 11 2 5" xfId="36704" xr:uid="{00000000-0005-0000-0000-0000638F0000}"/>
    <cellStyle name="Normal 2 8 4 11 2 6" xfId="36705" xr:uid="{00000000-0005-0000-0000-0000648F0000}"/>
    <cellStyle name="Normal 2 8 4 11 3" xfId="36706" xr:uid="{00000000-0005-0000-0000-0000658F0000}"/>
    <cellStyle name="Normal 2 8 4 11 3 2" xfId="36707" xr:uid="{00000000-0005-0000-0000-0000668F0000}"/>
    <cellStyle name="Normal 2 8 4 11 3 2 2" xfId="36708" xr:uid="{00000000-0005-0000-0000-0000678F0000}"/>
    <cellStyle name="Normal 2 8 4 11 3 2 3" xfId="36709" xr:uid="{00000000-0005-0000-0000-0000688F0000}"/>
    <cellStyle name="Normal 2 8 4 11 3 3" xfId="36710" xr:uid="{00000000-0005-0000-0000-0000698F0000}"/>
    <cellStyle name="Normal 2 8 4 11 3 4" xfId="36711" xr:uid="{00000000-0005-0000-0000-00006A8F0000}"/>
    <cellStyle name="Normal 2 8 4 11 3 5" xfId="36712" xr:uid="{00000000-0005-0000-0000-00006B8F0000}"/>
    <cellStyle name="Normal 2 8 4 11 3 6" xfId="36713" xr:uid="{00000000-0005-0000-0000-00006C8F0000}"/>
    <cellStyle name="Normal 2 8 4 11 4" xfId="36714" xr:uid="{00000000-0005-0000-0000-00006D8F0000}"/>
    <cellStyle name="Normal 2 8 4 11 4 2" xfId="36715" xr:uid="{00000000-0005-0000-0000-00006E8F0000}"/>
    <cellStyle name="Normal 2 8 4 11 4 2 2" xfId="36716" xr:uid="{00000000-0005-0000-0000-00006F8F0000}"/>
    <cellStyle name="Normal 2 8 4 11 4 3" xfId="36717" xr:uid="{00000000-0005-0000-0000-0000708F0000}"/>
    <cellStyle name="Normal 2 8 4 11 4 4" xfId="36718" xr:uid="{00000000-0005-0000-0000-0000718F0000}"/>
    <cellStyle name="Normal 2 8 4 11 4 5" xfId="36719" xr:uid="{00000000-0005-0000-0000-0000728F0000}"/>
    <cellStyle name="Normal 2 8 4 11 5" xfId="36720" xr:uid="{00000000-0005-0000-0000-0000738F0000}"/>
    <cellStyle name="Normal 2 8 4 11 5 2" xfId="36721" xr:uid="{00000000-0005-0000-0000-0000748F0000}"/>
    <cellStyle name="Normal 2 8 4 11 5 3" xfId="36722" xr:uid="{00000000-0005-0000-0000-0000758F0000}"/>
    <cellStyle name="Normal 2 8 4 11 5 4" xfId="36723" xr:uid="{00000000-0005-0000-0000-0000768F0000}"/>
    <cellStyle name="Normal 2 8 4 11 6" xfId="36724" xr:uid="{00000000-0005-0000-0000-0000778F0000}"/>
    <cellStyle name="Normal 2 8 4 11 6 2" xfId="36725" xr:uid="{00000000-0005-0000-0000-0000788F0000}"/>
    <cellStyle name="Normal 2 8 4 11 7" xfId="36726" xr:uid="{00000000-0005-0000-0000-0000798F0000}"/>
    <cellStyle name="Normal 2 8 4 11 8" xfId="36727" xr:uid="{00000000-0005-0000-0000-00007A8F0000}"/>
    <cellStyle name="Normal 2 8 4 11 9" xfId="36728" xr:uid="{00000000-0005-0000-0000-00007B8F0000}"/>
    <cellStyle name="Normal 2 8 4 12" xfId="36729" xr:uid="{00000000-0005-0000-0000-00007C8F0000}"/>
    <cellStyle name="Normal 2 8 4 12 10" xfId="36730" xr:uid="{00000000-0005-0000-0000-00007D8F0000}"/>
    <cellStyle name="Normal 2 8 4 12 2" xfId="36731" xr:uid="{00000000-0005-0000-0000-00007E8F0000}"/>
    <cellStyle name="Normal 2 8 4 12 2 2" xfId="36732" xr:uid="{00000000-0005-0000-0000-00007F8F0000}"/>
    <cellStyle name="Normal 2 8 4 12 2 2 2" xfId="36733" xr:uid="{00000000-0005-0000-0000-0000808F0000}"/>
    <cellStyle name="Normal 2 8 4 12 2 2 3" xfId="36734" xr:uid="{00000000-0005-0000-0000-0000818F0000}"/>
    <cellStyle name="Normal 2 8 4 12 2 3" xfId="36735" xr:uid="{00000000-0005-0000-0000-0000828F0000}"/>
    <cellStyle name="Normal 2 8 4 12 2 4" xfId="36736" xr:uid="{00000000-0005-0000-0000-0000838F0000}"/>
    <cellStyle name="Normal 2 8 4 12 2 5" xfId="36737" xr:uid="{00000000-0005-0000-0000-0000848F0000}"/>
    <cellStyle name="Normal 2 8 4 12 2 6" xfId="36738" xr:uid="{00000000-0005-0000-0000-0000858F0000}"/>
    <cellStyle name="Normal 2 8 4 12 3" xfId="36739" xr:uid="{00000000-0005-0000-0000-0000868F0000}"/>
    <cellStyle name="Normal 2 8 4 12 3 2" xfId="36740" xr:uid="{00000000-0005-0000-0000-0000878F0000}"/>
    <cellStyle name="Normal 2 8 4 12 3 2 2" xfId="36741" xr:uid="{00000000-0005-0000-0000-0000888F0000}"/>
    <cellStyle name="Normal 2 8 4 12 3 2 3" xfId="36742" xr:uid="{00000000-0005-0000-0000-0000898F0000}"/>
    <cellStyle name="Normal 2 8 4 12 3 3" xfId="36743" xr:uid="{00000000-0005-0000-0000-00008A8F0000}"/>
    <cellStyle name="Normal 2 8 4 12 3 4" xfId="36744" xr:uid="{00000000-0005-0000-0000-00008B8F0000}"/>
    <cellStyle name="Normal 2 8 4 12 3 5" xfId="36745" xr:uid="{00000000-0005-0000-0000-00008C8F0000}"/>
    <cellStyle name="Normal 2 8 4 12 3 6" xfId="36746" xr:uid="{00000000-0005-0000-0000-00008D8F0000}"/>
    <cellStyle name="Normal 2 8 4 12 4" xfId="36747" xr:uid="{00000000-0005-0000-0000-00008E8F0000}"/>
    <cellStyle name="Normal 2 8 4 12 4 2" xfId="36748" xr:uid="{00000000-0005-0000-0000-00008F8F0000}"/>
    <cellStyle name="Normal 2 8 4 12 4 2 2" xfId="36749" xr:uid="{00000000-0005-0000-0000-0000908F0000}"/>
    <cellStyle name="Normal 2 8 4 12 4 3" xfId="36750" xr:uid="{00000000-0005-0000-0000-0000918F0000}"/>
    <cellStyle name="Normal 2 8 4 12 4 4" xfId="36751" xr:uid="{00000000-0005-0000-0000-0000928F0000}"/>
    <cellStyle name="Normal 2 8 4 12 4 5" xfId="36752" xr:uid="{00000000-0005-0000-0000-0000938F0000}"/>
    <cellStyle name="Normal 2 8 4 12 5" xfId="36753" xr:uid="{00000000-0005-0000-0000-0000948F0000}"/>
    <cellStyle name="Normal 2 8 4 12 5 2" xfId="36754" xr:uid="{00000000-0005-0000-0000-0000958F0000}"/>
    <cellStyle name="Normal 2 8 4 12 5 3" xfId="36755" xr:uid="{00000000-0005-0000-0000-0000968F0000}"/>
    <cellStyle name="Normal 2 8 4 12 5 4" xfId="36756" xr:uid="{00000000-0005-0000-0000-0000978F0000}"/>
    <cellStyle name="Normal 2 8 4 12 6" xfId="36757" xr:uid="{00000000-0005-0000-0000-0000988F0000}"/>
    <cellStyle name="Normal 2 8 4 12 6 2" xfId="36758" xr:uid="{00000000-0005-0000-0000-0000998F0000}"/>
    <cellStyle name="Normal 2 8 4 12 7" xfId="36759" xr:uid="{00000000-0005-0000-0000-00009A8F0000}"/>
    <cellStyle name="Normal 2 8 4 12 8" xfId="36760" xr:uid="{00000000-0005-0000-0000-00009B8F0000}"/>
    <cellStyle name="Normal 2 8 4 12 9" xfId="36761" xr:uid="{00000000-0005-0000-0000-00009C8F0000}"/>
    <cellStyle name="Normal 2 8 4 13" xfId="36762" xr:uid="{00000000-0005-0000-0000-00009D8F0000}"/>
    <cellStyle name="Normal 2 8 4 13 2" xfId="36763" xr:uid="{00000000-0005-0000-0000-00009E8F0000}"/>
    <cellStyle name="Normal 2 8 4 13 2 2" xfId="36764" xr:uid="{00000000-0005-0000-0000-00009F8F0000}"/>
    <cellStyle name="Normal 2 8 4 13 2 2 2" xfId="36765" xr:uid="{00000000-0005-0000-0000-0000A08F0000}"/>
    <cellStyle name="Normal 2 8 4 13 2 2 3" xfId="36766" xr:uid="{00000000-0005-0000-0000-0000A18F0000}"/>
    <cellStyle name="Normal 2 8 4 13 2 3" xfId="36767" xr:uid="{00000000-0005-0000-0000-0000A28F0000}"/>
    <cellStyle name="Normal 2 8 4 13 2 4" xfId="36768" xr:uid="{00000000-0005-0000-0000-0000A38F0000}"/>
    <cellStyle name="Normal 2 8 4 13 2 5" xfId="36769" xr:uid="{00000000-0005-0000-0000-0000A48F0000}"/>
    <cellStyle name="Normal 2 8 4 13 2 6" xfId="36770" xr:uid="{00000000-0005-0000-0000-0000A58F0000}"/>
    <cellStyle name="Normal 2 8 4 13 3" xfId="36771" xr:uid="{00000000-0005-0000-0000-0000A68F0000}"/>
    <cellStyle name="Normal 2 8 4 13 3 2" xfId="36772" xr:uid="{00000000-0005-0000-0000-0000A78F0000}"/>
    <cellStyle name="Normal 2 8 4 13 3 2 2" xfId="36773" xr:uid="{00000000-0005-0000-0000-0000A88F0000}"/>
    <cellStyle name="Normal 2 8 4 13 3 3" xfId="36774" xr:uid="{00000000-0005-0000-0000-0000A98F0000}"/>
    <cellStyle name="Normal 2 8 4 13 3 4" xfId="36775" xr:uid="{00000000-0005-0000-0000-0000AA8F0000}"/>
    <cellStyle name="Normal 2 8 4 13 3 5" xfId="36776" xr:uid="{00000000-0005-0000-0000-0000AB8F0000}"/>
    <cellStyle name="Normal 2 8 4 13 4" xfId="36777" xr:uid="{00000000-0005-0000-0000-0000AC8F0000}"/>
    <cellStyle name="Normal 2 8 4 13 4 2" xfId="36778" xr:uid="{00000000-0005-0000-0000-0000AD8F0000}"/>
    <cellStyle name="Normal 2 8 4 13 4 3" xfId="36779" xr:uid="{00000000-0005-0000-0000-0000AE8F0000}"/>
    <cellStyle name="Normal 2 8 4 13 4 4" xfId="36780" xr:uid="{00000000-0005-0000-0000-0000AF8F0000}"/>
    <cellStyle name="Normal 2 8 4 13 5" xfId="36781" xr:uid="{00000000-0005-0000-0000-0000B08F0000}"/>
    <cellStyle name="Normal 2 8 4 13 5 2" xfId="36782" xr:uid="{00000000-0005-0000-0000-0000B18F0000}"/>
    <cellStyle name="Normal 2 8 4 13 6" xfId="36783" xr:uid="{00000000-0005-0000-0000-0000B28F0000}"/>
    <cellStyle name="Normal 2 8 4 13 7" xfId="36784" xr:uid="{00000000-0005-0000-0000-0000B38F0000}"/>
    <cellStyle name="Normal 2 8 4 13 8" xfId="36785" xr:uid="{00000000-0005-0000-0000-0000B48F0000}"/>
    <cellStyle name="Normal 2 8 4 13 9" xfId="36786" xr:uid="{00000000-0005-0000-0000-0000B58F0000}"/>
    <cellStyle name="Normal 2 8 4 14" xfId="36787" xr:uid="{00000000-0005-0000-0000-0000B68F0000}"/>
    <cellStyle name="Normal 2 8 4 14 2" xfId="36788" xr:uid="{00000000-0005-0000-0000-0000B78F0000}"/>
    <cellStyle name="Normal 2 8 4 14 2 2" xfId="36789" xr:uid="{00000000-0005-0000-0000-0000B88F0000}"/>
    <cellStyle name="Normal 2 8 4 14 2 2 2" xfId="36790" xr:uid="{00000000-0005-0000-0000-0000B98F0000}"/>
    <cellStyle name="Normal 2 8 4 14 2 2 3" xfId="36791" xr:uid="{00000000-0005-0000-0000-0000BA8F0000}"/>
    <cellStyle name="Normal 2 8 4 14 2 3" xfId="36792" xr:uid="{00000000-0005-0000-0000-0000BB8F0000}"/>
    <cellStyle name="Normal 2 8 4 14 2 4" xfId="36793" xr:uid="{00000000-0005-0000-0000-0000BC8F0000}"/>
    <cellStyle name="Normal 2 8 4 14 2 5" xfId="36794" xr:uid="{00000000-0005-0000-0000-0000BD8F0000}"/>
    <cellStyle name="Normal 2 8 4 14 2 6" xfId="36795" xr:uid="{00000000-0005-0000-0000-0000BE8F0000}"/>
    <cellStyle name="Normal 2 8 4 14 3" xfId="36796" xr:uid="{00000000-0005-0000-0000-0000BF8F0000}"/>
    <cellStyle name="Normal 2 8 4 14 3 2" xfId="36797" xr:uid="{00000000-0005-0000-0000-0000C08F0000}"/>
    <cellStyle name="Normal 2 8 4 14 3 2 2" xfId="36798" xr:uid="{00000000-0005-0000-0000-0000C18F0000}"/>
    <cellStyle name="Normal 2 8 4 14 3 3" xfId="36799" xr:uid="{00000000-0005-0000-0000-0000C28F0000}"/>
    <cellStyle name="Normal 2 8 4 14 3 4" xfId="36800" xr:uid="{00000000-0005-0000-0000-0000C38F0000}"/>
    <cellStyle name="Normal 2 8 4 14 3 5" xfId="36801" xr:uid="{00000000-0005-0000-0000-0000C48F0000}"/>
    <cellStyle name="Normal 2 8 4 14 4" xfId="36802" xr:uid="{00000000-0005-0000-0000-0000C58F0000}"/>
    <cellStyle name="Normal 2 8 4 14 4 2" xfId="36803" xr:uid="{00000000-0005-0000-0000-0000C68F0000}"/>
    <cellStyle name="Normal 2 8 4 14 4 3" xfId="36804" xr:uid="{00000000-0005-0000-0000-0000C78F0000}"/>
    <cellStyle name="Normal 2 8 4 14 4 4" xfId="36805" xr:uid="{00000000-0005-0000-0000-0000C88F0000}"/>
    <cellStyle name="Normal 2 8 4 14 5" xfId="36806" xr:uid="{00000000-0005-0000-0000-0000C98F0000}"/>
    <cellStyle name="Normal 2 8 4 14 5 2" xfId="36807" xr:uid="{00000000-0005-0000-0000-0000CA8F0000}"/>
    <cellStyle name="Normal 2 8 4 14 6" xfId="36808" xr:uid="{00000000-0005-0000-0000-0000CB8F0000}"/>
    <cellStyle name="Normal 2 8 4 14 7" xfId="36809" xr:uid="{00000000-0005-0000-0000-0000CC8F0000}"/>
    <cellStyle name="Normal 2 8 4 14 8" xfId="36810" xr:uid="{00000000-0005-0000-0000-0000CD8F0000}"/>
    <cellStyle name="Normal 2 8 4 14 9" xfId="36811" xr:uid="{00000000-0005-0000-0000-0000CE8F0000}"/>
    <cellStyle name="Normal 2 8 4 15" xfId="36812" xr:uid="{00000000-0005-0000-0000-0000CF8F0000}"/>
    <cellStyle name="Normal 2 8 4 15 2" xfId="36813" xr:uid="{00000000-0005-0000-0000-0000D08F0000}"/>
    <cellStyle name="Normal 2 8 4 15 2 2" xfId="36814" xr:uid="{00000000-0005-0000-0000-0000D18F0000}"/>
    <cellStyle name="Normal 2 8 4 15 2 3" xfId="36815" xr:uid="{00000000-0005-0000-0000-0000D28F0000}"/>
    <cellStyle name="Normal 2 8 4 15 3" xfId="36816" xr:uid="{00000000-0005-0000-0000-0000D38F0000}"/>
    <cellStyle name="Normal 2 8 4 15 4" xfId="36817" xr:uid="{00000000-0005-0000-0000-0000D48F0000}"/>
    <cellStyle name="Normal 2 8 4 15 5" xfId="36818" xr:uid="{00000000-0005-0000-0000-0000D58F0000}"/>
    <cellStyle name="Normal 2 8 4 15 6" xfId="36819" xr:uid="{00000000-0005-0000-0000-0000D68F0000}"/>
    <cellStyle name="Normal 2 8 4 16" xfId="36820" xr:uid="{00000000-0005-0000-0000-0000D78F0000}"/>
    <cellStyle name="Normal 2 8 4 16 2" xfId="36821" xr:uid="{00000000-0005-0000-0000-0000D88F0000}"/>
    <cellStyle name="Normal 2 8 4 16 2 2" xfId="36822" xr:uid="{00000000-0005-0000-0000-0000D98F0000}"/>
    <cellStyle name="Normal 2 8 4 16 3" xfId="36823" xr:uid="{00000000-0005-0000-0000-0000DA8F0000}"/>
    <cellStyle name="Normal 2 8 4 16 4" xfId="36824" xr:uid="{00000000-0005-0000-0000-0000DB8F0000}"/>
    <cellStyle name="Normal 2 8 4 16 5" xfId="36825" xr:uid="{00000000-0005-0000-0000-0000DC8F0000}"/>
    <cellStyle name="Normal 2 8 4 17" xfId="36826" xr:uid="{00000000-0005-0000-0000-0000DD8F0000}"/>
    <cellStyle name="Normal 2 8 4 17 2" xfId="36827" xr:uid="{00000000-0005-0000-0000-0000DE8F0000}"/>
    <cellStyle name="Normal 2 8 4 17 2 2" xfId="36828" xr:uid="{00000000-0005-0000-0000-0000DF8F0000}"/>
    <cellStyle name="Normal 2 8 4 17 3" xfId="36829" xr:uid="{00000000-0005-0000-0000-0000E08F0000}"/>
    <cellStyle name="Normal 2 8 4 17 4" xfId="36830" xr:uid="{00000000-0005-0000-0000-0000E18F0000}"/>
    <cellStyle name="Normal 2 8 4 17 5" xfId="36831" xr:uid="{00000000-0005-0000-0000-0000E28F0000}"/>
    <cellStyle name="Normal 2 8 4 18" xfId="36832" xr:uid="{00000000-0005-0000-0000-0000E38F0000}"/>
    <cellStyle name="Normal 2 8 4 18 2" xfId="36833" xr:uid="{00000000-0005-0000-0000-0000E48F0000}"/>
    <cellStyle name="Normal 2 8 4 19" xfId="36834" xr:uid="{00000000-0005-0000-0000-0000E58F0000}"/>
    <cellStyle name="Normal 2 8 4 2" xfId="36835" xr:uid="{00000000-0005-0000-0000-0000E68F0000}"/>
    <cellStyle name="Normal 2 8 4 2 10" xfId="36836" xr:uid="{00000000-0005-0000-0000-0000E78F0000}"/>
    <cellStyle name="Normal 2 8 4 2 11" xfId="36837" xr:uid="{00000000-0005-0000-0000-0000E88F0000}"/>
    <cellStyle name="Normal 2 8 4 2 2" xfId="36838" xr:uid="{00000000-0005-0000-0000-0000E98F0000}"/>
    <cellStyle name="Normal 2 8 4 2 2 2" xfId="36839" xr:uid="{00000000-0005-0000-0000-0000EA8F0000}"/>
    <cellStyle name="Normal 2 8 4 2 2 2 2" xfId="36840" xr:uid="{00000000-0005-0000-0000-0000EB8F0000}"/>
    <cellStyle name="Normal 2 8 4 2 2 2 2 2" xfId="36841" xr:uid="{00000000-0005-0000-0000-0000EC8F0000}"/>
    <cellStyle name="Normal 2 8 4 2 2 2 2 3" xfId="36842" xr:uid="{00000000-0005-0000-0000-0000ED8F0000}"/>
    <cellStyle name="Normal 2 8 4 2 2 2 3" xfId="36843" xr:uid="{00000000-0005-0000-0000-0000EE8F0000}"/>
    <cellStyle name="Normal 2 8 4 2 2 2 4" xfId="36844" xr:uid="{00000000-0005-0000-0000-0000EF8F0000}"/>
    <cellStyle name="Normal 2 8 4 2 2 2 5" xfId="36845" xr:uid="{00000000-0005-0000-0000-0000F08F0000}"/>
    <cellStyle name="Normal 2 8 4 2 2 2 6" xfId="36846" xr:uid="{00000000-0005-0000-0000-0000F18F0000}"/>
    <cellStyle name="Normal 2 8 4 2 2 3" xfId="36847" xr:uid="{00000000-0005-0000-0000-0000F28F0000}"/>
    <cellStyle name="Normal 2 8 4 2 2 3 2" xfId="36848" xr:uid="{00000000-0005-0000-0000-0000F38F0000}"/>
    <cellStyle name="Normal 2 8 4 2 2 3 2 2" xfId="36849" xr:uid="{00000000-0005-0000-0000-0000F48F0000}"/>
    <cellStyle name="Normal 2 8 4 2 2 3 3" xfId="36850" xr:uid="{00000000-0005-0000-0000-0000F58F0000}"/>
    <cellStyle name="Normal 2 8 4 2 2 3 4" xfId="36851" xr:uid="{00000000-0005-0000-0000-0000F68F0000}"/>
    <cellStyle name="Normal 2 8 4 2 2 3 5" xfId="36852" xr:uid="{00000000-0005-0000-0000-0000F78F0000}"/>
    <cellStyle name="Normal 2 8 4 2 2 4" xfId="36853" xr:uid="{00000000-0005-0000-0000-0000F88F0000}"/>
    <cellStyle name="Normal 2 8 4 2 2 4 2" xfId="36854" xr:uid="{00000000-0005-0000-0000-0000F98F0000}"/>
    <cellStyle name="Normal 2 8 4 2 2 4 3" xfId="36855" xr:uid="{00000000-0005-0000-0000-0000FA8F0000}"/>
    <cellStyle name="Normal 2 8 4 2 2 4 4" xfId="36856" xr:uid="{00000000-0005-0000-0000-0000FB8F0000}"/>
    <cellStyle name="Normal 2 8 4 2 2 5" xfId="36857" xr:uid="{00000000-0005-0000-0000-0000FC8F0000}"/>
    <cellStyle name="Normal 2 8 4 2 2 5 2" xfId="36858" xr:uid="{00000000-0005-0000-0000-0000FD8F0000}"/>
    <cellStyle name="Normal 2 8 4 2 2 6" xfId="36859" xr:uid="{00000000-0005-0000-0000-0000FE8F0000}"/>
    <cellStyle name="Normal 2 8 4 2 2 7" xfId="36860" xr:uid="{00000000-0005-0000-0000-0000FF8F0000}"/>
    <cellStyle name="Normal 2 8 4 2 2 8" xfId="36861" xr:uid="{00000000-0005-0000-0000-000000900000}"/>
    <cellStyle name="Normal 2 8 4 2 2 9" xfId="36862" xr:uid="{00000000-0005-0000-0000-000001900000}"/>
    <cellStyle name="Normal 2 8 4 2 3" xfId="36863" xr:uid="{00000000-0005-0000-0000-000002900000}"/>
    <cellStyle name="Normal 2 8 4 2 3 2" xfId="36864" xr:uid="{00000000-0005-0000-0000-000003900000}"/>
    <cellStyle name="Normal 2 8 4 2 3 2 2" xfId="36865" xr:uid="{00000000-0005-0000-0000-000004900000}"/>
    <cellStyle name="Normal 2 8 4 2 3 2 2 2" xfId="36866" xr:uid="{00000000-0005-0000-0000-000005900000}"/>
    <cellStyle name="Normal 2 8 4 2 3 2 2 3" xfId="36867" xr:uid="{00000000-0005-0000-0000-000006900000}"/>
    <cellStyle name="Normal 2 8 4 2 3 2 3" xfId="36868" xr:uid="{00000000-0005-0000-0000-000007900000}"/>
    <cellStyle name="Normal 2 8 4 2 3 2 4" xfId="36869" xr:uid="{00000000-0005-0000-0000-000008900000}"/>
    <cellStyle name="Normal 2 8 4 2 3 2 5" xfId="36870" xr:uid="{00000000-0005-0000-0000-000009900000}"/>
    <cellStyle name="Normal 2 8 4 2 3 2 6" xfId="36871" xr:uid="{00000000-0005-0000-0000-00000A900000}"/>
    <cellStyle name="Normal 2 8 4 2 3 3" xfId="36872" xr:uid="{00000000-0005-0000-0000-00000B900000}"/>
    <cellStyle name="Normal 2 8 4 2 3 3 2" xfId="36873" xr:uid="{00000000-0005-0000-0000-00000C900000}"/>
    <cellStyle name="Normal 2 8 4 2 3 3 2 2" xfId="36874" xr:uid="{00000000-0005-0000-0000-00000D900000}"/>
    <cellStyle name="Normal 2 8 4 2 3 3 3" xfId="36875" xr:uid="{00000000-0005-0000-0000-00000E900000}"/>
    <cellStyle name="Normal 2 8 4 2 3 3 4" xfId="36876" xr:uid="{00000000-0005-0000-0000-00000F900000}"/>
    <cellStyle name="Normal 2 8 4 2 3 3 5" xfId="36877" xr:uid="{00000000-0005-0000-0000-000010900000}"/>
    <cellStyle name="Normal 2 8 4 2 3 4" xfId="36878" xr:uid="{00000000-0005-0000-0000-000011900000}"/>
    <cellStyle name="Normal 2 8 4 2 3 4 2" xfId="36879" xr:uid="{00000000-0005-0000-0000-000012900000}"/>
    <cellStyle name="Normal 2 8 4 2 3 4 3" xfId="36880" xr:uid="{00000000-0005-0000-0000-000013900000}"/>
    <cellStyle name="Normal 2 8 4 2 3 4 4" xfId="36881" xr:uid="{00000000-0005-0000-0000-000014900000}"/>
    <cellStyle name="Normal 2 8 4 2 3 5" xfId="36882" xr:uid="{00000000-0005-0000-0000-000015900000}"/>
    <cellStyle name="Normal 2 8 4 2 3 5 2" xfId="36883" xr:uid="{00000000-0005-0000-0000-000016900000}"/>
    <cellStyle name="Normal 2 8 4 2 3 6" xfId="36884" xr:uid="{00000000-0005-0000-0000-000017900000}"/>
    <cellStyle name="Normal 2 8 4 2 3 7" xfId="36885" xr:uid="{00000000-0005-0000-0000-000018900000}"/>
    <cellStyle name="Normal 2 8 4 2 3 8" xfId="36886" xr:uid="{00000000-0005-0000-0000-000019900000}"/>
    <cellStyle name="Normal 2 8 4 2 3 9" xfId="36887" xr:uid="{00000000-0005-0000-0000-00001A900000}"/>
    <cellStyle name="Normal 2 8 4 2 4" xfId="36888" xr:uid="{00000000-0005-0000-0000-00001B900000}"/>
    <cellStyle name="Normal 2 8 4 2 4 2" xfId="36889" xr:uid="{00000000-0005-0000-0000-00001C900000}"/>
    <cellStyle name="Normal 2 8 4 2 4 2 2" xfId="36890" xr:uid="{00000000-0005-0000-0000-00001D900000}"/>
    <cellStyle name="Normal 2 8 4 2 4 2 3" xfId="36891" xr:uid="{00000000-0005-0000-0000-00001E900000}"/>
    <cellStyle name="Normal 2 8 4 2 4 3" xfId="36892" xr:uid="{00000000-0005-0000-0000-00001F900000}"/>
    <cellStyle name="Normal 2 8 4 2 4 4" xfId="36893" xr:uid="{00000000-0005-0000-0000-000020900000}"/>
    <cellStyle name="Normal 2 8 4 2 4 5" xfId="36894" xr:uid="{00000000-0005-0000-0000-000021900000}"/>
    <cellStyle name="Normal 2 8 4 2 4 6" xfId="36895" xr:uid="{00000000-0005-0000-0000-000022900000}"/>
    <cellStyle name="Normal 2 8 4 2 5" xfId="36896" xr:uid="{00000000-0005-0000-0000-000023900000}"/>
    <cellStyle name="Normal 2 8 4 2 5 2" xfId="36897" xr:uid="{00000000-0005-0000-0000-000024900000}"/>
    <cellStyle name="Normal 2 8 4 2 5 2 2" xfId="36898" xr:uid="{00000000-0005-0000-0000-000025900000}"/>
    <cellStyle name="Normal 2 8 4 2 5 3" xfId="36899" xr:uid="{00000000-0005-0000-0000-000026900000}"/>
    <cellStyle name="Normal 2 8 4 2 5 4" xfId="36900" xr:uid="{00000000-0005-0000-0000-000027900000}"/>
    <cellStyle name="Normal 2 8 4 2 5 5" xfId="36901" xr:uid="{00000000-0005-0000-0000-000028900000}"/>
    <cellStyle name="Normal 2 8 4 2 6" xfId="36902" xr:uid="{00000000-0005-0000-0000-000029900000}"/>
    <cellStyle name="Normal 2 8 4 2 6 2" xfId="36903" xr:uid="{00000000-0005-0000-0000-00002A900000}"/>
    <cellStyle name="Normal 2 8 4 2 6 3" xfId="36904" xr:uid="{00000000-0005-0000-0000-00002B900000}"/>
    <cellStyle name="Normal 2 8 4 2 6 4" xfId="36905" xr:uid="{00000000-0005-0000-0000-00002C900000}"/>
    <cellStyle name="Normal 2 8 4 2 7" xfId="36906" xr:uid="{00000000-0005-0000-0000-00002D900000}"/>
    <cellStyle name="Normal 2 8 4 2 7 2" xfId="36907" xr:uid="{00000000-0005-0000-0000-00002E900000}"/>
    <cellStyle name="Normal 2 8 4 2 8" xfId="36908" xr:uid="{00000000-0005-0000-0000-00002F900000}"/>
    <cellStyle name="Normal 2 8 4 2 9" xfId="36909" xr:uid="{00000000-0005-0000-0000-000030900000}"/>
    <cellStyle name="Normal 2 8 4 20" xfId="36910" xr:uid="{00000000-0005-0000-0000-000031900000}"/>
    <cellStyle name="Normal 2 8 4 21" xfId="36911" xr:uid="{00000000-0005-0000-0000-000032900000}"/>
    <cellStyle name="Normal 2 8 4 22" xfId="36912" xr:uid="{00000000-0005-0000-0000-000033900000}"/>
    <cellStyle name="Normal 2 8 4 3" xfId="36913" xr:uid="{00000000-0005-0000-0000-000034900000}"/>
    <cellStyle name="Normal 2 8 4 3 10" xfId="36914" xr:uid="{00000000-0005-0000-0000-000035900000}"/>
    <cellStyle name="Normal 2 8 4 3 11" xfId="36915" xr:uid="{00000000-0005-0000-0000-000036900000}"/>
    <cellStyle name="Normal 2 8 4 3 2" xfId="36916" xr:uid="{00000000-0005-0000-0000-000037900000}"/>
    <cellStyle name="Normal 2 8 4 3 2 2" xfId="36917" xr:uid="{00000000-0005-0000-0000-000038900000}"/>
    <cellStyle name="Normal 2 8 4 3 2 2 2" xfId="36918" xr:uid="{00000000-0005-0000-0000-000039900000}"/>
    <cellStyle name="Normal 2 8 4 3 2 2 2 2" xfId="36919" xr:uid="{00000000-0005-0000-0000-00003A900000}"/>
    <cellStyle name="Normal 2 8 4 3 2 2 2 3" xfId="36920" xr:uid="{00000000-0005-0000-0000-00003B900000}"/>
    <cellStyle name="Normal 2 8 4 3 2 2 3" xfId="36921" xr:uid="{00000000-0005-0000-0000-00003C900000}"/>
    <cellStyle name="Normal 2 8 4 3 2 2 4" xfId="36922" xr:uid="{00000000-0005-0000-0000-00003D900000}"/>
    <cellStyle name="Normal 2 8 4 3 2 2 5" xfId="36923" xr:uid="{00000000-0005-0000-0000-00003E900000}"/>
    <cellStyle name="Normal 2 8 4 3 2 2 6" xfId="36924" xr:uid="{00000000-0005-0000-0000-00003F900000}"/>
    <cellStyle name="Normal 2 8 4 3 2 3" xfId="36925" xr:uid="{00000000-0005-0000-0000-000040900000}"/>
    <cellStyle name="Normal 2 8 4 3 2 3 2" xfId="36926" xr:uid="{00000000-0005-0000-0000-000041900000}"/>
    <cellStyle name="Normal 2 8 4 3 2 3 2 2" xfId="36927" xr:uid="{00000000-0005-0000-0000-000042900000}"/>
    <cellStyle name="Normal 2 8 4 3 2 3 3" xfId="36928" xr:uid="{00000000-0005-0000-0000-000043900000}"/>
    <cellStyle name="Normal 2 8 4 3 2 3 4" xfId="36929" xr:uid="{00000000-0005-0000-0000-000044900000}"/>
    <cellStyle name="Normal 2 8 4 3 2 3 5" xfId="36930" xr:uid="{00000000-0005-0000-0000-000045900000}"/>
    <cellStyle name="Normal 2 8 4 3 2 4" xfId="36931" xr:uid="{00000000-0005-0000-0000-000046900000}"/>
    <cellStyle name="Normal 2 8 4 3 2 4 2" xfId="36932" xr:uid="{00000000-0005-0000-0000-000047900000}"/>
    <cellStyle name="Normal 2 8 4 3 2 4 3" xfId="36933" xr:uid="{00000000-0005-0000-0000-000048900000}"/>
    <cellStyle name="Normal 2 8 4 3 2 4 4" xfId="36934" xr:uid="{00000000-0005-0000-0000-000049900000}"/>
    <cellStyle name="Normal 2 8 4 3 2 5" xfId="36935" xr:uid="{00000000-0005-0000-0000-00004A900000}"/>
    <cellStyle name="Normal 2 8 4 3 2 5 2" xfId="36936" xr:uid="{00000000-0005-0000-0000-00004B900000}"/>
    <cellStyle name="Normal 2 8 4 3 2 6" xfId="36937" xr:uid="{00000000-0005-0000-0000-00004C900000}"/>
    <cellStyle name="Normal 2 8 4 3 2 7" xfId="36938" xr:uid="{00000000-0005-0000-0000-00004D900000}"/>
    <cellStyle name="Normal 2 8 4 3 2 8" xfId="36939" xr:uid="{00000000-0005-0000-0000-00004E900000}"/>
    <cellStyle name="Normal 2 8 4 3 2 9" xfId="36940" xr:uid="{00000000-0005-0000-0000-00004F900000}"/>
    <cellStyle name="Normal 2 8 4 3 3" xfId="36941" xr:uid="{00000000-0005-0000-0000-000050900000}"/>
    <cellStyle name="Normal 2 8 4 3 3 2" xfId="36942" xr:uid="{00000000-0005-0000-0000-000051900000}"/>
    <cellStyle name="Normal 2 8 4 3 3 2 2" xfId="36943" xr:uid="{00000000-0005-0000-0000-000052900000}"/>
    <cellStyle name="Normal 2 8 4 3 3 2 2 2" xfId="36944" xr:uid="{00000000-0005-0000-0000-000053900000}"/>
    <cellStyle name="Normal 2 8 4 3 3 2 2 3" xfId="36945" xr:uid="{00000000-0005-0000-0000-000054900000}"/>
    <cellStyle name="Normal 2 8 4 3 3 2 3" xfId="36946" xr:uid="{00000000-0005-0000-0000-000055900000}"/>
    <cellStyle name="Normal 2 8 4 3 3 2 4" xfId="36947" xr:uid="{00000000-0005-0000-0000-000056900000}"/>
    <cellStyle name="Normal 2 8 4 3 3 2 5" xfId="36948" xr:uid="{00000000-0005-0000-0000-000057900000}"/>
    <cellStyle name="Normal 2 8 4 3 3 2 6" xfId="36949" xr:uid="{00000000-0005-0000-0000-000058900000}"/>
    <cellStyle name="Normal 2 8 4 3 3 3" xfId="36950" xr:uid="{00000000-0005-0000-0000-000059900000}"/>
    <cellStyle name="Normal 2 8 4 3 3 3 2" xfId="36951" xr:uid="{00000000-0005-0000-0000-00005A900000}"/>
    <cellStyle name="Normal 2 8 4 3 3 3 2 2" xfId="36952" xr:uid="{00000000-0005-0000-0000-00005B900000}"/>
    <cellStyle name="Normal 2 8 4 3 3 3 3" xfId="36953" xr:uid="{00000000-0005-0000-0000-00005C900000}"/>
    <cellStyle name="Normal 2 8 4 3 3 3 4" xfId="36954" xr:uid="{00000000-0005-0000-0000-00005D900000}"/>
    <cellStyle name="Normal 2 8 4 3 3 3 5" xfId="36955" xr:uid="{00000000-0005-0000-0000-00005E900000}"/>
    <cellStyle name="Normal 2 8 4 3 3 4" xfId="36956" xr:uid="{00000000-0005-0000-0000-00005F900000}"/>
    <cellStyle name="Normal 2 8 4 3 3 4 2" xfId="36957" xr:uid="{00000000-0005-0000-0000-000060900000}"/>
    <cellStyle name="Normal 2 8 4 3 3 4 3" xfId="36958" xr:uid="{00000000-0005-0000-0000-000061900000}"/>
    <cellStyle name="Normal 2 8 4 3 3 4 4" xfId="36959" xr:uid="{00000000-0005-0000-0000-000062900000}"/>
    <cellStyle name="Normal 2 8 4 3 3 5" xfId="36960" xr:uid="{00000000-0005-0000-0000-000063900000}"/>
    <cellStyle name="Normal 2 8 4 3 3 5 2" xfId="36961" xr:uid="{00000000-0005-0000-0000-000064900000}"/>
    <cellStyle name="Normal 2 8 4 3 3 6" xfId="36962" xr:uid="{00000000-0005-0000-0000-000065900000}"/>
    <cellStyle name="Normal 2 8 4 3 3 7" xfId="36963" xr:uid="{00000000-0005-0000-0000-000066900000}"/>
    <cellStyle name="Normal 2 8 4 3 3 8" xfId="36964" xr:uid="{00000000-0005-0000-0000-000067900000}"/>
    <cellStyle name="Normal 2 8 4 3 3 9" xfId="36965" xr:uid="{00000000-0005-0000-0000-000068900000}"/>
    <cellStyle name="Normal 2 8 4 3 4" xfId="36966" xr:uid="{00000000-0005-0000-0000-000069900000}"/>
    <cellStyle name="Normal 2 8 4 3 4 2" xfId="36967" xr:uid="{00000000-0005-0000-0000-00006A900000}"/>
    <cellStyle name="Normal 2 8 4 3 4 2 2" xfId="36968" xr:uid="{00000000-0005-0000-0000-00006B900000}"/>
    <cellStyle name="Normal 2 8 4 3 4 2 3" xfId="36969" xr:uid="{00000000-0005-0000-0000-00006C900000}"/>
    <cellStyle name="Normal 2 8 4 3 4 3" xfId="36970" xr:uid="{00000000-0005-0000-0000-00006D900000}"/>
    <cellStyle name="Normal 2 8 4 3 4 4" xfId="36971" xr:uid="{00000000-0005-0000-0000-00006E900000}"/>
    <cellStyle name="Normal 2 8 4 3 4 5" xfId="36972" xr:uid="{00000000-0005-0000-0000-00006F900000}"/>
    <cellStyle name="Normal 2 8 4 3 4 6" xfId="36973" xr:uid="{00000000-0005-0000-0000-000070900000}"/>
    <cellStyle name="Normal 2 8 4 3 5" xfId="36974" xr:uid="{00000000-0005-0000-0000-000071900000}"/>
    <cellStyle name="Normal 2 8 4 3 5 2" xfId="36975" xr:uid="{00000000-0005-0000-0000-000072900000}"/>
    <cellStyle name="Normal 2 8 4 3 5 2 2" xfId="36976" xr:uid="{00000000-0005-0000-0000-000073900000}"/>
    <cellStyle name="Normal 2 8 4 3 5 3" xfId="36977" xr:uid="{00000000-0005-0000-0000-000074900000}"/>
    <cellStyle name="Normal 2 8 4 3 5 4" xfId="36978" xr:uid="{00000000-0005-0000-0000-000075900000}"/>
    <cellStyle name="Normal 2 8 4 3 5 5" xfId="36979" xr:uid="{00000000-0005-0000-0000-000076900000}"/>
    <cellStyle name="Normal 2 8 4 3 6" xfId="36980" xr:uid="{00000000-0005-0000-0000-000077900000}"/>
    <cellStyle name="Normal 2 8 4 3 6 2" xfId="36981" xr:uid="{00000000-0005-0000-0000-000078900000}"/>
    <cellStyle name="Normal 2 8 4 3 6 3" xfId="36982" xr:uid="{00000000-0005-0000-0000-000079900000}"/>
    <cellStyle name="Normal 2 8 4 3 6 4" xfId="36983" xr:uid="{00000000-0005-0000-0000-00007A900000}"/>
    <cellStyle name="Normal 2 8 4 3 7" xfId="36984" xr:uid="{00000000-0005-0000-0000-00007B900000}"/>
    <cellStyle name="Normal 2 8 4 3 7 2" xfId="36985" xr:uid="{00000000-0005-0000-0000-00007C900000}"/>
    <cellStyle name="Normal 2 8 4 3 8" xfId="36986" xr:uid="{00000000-0005-0000-0000-00007D900000}"/>
    <cellStyle name="Normal 2 8 4 3 9" xfId="36987" xr:uid="{00000000-0005-0000-0000-00007E900000}"/>
    <cellStyle name="Normal 2 8 4 4" xfId="36988" xr:uid="{00000000-0005-0000-0000-00007F900000}"/>
    <cellStyle name="Normal 2 8 4 4 10" xfId="36989" xr:uid="{00000000-0005-0000-0000-000080900000}"/>
    <cellStyle name="Normal 2 8 4 4 11" xfId="36990" xr:uid="{00000000-0005-0000-0000-000081900000}"/>
    <cellStyle name="Normal 2 8 4 4 2" xfId="36991" xr:uid="{00000000-0005-0000-0000-000082900000}"/>
    <cellStyle name="Normal 2 8 4 4 2 2" xfId="36992" xr:uid="{00000000-0005-0000-0000-000083900000}"/>
    <cellStyle name="Normal 2 8 4 4 2 2 2" xfId="36993" xr:uid="{00000000-0005-0000-0000-000084900000}"/>
    <cellStyle name="Normal 2 8 4 4 2 2 2 2" xfId="36994" xr:uid="{00000000-0005-0000-0000-000085900000}"/>
    <cellStyle name="Normal 2 8 4 4 2 2 2 3" xfId="36995" xr:uid="{00000000-0005-0000-0000-000086900000}"/>
    <cellStyle name="Normal 2 8 4 4 2 2 3" xfId="36996" xr:uid="{00000000-0005-0000-0000-000087900000}"/>
    <cellStyle name="Normal 2 8 4 4 2 2 4" xfId="36997" xr:uid="{00000000-0005-0000-0000-000088900000}"/>
    <cellStyle name="Normal 2 8 4 4 2 2 5" xfId="36998" xr:uid="{00000000-0005-0000-0000-000089900000}"/>
    <cellStyle name="Normal 2 8 4 4 2 2 6" xfId="36999" xr:uid="{00000000-0005-0000-0000-00008A900000}"/>
    <cellStyle name="Normal 2 8 4 4 2 3" xfId="37000" xr:uid="{00000000-0005-0000-0000-00008B900000}"/>
    <cellStyle name="Normal 2 8 4 4 2 3 2" xfId="37001" xr:uid="{00000000-0005-0000-0000-00008C900000}"/>
    <cellStyle name="Normal 2 8 4 4 2 3 2 2" xfId="37002" xr:uid="{00000000-0005-0000-0000-00008D900000}"/>
    <cellStyle name="Normal 2 8 4 4 2 3 3" xfId="37003" xr:uid="{00000000-0005-0000-0000-00008E900000}"/>
    <cellStyle name="Normal 2 8 4 4 2 3 4" xfId="37004" xr:uid="{00000000-0005-0000-0000-00008F900000}"/>
    <cellStyle name="Normal 2 8 4 4 2 3 5" xfId="37005" xr:uid="{00000000-0005-0000-0000-000090900000}"/>
    <cellStyle name="Normal 2 8 4 4 2 4" xfId="37006" xr:uid="{00000000-0005-0000-0000-000091900000}"/>
    <cellStyle name="Normal 2 8 4 4 2 4 2" xfId="37007" xr:uid="{00000000-0005-0000-0000-000092900000}"/>
    <cellStyle name="Normal 2 8 4 4 2 4 3" xfId="37008" xr:uid="{00000000-0005-0000-0000-000093900000}"/>
    <cellStyle name="Normal 2 8 4 4 2 4 4" xfId="37009" xr:uid="{00000000-0005-0000-0000-000094900000}"/>
    <cellStyle name="Normal 2 8 4 4 2 5" xfId="37010" xr:uid="{00000000-0005-0000-0000-000095900000}"/>
    <cellStyle name="Normal 2 8 4 4 2 5 2" xfId="37011" xr:uid="{00000000-0005-0000-0000-000096900000}"/>
    <cellStyle name="Normal 2 8 4 4 2 6" xfId="37012" xr:uid="{00000000-0005-0000-0000-000097900000}"/>
    <cellStyle name="Normal 2 8 4 4 2 7" xfId="37013" xr:uid="{00000000-0005-0000-0000-000098900000}"/>
    <cellStyle name="Normal 2 8 4 4 2 8" xfId="37014" xr:uid="{00000000-0005-0000-0000-000099900000}"/>
    <cellStyle name="Normal 2 8 4 4 2 9" xfId="37015" xr:uid="{00000000-0005-0000-0000-00009A900000}"/>
    <cellStyle name="Normal 2 8 4 4 3" xfId="37016" xr:uid="{00000000-0005-0000-0000-00009B900000}"/>
    <cellStyle name="Normal 2 8 4 4 3 2" xfId="37017" xr:uid="{00000000-0005-0000-0000-00009C900000}"/>
    <cellStyle name="Normal 2 8 4 4 3 2 2" xfId="37018" xr:uid="{00000000-0005-0000-0000-00009D900000}"/>
    <cellStyle name="Normal 2 8 4 4 3 2 2 2" xfId="37019" xr:uid="{00000000-0005-0000-0000-00009E900000}"/>
    <cellStyle name="Normal 2 8 4 4 3 2 2 3" xfId="37020" xr:uid="{00000000-0005-0000-0000-00009F900000}"/>
    <cellStyle name="Normal 2 8 4 4 3 2 3" xfId="37021" xr:uid="{00000000-0005-0000-0000-0000A0900000}"/>
    <cellStyle name="Normal 2 8 4 4 3 2 4" xfId="37022" xr:uid="{00000000-0005-0000-0000-0000A1900000}"/>
    <cellStyle name="Normal 2 8 4 4 3 2 5" xfId="37023" xr:uid="{00000000-0005-0000-0000-0000A2900000}"/>
    <cellStyle name="Normal 2 8 4 4 3 2 6" xfId="37024" xr:uid="{00000000-0005-0000-0000-0000A3900000}"/>
    <cellStyle name="Normal 2 8 4 4 3 3" xfId="37025" xr:uid="{00000000-0005-0000-0000-0000A4900000}"/>
    <cellStyle name="Normal 2 8 4 4 3 3 2" xfId="37026" xr:uid="{00000000-0005-0000-0000-0000A5900000}"/>
    <cellStyle name="Normal 2 8 4 4 3 3 2 2" xfId="37027" xr:uid="{00000000-0005-0000-0000-0000A6900000}"/>
    <cellStyle name="Normal 2 8 4 4 3 3 3" xfId="37028" xr:uid="{00000000-0005-0000-0000-0000A7900000}"/>
    <cellStyle name="Normal 2 8 4 4 3 3 4" xfId="37029" xr:uid="{00000000-0005-0000-0000-0000A8900000}"/>
    <cellStyle name="Normal 2 8 4 4 3 3 5" xfId="37030" xr:uid="{00000000-0005-0000-0000-0000A9900000}"/>
    <cellStyle name="Normal 2 8 4 4 3 4" xfId="37031" xr:uid="{00000000-0005-0000-0000-0000AA900000}"/>
    <cellStyle name="Normal 2 8 4 4 3 4 2" xfId="37032" xr:uid="{00000000-0005-0000-0000-0000AB900000}"/>
    <cellStyle name="Normal 2 8 4 4 3 4 3" xfId="37033" xr:uid="{00000000-0005-0000-0000-0000AC900000}"/>
    <cellStyle name="Normal 2 8 4 4 3 4 4" xfId="37034" xr:uid="{00000000-0005-0000-0000-0000AD900000}"/>
    <cellStyle name="Normal 2 8 4 4 3 5" xfId="37035" xr:uid="{00000000-0005-0000-0000-0000AE900000}"/>
    <cellStyle name="Normal 2 8 4 4 3 5 2" xfId="37036" xr:uid="{00000000-0005-0000-0000-0000AF900000}"/>
    <cellStyle name="Normal 2 8 4 4 3 6" xfId="37037" xr:uid="{00000000-0005-0000-0000-0000B0900000}"/>
    <cellStyle name="Normal 2 8 4 4 3 7" xfId="37038" xr:uid="{00000000-0005-0000-0000-0000B1900000}"/>
    <cellStyle name="Normal 2 8 4 4 3 8" xfId="37039" xr:uid="{00000000-0005-0000-0000-0000B2900000}"/>
    <cellStyle name="Normal 2 8 4 4 3 9" xfId="37040" xr:uid="{00000000-0005-0000-0000-0000B3900000}"/>
    <cellStyle name="Normal 2 8 4 4 4" xfId="37041" xr:uid="{00000000-0005-0000-0000-0000B4900000}"/>
    <cellStyle name="Normal 2 8 4 4 4 2" xfId="37042" xr:uid="{00000000-0005-0000-0000-0000B5900000}"/>
    <cellStyle name="Normal 2 8 4 4 4 2 2" xfId="37043" xr:uid="{00000000-0005-0000-0000-0000B6900000}"/>
    <cellStyle name="Normal 2 8 4 4 4 2 3" xfId="37044" xr:uid="{00000000-0005-0000-0000-0000B7900000}"/>
    <cellStyle name="Normal 2 8 4 4 4 3" xfId="37045" xr:uid="{00000000-0005-0000-0000-0000B8900000}"/>
    <cellStyle name="Normal 2 8 4 4 4 4" xfId="37046" xr:uid="{00000000-0005-0000-0000-0000B9900000}"/>
    <cellStyle name="Normal 2 8 4 4 4 5" xfId="37047" xr:uid="{00000000-0005-0000-0000-0000BA900000}"/>
    <cellStyle name="Normal 2 8 4 4 4 6" xfId="37048" xr:uid="{00000000-0005-0000-0000-0000BB900000}"/>
    <cellStyle name="Normal 2 8 4 4 5" xfId="37049" xr:uid="{00000000-0005-0000-0000-0000BC900000}"/>
    <cellStyle name="Normal 2 8 4 4 5 2" xfId="37050" xr:uid="{00000000-0005-0000-0000-0000BD900000}"/>
    <cellStyle name="Normal 2 8 4 4 5 2 2" xfId="37051" xr:uid="{00000000-0005-0000-0000-0000BE900000}"/>
    <cellStyle name="Normal 2 8 4 4 5 3" xfId="37052" xr:uid="{00000000-0005-0000-0000-0000BF900000}"/>
    <cellStyle name="Normal 2 8 4 4 5 4" xfId="37053" xr:uid="{00000000-0005-0000-0000-0000C0900000}"/>
    <cellStyle name="Normal 2 8 4 4 5 5" xfId="37054" xr:uid="{00000000-0005-0000-0000-0000C1900000}"/>
    <cellStyle name="Normal 2 8 4 4 6" xfId="37055" xr:uid="{00000000-0005-0000-0000-0000C2900000}"/>
    <cellStyle name="Normal 2 8 4 4 6 2" xfId="37056" xr:uid="{00000000-0005-0000-0000-0000C3900000}"/>
    <cellStyle name="Normal 2 8 4 4 6 3" xfId="37057" xr:uid="{00000000-0005-0000-0000-0000C4900000}"/>
    <cellStyle name="Normal 2 8 4 4 6 4" xfId="37058" xr:uid="{00000000-0005-0000-0000-0000C5900000}"/>
    <cellStyle name="Normal 2 8 4 4 7" xfId="37059" xr:uid="{00000000-0005-0000-0000-0000C6900000}"/>
    <cellStyle name="Normal 2 8 4 4 7 2" xfId="37060" xr:uid="{00000000-0005-0000-0000-0000C7900000}"/>
    <cellStyle name="Normal 2 8 4 4 8" xfId="37061" xr:uid="{00000000-0005-0000-0000-0000C8900000}"/>
    <cellStyle name="Normal 2 8 4 4 9" xfId="37062" xr:uid="{00000000-0005-0000-0000-0000C9900000}"/>
    <cellStyle name="Normal 2 8 4 5" xfId="37063" xr:uid="{00000000-0005-0000-0000-0000CA900000}"/>
    <cellStyle name="Normal 2 8 4 5 10" xfId="37064" xr:uid="{00000000-0005-0000-0000-0000CB900000}"/>
    <cellStyle name="Normal 2 8 4 5 11" xfId="37065" xr:uid="{00000000-0005-0000-0000-0000CC900000}"/>
    <cellStyle name="Normal 2 8 4 5 2" xfId="37066" xr:uid="{00000000-0005-0000-0000-0000CD900000}"/>
    <cellStyle name="Normal 2 8 4 5 2 2" xfId="37067" xr:uid="{00000000-0005-0000-0000-0000CE900000}"/>
    <cellStyle name="Normal 2 8 4 5 2 2 2" xfId="37068" xr:uid="{00000000-0005-0000-0000-0000CF900000}"/>
    <cellStyle name="Normal 2 8 4 5 2 2 2 2" xfId="37069" xr:uid="{00000000-0005-0000-0000-0000D0900000}"/>
    <cellStyle name="Normal 2 8 4 5 2 2 2 3" xfId="37070" xr:uid="{00000000-0005-0000-0000-0000D1900000}"/>
    <cellStyle name="Normal 2 8 4 5 2 2 3" xfId="37071" xr:uid="{00000000-0005-0000-0000-0000D2900000}"/>
    <cellStyle name="Normal 2 8 4 5 2 2 4" xfId="37072" xr:uid="{00000000-0005-0000-0000-0000D3900000}"/>
    <cellStyle name="Normal 2 8 4 5 2 2 5" xfId="37073" xr:uid="{00000000-0005-0000-0000-0000D4900000}"/>
    <cellStyle name="Normal 2 8 4 5 2 2 6" xfId="37074" xr:uid="{00000000-0005-0000-0000-0000D5900000}"/>
    <cellStyle name="Normal 2 8 4 5 2 3" xfId="37075" xr:uid="{00000000-0005-0000-0000-0000D6900000}"/>
    <cellStyle name="Normal 2 8 4 5 2 3 2" xfId="37076" xr:uid="{00000000-0005-0000-0000-0000D7900000}"/>
    <cellStyle name="Normal 2 8 4 5 2 3 2 2" xfId="37077" xr:uid="{00000000-0005-0000-0000-0000D8900000}"/>
    <cellStyle name="Normal 2 8 4 5 2 3 3" xfId="37078" xr:uid="{00000000-0005-0000-0000-0000D9900000}"/>
    <cellStyle name="Normal 2 8 4 5 2 3 4" xfId="37079" xr:uid="{00000000-0005-0000-0000-0000DA900000}"/>
    <cellStyle name="Normal 2 8 4 5 2 3 5" xfId="37080" xr:uid="{00000000-0005-0000-0000-0000DB900000}"/>
    <cellStyle name="Normal 2 8 4 5 2 4" xfId="37081" xr:uid="{00000000-0005-0000-0000-0000DC900000}"/>
    <cellStyle name="Normal 2 8 4 5 2 4 2" xfId="37082" xr:uid="{00000000-0005-0000-0000-0000DD900000}"/>
    <cellStyle name="Normal 2 8 4 5 2 4 3" xfId="37083" xr:uid="{00000000-0005-0000-0000-0000DE900000}"/>
    <cellStyle name="Normal 2 8 4 5 2 4 4" xfId="37084" xr:uid="{00000000-0005-0000-0000-0000DF900000}"/>
    <cellStyle name="Normal 2 8 4 5 2 5" xfId="37085" xr:uid="{00000000-0005-0000-0000-0000E0900000}"/>
    <cellStyle name="Normal 2 8 4 5 2 5 2" xfId="37086" xr:uid="{00000000-0005-0000-0000-0000E1900000}"/>
    <cellStyle name="Normal 2 8 4 5 2 6" xfId="37087" xr:uid="{00000000-0005-0000-0000-0000E2900000}"/>
    <cellStyle name="Normal 2 8 4 5 2 7" xfId="37088" xr:uid="{00000000-0005-0000-0000-0000E3900000}"/>
    <cellStyle name="Normal 2 8 4 5 2 8" xfId="37089" xr:uid="{00000000-0005-0000-0000-0000E4900000}"/>
    <cellStyle name="Normal 2 8 4 5 2 9" xfId="37090" xr:uid="{00000000-0005-0000-0000-0000E5900000}"/>
    <cellStyle name="Normal 2 8 4 5 3" xfId="37091" xr:uid="{00000000-0005-0000-0000-0000E6900000}"/>
    <cellStyle name="Normal 2 8 4 5 3 2" xfId="37092" xr:uid="{00000000-0005-0000-0000-0000E7900000}"/>
    <cellStyle name="Normal 2 8 4 5 3 2 2" xfId="37093" xr:uid="{00000000-0005-0000-0000-0000E8900000}"/>
    <cellStyle name="Normal 2 8 4 5 3 2 2 2" xfId="37094" xr:uid="{00000000-0005-0000-0000-0000E9900000}"/>
    <cellStyle name="Normal 2 8 4 5 3 2 2 3" xfId="37095" xr:uid="{00000000-0005-0000-0000-0000EA900000}"/>
    <cellStyle name="Normal 2 8 4 5 3 2 3" xfId="37096" xr:uid="{00000000-0005-0000-0000-0000EB900000}"/>
    <cellStyle name="Normal 2 8 4 5 3 2 4" xfId="37097" xr:uid="{00000000-0005-0000-0000-0000EC900000}"/>
    <cellStyle name="Normal 2 8 4 5 3 2 5" xfId="37098" xr:uid="{00000000-0005-0000-0000-0000ED900000}"/>
    <cellStyle name="Normal 2 8 4 5 3 2 6" xfId="37099" xr:uid="{00000000-0005-0000-0000-0000EE900000}"/>
    <cellStyle name="Normal 2 8 4 5 3 3" xfId="37100" xr:uid="{00000000-0005-0000-0000-0000EF900000}"/>
    <cellStyle name="Normal 2 8 4 5 3 3 2" xfId="37101" xr:uid="{00000000-0005-0000-0000-0000F0900000}"/>
    <cellStyle name="Normal 2 8 4 5 3 3 2 2" xfId="37102" xr:uid="{00000000-0005-0000-0000-0000F1900000}"/>
    <cellStyle name="Normal 2 8 4 5 3 3 3" xfId="37103" xr:uid="{00000000-0005-0000-0000-0000F2900000}"/>
    <cellStyle name="Normal 2 8 4 5 3 3 4" xfId="37104" xr:uid="{00000000-0005-0000-0000-0000F3900000}"/>
    <cellStyle name="Normal 2 8 4 5 3 3 5" xfId="37105" xr:uid="{00000000-0005-0000-0000-0000F4900000}"/>
    <cellStyle name="Normal 2 8 4 5 3 4" xfId="37106" xr:uid="{00000000-0005-0000-0000-0000F5900000}"/>
    <cellStyle name="Normal 2 8 4 5 3 4 2" xfId="37107" xr:uid="{00000000-0005-0000-0000-0000F6900000}"/>
    <cellStyle name="Normal 2 8 4 5 3 4 3" xfId="37108" xr:uid="{00000000-0005-0000-0000-0000F7900000}"/>
    <cellStyle name="Normal 2 8 4 5 3 4 4" xfId="37109" xr:uid="{00000000-0005-0000-0000-0000F8900000}"/>
    <cellStyle name="Normal 2 8 4 5 3 5" xfId="37110" xr:uid="{00000000-0005-0000-0000-0000F9900000}"/>
    <cellStyle name="Normal 2 8 4 5 3 5 2" xfId="37111" xr:uid="{00000000-0005-0000-0000-0000FA900000}"/>
    <cellStyle name="Normal 2 8 4 5 3 6" xfId="37112" xr:uid="{00000000-0005-0000-0000-0000FB900000}"/>
    <cellStyle name="Normal 2 8 4 5 3 7" xfId="37113" xr:uid="{00000000-0005-0000-0000-0000FC900000}"/>
    <cellStyle name="Normal 2 8 4 5 3 8" xfId="37114" xr:uid="{00000000-0005-0000-0000-0000FD900000}"/>
    <cellStyle name="Normal 2 8 4 5 3 9" xfId="37115" xr:uid="{00000000-0005-0000-0000-0000FE900000}"/>
    <cellStyle name="Normal 2 8 4 5 4" xfId="37116" xr:uid="{00000000-0005-0000-0000-0000FF900000}"/>
    <cellStyle name="Normal 2 8 4 5 4 2" xfId="37117" xr:uid="{00000000-0005-0000-0000-000000910000}"/>
    <cellStyle name="Normal 2 8 4 5 4 2 2" xfId="37118" xr:uid="{00000000-0005-0000-0000-000001910000}"/>
    <cellStyle name="Normal 2 8 4 5 4 2 3" xfId="37119" xr:uid="{00000000-0005-0000-0000-000002910000}"/>
    <cellStyle name="Normal 2 8 4 5 4 3" xfId="37120" xr:uid="{00000000-0005-0000-0000-000003910000}"/>
    <cellStyle name="Normal 2 8 4 5 4 4" xfId="37121" xr:uid="{00000000-0005-0000-0000-000004910000}"/>
    <cellStyle name="Normal 2 8 4 5 4 5" xfId="37122" xr:uid="{00000000-0005-0000-0000-000005910000}"/>
    <cellStyle name="Normal 2 8 4 5 4 6" xfId="37123" xr:uid="{00000000-0005-0000-0000-000006910000}"/>
    <cellStyle name="Normal 2 8 4 5 5" xfId="37124" xr:uid="{00000000-0005-0000-0000-000007910000}"/>
    <cellStyle name="Normal 2 8 4 5 5 2" xfId="37125" xr:uid="{00000000-0005-0000-0000-000008910000}"/>
    <cellStyle name="Normal 2 8 4 5 5 2 2" xfId="37126" xr:uid="{00000000-0005-0000-0000-000009910000}"/>
    <cellStyle name="Normal 2 8 4 5 5 3" xfId="37127" xr:uid="{00000000-0005-0000-0000-00000A910000}"/>
    <cellStyle name="Normal 2 8 4 5 5 4" xfId="37128" xr:uid="{00000000-0005-0000-0000-00000B910000}"/>
    <cellStyle name="Normal 2 8 4 5 5 5" xfId="37129" xr:uid="{00000000-0005-0000-0000-00000C910000}"/>
    <cellStyle name="Normal 2 8 4 5 6" xfId="37130" xr:uid="{00000000-0005-0000-0000-00000D910000}"/>
    <cellStyle name="Normal 2 8 4 5 6 2" xfId="37131" xr:uid="{00000000-0005-0000-0000-00000E910000}"/>
    <cellStyle name="Normal 2 8 4 5 6 3" xfId="37132" xr:uid="{00000000-0005-0000-0000-00000F910000}"/>
    <cellStyle name="Normal 2 8 4 5 6 4" xfId="37133" xr:uid="{00000000-0005-0000-0000-000010910000}"/>
    <cellStyle name="Normal 2 8 4 5 7" xfId="37134" xr:uid="{00000000-0005-0000-0000-000011910000}"/>
    <cellStyle name="Normal 2 8 4 5 7 2" xfId="37135" xr:uid="{00000000-0005-0000-0000-000012910000}"/>
    <cellStyle name="Normal 2 8 4 5 8" xfId="37136" xr:uid="{00000000-0005-0000-0000-000013910000}"/>
    <cellStyle name="Normal 2 8 4 5 9" xfId="37137" xr:uid="{00000000-0005-0000-0000-000014910000}"/>
    <cellStyle name="Normal 2 8 4 6" xfId="37138" xr:uid="{00000000-0005-0000-0000-000015910000}"/>
    <cellStyle name="Normal 2 8 4 6 10" xfId="37139" xr:uid="{00000000-0005-0000-0000-000016910000}"/>
    <cellStyle name="Normal 2 8 4 6 11" xfId="37140" xr:uid="{00000000-0005-0000-0000-000017910000}"/>
    <cellStyle name="Normal 2 8 4 6 2" xfId="37141" xr:uid="{00000000-0005-0000-0000-000018910000}"/>
    <cellStyle name="Normal 2 8 4 6 2 2" xfId="37142" xr:uid="{00000000-0005-0000-0000-000019910000}"/>
    <cellStyle name="Normal 2 8 4 6 2 2 2" xfId="37143" xr:uid="{00000000-0005-0000-0000-00001A910000}"/>
    <cellStyle name="Normal 2 8 4 6 2 2 2 2" xfId="37144" xr:uid="{00000000-0005-0000-0000-00001B910000}"/>
    <cellStyle name="Normal 2 8 4 6 2 2 2 3" xfId="37145" xr:uid="{00000000-0005-0000-0000-00001C910000}"/>
    <cellStyle name="Normal 2 8 4 6 2 2 3" xfId="37146" xr:uid="{00000000-0005-0000-0000-00001D910000}"/>
    <cellStyle name="Normal 2 8 4 6 2 2 4" xfId="37147" xr:uid="{00000000-0005-0000-0000-00001E910000}"/>
    <cellStyle name="Normal 2 8 4 6 2 2 5" xfId="37148" xr:uid="{00000000-0005-0000-0000-00001F910000}"/>
    <cellStyle name="Normal 2 8 4 6 2 2 6" xfId="37149" xr:uid="{00000000-0005-0000-0000-000020910000}"/>
    <cellStyle name="Normal 2 8 4 6 2 3" xfId="37150" xr:uid="{00000000-0005-0000-0000-000021910000}"/>
    <cellStyle name="Normal 2 8 4 6 2 3 2" xfId="37151" xr:uid="{00000000-0005-0000-0000-000022910000}"/>
    <cellStyle name="Normal 2 8 4 6 2 3 2 2" xfId="37152" xr:uid="{00000000-0005-0000-0000-000023910000}"/>
    <cellStyle name="Normal 2 8 4 6 2 3 3" xfId="37153" xr:uid="{00000000-0005-0000-0000-000024910000}"/>
    <cellStyle name="Normal 2 8 4 6 2 3 4" xfId="37154" xr:uid="{00000000-0005-0000-0000-000025910000}"/>
    <cellStyle name="Normal 2 8 4 6 2 3 5" xfId="37155" xr:uid="{00000000-0005-0000-0000-000026910000}"/>
    <cellStyle name="Normal 2 8 4 6 2 4" xfId="37156" xr:uid="{00000000-0005-0000-0000-000027910000}"/>
    <cellStyle name="Normal 2 8 4 6 2 4 2" xfId="37157" xr:uid="{00000000-0005-0000-0000-000028910000}"/>
    <cellStyle name="Normal 2 8 4 6 2 4 3" xfId="37158" xr:uid="{00000000-0005-0000-0000-000029910000}"/>
    <cellStyle name="Normal 2 8 4 6 2 4 4" xfId="37159" xr:uid="{00000000-0005-0000-0000-00002A910000}"/>
    <cellStyle name="Normal 2 8 4 6 2 5" xfId="37160" xr:uid="{00000000-0005-0000-0000-00002B910000}"/>
    <cellStyle name="Normal 2 8 4 6 2 5 2" xfId="37161" xr:uid="{00000000-0005-0000-0000-00002C910000}"/>
    <cellStyle name="Normal 2 8 4 6 2 6" xfId="37162" xr:uid="{00000000-0005-0000-0000-00002D910000}"/>
    <cellStyle name="Normal 2 8 4 6 2 7" xfId="37163" xr:uid="{00000000-0005-0000-0000-00002E910000}"/>
    <cellStyle name="Normal 2 8 4 6 2 8" xfId="37164" xr:uid="{00000000-0005-0000-0000-00002F910000}"/>
    <cellStyle name="Normal 2 8 4 6 2 9" xfId="37165" xr:uid="{00000000-0005-0000-0000-000030910000}"/>
    <cellStyle name="Normal 2 8 4 6 3" xfId="37166" xr:uid="{00000000-0005-0000-0000-000031910000}"/>
    <cellStyle name="Normal 2 8 4 6 3 2" xfId="37167" xr:uid="{00000000-0005-0000-0000-000032910000}"/>
    <cellStyle name="Normal 2 8 4 6 3 2 2" xfId="37168" xr:uid="{00000000-0005-0000-0000-000033910000}"/>
    <cellStyle name="Normal 2 8 4 6 3 2 2 2" xfId="37169" xr:uid="{00000000-0005-0000-0000-000034910000}"/>
    <cellStyle name="Normal 2 8 4 6 3 2 2 3" xfId="37170" xr:uid="{00000000-0005-0000-0000-000035910000}"/>
    <cellStyle name="Normal 2 8 4 6 3 2 3" xfId="37171" xr:uid="{00000000-0005-0000-0000-000036910000}"/>
    <cellStyle name="Normal 2 8 4 6 3 2 4" xfId="37172" xr:uid="{00000000-0005-0000-0000-000037910000}"/>
    <cellStyle name="Normal 2 8 4 6 3 2 5" xfId="37173" xr:uid="{00000000-0005-0000-0000-000038910000}"/>
    <cellStyle name="Normal 2 8 4 6 3 2 6" xfId="37174" xr:uid="{00000000-0005-0000-0000-000039910000}"/>
    <cellStyle name="Normal 2 8 4 6 3 3" xfId="37175" xr:uid="{00000000-0005-0000-0000-00003A910000}"/>
    <cellStyle name="Normal 2 8 4 6 3 3 2" xfId="37176" xr:uid="{00000000-0005-0000-0000-00003B910000}"/>
    <cellStyle name="Normal 2 8 4 6 3 3 2 2" xfId="37177" xr:uid="{00000000-0005-0000-0000-00003C910000}"/>
    <cellStyle name="Normal 2 8 4 6 3 3 3" xfId="37178" xr:uid="{00000000-0005-0000-0000-00003D910000}"/>
    <cellStyle name="Normal 2 8 4 6 3 3 4" xfId="37179" xr:uid="{00000000-0005-0000-0000-00003E910000}"/>
    <cellStyle name="Normal 2 8 4 6 3 3 5" xfId="37180" xr:uid="{00000000-0005-0000-0000-00003F910000}"/>
    <cellStyle name="Normal 2 8 4 6 3 4" xfId="37181" xr:uid="{00000000-0005-0000-0000-000040910000}"/>
    <cellStyle name="Normal 2 8 4 6 3 4 2" xfId="37182" xr:uid="{00000000-0005-0000-0000-000041910000}"/>
    <cellStyle name="Normal 2 8 4 6 3 4 3" xfId="37183" xr:uid="{00000000-0005-0000-0000-000042910000}"/>
    <cellStyle name="Normal 2 8 4 6 3 4 4" xfId="37184" xr:uid="{00000000-0005-0000-0000-000043910000}"/>
    <cellStyle name="Normal 2 8 4 6 3 5" xfId="37185" xr:uid="{00000000-0005-0000-0000-000044910000}"/>
    <cellStyle name="Normal 2 8 4 6 3 5 2" xfId="37186" xr:uid="{00000000-0005-0000-0000-000045910000}"/>
    <cellStyle name="Normal 2 8 4 6 3 6" xfId="37187" xr:uid="{00000000-0005-0000-0000-000046910000}"/>
    <cellStyle name="Normal 2 8 4 6 3 7" xfId="37188" xr:uid="{00000000-0005-0000-0000-000047910000}"/>
    <cellStyle name="Normal 2 8 4 6 3 8" xfId="37189" xr:uid="{00000000-0005-0000-0000-000048910000}"/>
    <cellStyle name="Normal 2 8 4 6 3 9" xfId="37190" xr:uid="{00000000-0005-0000-0000-000049910000}"/>
    <cellStyle name="Normal 2 8 4 6 4" xfId="37191" xr:uid="{00000000-0005-0000-0000-00004A910000}"/>
    <cellStyle name="Normal 2 8 4 6 4 2" xfId="37192" xr:uid="{00000000-0005-0000-0000-00004B910000}"/>
    <cellStyle name="Normal 2 8 4 6 4 2 2" xfId="37193" xr:uid="{00000000-0005-0000-0000-00004C910000}"/>
    <cellStyle name="Normal 2 8 4 6 4 2 3" xfId="37194" xr:uid="{00000000-0005-0000-0000-00004D910000}"/>
    <cellStyle name="Normal 2 8 4 6 4 3" xfId="37195" xr:uid="{00000000-0005-0000-0000-00004E910000}"/>
    <cellStyle name="Normal 2 8 4 6 4 4" xfId="37196" xr:uid="{00000000-0005-0000-0000-00004F910000}"/>
    <cellStyle name="Normal 2 8 4 6 4 5" xfId="37197" xr:uid="{00000000-0005-0000-0000-000050910000}"/>
    <cellStyle name="Normal 2 8 4 6 4 6" xfId="37198" xr:uid="{00000000-0005-0000-0000-000051910000}"/>
    <cellStyle name="Normal 2 8 4 6 5" xfId="37199" xr:uid="{00000000-0005-0000-0000-000052910000}"/>
    <cellStyle name="Normal 2 8 4 6 5 2" xfId="37200" xr:uid="{00000000-0005-0000-0000-000053910000}"/>
    <cellStyle name="Normal 2 8 4 6 5 2 2" xfId="37201" xr:uid="{00000000-0005-0000-0000-000054910000}"/>
    <cellStyle name="Normal 2 8 4 6 5 3" xfId="37202" xr:uid="{00000000-0005-0000-0000-000055910000}"/>
    <cellStyle name="Normal 2 8 4 6 5 4" xfId="37203" xr:uid="{00000000-0005-0000-0000-000056910000}"/>
    <cellStyle name="Normal 2 8 4 6 5 5" xfId="37204" xr:uid="{00000000-0005-0000-0000-000057910000}"/>
    <cellStyle name="Normal 2 8 4 6 6" xfId="37205" xr:uid="{00000000-0005-0000-0000-000058910000}"/>
    <cellStyle name="Normal 2 8 4 6 6 2" xfId="37206" xr:uid="{00000000-0005-0000-0000-000059910000}"/>
    <cellStyle name="Normal 2 8 4 6 6 3" xfId="37207" xr:uid="{00000000-0005-0000-0000-00005A910000}"/>
    <cellStyle name="Normal 2 8 4 6 6 4" xfId="37208" xr:uid="{00000000-0005-0000-0000-00005B910000}"/>
    <cellStyle name="Normal 2 8 4 6 7" xfId="37209" xr:uid="{00000000-0005-0000-0000-00005C910000}"/>
    <cellStyle name="Normal 2 8 4 6 7 2" xfId="37210" xr:uid="{00000000-0005-0000-0000-00005D910000}"/>
    <cellStyle name="Normal 2 8 4 6 8" xfId="37211" xr:uid="{00000000-0005-0000-0000-00005E910000}"/>
    <cellStyle name="Normal 2 8 4 6 9" xfId="37212" xr:uid="{00000000-0005-0000-0000-00005F910000}"/>
    <cellStyle name="Normal 2 8 4 7" xfId="37213" xr:uid="{00000000-0005-0000-0000-000060910000}"/>
    <cellStyle name="Normal 2 8 4 7 10" xfId="37214" xr:uid="{00000000-0005-0000-0000-000061910000}"/>
    <cellStyle name="Normal 2 8 4 7 11" xfId="37215" xr:uid="{00000000-0005-0000-0000-000062910000}"/>
    <cellStyle name="Normal 2 8 4 7 2" xfId="37216" xr:uid="{00000000-0005-0000-0000-000063910000}"/>
    <cellStyle name="Normal 2 8 4 7 2 2" xfId="37217" xr:uid="{00000000-0005-0000-0000-000064910000}"/>
    <cellStyle name="Normal 2 8 4 7 2 2 2" xfId="37218" xr:uid="{00000000-0005-0000-0000-000065910000}"/>
    <cellStyle name="Normal 2 8 4 7 2 2 2 2" xfId="37219" xr:uid="{00000000-0005-0000-0000-000066910000}"/>
    <cellStyle name="Normal 2 8 4 7 2 2 2 3" xfId="37220" xr:uid="{00000000-0005-0000-0000-000067910000}"/>
    <cellStyle name="Normal 2 8 4 7 2 2 3" xfId="37221" xr:uid="{00000000-0005-0000-0000-000068910000}"/>
    <cellStyle name="Normal 2 8 4 7 2 2 4" xfId="37222" xr:uid="{00000000-0005-0000-0000-000069910000}"/>
    <cellStyle name="Normal 2 8 4 7 2 2 5" xfId="37223" xr:uid="{00000000-0005-0000-0000-00006A910000}"/>
    <cellStyle name="Normal 2 8 4 7 2 2 6" xfId="37224" xr:uid="{00000000-0005-0000-0000-00006B910000}"/>
    <cellStyle name="Normal 2 8 4 7 2 3" xfId="37225" xr:uid="{00000000-0005-0000-0000-00006C910000}"/>
    <cellStyle name="Normal 2 8 4 7 2 3 2" xfId="37226" xr:uid="{00000000-0005-0000-0000-00006D910000}"/>
    <cellStyle name="Normal 2 8 4 7 2 3 2 2" xfId="37227" xr:uid="{00000000-0005-0000-0000-00006E910000}"/>
    <cellStyle name="Normal 2 8 4 7 2 3 3" xfId="37228" xr:uid="{00000000-0005-0000-0000-00006F910000}"/>
    <cellStyle name="Normal 2 8 4 7 2 3 4" xfId="37229" xr:uid="{00000000-0005-0000-0000-000070910000}"/>
    <cellStyle name="Normal 2 8 4 7 2 3 5" xfId="37230" xr:uid="{00000000-0005-0000-0000-000071910000}"/>
    <cellStyle name="Normal 2 8 4 7 2 4" xfId="37231" xr:uid="{00000000-0005-0000-0000-000072910000}"/>
    <cellStyle name="Normal 2 8 4 7 2 4 2" xfId="37232" xr:uid="{00000000-0005-0000-0000-000073910000}"/>
    <cellStyle name="Normal 2 8 4 7 2 4 3" xfId="37233" xr:uid="{00000000-0005-0000-0000-000074910000}"/>
    <cellStyle name="Normal 2 8 4 7 2 4 4" xfId="37234" xr:uid="{00000000-0005-0000-0000-000075910000}"/>
    <cellStyle name="Normal 2 8 4 7 2 5" xfId="37235" xr:uid="{00000000-0005-0000-0000-000076910000}"/>
    <cellStyle name="Normal 2 8 4 7 2 5 2" xfId="37236" xr:uid="{00000000-0005-0000-0000-000077910000}"/>
    <cellStyle name="Normal 2 8 4 7 2 6" xfId="37237" xr:uid="{00000000-0005-0000-0000-000078910000}"/>
    <cellStyle name="Normal 2 8 4 7 2 7" xfId="37238" xr:uid="{00000000-0005-0000-0000-000079910000}"/>
    <cellStyle name="Normal 2 8 4 7 2 8" xfId="37239" xr:uid="{00000000-0005-0000-0000-00007A910000}"/>
    <cellStyle name="Normal 2 8 4 7 2 9" xfId="37240" xr:uid="{00000000-0005-0000-0000-00007B910000}"/>
    <cellStyle name="Normal 2 8 4 7 3" xfId="37241" xr:uid="{00000000-0005-0000-0000-00007C910000}"/>
    <cellStyle name="Normal 2 8 4 7 3 2" xfId="37242" xr:uid="{00000000-0005-0000-0000-00007D910000}"/>
    <cellStyle name="Normal 2 8 4 7 3 2 2" xfId="37243" xr:uid="{00000000-0005-0000-0000-00007E910000}"/>
    <cellStyle name="Normal 2 8 4 7 3 2 2 2" xfId="37244" xr:uid="{00000000-0005-0000-0000-00007F910000}"/>
    <cellStyle name="Normal 2 8 4 7 3 2 2 3" xfId="37245" xr:uid="{00000000-0005-0000-0000-000080910000}"/>
    <cellStyle name="Normal 2 8 4 7 3 2 3" xfId="37246" xr:uid="{00000000-0005-0000-0000-000081910000}"/>
    <cellStyle name="Normal 2 8 4 7 3 2 4" xfId="37247" xr:uid="{00000000-0005-0000-0000-000082910000}"/>
    <cellStyle name="Normal 2 8 4 7 3 2 5" xfId="37248" xr:uid="{00000000-0005-0000-0000-000083910000}"/>
    <cellStyle name="Normal 2 8 4 7 3 2 6" xfId="37249" xr:uid="{00000000-0005-0000-0000-000084910000}"/>
    <cellStyle name="Normal 2 8 4 7 3 3" xfId="37250" xr:uid="{00000000-0005-0000-0000-000085910000}"/>
    <cellStyle name="Normal 2 8 4 7 3 3 2" xfId="37251" xr:uid="{00000000-0005-0000-0000-000086910000}"/>
    <cellStyle name="Normal 2 8 4 7 3 3 2 2" xfId="37252" xr:uid="{00000000-0005-0000-0000-000087910000}"/>
    <cellStyle name="Normal 2 8 4 7 3 3 3" xfId="37253" xr:uid="{00000000-0005-0000-0000-000088910000}"/>
    <cellStyle name="Normal 2 8 4 7 3 3 4" xfId="37254" xr:uid="{00000000-0005-0000-0000-000089910000}"/>
    <cellStyle name="Normal 2 8 4 7 3 3 5" xfId="37255" xr:uid="{00000000-0005-0000-0000-00008A910000}"/>
    <cellStyle name="Normal 2 8 4 7 3 4" xfId="37256" xr:uid="{00000000-0005-0000-0000-00008B910000}"/>
    <cellStyle name="Normal 2 8 4 7 3 4 2" xfId="37257" xr:uid="{00000000-0005-0000-0000-00008C910000}"/>
    <cellStyle name="Normal 2 8 4 7 3 4 3" xfId="37258" xr:uid="{00000000-0005-0000-0000-00008D910000}"/>
    <cellStyle name="Normal 2 8 4 7 3 4 4" xfId="37259" xr:uid="{00000000-0005-0000-0000-00008E910000}"/>
    <cellStyle name="Normal 2 8 4 7 3 5" xfId="37260" xr:uid="{00000000-0005-0000-0000-00008F910000}"/>
    <cellStyle name="Normal 2 8 4 7 3 5 2" xfId="37261" xr:uid="{00000000-0005-0000-0000-000090910000}"/>
    <cellStyle name="Normal 2 8 4 7 3 6" xfId="37262" xr:uid="{00000000-0005-0000-0000-000091910000}"/>
    <cellStyle name="Normal 2 8 4 7 3 7" xfId="37263" xr:uid="{00000000-0005-0000-0000-000092910000}"/>
    <cellStyle name="Normal 2 8 4 7 3 8" xfId="37264" xr:uid="{00000000-0005-0000-0000-000093910000}"/>
    <cellStyle name="Normal 2 8 4 7 3 9" xfId="37265" xr:uid="{00000000-0005-0000-0000-000094910000}"/>
    <cellStyle name="Normal 2 8 4 7 4" xfId="37266" xr:uid="{00000000-0005-0000-0000-000095910000}"/>
    <cellStyle name="Normal 2 8 4 7 4 2" xfId="37267" xr:uid="{00000000-0005-0000-0000-000096910000}"/>
    <cellStyle name="Normal 2 8 4 7 4 2 2" xfId="37268" xr:uid="{00000000-0005-0000-0000-000097910000}"/>
    <cellStyle name="Normal 2 8 4 7 4 2 3" xfId="37269" xr:uid="{00000000-0005-0000-0000-000098910000}"/>
    <cellStyle name="Normal 2 8 4 7 4 3" xfId="37270" xr:uid="{00000000-0005-0000-0000-000099910000}"/>
    <cellStyle name="Normal 2 8 4 7 4 4" xfId="37271" xr:uid="{00000000-0005-0000-0000-00009A910000}"/>
    <cellStyle name="Normal 2 8 4 7 4 5" xfId="37272" xr:uid="{00000000-0005-0000-0000-00009B910000}"/>
    <cellStyle name="Normal 2 8 4 7 4 6" xfId="37273" xr:uid="{00000000-0005-0000-0000-00009C910000}"/>
    <cellStyle name="Normal 2 8 4 7 5" xfId="37274" xr:uid="{00000000-0005-0000-0000-00009D910000}"/>
    <cellStyle name="Normal 2 8 4 7 5 2" xfId="37275" xr:uid="{00000000-0005-0000-0000-00009E910000}"/>
    <cellStyle name="Normal 2 8 4 7 5 2 2" xfId="37276" xr:uid="{00000000-0005-0000-0000-00009F910000}"/>
    <cellStyle name="Normal 2 8 4 7 5 3" xfId="37277" xr:uid="{00000000-0005-0000-0000-0000A0910000}"/>
    <cellStyle name="Normal 2 8 4 7 5 4" xfId="37278" xr:uid="{00000000-0005-0000-0000-0000A1910000}"/>
    <cellStyle name="Normal 2 8 4 7 5 5" xfId="37279" xr:uid="{00000000-0005-0000-0000-0000A2910000}"/>
    <cellStyle name="Normal 2 8 4 7 6" xfId="37280" xr:uid="{00000000-0005-0000-0000-0000A3910000}"/>
    <cellStyle name="Normal 2 8 4 7 6 2" xfId="37281" xr:uid="{00000000-0005-0000-0000-0000A4910000}"/>
    <cellStyle name="Normal 2 8 4 7 6 3" xfId="37282" xr:uid="{00000000-0005-0000-0000-0000A5910000}"/>
    <cellStyle name="Normal 2 8 4 7 6 4" xfId="37283" xr:uid="{00000000-0005-0000-0000-0000A6910000}"/>
    <cellStyle name="Normal 2 8 4 7 7" xfId="37284" xr:uid="{00000000-0005-0000-0000-0000A7910000}"/>
    <cellStyle name="Normal 2 8 4 7 7 2" xfId="37285" xr:uid="{00000000-0005-0000-0000-0000A8910000}"/>
    <cellStyle name="Normal 2 8 4 7 8" xfId="37286" xr:uid="{00000000-0005-0000-0000-0000A9910000}"/>
    <cellStyle name="Normal 2 8 4 7 9" xfId="37287" xr:uid="{00000000-0005-0000-0000-0000AA910000}"/>
    <cellStyle name="Normal 2 8 4 8" xfId="37288" xr:uid="{00000000-0005-0000-0000-0000AB910000}"/>
    <cellStyle name="Normal 2 8 4 8 10" xfId="37289" xr:uid="{00000000-0005-0000-0000-0000AC910000}"/>
    <cellStyle name="Normal 2 8 4 8 2" xfId="37290" xr:uid="{00000000-0005-0000-0000-0000AD910000}"/>
    <cellStyle name="Normal 2 8 4 8 2 2" xfId="37291" xr:uid="{00000000-0005-0000-0000-0000AE910000}"/>
    <cellStyle name="Normal 2 8 4 8 2 2 2" xfId="37292" xr:uid="{00000000-0005-0000-0000-0000AF910000}"/>
    <cellStyle name="Normal 2 8 4 8 2 2 3" xfId="37293" xr:uid="{00000000-0005-0000-0000-0000B0910000}"/>
    <cellStyle name="Normal 2 8 4 8 2 3" xfId="37294" xr:uid="{00000000-0005-0000-0000-0000B1910000}"/>
    <cellStyle name="Normal 2 8 4 8 2 4" xfId="37295" xr:uid="{00000000-0005-0000-0000-0000B2910000}"/>
    <cellStyle name="Normal 2 8 4 8 2 5" xfId="37296" xr:uid="{00000000-0005-0000-0000-0000B3910000}"/>
    <cellStyle name="Normal 2 8 4 8 2 6" xfId="37297" xr:uid="{00000000-0005-0000-0000-0000B4910000}"/>
    <cellStyle name="Normal 2 8 4 8 3" xfId="37298" xr:uid="{00000000-0005-0000-0000-0000B5910000}"/>
    <cellStyle name="Normal 2 8 4 8 3 2" xfId="37299" xr:uid="{00000000-0005-0000-0000-0000B6910000}"/>
    <cellStyle name="Normal 2 8 4 8 3 2 2" xfId="37300" xr:uid="{00000000-0005-0000-0000-0000B7910000}"/>
    <cellStyle name="Normal 2 8 4 8 3 2 3" xfId="37301" xr:uid="{00000000-0005-0000-0000-0000B8910000}"/>
    <cellStyle name="Normal 2 8 4 8 3 3" xfId="37302" xr:uid="{00000000-0005-0000-0000-0000B9910000}"/>
    <cellStyle name="Normal 2 8 4 8 3 4" xfId="37303" xr:uid="{00000000-0005-0000-0000-0000BA910000}"/>
    <cellStyle name="Normal 2 8 4 8 3 5" xfId="37304" xr:uid="{00000000-0005-0000-0000-0000BB910000}"/>
    <cellStyle name="Normal 2 8 4 8 3 6" xfId="37305" xr:uid="{00000000-0005-0000-0000-0000BC910000}"/>
    <cellStyle name="Normal 2 8 4 8 4" xfId="37306" xr:uid="{00000000-0005-0000-0000-0000BD910000}"/>
    <cellStyle name="Normal 2 8 4 8 4 2" xfId="37307" xr:uid="{00000000-0005-0000-0000-0000BE910000}"/>
    <cellStyle name="Normal 2 8 4 8 4 2 2" xfId="37308" xr:uid="{00000000-0005-0000-0000-0000BF910000}"/>
    <cellStyle name="Normal 2 8 4 8 4 3" xfId="37309" xr:uid="{00000000-0005-0000-0000-0000C0910000}"/>
    <cellStyle name="Normal 2 8 4 8 4 4" xfId="37310" xr:uid="{00000000-0005-0000-0000-0000C1910000}"/>
    <cellStyle name="Normal 2 8 4 8 4 5" xfId="37311" xr:uid="{00000000-0005-0000-0000-0000C2910000}"/>
    <cellStyle name="Normal 2 8 4 8 5" xfId="37312" xr:uid="{00000000-0005-0000-0000-0000C3910000}"/>
    <cellStyle name="Normal 2 8 4 8 5 2" xfId="37313" xr:uid="{00000000-0005-0000-0000-0000C4910000}"/>
    <cellStyle name="Normal 2 8 4 8 5 3" xfId="37314" xr:uid="{00000000-0005-0000-0000-0000C5910000}"/>
    <cellStyle name="Normal 2 8 4 8 5 4" xfId="37315" xr:uid="{00000000-0005-0000-0000-0000C6910000}"/>
    <cellStyle name="Normal 2 8 4 8 6" xfId="37316" xr:uid="{00000000-0005-0000-0000-0000C7910000}"/>
    <cellStyle name="Normal 2 8 4 8 6 2" xfId="37317" xr:uid="{00000000-0005-0000-0000-0000C8910000}"/>
    <cellStyle name="Normal 2 8 4 8 7" xfId="37318" xr:uid="{00000000-0005-0000-0000-0000C9910000}"/>
    <cellStyle name="Normal 2 8 4 8 8" xfId="37319" xr:uid="{00000000-0005-0000-0000-0000CA910000}"/>
    <cellStyle name="Normal 2 8 4 8 9" xfId="37320" xr:uid="{00000000-0005-0000-0000-0000CB910000}"/>
    <cellStyle name="Normal 2 8 4 9" xfId="37321" xr:uid="{00000000-0005-0000-0000-0000CC910000}"/>
    <cellStyle name="Normal 2 8 4 9 10" xfId="37322" xr:uid="{00000000-0005-0000-0000-0000CD910000}"/>
    <cellStyle name="Normal 2 8 4 9 2" xfId="37323" xr:uid="{00000000-0005-0000-0000-0000CE910000}"/>
    <cellStyle name="Normal 2 8 4 9 2 2" xfId="37324" xr:uid="{00000000-0005-0000-0000-0000CF910000}"/>
    <cellStyle name="Normal 2 8 4 9 2 2 2" xfId="37325" xr:uid="{00000000-0005-0000-0000-0000D0910000}"/>
    <cellStyle name="Normal 2 8 4 9 2 2 3" xfId="37326" xr:uid="{00000000-0005-0000-0000-0000D1910000}"/>
    <cellStyle name="Normal 2 8 4 9 2 3" xfId="37327" xr:uid="{00000000-0005-0000-0000-0000D2910000}"/>
    <cellStyle name="Normal 2 8 4 9 2 4" xfId="37328" xr:uid="{00000000-0005-0000-0000-0000D3910000}"/>
    <cellStyle name="Normal 2 8 4 9 2 5" xfId="37329" xr:uid="{00000000-0005-0000-0000-0000D4910000}"/>
    <cellStyle name="Normal 2 8 4 9 2 6" xfId="37330" xr:uid="{00000000-0005-0000-0000-0000D5910000}"/>
    <cellStyle name="Normal 2 8 4 9 3" xfId="37331" xr:uid="{00000000-0005-0000-0000-0000D6910000}"/>
    <cellStyle name="Normal 2 8 4 9 3 2" xfId="37332" xr:uid="{00000000-0005-0000-0000-0000D7910000}"/>
    <cellStyle name="Normal 2 8 4 9 3 2 2" xfId="37333" xr:uid="{00000000-0005-0000-0000-0000D8910000}"/>
    <cellStyle name="Normal 2 8 4 9 3 2 3" xfId="37334" xr:uid="{00000000-0005-0000-0000-0000D9910000}"/>
    <cellStyle name="Normal 2 8 4 9 3 3" xfId="37335" xr:uid="{00000000-0005-0000-0000-0000DA910000}"/>
    <cellStyle name="Normal 2 8 4 9 3 4" xfId="37336" xr:uid="{00000000-0005-0000-0000-0000DB910000}"/>
    <cellStyle name="Normal 2 8 4 9 3 5" xfId="37337" xr:uid="{00000000-0005-0000-0000-0000DC910000}"/>
    <cellStyle name="Normal 2 8 4 9 3 6" xfId="37338" xr:uid="{00000000-0005-0000-0000-0000DD910000}"/>
    <cellStyle name="Normal 2 8 4 9 4" xfId="37339" xr:uid="{00000000-0005-0000-0000-0000DE910000}"/>
    <cellStyle name="Normal 2 8 4 9 4 2" xfId="37340" xr:uid="{00000000-0005-0000-0000-0000DF910000}"/>
    <cellStyle name="Normal 2 8 4 9 4 2 2" xfId="37341" xr:uid="{00000000-0005-0000-0000-0000E0910000}"/>
    <cellStyle name="Normal 2 8 4 9 4 3" xfId="37342" xr:uid="{00000000-0005-0000-0000-0000E1910000}"/>
    <cellStyle name="Normal 2 8 4 9 4 4" xfId="37343" xr:uid="{00000000-0005-0000-0000-0000E2910000}"/>
    <cellStyle name="Normal 2 8 4 9 4 5" xfId="37344" xr:uid="{00000000-0005-0000-0000-0000E3910000}"/>
    <cellStyle name="Normal 2 8 4 9 5" xfId="37345" xr:uid="{00000000-0005-0000-0000-0000E4910000}"/>
    <cellStyle name="Normal 2 8 4 9 5 2" xfId="37346" xr:uid="{00000000-0005-0000-0000-0000E5910000}"/>
    <cellStyle name="Normal 2 8 4 9 5 3" xfId="37347" xr:uid="{00000000-0005-0000-0000-0000E6910000}"/>
    <cellStyle name="Normal 2 8 4 9 5 4" xfId="37348" xr:uid="{00000000-0005-0000-0000-0000E7910000}"/>
    <cellStyle name="Normal 2 8 4 9 6" xfId="37349" xr:uid="{00000000-0005-0000-0000-0000E8910000}"/>
    <cellStyle name="Normal 2 8 4 9 6 2" xfId="37350" xr:uid="{00000000-0005-0000-0000-0000E9910000}"/>
    <cellStyle name="Normal 2 8 4 9 7" xfId="37351" xr:uid="{00000000-0005-0000-0000-0000EA910000}"/>
    <cellStyle name="Normal 2 8 4 9 8" xfId="37352" xr:uid="{00000000-0005-0000-0000-0000EB910000}"/>
    <cellStyle name="Normal 2 8 4 9 9" xfId="37353" xr:uid="{00000000-0005-0000-0000-0000EC910000}"/>
    <cellStyle name="Normal 2 8 5" xfId="37354" xr:uid="{00000000-0005-0000-0000-0000ED910000}"/>
    <cellStyle name="Normal 2 8 5 10" xfId="37355" xr:uid="{00000000-0005-0000-0000-0000EE910000}"/>
    <cellStyle name="Normal 2 8 5 11" xfId="37356" xr:uid="{00000000-0005-0000-0000-0000EF910000}"/>
    <cellStyle name="Normal 2 8 5 2" xfId="37357" xr:uid="{00000000-0005-0000-0000-0000F0910000}"/>
    <cellStyle name="Normal 2 8 5 2 2" xfId="37358" xr:uid="{00000000-0005-0000-0000-0000F1910000}"/>
    <cellStyle name="Normal 2 8 5 2 2 2" xfId="37359" xr:uid="{00000000-0005-0000-0000-0000F2910000}"/>
    <cellStyle name="Normal 2 8 5 2 2 2 2" xfId="37360" xr:uid="{00000000-0005-0000-0000-0000F3910000}"/>
    <cellStyle name="Normal 2 8 5 2 2 2 3" xfId="37361" xr:uid="{00000000-0005-0000-0000-0000F4910000}"/>
    <cellStyle name="Normal 2 8 5 2 2 3" xfId="37362" xr:uid="{00000000-0005-0000-0000-0000F5910000}"/>
    <cellStyle name="Normal 2 8 5 2 2 4" xfId="37363" xr:uid="{00000000-0005-0000-0000-0000F6910000}"/>
    <cellStyle name="Normal 2 8 5 2 2 5" xfId="37364" xr:uid="{00000000-0005-0000-0000-0000F7910000}"/>
    <cellStyle name="Normal 2 8 5 2 2 6" xfId="37365" xr:uid="{00000000-0005-0000-0000-0000F8910000}"/>
    <cellStyle name="Normal 2 8 5 2 3" xfId="37366" xr:uid="{00000000-0005-0000-0000-0000F9910000}"/>
    <cellStyle name="Normal 2 8 5 2 3 2" xfId="37367" xr:uid="{00000000-0005-0000-0000-0000FA910000}"/>
    <cellStyle name="Normal 2 8 5 2 3 2 2" xfId="37368" xr:uid="{00000000-0005-0000-0000-0000FB910000}"/>
    <cellStyle name="Normal 2 8 5 2 3 3" xfId="37369" xr:uid="{00000000-0005-0000-0000-0000FC910000}"/>
    <cellStyle name="Normal 2 8 5 2 3 4" xfId="37370" xr:uid="{00000000-0005-0000-0000-0000FD910000}"/>
    <cellStyle name="Normal 2 8 5 2 3 5" xfId="37371" xr:uid="{00000000-0005-0000-0000-0000FE910000}"/>
    <cellStyle name="Normal 2 8 5 2 4" xfId="37372" xr:uid="{00000000-0005-0000-0000-0000FF910000}"/>
    <cellStyle name="Normal 2 8 5 2 4 2" xfId="37373" xr:uid="{00000000-0005-0000-0000-000000920000}"/>
    <cellStyle name="Normal 2 8 5 2 4 3" xfId="37374" xr:uid="{00000000-0005-0000-0000-000001920000}"/>
    <cellStyle name="Normal 2 8 5 2 4 4" xfId="37375" xr:uid="{00000000-0005-0000-0000-000002920000}"/>
    <cellStyle name="Normal 2 8 5 2 5" xfId="37376" xr:uid="{00000000-0005-0000-0000-000003920000}"/>
    <cellStyle name="Normal 2 8 5 2 5 2" xfId="37377" xr:uid="{00000000-0005-0000-0000-000004920000}"/>
    <cellStyle name="Normal 2 8 5 2 6" xfId="37378" xr:uid="{00000000-0005-0000-0000-000005920000}"/>
    <cellStyle name="Normal 2 8 5 2 7" xfId="37379" xr:uid="{00000000-0005-0000-0000-000006920000}"/>
    <cellStyle name="Normal 2 8 5 2 8" xfId="37380" xr:uid="{00000000-0005-0000-0000-000007920000}"/>
    <cellStyle name="Normal 2 8 5 2 9" xfId="37381" xr:uid="{00000000-0005-0000-0000-000008920000}"/>
    <cellStyle name="Normal 2 8 5 3" xfId="37382" xr:uid="{00000000-0005-0000-0000-000009920000}"/>
    <cellStyle name="Normal 2 8 5 3 2" xfId="37383" xr:uid="{00000000-0005-0000-0000-00000A920000}"/>
    <cellStyle name="Normal 2 8 5 3 2 2" xfId="37384" xr:uid="{00000000-0005-0000-0000-00000B920000}"/>
    <cellStyle name="Normal 2 8 5 3 2 2 2" xfId="37385" xr:uid="{00000000-0005-0000-0000-00000C920000}"/>
    <cellStyle name="Normal 2 8 5 3 2 2 3" xfId="37386" xr:uid="{00000000-0005-0000-0000-00000D920000}"/>
    <cellStyle name="Normal 2 8 5 3 2 3" xfId="37387" xr:uid="{00000000-0005-0000-0000-00000E920000}"/>
    <cellStyle name="Normal 2 8 5 3 2 4" xfId="37388" xr:uid="{00000000-0005-0000-0000-00000F920000}"/>
    <cellStyle name="Normal 2 8 5 3 2 5" xfId="37389" xr:uid="{00000000-0005-0000-0000-000010920000}"/>
    <cellStyle name="Normal 2 8 5 3 2 6" xfId="37390" xr:uid="{00000000-0005-0000-0000-000011920000}"/>
    <cellStyle name="Normal 2 8 5 3 3" xfId="37391" xr:uid="{00000000-0005-0000-0000-000012920000}"/>
    <cellStyle name="Normal 2 8 5 3 3 2" xfId="37392" xr:uid="{00000000-0005-0000-0000-000013920000}"/>
    <cellStyle name="Normal 2 8 5 3 3 2 2" xfId="37393" xr:uid="{00000000-0005-0000-0000-000014920000}"/>
    <cellStyle name="Normal 2 8 5 3 3 3" xfId="37394" xr:uid="{00000000-0005-0000-0000-000015920000}"/>
    <cellStyle name="Normal 2 8 5 3 3 4" xfId="37395" xr:uid="{00000000-0005-0000-0000-000016920000}"/>
    <cellStyle name="Normal 2 8 5 3 3 5" xfId="37396" xr:uid="{00000000-0005-0000-0000-000017920000}"/>
    <cellStyle name="Normal 2 8 5 3 4" xfId="37397" xr:uid="{00000000-0005-0000-0000-000018920000}"/>
    <cellStyle name="Normal 2 8 5 3 4 2" xfId="37398" xr:uid="{00000000-0005-0000-0000-000019920000}"/>
    <cellStyle name="Normal 2 8 5 3 4 3" xfId="37399" xr:uid="{00000000-0005-0000-0000-00001A920000}"/>
    <cellStyle name="Normal 2 8 5 3 4 4" xfId="37400" xr:uid="{00000000-0005-0000-0000-00001B920000}"/>
    <cellStyle name="Normal 2 8 5 3 5" xfId="37401" xr:uid="{00000000-0005-0000-0000-00001C920000}"/>
    <cellStyle name="Normal 2 8 5 3 5 2" xfId="37402" xr:uid="{00000000-0005-0000-0000-00001D920000}"/>
    <cellStyle name="Normal 2 8 5 3 6" xfId="37403" xr:uid="{00000000-0005-0000-0000-00001E920000}"/>
    <cellStyle name="Normal 2 8 5 3 7" xfId="37404" xr:uid="{00000000-0005-0000-0000-00001F920000}"/>
    <cellStyle name="Normal 2 8 5 3 8" xfId="37405" xr:uid="{00000000-0005-0000-0000-000020920000}"/>
    <cellStyle name="Normal 2 8 5 3 9" xfId="37406" xr:uid="{00000000-0005-0000-0000-000021920000}"/>
    <cellStyle name="Normal 2 8 5 4" xfId="37407" xr:uid="{00000000-0005-0000-0000-000022920000}"/>
    <cellStyle name="Normal 2 8 5 4 2" xfId="37408" xr:uid="{00000000-0005-0000-0000-000023920000}"/>
    <cellStyle name="Normal 2 8 5 4 2 2" xfId="37409" xr:uid="{00000000-0005-0000-0000-000024920000}"/>
    <cellStyle name="Normal 2 8 5 4 2 3" xfId="37410" xr:uid="{00000000-0005-0000-0000-000025920000}"/>
    <cellStyle name="Normal 2 8 5 4 3" xfId="37411" xr:uid="{00000000-0005-0000-0000-000026920000}"/>
    <cellStyle name="Normal 2 8 5 4 4" xfId="37412" xr:uid="{00000000-0005-0000-0000-000027920000}"/>
    <cellStyle name="Normal 2 8 5 4 5" xfId="37413" xr:uid="{00000000-0005-0000-0000-000028920000}"/>
    <cellStyle name="Normal 2 8 5 4 6" xfId="37414" xr:uid="{00000000-0005-0000-0000-000029920000}"/>
    <cellStyle name="Normal 2 8 5 5" xfId="37415" xr:uid="{00000000-0005-0000-0000-00002A920000}"/>
    <cellStyle name="Normal 2 8 5 5 2" xfId="37416" xr:uid="{00000000-0005-0000-0000-00002B920000}"/>
    <cellStyle name="Normal 2 8 5 5 2 2" xfId="37417" xr:uid="{00000000-0005-0000-0000-00002C920000}"/>
    <cellStyle name="Normal 2 8 5 5 3" xfId="37418" xr:uid="{00000000-0005-0000-0000-00002D920000}"/>
    <cellStyle name="Normal 2 8 5 5 4" xfId="37419" xr:uid="{00000000-0005-0000-0000-00002E920000}"/>
    <cellStyle name="Normal 2 8 5 5 5" xfId="37420" xr:uid="{00000000-0005-0000-0000-00002F920000}"/>
    <cellStyle name="Normal 2 8 5 6" xfId="37421" xr:uid="{00000000-0005-0000-0000-000030920000}"/>
    <cellStyle name="Normal 2 8 5 6 2" xfId="37422" xr:uid="{00000000-0005-0000-0000-000031920000}"/>
    <cellStyle name="Normal 2 8 5 6 3" xfId="37423" xr:uid="{00000000-0005-0000-0000-000032920000}"/>
    <cellStyle name="Normal 2 8 5 6 4" xfId="37424" xr:uid="{00000000-0005-0000-0000-000033920000}"/>
    <cellStyle name="Normal 2 8 5 7" xfId="37425" xr:uid="{00000000-0005-0000-0000-000034920000}"/>
    <cellStyle name="Normal 2 8 5 7 2" xfId="37426" xr:uid="{00000000-0005-0000-0000-000035920000}"/>
    <cellStyle name="Normal 2 8 5 8" xfId="37427" xr:uid="{00000000-0005-0000-0000-000036920000}"/>
    <cellStyle name="Normal 2 8 5 9" xfId="37428" xr:uid="{00000000-0005-0000-0000-000037920000}"/>
    <cellStyle name="Normal 2 8 6" xfId="37429" xr:uid="{00000000-0005-0000-0000-000038920000}"/>
    <cellStyle name="Normal 2 8 6 10" xfId="37430" xr:uid="{00000000-0005-0000-0000-000039920000}"/>
    <cellStyle name="Normal 2 8 6 11" xfId="37431" xr:uid="{00000000-0005-0000-0000-00003A920000}"/>
    <cellStyle name="Normal 2 8 6 2" xfId="37432" xr:uid="{00000000-0005-0000-0000-00003B920000}"/>
    <cellStyle name="Normal 2 8 6 2 2" xfId="37433" xr:uid="{00000000-0005-0000-0000-00003C920000}"/>
    <cellStyle name="Normal 2 8 6 2 2 2" xfId="37434" xr:uid="{00000000-0005-0000-0000-00003D920000}"/>
    <cellStyle name="Normal 2 8 6 2 2 2 2" xfId="37435" xr:uid="{00000000-0005-0000-0000-00003E920000}"/>
    <cellStyle name="Normal 2 8 6 2 2 2 3" xfId="37436" xr:uid="{00000000-0005-0000-0000-00003F920000}"/>
    <cellStyle name="Normal 2 8 6 2 2 3" xfId="37437" xr:uid="{00000000-0005-0000-0000-000040920000}"/>
    <cellStyle name="Normal 2 8 6 2 2 4" xfId="37438" xr:uid="{00000000-0005-0000-0000-000041920000}"/>
    <cellStyle name="Normal 2 8 6 2 2 5" xfId="37439" xr:uid="{00000000-0005-0000-0000-000042920000}"/>
    <cellStyle name="Normal 2 8 6 2 2 6" xfId="37440" xr:uid="{00000000-0005-0000-0000-000043920000}"/>
    <cellStyle name="Normal 2 8 6 2 3" xfId="37441" xr:uid="{00000000-0005-0000-0000-000044920000}"/>
    <cellStyle name="Normal 2 8 6 2 3 2" xfId="37442" xr:uid="{00000000-0005-0000-0000-000045920000}"/>
    <cellStyle name="Normal 2 8 6 2 3 2 2" xfId="37443" xr:uid="{00000000-0005-0000-0000-000046920000}"/>
    <cellStyle name="Normal 2 8 6 2 3 3" xfId="37444" xr:uid="{00000000-0005-0000-0000-000047920000}"/>
    <cellStyle name="Normal 2 8 6 2 3 4" xfId="37445" xr:uid="{00000000-0005-0000-0000-000048920000}"/>
    <cellStyle name="Normal 2 8 6 2 3 5" xfId="37446" xr:uid="{00000000-0005-0000-0000-000049920000}"/>
    <cellStyle name="Normal 2 8 6 2 4" xfId="37447" xr:uid="{00000000-0005-0000-0000-00004A920000}"/>
    <cellStyle name="Normal 2 8 6 2 4 2" xfId="37448" xr:uid="{00000000-0005-0000-0000-00004B920000}"/>
    <cellStyle name="Normal 2 8 6 2 4 3" xfId="37449" xr:uid="{00000000-0005-0000-0000-00004C920000}"/>
    <cellStyle name="Normal 2 8 6 2 4 4" xfId="37450" xr:uid="{00000000-0005-0000-0000-00004D920000}"/>
    <cellStyle name="Normal 2 8 6 2 5" xfId="37451" xr:uid="{00000000-0005-0000-0000-00004E920000}"/>
    <cellStyle name="Normal 2 8 6 2 5 2" xfId="37452" xr:uid="{00000000-0005-0000-0000-00004F920000}"/>
    <cellStyle name="Normal 2 8 6 2 6" xfId="37453" xr:uid="{00000000-0005-0000-0000-000050920000}"/>
    <cellStyle name="Normal 2 8 6 2 7" xfId="37454" xr:uid="{00000000-0005-0000-0000-000051920000}"/>
    <cellStyle name="Normal 2 8 6 2 8" xfId="37455" xr:uid="{00000000-0005-0000-0000-000052920000}"/>
    <cellStyle name="Normal 2 8 6 2 9" xfId="37456" xr:uid="{00000000-0005-0000-0000-000053920000}"/>
    <cellStyle name="Normal 2 8 6 3" xfId="37457" xr:uid="{00000000-0005-0000-0000-000054920000}"/>
    <cellStyle name="Normal 2 8 6 3 2" xfId="37458" xr:uid="{00000000-0005-0000-0000-000055920000}"/>
    <cellStyle name="Normal 2 8 6 3 2 2" xfId="37459" xr:uid="{00000000-0005-0000-0000-000056920000}"/>
    <cellStyle name="Normal 2 8 6 3 2 2 2" xfId="37460" xr:uid="{00000000-0005-0000-0000-000057920000}"/>
    <cellStyle name="Normal 2 8 6 3 2 2 3" xfId="37461" xr:uid="{00000000-0005-0000-0000-000058920000}"/>
    <cellStyle name="Normal 2 8 6 3 2 3" xfId="37462" xr:uid="{00000000-0005-0000-0000-000059920000}"/>
    <cellStyle name="Normal 2 8 6 3 2 4" xfId="37463" xr:uid="{00000000-0005-0000-0000-00005A920000}"/>
    <cellStyle name="Normal 2 8 6 3 2 5" xfId="37464" xr:uid="{00000000-0005-0000-0000-00005B920000}"/>
    <cellStyle name="Normal 2 8 6 3 2 6" xfId="37465" xr:uid="{00000000-0005-0000-0000-00005C920000}"/>
    <cellStyle name="Normal 2 8 6 3 3" xfId="37466" xr:uid="{00000000-0005-0000-0000-00005D920000}"/>
    <cellStyle name="Normal 2 8 6 3 3 2" xfId="37467" xr:uid="{00000000-0005-0000-0000-00005E920000}"/>
    <cellStyle name="Normal 2 8 6 3 3 2 2" xfId="37468" xr:uid="{00000000-0005-0000-0000-00005F920000}"/>
    <cellStyle name="Normal 2 8 6 3 3 3" xfId="37469" xr:uid="{00000000-0005-0000-0000-000060920000}"/>
    <cellStyle name="Normal 2 8 6 3 3 4" xfId="37470" xr:uid="{00000000-0005-0000-0000-000061920000}"/>
    <cellStyle name="Normal 2 8 6 3 3 5" xfId="37471" xr:uid="{00000000-0005-0000-0000-000062920000}"/>
    <cellStyle name="Normal 2 8 6 3 4" xfId="37472" xr:uid="{00000000-0005-0000-0000-000063920000}"/>
    <cellStyle name="Normal 2 8 6 3 4 2" xfId="37473" xr:uid="{00000000-0005-0000-0000-000064920000}"/>
    <cellStyle name="Normal 2 8 6 3 4 3" xfId="37474" xr:uid="{00000000-0005-0000-0000-000065920000}"/>
    <cellStyle name="Normal 2 8 6 3 4 4" xfId="37475" xr:uid="{00000000-0005-0000-0000-000066920000}"/>
    <cellStyle name="Normal 2 8 6 3 5" xfId="37476" xr:uid="{00000000-0005-0000-0000-000067920000}"/>
    <cellStyle name="Normal 2 8 6 3 5 2" xfId="37477" xr:uid="{00000000-0005-0000-0000-000068920000}"/>
    <cellStyle name="Normal 2 8 6 3 6" xfId="37478" xr:uid="{00000000-0005-0000-0000-000069920000}"/>
    <cellStyle name="Normal 2 8 6 3 7" xfId="37479" xr:uid="{00000000-0005-0000-0000-00006A920000}"/>
    <cellStyle name="Normal 2 8 6 3 8" xfId="37480" xr:uid="{00000000-0005-0000-0000-00006B920000}"/>
    <cellStyle name="Normal 2 8 6 3 9" xfId="37481" xr:uid="{00000000-0005-0000-0000-00006C920000}"/>
    <cellStyle name="Normal 2 8 6 4" xfId="37482" xr:uid="{00000000-0005-0000-0000-00006D920000}"/>
    <cellStyle name="Normal 2 8 6 4 2" xfId="37483" xr:uid="{00000000-0005-0000-0000-00006E920000}"/>
    <cellStyle name="Normal 2 8 6 4 2 2" xfId="37484" xr:uid="{00000000-0005-0000-0000-00006F920000}"/>
    <cellStyle name="Normal 2 8 6 4 2 3" xfId="37485" xr:uid="{00000000-0005-0000-0000-000070920000}"/>
    <cellStyle name="Normal 2 8 6 4 3" xfId="37486" xr:uid="{00000000-0005-0000-0000-000071920000}"/>
    <cellStyle name="Normal 2 8 6 4 4" xfId="37487" xr:uid="{00000000-0005-0000-0000-000072920000}"/>
    <cellStyle name="Normal 2 8 6 4 5" xfId="37488" xr:uid="{00000000-0005-0000-0000-000073920000}"/>
    <cellStyle name="Normal 2 8 6 4 6" xfId="37489" xr:uid="{00000000-0005-0000-0000-000074920000}"/>
    <cellStyle name="Normal 2 8 6 5" xfId="37490" xr:uid="{00000000-0005-0000-0000-000075920000}"/>
    <cellStyle name="Normal 2 8 6 5 2" xfId="37491" xr:uid="{00000000-0005-0000-0000-000076920000}"/>
    <cellStyle name="Normal 2 8 6 5 2 2" xfId="37492" xr:uid="{00000000-0005-0000-0000-000077920000}"/>
    <cellStyle name="Normal 2 8 6 5 3" xfId="37493" xr:uid="{00000000-0005-0000-0000-000078920000}"/>
    <cellStyle name="Normal 2 8 6 5 4" xfId="37494" xr:uid="{00000000-0005-0000-0000-000079920000}"/>
    <cellStyle name="Normal 2 8 6 5 5" xfId="37495" xr:uid="{00000000-0005-0000-0000-00007A920000}"/>
    <cellStyle name="Normal 2 8 6 6" xfId="37496" xr:uid="{00000000-0005-0000-0000-00007B920000}"/>
    <cellStyle name="Normal 2 8 6 6 2" xfId="37497" xr:uid="{00000000-0005-0000-0000-00007C920000}"/>
    <cellStyle name="Normal 2 8 6 6 3" xfId="37498" xr:uid="{00000000-0005-0000-0000-00007D920000}"/>
    <cellStyle name="Normal 2 8 6 6 4" xfId="37499" xr:uid="{00000000-0005-0000-0000-00007E920000}"/>
    <cellStyle name="Normal 2 8 6 7" xfId="37500" xr:uid="{00000000-0005-0000-0000-00007F920000}"/>
    <cellStyle name="Normal 2 8 6 7 2" xfId="37501" xr:uid="{00000000-0005-0000-0000-000080920000}"/>
    <cellStyle name="Normal 2 8 6 8" xfId="37502" xr:uid="{00000000-0005-0000-0000-000081920000}"/>
    <cellStyle name="Normal 2 8 6 9" xfId="37503" xr:uid="{00000000-0005-0000-0000-000082920000}"/>
    <cellStyle name="Normal 2 8 7" xfId="37504" xr:uid="{00000000-0005-0000-0000-000083920000}"/>
    <cellStyle name="Normal 2 8 7 10" xfId="37505" xr:uid="{00000000-0005-0000-0000-000084920000}"/>
    <cellStyle name="Normal 2 8 7 11" xfId="37506" xr:uid="{00000000-0005-0000-0000-000085920000}"/>
    <cellStyle name="Normal 2 8 7 2" xfId="37507" xr:uid="{00000000-0005-0000-0000-000086920000}"/>
    <cellStyle name="Normal 2 8 7 2 2" xfId="37508" xr:uid="{00000000-0005-0000-0000-000087920000}"/>
    <cellStyle name="Normal 2 8 7 2 2 2" xfId="37509" xr:uid="{00000000-0005-0000-0000-000088920000}"/>
    <cellStyle name="Normal 2 8 7 2 2 2 2" xfId="37510" xr:uid="{00000000-0005-0000-0000-000089920000}"/>
    <cellStyle name="Normal 2 8 7 2 2 2 3" xfId="37511" xr:uid="{00000000-0005-0000-0000-00008A920000}"/>
    <cellStyle name="Normal 2 8 7 2 2 3" xfId="37512" xr:uid="{00000000-0005-0000-0000-00008B920000}"/>
    <cellStyle name="Normal 2 8 7 2 2 4" xfId="37513" xr:uid="{00000000-0005-0000-0000-00008C920000}"/>
    <cellStyle name="Normal 2 8 7 2 2 5" xfId="37514" xr:uid="{00000000-0005-0000-0000-00008D920000}"/>
    <cellStyle name="Normal 2 8 7 2 2 6" xfId="37515" xr:uid="{00000000-0005-0000-0000-00008E920000}"/>
    <cellStyle name="Normal 2 8 7 2 3" xfId="37516" xr:uid="{00000000-0005-0000-0000-00008F920000}"/>
    <cellStyle name="Normal 2 8 7 2 3 2" xfId="37517" xr:uid="{00000000-0005-0000-0000-000090920000}"/>
    <cellStyle name="Normal 2 8 7 2 3 2 2" xfId="37518" xr:uid="{00000000-0005-0000-0000-000091920000}"/>
    <cellStyle name="Normal 2 8 7 2 3 3" xfId="37519" xr:uid="{00000000-0005-0000-0000-000092920000}"/>
    <cellStyle name="Normal 2 8 7 2 3 4" xfId="37520" xr:uid="{00000000-0005-0000-0000-000093920000}"/>
    <cellStyle name="Normal 2 8 7 2 3 5" xfId="37521" xr:uid="{00000000-0005-0000-0000-000094920000}"/>
    <cellStyle name="Normal 2 8 7 2 4" xfId="37522" xr:uid="{00000000-0005-0000-0000-000095920000}"/>
    <cellStyle name="Normal 2 8 7 2 4 2" xfId="37523" xr:uid="{00000000-0005-0000-0000-000096920000}"/>
    <cellStyle name="Normal 2 8 7 2 4 3" xfId="37524" xr:uid="{00000000-0005-0000-0000-000097920000}"/>
    <cellStyle name="Normal 2 8 7 2 4 4" xfId="37525" xr:uid="{00000000-0005-0000-0000-000098920000}"/>
    <cellStyle name="Normal 2 8 7 2 5" xfId="37526" xr:uid="{00000000-0005-0000-0000-000099920000}"/>
    <cellStyle name="Normal 2 8 7 2 5 2" xfId="37527" xr:uid="{00000000-0005-0000-0000-00009A920000}"/>
    <cellStyle name="Normal 2 8 7 2 6" xfId="37528" xr:uid="{00000000-0005-0000-0000-00009B920000}"/>
    <cellStyle name="Normal 2 8 7 2 7" xfId="37529" xr:uid="{00000000-0005-0000-0000-00009C920000}"/>
    <cellStyle name="Normal 2 8 7 2 8" xfId="37530" xr:uid="{00000000-0005-0000-0000-00009D920000}"/>
    <cellStyle name="Normal 2 8 7 2 9" xfId="37531" xr:uid="{00000000-0005-0000-0000-00009E920000}"/>
    <cellStyle name="Normal 2 8 7 3" xfId="37532" xr:uid="{00000000-0005-0000-0000-00009F920000}"/>
    <cellStyle name="Normal 2 8 7 3 2" xfId="37533" xr:uid="{00000000-0005-0000-0000-0000A0920000}"/>
    <cellStyle name="Normal 2 8 7 3 2 2" xfId="37534" xr:uid="{00000000-0005-0000-0000-0000A1920000}"/>
    <cellStyle name="Normal 2 8 7 3 2 2 2" xfId="37535" xr:uid="{00000000-0005-0000-0000-0000A2920000}"/>
    <cellStyle name="Normal 2 8 7 3 2 2 3" xfId="37536" xr:uid="{00000000-0005-0000-0000-0000A3920000}"/>
    <cellStyle name="Normal 2 8 7 3 2 3" xfId="37537" xr:uid="{00000000-0005-0000-0000-0000A4920000}"/>
    <cellStyle name="Normal 2 8 7 3 2 4" xfId="37538" xr:uid="{00000000-0005-0000-0000-0000A5920000}"/>
    <cellStyle name="Normal 2 8 7 3 2 5" xfId="37539" xr:uid="{00000000-0005-0000-0000-0000A6920000}"/>
    <cellStyle name="Normal 2 8 7 3 2 6" xfId="37540" xr:uid="{00000000-0005-0000-0000-0000A7920000}"/>
    <cellStyle name="Normal 2 8 7 3 3" xfId="37541" xr:uid="{00000000-0005-0000-0000-0000A8920000}"/>
    <cellStyle name="Normal 2 8 7 3 3 2" xfId="37542" xr:uid="{00000000-0005-0000-0000-0000A9920000}"/>
    <cellStyle name="Normal 2 8 7 3 3 2 2" xfId="37543" xr:uid="{00000000-0005-0000-0000-0000AA920000}"/>
    <cellStyle name="Normal 2 8 7 3 3 3" xfId="37544" xr:uid="{00000000-0005-0000-0000-0000AB920000}"/>
    <cellStyle name="Normal 2 8 7 3 3 4" xfId="37545" xr:uid="{00000000-0005-0000-0000-0000AC920000}"/>
    <cellStyle name="Normal 2 8 7 3 3 5" xfId="37546" xr:uid="{00000000-0005-0000-0000-0000AD920000}"/>
    <cellStyle name="Normal 2 8 7 3 4" xfId="37547" xr:uid="{00000000-0005-0000-0000-0000AE920000}"/>
    <cellStyle name="Normal 2 8 7 3 4 2" xfId="37548" xr:uid="{00000000-0005-0000-0000-0000AF920000}"/>
    <cellStyle name="Normal 2 8 7 3 4 3" xfId="37549" xr:uid="{00000000-0005-0000-0000-0000B0920000}"/>
    <cellStyle name="Normal 2 8 7 3 4 4" xfId="37550" xr:uid="{00000000-0005-0000-0000-0000B1920000}"/>
    <cellStyle name="Normal 2 8 7 3 5" xfId="37551" xr:uid="{00000000-0005-0000-0000-0000B2920000}"/>
    <cellStyle name="Normal 2 8 7 3 5 2" xfId="37552" xr:uid="{00000000-0005-0000-0000-0000B3920000}"/>
    <cellStyle name="Normal 2 8 7 3 6" xfId="37553" xr:uid="{00000000-0005-0000-0000-0000B4920000}"/>
    <cellStyle name="Normal 2 8 7 3 7" xfId="37554" xr:uid="{00000000-0005-0000-0000-0000B5920000}"/>
    <cellStyle name="Normal 2 8 7 3 8" xfId="37555" xr:uid="{00000000-0005-0000-0000-0000B6920000}"/>
    <cellStyle name="Normal 2 8 7 3 9" xfId="37556" xr:uid="{00000000-0005-0000-0000-0000B7920000}"/>
    <cellStyle name="Normal 2 8 7 4" xfId="37557" xr:uid="{00000000-0005-0000-0000-0000B8920000}"/>
    <cellStyle name="Normal 2 8 7 4 2" xfId="37558" xr:uid="{00000000-0005-0000-0000-0000B9920000}"/>
    <cellStyle name="Normal 2 8 7 4 2 2" xfId="37559" xr:uid="{00000000-0005-0000-0000-0000BA920000}"/>
    <cellStyle name="Normal 2 8 7 4 2 3" xfId="37560" xr:uid="{00000000-0005-0000-0000-0000BB920000}"/>
    <cellStyle name="Normal 2 8 7 4 3" xfId="37561" xr:uid="{00000000-0005-0000-0000-0000BC920000}"/>
    <cellStyle name="Normal 2 8 7 4 4" xfId="37562" xr:uid="{00000000-0005-0000-0000-0000BD920000}"/>
    <cellStyle name="Normal 2 8 7 4 5" xfId="37563" xr:uid="{00000000-0005-0000-0000-0000BE920000}"/>
    <cellStyle name="Normal 2 8 7 4 6" xfId="37564" xr:uid="{00000000-0005-0000-0000-0000BF920000}"/>
    <cellStyle name="Normal 2 8 7 5" xfId="37565" xr:uid="{00000000-0005-0000-0000-0000C0920000}"/>
    <cellStyle name="Normal 2 8 7 5 2" xfId="37566" xr:uid="{00000000-0005-0000-0000-0000C1920000}"/>
    <cellStyle name="Normal 2 8 7 5 2 2" xfId="37567" xr:uid="{00000000-0005-0000-0000-0000C2920000}"/>
    <cellStyle name="Normal 2 8 7 5 3" xfId="37568" xr:uid="{00000000-0005-0000-0000-0000C3920000}"/>
    <cellStyle name="Normal 2 8 7 5 4" xfId="37569" xr:uid="{00000000-0005-0000-0000-0000C4920000}"/>
    <cellStyle name="Normal 2 8 7 5 5" xfId="37570" xr:uid="{00000000-0005-0000-0000-0000C5920000}"/>
    <cellStyle name="Normal 2 8 7 6" xfId="37571" xr:uid="{00000000-0005-0000-0000-0000C6920000}"/>
    <cellStyle name="Normal 2 8 7 6 2" xfId="37572" xr:uid="{00000000-0005-0000-0000-0000C7920000}"/>
    <cellStyle name="Normal 2 8 7 6 3" xfId="37573" xr:uid="{00000000-0005-0000-0000-0000C8920000}"/>
    <cellStyle name="Normal 2 8 7 6 4" xfId="37574" xr:uid="{00000000-0005-0000-0000-0000C9920000}"/>
    <cellStyle name="Normal 2 8 7 7" xfId="37575" xr:uid="{00000000-0005-0000-0000-0000CA920000}"/>
    <cellStyle name="Normal 2 8 7 7 2" xfId="37576" xr:uid="{00000000-0005-0000-0000-0000CB920000}"/>
    <cellStyle name="Normal 2 8 7 8" xfId="37577" xr:uid="{00000000-0005-0000-0000-0000CC920000}"/>
    <cellStyle name="Normal 2 8 7 9" xfId="37578" xr:uid="{00000000-0005-0000-0000-0000CD920000}"/>
    <cellStyle name="Normal 2 8 8" xfId="37579" xr:uid="{00000000-0005-0000-0000-0000CE920000}"/>
    <cellStyle name="Normal 2 8 8 10" xfId="37580" xr:uid="{00000000-0005-0000-0000-0000CF920000}"/>
    <cellStyle name="Normal 2 8 8 11" xfId="37581" xr:uid="{00000000-0005-0000-0000-0000D0920000}"/>
    <cellStyle name="Normal 2 8 8 2" xfId="37582" xr:uid="{00000000-0005-0000-0000-0000D1920000}"/>
    <cellStyle name="Normal 2 8 8 2 2" xfId="37583" xr:uid="{00000000-0005-0000-0000-0000D2920000}"/>
    <cellStyle name="Normal 2 8 8 2 2 2" xfId="37584" xr:uid="{00000000-0005-0000-0000-0000D3920000}"/>
    <cellStyle name="Normal 2 8 8 2 2 2 2" xfId="37585" xr:uid="{00000000-0005-0000-0000-0000D4920000}"/>
    <cellStyle name="Normal 2 8 8 2 2 2 3" xfId="37586" xr:uid="{00000000-0005-0000-0000-0000D5920000}"/>
    <cellStyle name="Normal 2 8 8 2 2 3" xfId="37587" xr:uid="{00000000-0005-0000-0000-0000D6920000}"/>
    <cellStyle name="Normal 2 8 8 2 2 4" xfId="37588" xr:uid="{00000000-0005-0000-0000-0000D7920000}"/>
    <cellStyle name="Normal 2 8 8 2 2 5" xfId="37589" xr:uid="{00000000-0005-0000-0000-0000D8920000}"/>
    <cellStyle name="Normal 2 8 8 2 2 6" xfId="37590" xr:uid="{00000000-0005-0000-0000-0000D9920000}"/>
    <cellStyle name="Normal 2 8 8 2 3" xfId="37591" xr:uid="{00000000-0005-0000-0000-0000DA920000}"/>
    <cellStyle name="Normal 2 8 8 2 3 2" xfId="37592" xr:uid="{00000000-0005-0000-0000-0000DB920000}"/>
    <cellStyle name="Normal 2 8 8 2 3 2 2" xfId="37593" xr:uid="{00000000-0005-0000-0000-0000DC920000}"/>
    <cellStyle name="Normal 2 8 8 2 3 3" xfId="37594" xr:uid="{00000000-0005-0000-0000-0000DD920000}"/>
    <cellStyle name="Normal 2 8 8 2 3 4" xfId="37595" xr:uid="{00000000-0005-0000-0000-0000DE920000}"/>
    <cellStyle name="Normal 2 8 8 2 3 5" xfId="37596" xr:uid="{00000000-0005-0000-0000-0000DF920000}"/>
    <cellStyle name="Normal 2 8 8 2 4" xfId="37597" xr:uid="{00000000-0005-0000-0000-0000E0920000}"/>
    <cellStyle name="Normal 2 8 8 2 4 2" xfId="37598" xr:uid="{00000000-0005-0000-0000-0000E1920000}"/>
    <cellStyle name="Normal 2 8 8 2 4 3" xfId="37599" xr:uid="{00000000-0005-0000-0000-0000E2920000}"/>
    <cellStyle name="Normal 2 8 8 2 4 4" xfId="37600" xr:uid="{00000000-0005-0000-0000-0000E3920000}"/>
    <cellStyle name="Normal 2 8 8 2 5" xfId="37601" xr:uid="{00000000-0005-0000-0000-0000E4920000}"/>
    <cellStyle name="Normal 2 8 8 2 5 2" xfId="37602" xr:uid="{00000000-0005-0000-0000-0000E5920000}"/>
    <cellStyle name="Normal 2 8 8 2 6" xfId="37603" xr:uid="{00000000-0005-0000-0000-0000E6920000}"/>
    <cellStyle name="Normal 2 8 8 2 7" xfId="37604" xr:uid="{00000000-0005-0000-0000-0000E7920000}"/>
    <cellStyle name="Normal 2 8 8 2 8" xfId="37605" xr:uid="{00000000-0005-0000-0000-0000E8920000}"/>
    <cellStyle name="Normal 2 8 8 2 9" xfId="37606" xr:uid="{00000000-0005-0000-0000-0000E9920000}"/>
    <cellStyle name="Normal 2 8 8 3" xfId="37607" xr:uid="{00000000-0005-0000-0000-0000EA920000}"/>
    <cellStyle name="Normal 2 8 8 3 2" xfId="37608" xr:uid="{00000000-0005-0000-0000-0000EB920000}"/>
    <cellStyle name="Normal 2 8 8 3 2 2" xfId="37609" xr:uid="{00000000-0005-0000-0000-0000EC920000}"/>
    <cellStyle name="Normal 2 8 8 3 2 2 2" xfId="37610" xr:uid="{00000000-0005-0000-0000-0000ED920000}"/>
    <cellStyle name="Normal 2 8 8 3 2 2 3" xfId="37611" xr:uid="{00000000-0005-0000-0000-0000EE920000}"/>
    <cellStyle name="Normal 2 8 8 3 2 3" xfId="37612" xr:uid="{00000000-0005-0000-0000-0000EF920000}"/>
    <cellStyle name="Normal 2 8 8 3 2 4" xfId="37613" xr:uid="{00000000-0005-0000-0000-0000F0920000}"/>
    <cellStyle name="Normal 2 8 8 3 2 5" xfId="37614" xr:uid="{00000000-0005-0000-0000-0000F1920000}"/>
    <cellStyle name="Normal 2 8 8 3 2 6" xfId="37615" xr:uid="{00000000-0005-0000-0000-0000F2920000}"/>
    <cellStyle name="Normal 2 8 8 3 3" xfId="37616" xr:uid="{00000000-0005-0000-0000-0000F3920000}"/>
    <cellStyle name="Normal 2 8 8 3 3 2" xfId="37617" xr:uid="{00000000-0005-0000-0000-0000F4920000}"/>
    <cellStyle name="Normal 2 8 8 3 3 2 2" xfId="37618" xr:uid="{00000000-0005-0000-0000-0000F5920000}"/>
    <cellStyle name="Normal 2 8 8 3 3 3" xfId="37619" xr:uid="{00000000-0005-0000-0000-0000F6920000}"/>
    <cellStyle name="Normal 2 8 8 3 3 4" xfId="37620" xr:uid="{00000000-0005-0000-0000-0000F7920000}"/>
    <cellStyle name="Normal 2 8 8 3 3 5" xfId="37621" xr:uid="{00000000-0005-0000-0000-0000F8920000}"/>
    <cellStyle name="Normal 2 8 8 3 4" xfId="37622" xr:uid="{00000000-0005-0000-0000-0000F9920000}"/>
    <cellStyle name="Normal 2 8 8 3 4 2" xfId="37623" xr:uid="{00000000-0005-0000-0000-0000FA920000}"/>
    <cellStyle name="Normal 2 8 8 3 4 3" xfId="37624" xr:uid="{00000000-0005-0000-0000-0000FB920000}"/>
    <cellStyle name="Normal 2 8 8 3 4 4" xfId="37625" xr:uid="{00000000-0005-0000-0000-0000FC920000}"/>
    <cellStyle name="Normal 2 8 8 3 5" xfId="37626" xr:uid="{00000000-0005-0000-0000-0000FD920000}"/>
    <cellStyle name="Normal 2 8 8 3 5 2" xfId="37627" xr:uid="{00000000-0005-0000-0000-0000FE920000}"/>
    <cellStyle name="Normal 2 8 8 3 6" xfId="37628" xr:uid="{00000000-0005-0000-0000-0000FF920000}"/>
    <cellStyle name="Normal 2 8 8 3 7" xfId="37629" xr:uid="{00000000-0005-0000-0000-000000930000}"/>
    <cellStyle name="Normal 2 8 8 3 8" xfId="37630" xr:uid="{00000000-0005-0000-0000-000001930000}"/>
    <cellStyle name="Normal 2 8 8 3 9" xfId="37631" xr:uid="{00000000-0005-0000-0000-000002930000}"/>
    <cellStyle name="Normal 2 8 8 4" xfId="37632" xr:uid="{00000000-0005-0000-0000-000003930000}"/>
    <cellStyle name="Normal 2 8 8 4 2" xfId="37633" xr:uid="{00000000-0005-0000-0000-000004930000}"/>
    <cellStyle name="Normal 2 8 8 4 2 2" xfId="37634" xr:uid="{00000000-0005-0000-0000-000005930000}"/>
    <cellStyle name="Normal 2 8 8 4 2 3" xfId="37635" xr:uid="{00000000-0005-0000-0000-000006930000}"/>
    <cellStyle name="Normal 2 8 8 4 3" xfId="37636" xr:uid="{00000000-0005-0000-0000-000007930000}"/>
    <cellStyle name="Normal 2 8 8 4 4" xfId="37637" xr:uid="{00000000-0005-0000-0000-000008930000}"/>
    <cellStyle name="Normal 2 8 8 4 5" xfId="37638" xr:uid="{00000000-0005-0000-0000-000009930000}"/>
    <cellStyle name="Normal 2 8 8 4 6" xfId="37639" xr:uid="{00000000-0005-0000-0000-00000A930000}"/>
    <cellStyle name="Normal 2 8 8 5" xfId="37640" xr:uid="{00000000-0005-0000-0000-00000B930000}"/>
    <cellStyle name="Normal 2 8 8 5 2" xfId="37641" xr:uid="{00000000-0005-0000-0000-00000C930000}"/>
    <cellStyle name="Normal 2 8 8 5 2 2" xfId="37642" xr:uid="{00000000-0005-0000-0000-00000D930000}"/>
    <cellStyle name="Normal 2 8 8 5 3" xfId="37643" xr:uid="{00000000-0005-0000-0000-00000E930000}"/>
    <cellStyle name="Normal 2 8 8 5 4" xfId="37644" xr:uid="{00000000-0005-0000-0000-00000F930000}"/>
    <cellStyle name="Normal 2 8 8 5 5" xfId="37645" xr:uid="{00000000-0005-0000-0000-000010930000}"/>
    <cellStyle name="Normal 2 8 8 6" xfId="37646" xr:uid="{00000000-0005-0000-0000-000011930000}"/>
    <cellStyle name="Normal 2 8 8 6 2" xfId="37647" xr:uid="{00000000-0005-0000-0000-000012930000}"/>
    <cellStyle name="Normal 2 8 8 6 3" xfId="37648" xr:uid="{00000000-0005-0000-0000-000013930000}"/>
    <cellStyle name="Normal 2 8 8 6 4" xfId="37649" xr:uid="{00000000-0005-0000-0000-000014930000}"/>
    <cellStyle name="Normal 2 8 8 7" xfId="37650" xr:uid="{00000000-0005-0000-0000-000015930000}"/>
    <cellStyle name="Normal 2 8 8 7 2" xfId="37651" xr:uid="{00000000-0005-0000-0000-000016930000}"/>
    <cellStyle name="Normal 2 8 8 8" xfId="37652" xr:uid="{00000000-0005-0000-0000-000017930000}"/>
    <cellStyle name="Normal 2 8 8 9" xfId="37653" xr:uid="{00000000-0005-0000-0000-000018930000}"/>
    <cellStyle name="Normal 2 8 9" xfId="37654" xr:uid="{00000000-0005-0000-0000-000019930000}"/>
    <cellStyle name="Normal 2 8 9 10" xfId="37655" xr:uid="{00000000-0005-0000-0000-00001A930000}"/>
    <cellStyle name="Normal 2 8 9 11" xfId="37656" xr:uid="{00000000-0005-0000-0000-00001B930000}"/>
    <cellStyle name="Normal 2 8 9 2" xfId="37657" xr:uid="{00000000-0005-0000-0000-00001C930000}"/>
    <cellStyle name="Normal 2 8 9 2 2" xfId="37658" xr:uid="{00000000-0005-0000-0000-00001D930000}"/>
    <cellStyle name="Normal 2 8 9 2 2 2" xfId="37659" xr:uid="{00000000-0005-0000-0000-00001E930000}"/>
    <cellStyle name="Normal 2 8 9 2 2 2 2" xfId="37660" xr:uid="{00000000-0005-0000-0000-00001F930000}"/>
    <cellStyle name="Normal 2 8 9 2 2 2 3" xfId="37661" xr:uid="{00000000-0005-0000-0000-000020930000}"/>
    <cellStyle name="Normal 2 8 9 2 2 3" xfId="37662" xr:uid="{00000000-0005-0000-0000-000021930000}"/>
    <cellStyle name="Normal 2 8 9 2 2 4" xfId="37663" xr:uid="{00000000-0005-0000-0000-000022930000}"/>
    <cellStyle name="Normal 2 8 9 2 2 5" xfId="37664" xr:uid="{00000000-0005-0000-0000-000023930000}"/>
    <cellStyle name="Normal 2 8 9 2 2 6" xfId="37665" xr:uid="{00000000-0005-0000-0000-000024930000}"/>
    <cellStyle name="Normal 2 8 9 2 3" xfId="37666" xr:uid="{00000000-0005-0000-0000-000025930000}"/>
    <cellStyle name="Normal 2 8 9 2 3 2" xfId="37667" xr:uid="{00000000-0005-0000-0000-000026930000}"/>
    <cellStyle name="Normal 2 8 9 2 3 2 2" xfId="37668" xr:uid="{00000000-0005-0000-0000-000027930000}"/>
    <cellStyle name="Normal 2 8 9 2 3 3" xfId="37669" xr:uid="{00000000-0005-0000-0000-000028930000}"/>
    <cellStyle name="Normal 2 8 9 2 3 4" xfId="37670" xr:uid="{00000000-0005-0000-0000-000029930000}"/>
    <cellStyle name="Normal 2 8 9 2 3 5" xfId="37671" xr:uid="{00000000-0005-0000-0000-00002A930000}"/>
    <cellStyle name="Normal 2 8 9 2 4" xfId="37672" xr:uid="{00000000-0005-0000-0000-00002B930000}"/>
    <cellStyle name="Normal 2 8 9 2 4 2" xfId="37673" xr:uid="{00000000-0005-0000-0000-00002C930000}"/>
    <cellStyle name="Normal 2 8 9 2 4 3" xfId="37674" xr:uid="{00000000-0005-0000-0000-00002D930000}"/>
    <cellStyle name="Normal 2 8 9 2 4 4" xfId="37675" xr:uid="{00000000-0005-0000-0000-00002E930000}"/>
    <cellStyle name="Normal 2 8 9 2 5" xfId="37676" xr:uid="{00000000-0005-0000-0000-00002F930000}"/>
    <cellStyle name="Normal 2 8 9 2 5 2" xfId="37677" xr:uid="{00000000-0005-0000-0000-000030930000}"/>
    <cellStyle name="Normal 2 8 9 2 6" xfId="37678" xr:uid="{00000000-0005-0000-0000-000031930000}"/>
    <cellStyle name="Normal 2 8 9 2 7" xfId="37679" xr:uid="{00000000-0005-0000-0000-000032930000}"/>
    <cellStyle name="Normal 2 8 9 2 8" xfId="37680" xr:uid="{00000000-0005-0000-0000-000033930000}"/>
    <cellStyle name="Normal 2 8 9 2 9" xfId="37681" xr:uid="{00000000-0005-0000-0000-000034930000}"/>
    <cellStyle name="Normal 2 8 9 3" xfId="37682" xr:uid="{00000000-0005-0000-0000-000035930000}"/>
    <cellStyle name="Normal 2 8 9 3 2" xfId="37683" xr:uid="{00000000-0005-0000-0000-000036930000}"/>
    <cellStyle name="Normal 2 8 9 3 2 2" xfId="37684" xr:uid="{00000000-0005-0000-0000-000037930000}"/>
    <cellStyle name="Normal 2 8 9 3 2 2 2" xfId="37685" xr:uid="{00000000-0005-0000-0000-000038930000}"/>
    <cellStyle name="Normal 2 8 9 3 2 2 3" xfId="37686" xr:uid="{00000000-0005-0000-0000-000039930000}"/>
    <cellStyle name="Normal 2 8 9 3 2 3" xfId="37687" xr:uid="{00000000-0005-0000-0000-00003A930000}"/>
    <cellStyle name="Normal 2 8 9 3 2 4" xfId="37688" xr:uid="{00000000-0005-0000-0000-00003B930000}"/>
    <cellStyle name="Normal 2 8 9 3 2 5" xfId="37689" xr:uid="{00000000-0005-0000-0000-00003C930000}"/>
    <cellStyle name="Normal 2 8 9 3 2 6" xfId="37690" xr:uid="{00000000-0005-0000-0000-00003D930000}"/>
    <cellStyle name="Normal 2 8 9 3 3" xfId="37691" xr:uid="{00000000-0005-0000-0000-00003E930000}"/>
    <cellStyle name="Normal 2 8 9 3 3 2" xfId="37692" xr:uid="{00000000-0005-0000-0000-00003F930000}"/>
    <cellStyle name="Normal 2 8 9 3 3 2 2" xfId="37693" xr:uid="{00000000-0005-0000-0000-000040930000}"/>
    <cellStyle name="Normal 2 8 9 3 3 3" xfId="37694" xr:uid="{00000000-0005-0000-0000-000041930000}"/>
    <cellStyle name="Normal 2 8 9 3 3 4" xfId="37695" xr:uid="{00000000-0005-0000-0000-000042930000}"/>
    <cellStyle name="Normal 2 8 9 3 3 5" xfId="37696" xr:uid="{00000000-0005-0000-0000-000043930000}"/>
    <cellStyle name="Normal 2 8 9 3 4" xfId="37697" xr:uid="{00000000-0005-0000-0000-000044930000}"/>
    <cellStyle name="Normal 2 8 9 3 4 2" xfId="37698" xr:uid="{00000000-0005-0000-0000-000045930000}"/>
    <cellStyle name="Normal 2 8 9 3 4 3" xfId="37699" xr:uid="{00000000-0005-0000-0000-000046930000}"/>
    <cellStyle name="Normal 2 8 9 3 4 4" xfId="37700" xr:uid="{00000000-0005-0000-0000-000047930000}"/>
    <cellStyle name="Normal 2 8 9 3 5" xfId="37701" xr:uid="{00000000-0005-0000-0000-000048930000}"/>
    <cellStyle name="Normal 2 8 9 3 5 2" xfId="37702" xr:uid="{00000000-0005-0000-0000-000049930000}"/>
    <cellStyle name="Normal 2 8 9 3 6" xfId="37703" xr:uid="{00000000-0005-0000-0000-00004A930000}"/>
    <cellStyle name="Normal 2 8 9 3 7" xfId="37704" xr:uid="{00000000-0005-0000-0000-00004B930000}"/>
    <cellStyle name="Normal 2 8 9 3 8" xfId="37705" xr:uid="{00000000-0005-0000-0000-00004C930000}"/>
    <cellStyle name="Normal 2 8 9 3 9" xfId="37706" xr:uid="{00000000-0005-0000-0000-00004D930000}"/>
    <cellStyle name="Normal 2 8 9 4" xfId="37707" xr:uid="{00000000-0005-0000-0000-00004E930000}"/>
    <cellStyle name="Normal 2 8 9 4 2" xfId="37708" xr:uid="{00000000-0005-0000-0000-00004F930000}"/>
    <cellStyle name="Normal 2 8 9 4 2 2" xfId="37709" xr:uid="{00000000-0005-0000-0000-000050930000}"/>
    <cellStyle name="Normal 2 8 9 4 2 3" xfId="37710" xr:uid="{00000000-0005-0000-0000-000051930000}"/>
    <cellStyle name="Normal 2 8 9 4 3" xfId="37711" xr:uid="{00000000-0005-0000-0000-000052930000}"/>
    <cellStyle name="Normal 2 8 9 4 4" xfId="37712" xr:uid="{00000000-0005-0000-0000-000053930000}"/>
    <cellStyle name="Normal 2 8 9 4 5" xfId="37713" xr:uid="{00000000-0005-0000-0000-000054930000}"/>
    <cellStyle name="Normal 2 8 9 4 6" xfId="37714" xr:uid="{00000000-0005-0000-0000-000055930000}"/>
    <cellStyle name="Normal 2 8 9 5" xfId="37715" xr:uid="{00000000-0005-0000-0000-000056930000}"/>
    <cellStyle name="Normal 2 8 9 5 2" xfId="37716" xr:uid="{00000000-0005-0000-0000-000057930000}"/>
    <cellStyle name="Normal 2 8 9 5 2 2" xfId="37717" xr:uid="{00000000-0005-0000-0000-000058930000}"/>
    <cellStyle name="Normal 2 8 9 5 3" xfId="37718" xr:uid="{00000000-0005-0000-0000-000059930000}"/>
    <cellStyle name="Normal 2 8 9 5 4" xfId="37719" xr:uid="{00000000-0005-0000-0000-00005A930000}"/>
    <cellStyle name="Normal 2 8 9 5 5" xfId="37720" xr:uid="{00000000-0005-0000-0000-00005B930000}"/>
    <cellStyle name="Normal 2 8 9 6" xfId="37721" xr:uid="{00000000-0005-0000-0000-00005C930000}"/>
    <cellStyle name="Normal 2 8 9 6 2" xfId="37722" xr:uid="{00000000-0005-0000-0000-00005D930000}"/>
    <cellStyle name="Normal 2 8 9 6 3" xfId="37723" xr:uid="{00000000-0005-0000-0000-00005E930000}"/>
    <cellStyle name="Normal 2 8 9 6 4" xfId="37724" xr:uid="{00000000-0005-0000-0000-00005F930000}"/>
    <cellStyle name="Normal 2 8 9 7" xfId="37725" xr:uid="{00000000-0005-0000-0000-000060930000}"/>
    <cellStyle name="Normal 2 8 9 7 2" xfId="37726" xr:uid="{00000000-0005-0000-0000-000061930000}"/>
    <cellStyle name="Normal 2 8 9 8" xfId="37727" xr:uid="{00000000-0005-0000-0000-000062930000}"/>
    <cellStyle name="Normal 2 8 9 9" xfId="37728" xr:uid="{00000000-0005-0000-0000-000063930000}"/>
    <cellStyle name="Normal 2 9" xfId="37729" xr:uid="{00000000-0005-0000-0000-000064930000}"/>
    <cellStyle name="Normal 2 9 2" xfId="37730" xr:uid="{00000000-0005-0000-0000-000065930000}"/>
    <cellStyle name="Normal 2 9 2 10" xfId="37731" xr:uid="{00000000-0005-0000-0000-000066930000}"/>
    <cellStyle name="Normal 2 9 2 10 10" xfId="37732" xr:uid="{00000000-0005-0000-0000-000067930000}"/>
    <cellStyle name="Normal 2 9 2 10 2" xfId="37733" xr:uid="{00000000-0005-0000-0000-000068930000}"/>
    <cellStyle name="Normal 2 9 2 10 2 2" xfId="37734" xr:uid="{00000000-0005-0000-0000-000069930000}"/>
    <cellStyle name="Normal 2 9 2 10 2 2 2" xfId="37735" xr:uid="{00000000-0005-0000-0000-00006A930000}"/>
    <cellStyle name="Normal 2 9 2 10 2 2 3" xfId="37736" xr:uid="{00000000-0005-0000-0000-00006B930000}"/>
    <cellStyle name="Normal 2 9 2 10 2 3" xfId="37737" xr:uid="{00000000-0005-0000-0000-00006C930000}"/>
    <cellStyle name="Normal 2 9 2 10 2 4" xfId="37738" xr:uid="{00000000-0005-0000-0000-00006D930000}"/>
    <cellStyle name="Normal 2 9 2 10 2 5" xfId="37739" xr:uid="{00000000-0005-0000-0000-00006E930000}"/>
    <cellStyle name="Normal 2 9 2 10 2 6" xfId="37740" xr:uid="{00000000-0005-0000-0000-00006F930000}"/>
    <cellStyle name="Normal 2 9 2 10 3" xfId="37741" xr:uid="{00000000-0005-0000-0000-000070930000}"/>
    <cellStyle name="Normal 2 9 2 10 3 2" xfId="37742" xr:uid="{00000000-0005-0000-0000-000071930000}"/>
    <cellStyle name="Normal 2 9 2 10 3 2 2" xfId="37743" xr:uid="{00000000-0005-0000-0000-000072930000}"/>
    <cellStyle name="Normal 2 9 2 10 3 2 3" xfId="37744" xr:uid="{00000000-0005-0000-0000-000073930000}"/>
    <cellStyle name="Normal 2 9 2 10 3 3" xfId="37745" xr:uid="{00000000-0005-0000-0000-000074930000}"/>
    <cellStyle name="Normal 2 9 2 10 3 4" xfId="37746" xr:uid="{00000000-0005-0000-0000-000075930000}"/>
    <cellStyle name="Normal 2 9 2 10 3 5" xfId="37747" xr:uid="{00000000-0005-0000-0000-000076930000}"/>
    <cellStyle name="Normal 2 9 2 10 3 6" xfId="37748" xr:uid="{00000000-0005-0000-0000-000077930000}"/>
    <cellStyle name="Normal 2 9 2 10 4" xfId="37749" xr:uid="{00000000-0005-0000-0000-000078930000}"/>
    <cellStyle name="Normal 2 9 2 10 4 2" xfId="37750" xr:uid="{00000000-0005-0000-0000-000079930000}"/>
    <cellStyle name="Normal 2 9 2 10 4 2 2" xfId="37751" xr:uid="{00000000-0005-0000-0000-00007A930000}"/>
    <cellStyle name="Normal 2 9 2 10 4 3" xfId="37752" xr:uid="{00000000-0005-0000-0000-00007B930000}"/>
    <cellStyle name="Normal 2 9 2 10 4 4" xfId="37753" xr:uid="{00000000-0005-0000-0000-00007C930000}"/>
    <cellStyle name="Normal 2 9 2 10 4 5" xfId="37754" xr:uid="{00000000-0005-0000-0000-00007D930000}"/>
    <cellStyle name="Normal 2 9 2 10 5" xfId="37755" xr:uid="{00000000-0005-0000-0000-00007E930000}"/>
    <cellStyle name="Normal 2 9 2 10 5 2" xfId="37756" xr:uid="{00000000-0005-0000-0000-00007F930000}"/>
    <cellStyle name="Normal 2 9 2 10 5 3" xfId="37757" xr:uid="{00000000-0005-0000-0000-000080930000}"/>
    <cellStyle name="Normal 2 9 2 10 5 4" xfId="37758" xr:uid="{00000000-0005-0000-0000-000081930000}"/>
    <cellStyle name="Normal 2 9 2 10 6" xfId="37759" xr:uid="{00000000-0005-0000-0000-000082930000}"/>
    <cellStyle name="Normal 2 9 2 10 6 2" xfId="37760" xr:uid="{00000000-0005-0000-0000-000083930000}"/>
    <cellStyle name="Normal 2 9 2 10 7" xfId="37761" xr:uid="{00000000-0005-0000-0000-000084930000}"/>
    <cellStyle name="Normal 2 9 2 10 8" xfId="37762" xr:uid="{00000000-0005-0000-0000-000085930000}"/>
    <cellStyle name="Normal 2 9 2 10 9" xfId="37763" xr:uid="{00000000-0005-0000-0000-000086930000}"/>
    <cellStyle name="Normal 2 9 2 11" xfId="37764" xr:uid="{00000000-0005-0000-0000-000087930000}"/>
    <cellStyle name="Normal 2 9 2 11 10" xfId="37765" xr:uid="{00000000-0005-0000-0000-000088930000}"/>
    <cellStyle name="Normal 2 9 2 11 2" xfId="37766" xr:uid="{00000000-0005-0000-0000-000089930000}"/>
    <cellStyle name="Normal 2 9 2 11 2 2" xfId="37767" xr:uid="{00000000-0005-0000-0000-00008A930000}"/>
    <cellStyle name="Normal 2 9 2 11 2 2 2" xfId="37768" xr:uid="{00000000-0005-0000-0000-00008B930000}"/>
    <cellStyle name="Normal 2 9 2 11 2 2 3" xfId="37769" xr:uid="{00000000-0005-0000-0000-00008C930000}"/>
    <cellStyle name="Normal 2 9 2 11 2 3" xfId="37770" xr:uid="{00000000-0005-0000-0000-00008D930000}"/>
    <cellStyle name="Normal 2 9 2 11 2 4" xfId="37771" xr:uid="{00000000-0005-0000-0000-00008E930000}"/>
    <cellStyle name="Normal 2 9 2 11 2 5" xfId="37772" xr:uid="{00000000-0005-0000-0000-00008F930000}"/>
    <cellStyle name="Normal 2 9 2 11 2 6" xfId="37773" xr:uid="{00000000-0005-0000-0000-000090930000}"/>
    <cellStyle name="Normal 2 9 2 11 3" xfId="37774" xr:uid="{00000000-0005-0000-0000-000091930000}"/>
    <cellStyle name="Normal 2 9 2 11 3 2" xfId="37775" xr:uid="{00000000-0005-0000-0000-000092930000}"/>
    <cellStyle name="Normal 2 9 2 11 3 2 2" xfId="37776" xr:uid="{00000000-0005-0000-0000-000093930000}"/>
    <cellStyle name="Normal 2 9 2 11 3 2 3" xfId="37777" xr:uid="{00000000-0005-0000-0000-000094930000}"/>
    <cellStyle name="Normal 2 9 2 11 3 3" xfId="37778" xr:uid="{00000000-0005-0000-0000-000095930000}"/>
    <cellStyle name="Normal 2 9 2 11 3 4" xfId="37779" xr:uid="{00000000-0005-0000-0000-000096930000}"/>
    <cellStyle name="Normal 2 9 2 11 3 5" xfId="37780" xr:uid="{00000000-0005-0000-0000-000097930000}"/>
    <cellStyle name="Normal 2 9 2 11 3 6" xfId="37781" xr:uid="{00000000-0005-0000-0000-000098930000}"/>
    <cellStyle name="Normal 2 9 2 11 4" xfId="37782" xr:uid="{00000000-0005-0000-0000-000099930000}"/>
    <cellStyle name="Normal 2 9 2 11 4 2" xfId="37783" xr:uid="{00000000-0005-0000-0000-00009A930000}"/>
    <cellStyle name="Normal 2 9 2 11 4 2 2" xfId="37784" xr:uid="{00000000-0005-0000-0000-00009B930000}"/>
    <cellStyle name="Normal 2 9 2 11 4 3" xfId="37785" xr:uid="{00000000-0005-0000-0000-00009C930000}"/>
    <cellStyle name="Normal 2 9 2 11 4 4" xfId="37786" xr:uid="{00000000-0005-0000-0000-00009D930000}"/>
    <cellStyle name="Normal 2 9 2 11 4 5" xfId="37787" xr:uid="{00000000-0005-0000-0000-00009E930000}"/>
    <cellStyle name="Normal 2 9 2 11 5" xfId="37788" xr:uid="{00000000-0005-0000-0000-00009F930000}"/>
    <cellStyle name="Normal 2 9 2 11 5 2" xfId="37789" xr:uid="{00000000-0005-0000-0000-0000A0930000}"/>
    <cellStyle name="Normal 2 9 2 11 5 3" xfId="37790" xr:uid="{00000000-0005-0000-0000-0000A1930000}"/>
    <cellStyle name="Normal 2 9 2 11 5 4" xfId="37791" xr:uid="{00000000-0005-0000-0000-0000A2930000}"/>
    <cellStyle name="Normal 2 9 2 11 6" xfId="37792" xr:uid="{00000000-0005-0000-0000-0000A3930000}"/>
    <cellStyle name="Normal 2 9 2 11 6 2" xfId="37793" xr:uid="{00000000-0005-0000-0000-0000A4930000}"/>
    <cellStyle name="Normal 2 9 2 11 7" xfId="37794" xr:uid="{00000000-0005-0000-0000-0000A5930000}"/>
    <cellStyle name="Normal 2 9 2 11 8" xfId="37795" xr:uid="{00000000-0005-0000-0000-0000A6930000}"/>
    <cellStyle name="Normal 2 9 2 11 9" xfId="37796" xr:uid="{00000000-0005-0000-0000-0000A7930000}"/>
    <cellStyle name="Normal 2 9 2 12" xfId="37797" xr:uid="{00000000-0005-0000-0000-0000A8930000}"/>
    <cellStyle name="Normal 2 9 2 12 10" xfId="37798" xr:uid="{00000000-0005-0000-0000-0000A9930000}"/>
    <cellStyle name="Normal 2 9 2 12 2" xfId="37799" xr:uid="{00000000-0005-0000-0000-0000AA930000}"/>
    <cellStyle name="Normal 2 9 2 12 2 2" xfId="37800" xr:uid="{00000000-0005-0000-0000-0000AB930000}"/>
    <cellStyle name="Normal 2 9 2 12 2 2 2" xfId="37801" xr:uid="{00000000-0005-0000-0000-0000AC930000}"/>
    <cellStyle name="Normal 2 9 2 12 2 2 3" xfId="37802" xr:uid="{00000000-0005-0000-0000-0000AD930000}"/>
    <cellStyle name="Normal 2 9 2 12 2 3" xfId="37803" xr:uid="{00000000-0005-0000-0000-0000AE930000}"/>
    <cellStyle name="Normal 2 9 2 12 2 4" xfId="37804" xr:uid="{00000000-0005-0000-0000-0000AF930000}"/>
    <cellStyle name="Normal 2 9 2 12 2 5" xfId="37805" xr:uid="{00000000-0005-0000-0000-0000B0930000}"/>
    <cellStyle name="Normal 2 9 2 12 2 6" xfId="37806" xr:uid="{00000000-0005-0000-0000-0000B1930000}"/>
    <cellStyle name="Normal 2 9 2 12 3" xfId="37807" xr:uid="{00000000-0005-0000-0000-0000B2930000}"/>
    <cellStyle name="Normal 2 9 2 12 3 2" xfId="37808" xr:uid="{00000000-0005-0000-0000-0000B3930000}"/>
    <cellStyle name="Normal 2 9 2 12 3 2 2" xfId="37809" xr:uid="{00000000-0005-0000-0000-0000B4930000}"/>
    <cellStyle name="Normal 2 9 2 12 3 2 3" xfId="37810" xr:uid="{00000000-0005-0000-0000-0000B5930000}"/>
    <cellStyle name="Normal 2 9 2 12 3 3" xfId="37811" xr:uid="{00000000-0005-0000-0000-0000B6930000}"/>
    <cellStyle name="Normal 2 9 2 12 3 4" xfId="37812" xr:uid="{00000000-0005-0000-0000-0000B7930000}"/>
    <cellStyle name="Normal 2 9 2 12 3 5" xfId="37813" xr:uid="{00000000-0005-0000-0000-0000B8930000}"/>
    <cellStyle name="Normal 2 9 2 12 3 6" xfId="37814" xr:uid="{00000000-0005-0000-0000-0000B9930000}"/>
    <cellStyle name="Normal 2 9 2 12 4" xfId="37815" xr:uid="{00000000-0005-0000-0000-0000BA930000}"/>
    <cellStyle name="Normal 2 9 2 12 4 2" xfId="37816" xr:uid="{00000000-0005-0000-0000-0000BB930000}"/>
    <cellStyle name="Normal 2 9 2 12 4 2 2" xfId="37817" xr:uid="{00000000-0005-0000-0000-0000BC930000}"/>
    <cellStyle name="Normal 2 9 2 12 4 3" xfId="37818" xr:uid="{00000000-0005-0000-0000-0000BD930000}"/>
    <cellStyle name="Normal 2 9 2 12 4 4" xfId="37819" xr:uid="{00000000-0005-0000-0000-0000BE930000}"/>
    <cellStyle name="Normal 2 9 2 12 4 5" xfId="37820" xr:uid="{00000000-0005-0000-0000-0000BF930000}"/>
    <cellStyle name="Normal 2 9 2 12 5" xfId="37821" xr:uid="{00000000-0005-0000-0000-0000C0930000}"/>
    <cellStyle name="Normal 2 9 2 12 5 2" xfId="37822" xr:uid="{00000000-0005-0000-0000-0000C1930000}"/>
    <cellStyle name="Normal 2 9 2 12 5 3" xfId="37823" xr:uid="{00000000-0005-0000-0000-0000C2930000}"/>
    <cellStyle name="Normal 2 9 2 12 5 4" xfId="37824" xr:uid="{00000000-0005-0000-0000-0000C3930000}"/>
    <cellStyle name="Normal 2 9 2 12 6" xfId="37825" xr:uid="{00000000-0005-0000-0000-0000C4930000}"/>
    <cellStyle name="Normal 2 9 2 12 6 2" xfId="37826" xr:uid="{00000000-0005-0000-0000-0000C5930000}"/>
    <cellStyle name="Normal 2 9 2 12 7" xfId="37827" xr:uid="{00000000-0005-0000-0000-0000C6930000}"/>
    <cellStyle name="Normal 2 9 2 12 8" xfId="37828" xr:uid="{00000000-0005-0000-0000-0000C7930000}"/>
    <cellStyle name="Normal 2 9 2 12 9" xfId="37829" xr:uid="{00000000-0005-0000-0000-0000C8930000}"/>
    <cellStyle name="Normal 2 9 2 13" xfId="37830" xr:uid="{00000000-0005-0000-0000-0000C9930000}"/>
    <cellStyle name="Normal 2 9 2 13 2" xfId="37831" xr:uid="{00000000-0005-0000-0000-0000CA930000}"/>
    <cellStyle name="Normal 2 9 2 13 2 2" xfId="37832" xr:uid="{00000000-0005-0000-0000-0000CB930000}"/>
    <cellStyle name="Normal 2 9 2 13 2 2 2" xfId="37833" xr:uid="{00000000-0005-0000-0000-0000CC930000}"/>
    <cellStyle name="Normal 2 9 2 13 2 2 3" xfId="37834" xr:uid="{00000000-0005-0000-0000-0000CD930000}"/>
    <cellStyle name="Normal 2 9 2 13 2 3" xfId="37835" xr:uid="{00000000-0005-0000-0000-0000CE930000}"/>
    <cellStyle name="Normal 2 9 2 13 2 4" xfId="37836" xr:uid="{00000000-0005-0000-0000-0000CF930000}"/>
    <cellStyle name="Normal 2 9 2 13 2 5" xfId="37837" xr:uid="{00000000-0005-0000-0000-0000D0930000}"/>
    <cellStyle name="Normal 2 9 2 13 2 6" xfId="37838" xr:uid="{00000000-0005-0000-0000-0000D1930000}"/>
    <cellStyle name="Normal 2 9 2 13 3" xfId="37839" xr:uid="{00000000-0005-0000-0000-0000D2930000}"/>
    <cellStyle name="Normal 2 9 2 13 3 2" xfId="37840" xr:uid="{00000000-0005-0000-0000-0000D3930000}"/>
    <cellStyle name="Normal 2 9 2 13 3 2 2" xfId="37841" xr:uid="{00000000-0005-0000-0000-0000D4930000}"/>
    <cellStyle name="Normal 2 9 2 13 3 3" xfId="37842" xr:uid="{00000000-0005-0000-0000-0000D5930000}"/>
    <cellStyle name="Normal 2 9 2 13 3 4" xfId="37843" xr:uid="{00000000-0005-0000-0000-0000D6930000}"/>
    <cellStyle name="Normal 2 9 2 13 3 5" xfId="37844" xr:uid="{00000000-0005-0000-0000-0000D7930000}"/>
    <cellStyle name="Normal 2 9 2 13 4" xfId="37845" xr:uid="{00000000-0005-0000-0000-0000D8930000}"/>
    <cellStyle name="Normal 2 9 2 13 4 2" xfId="37846" xr:uid="{00000000-0005-0000-0000-0000D9930000}"/>
    <cellStyle name="Normal 2 9 2 13 4 3" xfId="37847" xr:uid="{00000000-0005-0000-0000-0000DA930000}"/>
    <cellStyle name="Normal 2 9 2 13 4 4" xfId="37848" xr:uid="{00000000-0005-0000-0000-0000DB930000}"/>
    <cellStyle name="Normal 2 9 2 13 5" xfId="37849" xr:uid="{00000000-0005-0000-0000-0000DC930000}"/>
    <cellStyle name="Normal 2 9 2 13 5 2" xfId="37850" xr:uid="{00000000-0005-0000-0000-0000DD930000}"/>
    <cellStyle name="Normal 2 9 2 13 6" xfId="37851" xr:uid="{00000000-0005-0000-0000-0000DE930000}"/>
    <cellStyle name="Normal 2 9 2 13 7" xfId="37852" xr:uid="{00000000-0005-0000-0000-0000DF930000}"/>
    <cellStyle name="Normal 2 9 2 13 8" xfId="37853" xr:uid="{00000000-0005-0000-0000-0000E0930000}"/>
    <cellStyle name="Normal 2 9 2 13 9" xfId="37854" xr:uid="{00000000-0005-0000-0000-0000E1930000}"/>
    <cellStyle name="Normal 2 9 2 14" xfId="37855" xr:uid="{00000000-0005-0000-0000-0000E2930000}"/>
    <cellStyle name="Normal 2 9 2 14 2" xfId="37856" xr:uid="{00000000-0005-0000-0000-0000E3930000}"/>
    <cellStyle name="Normal 2 9 2 14 2 2" xfId="37857" xr:uid="{00000000-0005-0000-0000-0000E4930000}"/>
    <cellStyle name="Normal 2 9 2 14 2 2 2" xfId="37858" xr:uid="{00000000-0005-0000-0000-0000E5930000}"/>
    <cellStyle name="Normal 2 9 2 14 2 2 3" xfId="37859" xr:uid="{00000000-0005-0000-0000-0000E6930000}"/>
    <cellStyle name="Normal 2 9 2 14 2 3" xfId="37860" xr:uid="{00000000-0005-0000-0000-0000E7930000}"/>
    <cellStyle name="Normal 2 9 2 14 2 4" xfId="37861" xr:uid="{00000000-0005-0000-0000-0000E8930000}"/>
    <cellStyle name="Normal 2 9 2 14 2 5" xfId="37862" xr:uid="{00000000-0005-0000-0000-0000E9930000}"/>
    <cellStyle name="Normal 2 9 2 14 2 6" xfId="37863" xr:uid="{00000000-0005-0000-0000-0000EA930000}"/>
    <cellStyle name="Normal 2 9 2 14 3" xfId="37864" xr:uid="{00000000-0005-0000-0000-0000EB930000}"/>
    <cellStyle name="Normal 2 9 2 14 3 2" xfId="37865" xr:uid="{00000000-0005-0000-0000-0000EC930000}"/>
    <cellStyle name="Normal 2 9 2 14 3 2 2" xfId="37866" xr:uid="{00000000-0005-0000-0000-0000ED930000}"/>
    <cellStyle name="Normal 2 9 2 14 3 3" xfId="37867" xr:uid="{00000000-0005-0000-0000-0000EE930000}"/>
    <cellStyle name="Normal 2 9 2 14 3 4" xfId="37868" xr:uid="{00000000-0005-0000-0000-0000EF930000}"/>
    <cellStyle name="Normal 2 9 2 14 3 5" xfId="37869" xr:uid="{00000000-0005-0000-0000-0000F0930000}"/>
    <cellStyle name="Normal 2 9 2 14 4" xfId="37870" xr:uid="{00000000-0005-0000-0000-0000F1930000}"/>
    <cellStyle name="Normal 2 9 2 14 4 2" xfId="37871" xr:uid="{00000000-0005-0000-0000-0000F2930000}"/>
    <cellStyle name="Normal 2 9 2 14 4 3" xfId="37872" xr:uid="{00000000-0005-0000-0000-0000F3930000}"/>
    <cellStyle name="Normal 2 9 2 14 4 4" xfId="37873" xr:uid="{00000000-0005-0000-0000-0000F4930000}"/>
    <cellStyle name="Normal 2 9 2 14 5" xfId="37874" xr:uid="{00000000-0005-0000-0000-0000F5930000}"/>
    <cellStyle name="Normal 2 9 2 14 5 2" xfId="37875" xr:uid="{00000000-0005-0000-0000-0000F6930000}"/>
    <cellStyle name="Normal 2 9 2 14 6" xfId="37876" xr:uid="{00000000-0005-0000-0000-0000F7930000}"/>
    <cellStyle name="Normal 2 9 2 14 7" xfId="37877" xr:uid="{00000000-0005-0000-0000-0000F8930000}"/>
    <cellStyle name="Normal 2 9 2 14 8" xfId="37878" xr:uid="{00000000-0005-0000-0000-0000F9930000}"/>
    <cellStyle name="Normal 2 9 2 14 9" xfId="37879" xr:uid="{00000000-0005-0000-0000-0000FA930000}"/>
    <cellStyle name="Normal 2 9 2 15" xfId="37880" xr:uid="{00000000-0005-0000-0000-0000FB930000}"/>
    <cellStyle name="Normal 2 9 2 15 2" xfId="37881" xr:uid="{00000000-0005-0000-0000-0000FC930000}"/>
    <cellStyle name="Normal 2 9 2 15 2 2" xfId="37882" xr:uid="{00000000-0005-0000-0000-0000FD930000}"/>
    <cellStyle name="Normal 2 9 2 15 2 3" xfId="37883" xr:uid="{00000000-0005-0000-0000-0000FE930000}"/>
    <cellStyle name="Normal 2 9 2 15 3" xfId="37884" xr:uid="{00000000-0005-0000-0000-0000FF930000}"/>
    <cellStyle name="Normal 2 9 2 15 4" xfId="37885" xr:uid="{00000000-0005-0000-0000-000000940000}"/>
    <cellStyle name="Normal 2 9 2 15 5" xfId="37886" xr:uid="{00000000-0005-0000-0000-000001940000}"/>
    <cellStyle name="Normal 2 9 2 15 6" xfId="37887" xr:uid="{00000000-0005-0000-0000-000002940000}"/>
    <cellStyle name="Normal 2 9 2 16" xfId="37888" xr:uid="{00000000-0005-0000-0000-000003940000}"/>
    <cellStyle name="Normal 2 9 2 16 2" xfId="37889" xr:uid="{00000000-0005-0000-0000-000004940000}"/>
    <cellStyle name="Normal 2 9 2 16 2 2" xfId="37890" xr:uid="{00000000-0005-0000-0000-000005940000}"/>
    <cellStyle name="Normal 2 9 2 16 3" xfId="37891" xr:uid="{00000000-0005-0000-0000-000006940000}"/>
    <cellStyle name="Normal 2 9 2 16 4" xfId="37892" xr:uid="{00000000-0005-0000-0000-000007940000}"/>
    <cellStyle name="Normal 2 9 2 16 5" xfId="37893" xr:uid="{00000000-0005-0000-0000-000008940000}"/>
    <cellStyle name="Normal 2 9 2 17" xfId="37894" xr:uid="{00000000-0005-0000-0000-000009940000}"/>
    <cellStyle name="Normal 2 9 2 17 2" xfId="37895" xr:uid="{00000000-0005-0000-0000-00000A940000}"/>
    <cellStyle name="Normal 2 9 2 17 2 2" xfId="37896" xr:uid="{00000000-0005-0000-0000-00000B940000}"/>
    <cellStyle name="Normal 2 9 2 17 3" xfId="37897" xr:uid="{00000000-0005-0000-0000-00000C940000}"/>
    <cellStyle name="Normal 2 9 2 17 4" xfId="37898" xr:uid="{00000000-0005-0000-0000-00000D940000}"/>
    <cellStyle name="Normal 2 9 2 17 5" xfId="37899" xr:uid="{00000000-0005-0000-0000-00000E940000}"/>
    <cellStyle name="Normal 2 9 2 18" xfId="37900" xr:uid="{00000000-0005-0000-0000-00000F940000}"/>
    <cellStyle name="Normal 2 9 2 18 2" xfId="37901" xr:uid="{00000000-0005-0000-0000-000010940000}"/>
    <cellStyle name="Normal 2 9 2 19" xfId="37902" xr:uid="{00000000-0005-0000-0000-000011940000}"/>
    <cellStyle name="Normal 2 9 2 2" xfId="37903" xr:uid="{00000000-0005-0000-0000-000012940000}"/>
    <cellStyle name="Normal 2 9 2 2 10" xfId="37904" xr:uid="{00000000-0005-0000-0000-000013940000}"/>
    <cellStyle name="Normal 2 9 2 2 11" xfId="37905" xr:uid="{00000000-0005-0000-0000-000014940000}"/>
    <cellStyle name="Normal 2 9 2 2 2" xfId="37906" xr:uid="{00000000-0005-0000-0000-000015940000}"/>
    <cellStyle name="Normal 2 9 2 2 2 2" xfId="37907" xr:uid="{00000000-0005-0000-0000-000016940000}"/>
    <cellStyle name="Normal 2 9 2 2 2 2 2" xfId="37908" xr:uid="{00000000-0005-0000-0000-000017940000}"/>
    <cellStyle name="Normal 2 9 2 2 2 2 2 2" xfId="37909" xr:uid="{00000000-0005-0000-0000-000018940000}"/>
    <cellStyle name="Normal 2 9 2 2 2 2 2 3" xfId="37910" xr:uid="{00000000-0005-0000-0000-000019940000}"/>
    <cellStyle name="Normal 2 9 2 2 2 2 3" xfId="37911" xr:uid="{00000000-0005-0000-0000-00001A940000}"/>
    <cellStyle name="Normal 2 9 2 2 2 2 4" xfId="37912" xr:uid="{00000000-0005-0000-0000-00001B940000}"/>
    <cellStyle name="Normal 2 9 2 2 2 2 5" xfId="37913" xr:uid="{00000000-0005-0000-0000-00001C940000}"/>
    <cellStyle name="Normal 2 9 2 2 2 2 6" xfId="37914" xr:uid="{00000000-0005-0000-0000-00001D940000}"/>
    <cellStyle name="Normal 2 9 2 2 2 3" xfId="37915" xr:uid="{00000000-0005-0000-0000-00001E940000}"/>
    <cellStyle name="Normal 2 9 2 2 2 3 2" xfId="37916" xr:uid="{00000000-0005-0000-0000-00001F940000}"/>
    <cellStyle name="Normal 2 9 2 2 2 3 2 2" xfId="37917" xr:uid="{00000000-0005-0000-0000-000020940000}"/>
    <cellStyle name="Normal 2 9 2 2 2 3 3" xfId="37918" xr:uid="{00000000-0005-0000-0000-000021940000}"/>
    <cellStyle name="Normal 2 9 2 2 2 3 4" xfId="37919" xr:uid="{00000000-0005-0000-0000-000022940000}"/>
    <cellStyle name="Normal 2 9 2 2 2 3 5" xfId="37920" xr:uid="{00000000-0005-0000-0000-000023940000}"/>
    <cellStyle name="Normal 2 9 2 2 2 4" xfId="37921" xr:uid="{00000000-0005-0000-0000-000024940000}"/>
    <cellStyle name="Normal 2 9 2 2 2 4 2" xfId="37922" xr:uid="{00000000-0005-0000-0000-000025940000}"/>
    <cellStyle name="Normal 2 9 2 2 2 4 3" xfId="37923" xr:uid="{00000000-0005-0000-0000-000026940000}"/>
    <cellStyle name="Normal 2 9 2 2 2 4 4" xfId="37924" xr:uid="{00000000-0005-0000-0000-000027940000}"/>
    <cellStyle name="Normal 2 9 2 2 2 5" xfId="37925" xr:uid="{00000000-0005-0000-0000-000028940000}"/>
    <cellStyle name="Normal 2 9 2 2 2 5 2" xfId="37926" xr:uid="{00000000-0005-0000-0000-000029940000}"/>
    <cellStyle name="Normal 2 9 2 2 2 6" xfId="37927" xr:uid="{00000000-0005-0000-0000-00002A940000}"/>
    <cellStyle name="Normal 2 9 2 2 2 7" xfId="37928" xr:uid="{00000000-0005-0000-0000-00002B940000}"/>
    <cellStyle name="Normal 2 9 2 2 2 8" xfId="37929" xr:uid="{00000000-0005-0000-0000-00002C940000}"/>
    <cellStyle name="Normal 2 9 2 2 2 9" xfId="37930" xr:uid="{00000000-0005-0000-0000-00002D940000}"/>
    <cellStyle name="Normal 2 9 2 2 3" xfId="37931" xr:uid="{00000000-0005-0000-0000-00002E940000}"/>
    <cellStyle name="Normal 2 9 2 2 3 2" xfId="37932" xr:uid="{00000000-0005-0000-0000-00002F940000}"/>
    <cellStyle name="Normal 2 9 2 2 3 2 2" xfId="37933" xr:uid="{00000000-0005-0000-0000-000030940000}"/>
    <cellStyle name="Normal 2 9 2 2 3 2 2 2" xfId="37934" xr:uid="{00000000-0005-0000-0000-000031940000}"/>
    <cellStyle name="Normal 2 9 2 2 3 2 2 3" xfId="37935" xr:uid="{00000000-0005-0000-0000-000032940000}"/>
    <cellStyle name="Normal 2 9 2 2 3 2 3" xfId="37936" xr:uid="{00000000-0005-0000-0000-000033940000}"/>
    <cellStyle name="Normal 2 9 2 2 3 2 4" xfId="37937" xr:uid="{00000000-0005-0000-0000-000034940000}"/>
    <cellStyle name="Normal 2 9 2 2 3 2 5" xfId="37938" xr:uid="{00000000-0005-0000-0000-000035940000}"/>
    <cellStyle name="Normal 2 9 2 2 3 2 6" xfId="37939" xr:uid="{00000000-0005-0000-0000-000036940000}"/>
    <cellStyle name="Normal 2 9 2 2 3 3" xfId="37940" xr:uid="{00000000-0005-0000-0000-000037940000}"/>
    <cellStyle name="Normal 2 9 2 2 3 3 2" xfId="37941" xr:uid="{00000000-0005-0000-0000-000038940000}"/>
    <cellStyle name="Normal 2 9 2 2 3 3 2 2" xfId="37942" xr:uid="{00000000-0005-0000-0000-000039940000}"/>
    <cellStyle name="Normal 2 9 2 2 3 3 3" xfId="37943" xr:uid="{00000000-0005-0000-0000-00003A940000}"/>
    <cellStyle name="Normal 2 9 2 2 3 3 4" xfId="37944" xr:uid="{00000000-0005-0000-0000-00003B940000}"/>
    <cellStyle name="Normal 2 9 2 2 3 3 5" xfId="37945" xr:uid="{00000000-0005-0000-0000-00003C940000}"/>
    <cellStyle name="Normal 2 9 2 2 3 4" xfId="37946" xr:uid="{00000000-0005-0000-0000-00003D940000}"/>
    <cellStyle name="Normal 2 9 2 2 3 4 2" xfId="37947" xr:uid="{00000000-0005-0000-0000-00003E940000}"/>
    <cellStyle name="Normal 2 9 2 2 3 4 3" xfId="37948" xr:uid="{00000000-0005-0000-0000-00003F940000}"/>
    <cellStyle name="Normal 2 9 2 2 3 4 4" xfId="37949" xr:uid="{00000000-0005-0000-0000-000040940000}"/>
    <cellStyle name="Normal 2 9 2 2 3 5" xfId="37950" xr:uid="{00000000-0005-0000-0000-000041940000}"/>
    <cellStyle name="Normal 2 9 2 2 3 5 2" xfId="37951" xr:uid="{00000000-0005-0000-0000-000042940000}"/>
    <cellStyle name="Normal 2 9 2 2 3 6" xfId="37952" xr:uid="{00000000-0005-0000-0000-000043940000}"/>
    <cellStyle name="Normal 2 9 2 2 3 7" xfId="37953" xr:uid="{00000000-0005-0000-0000-000044940000}"/>
    <cellStyle name="Normal 2 9 2 2 3 8" xfId="37954" xr:uid="{00000000-0005-0000-0000-000045940000}"/>
    <cellStyle name="Normal 2 9 2 2 3 9" xfId="37955" xr:uid="{00000000-0005-0000-0000-000046940000}"/>
    <cellStyle name="Normal 2 9 2 2 4" xfId="37956" xr:uid="{00000000-0005-0000-0000-000047940000}"/>
    <cellStyle name="Normal 2 9 2 2 4 2" xfId="37957" xr:uid="{00000000-0005-0000-0000-000048940000}"/>
    <cellStyle name="Normal 2 9 2 2 4 2 2" xfId="37958" xr:uid="{00000000-0005-0000-0000-000049940000}"/>
    <cellStyle name="Normal 2 9 2 2 4 2 3" xfId="37959" xr:uid="{00000000-0005-0000-0000-00004A940000}"/>
    <cellStyle name="Normal 2 9 2 2 4 3" xfId="37960" xr:uid="{00000000-0005-0000-0000-00004B940000}"/>
    <cellStyle name="Normal 2 9 2 2 4 4" xfId="37961" xr:uid="{00000000-0005-0000-0000-00004C940000}"/>
    <cellStyle name="Normal 2 9 2 2 4 5" xfId="37962" xr:uid="{00000000-0005-0000-0000-00004D940000}"/>
    <cellStyle name="Normal 2 9 2 2 4 6" xfId="37963" xr:uid="{00000000-0005-0000-0000-00004E940000}"/>
    <cellStyle name="Normal 2 9 2 2 5" xfId="37964" xr:uid="{00000000-0005-0000-0000-00004F940000}"/>
    <cellStyle name="Normal 2 9 2 2 5 2" xfId="37965" xr:uid="{00000000-0005-0000-0000-000050940000}"/>
    <cellStyle name="Normal 2 9 2 2 5 2 2" xfId="37966" xr:uid="{00000000-0005-0000-0000-000051940000}"/>
    <cellStyle name="Normal 2 9 2 2 5 3" xfId="37967" xr:uid="{00000000-0005-0000-0000-000052940000}"/>
    <cellStyle name="Normal 2 9 2 2 5 4" xfId="37968" xr:uid="{00000000-0005-0000-0000-000053940000}"/>
    <cellStyle name="Normal 2 9 2 2 5 5" xfId="37969" xr:uid="{00000000-0005-0000-0000-000054940000}"/>
    <cellStyle name="Normal 2 9 2 2 6" xfId="37970" xr:uid="{00000000-0005-0000-0000-000055940000}"/>
    <cellStyle name="Normal 2 9 2 2 6 2" xfId="37971" xr:uid="{00000000-0005-0000-0000-000056940000}"/>
    <cellStyle name="Normal 2 9 2 2 6 3" xfId="37972" xr:uid="{00000000-0005-0000-0000-000057940000}"/>
    <cellStyle name="Normal 2 9 2 2 6 4" xfId="37973" xr:uid="{00000000-0005-0000-0000-000058940000}"/>
    <cellStyle name="Normal 2 9 2 2 7" xfId="37974" xr:uid="{00000000-0005-0000-0000-000059940000}"/>
    <cellStyle name="Normal 2 9 2 2 7 2" xfId="37975" xr:uid="{00000000-0005-0000-0000-00005A940000}"/>
    <cellStyle name="Normal 2 9 2 2 8" xfId="37976" xr:uid="{00000000-0005-0000-0000-00005B940000}"/>
    <cellStyle name="Normal 2 9 2 2 9" xfId="37977" xr:uid="{00000000-0005-0000-0000-00005C940000}"/>
    <cellStyle name="Normal 2 9 2 20" xfId="37978" xr:uid="{00000000-0005-0000-0000-00005D940000}"/>
    <cellStyle name="Normal 2 9 2 21" xfId="37979" xr:uid="{00000000-0005-0000-0000-00005E940000}"/>
    <cellStyle name="Normal 2 9 2 22" xfId="37980" xr:uid="{00000000-0005-0000-0000-00005F940000}"/>
    <cellStyle name="Normal 2 9 2 3" xfId="37981" xr:uid="{00000000-0005-0000-0000-000060940000}"/>
    <cellStyle name="Normal 2 9 2 3 10" xfId="37982" xr:uid="{00000000-0005-0000-0000-000061940000}"/>
    <cellStyle name="Normal 2 9 2 3 11" xfId="37983" xr:uid="{00000000-0005-0000-0000-000062940000}"/>
    <cellStyle name="Normal 2 9 2 3 2" xfId="37984" xr:uid="{00000000-0005-0000-0000-000063940000}"/>
    <cellStyle name="Normal 2 9 2 3 2 2" xfId="37985" xr:uid="{00000000-0005-0000-0000-000064940000}"/>
    <cellStyle name="Normal 2 9 2 3 2 2 2" xfId="37986" xr:uid="{00000000-0005-0000-0000-000065940000}"/>
    <cellStyle name="Normal 2 9 2 3 2 2 2 2" xfId="37987" xr:uid="{00000000-0005-0000-0000-000066940000}"/>
    <cellStyle name="Normal 2 9 2 3 2 2 2 3" xfId="37988" xr:uid="{00000000-0005-0000-0000-000067940000}"/>
    <cellStyle name="Normal 2 9 2 3 2 2 3" xfId="37989" xr:uid="{00000000-0005-0000-0000-000068940000}"/>
    <cellStyle name="Normal 2 9 2 3 2 2 4" xfId="37990" xr:uid="{00000000-0005-0000-0000-000069940000}"/>
    <cellStyle name="Normal 2 9 2 3 2 2 5" xfId="37991" xr:uid="{00000000-0005-0000-0000-00006A940000}"/>
    <cellStyle name="Normal 2 9 2 3 2 2 6" xfId="37992" xr:uid="{00000000-0005-0000-0000-00006B940000}"/>
    <cellStyle name="Normal 2 9 2 3 2 3" xfId="37993" xr:uid="{00000000-0005-0000-0000-00006C940000}"/>
    <cellStyle name="Normal 2 9 2 3 2 3 2" xfId="37994" xr:uid="{00000000-0005-0000-0000-00006D940000}"/>
    <cellStyle name="Normal 2 9 2 3 2 3 2 2" xfId="37995" xr:uid="{00000000-0005-0000-0000-00006E940000}"/>
    <cellStyle name="Normal 2 9 2 3 2 3 3" xfId="37996" xr:uid="{00000000-0005-0000-0000-00006F940000}"/>
    <cellStyle name="Normal 2 9 2 3 2 3 4" xfId="37997" xr:uid="{00000000-0005-0000-0000-000070940000}"/>
    <cellStyle name="Normal 2 9 2 3 2 3 5" xfId="37998" xr:uid="{00000000-0005-0000-0000-000071940000}"/>
    <cellStyle name="Normal 2 9 2 3 2 4" xfId="37999" xr:uid="{00000000-0005-0000-0000-000072940000}"/>
    <cellStyle name="Normal 2 9 2 3 2 4 2" xfId="38000" xr:uid="{00000000-0005-0000-0000-000073940000}"/>
    <cellStyle name="Normal 2 9 2 3 2 4 3" xfId="38001" xr:uid="{00000000-0005-0000-0000-000074940000}"/>
    <cellStyle name="Normal 2 9 2 3 2 4 4" xfId="38002" xr:uid="{00000000-0005-0000-0000-000075940000}"/>
    <cellStyle name="Normal 2 9 2 3 2 5" xfId="38003" xr:uid="{00000000-0005-0000-0000-000076940000}"/>
    <cellStyle name="Normal 2 9 2 3 2 5 2" xfId="38004" xr:uid="{00000000-0005-0000-0000-000077940000}"/>
    <cellStyle name="Normal 2 9 2 3 2 6" xfId="38005" xr:uid="{00000000-0005-0000-0000-000078940000}"/>
    <cellStyle name="Normal 2 9 2 3 2 7" xfId="38006" xr:uid="{00000000-0005-0000-0000-000079940000}"/>
    <cellStyle name="Normal 2 9 2 3 2 8" xfId="38007" xr:uid="{00000000-0005-0000-0000-00007A940000}"/>
    <cellStyle name="Normal 2 9 2 3 2 9" xfId="38008" xr:uid="{00000000-0005-0000-0000-00007B940000}"/>
    <cellStyle name="Normal 2 9 2 3 3" xfId="38009" xr:uid="{00000000-0005-0000-0000-00007C940000}"/>
    <cellStyle name="Normal 2 9 2 3 3 2" xfId="38010" xr:uid="{00000000-0005-0000-0000-00007D940000}"/>
    <cellStyle name="Normal 2 9 2 3 3 2 2" xfId="38011" xr:uid="{00000000-0005-0000-0000-00007E940000}"/>
    <cellStyle name="Normal 2 9 2 3 3 2 2 2" xfId="38012" xr:uid="{00000000-0005-0000-0000-00007F940000}"/>
    <cellStyle name="Normal 2 9 2 3 3 2 2 3" xfId="38013" xr:uid="{00000000-0005-0000-0000-000080940000}"/>
    <cellStyle name="Normal 2 9 2 3 3 2 3" xfId="38014" xr:uid="{00000000-0005-0000-0000-000081940000}"/>
    <cellStyle name="Normal 2 9 2 3 3 2 4" xfId="38015" xr:uid="{00000000-0005-0000-0000-000082940000}"/>
    <cellStyle name="Normal 2 9 2 3 3 2 5" xfId="38016" xr:uid="{00000000-0005-0000-0000-000083940000}"/>
    <cellStyle name="Normal 2 9 2 3 3 2 6" xfId="38017" xr:uid="{00000000-0005-0000-0000-000084940000}"/>
    <cellStyle name="Normal 2 9 2 3 3 3" xfId="38018" xr:uid="{00000000-0005-0000-0000-000085940000}"/>
    <cellStyle name="Normal 2 9 2 3 3 3 2" xfId="38019" xr:uid="{00000000-0005-0000-0000-000086940000}"/>
    <cellStyle name="Normal 2 9 2 3 3 3 2 2" xfId="38020" xr:uid="{00000000-0005-0000-0000-000087940000}"/>
    <cellStyle name="Normal 2 9 2 3 3 3 3" xfId="38021" xr:uid="{00000000-0005-0000-0000-000088940000}"/>
    <cellStyle name="Normal 2 9 2 3 3 3 4" xfId="38022" xr:uid="{00000000-0005-0000-0000-000089940000}"/>
    <cellStyle name="Normal 2 9 2 3 3 3 5" xfId="38023" xr:uid="{00000000-0005-0000-0000-00008A940000}"/>
    <cellStyle name="Normal 2 9 2 3 3 4" xfId="38024" xr:uid="{00000000-0005-0000-0000-00008B940000}"/>
    <cellStyle name="Normal 2 9 2 3 3 4 2" xfId="38025" xr:uid="{00000000-0005-0000-0000-00008C940000}"/>
    <cellStyle name="Normal 2 9 2 3 3 4 3" xfId="38026" xr:uid="{00000000-0005-0000-0000-00008D940000}"/>
    <cellStyle name="Normal 2 9 2 3 3 4 4" xfId="38027" xr:uid="{00000000-0005-0000-0000-00008E940000}"/>
    <cellStyle name="Normal 2 9 2 3 3 5" xfId="38028" xr:uid="{00000000-0005-0000-0000-00008F940000}"/>
    <cellStyle name="Normal 2 9 2 3 3 5 2" xfId="38029" xr:uid="{00000000-0005-0000-0000-000090940000}"/>
    <cellStyle name="Normal 2 9 2 3 3 6" xfId="38030" xr:uid="{00000000-0005-0000-0000-000091940000}"/>
    <cellStyle name="Normal 2 9 2 3 3 7" xfId="38031" xr:uid="{00000000-0005-0000-0000-000092940000}"/>
    <cellStyle name="Normal 2 9 2 3 3 8" xfId="38032" xr:uid="{00000000-0005-0000-0000-000093940000}"/>
    <cellStyle name="Normal 2 9 2 3 3 9" xfId="38033" xr:uid="{00000000-0005-0000-0000-000094940000}"/>
    <cellStyle name="Normal 2 9 2 3 4" xfId="38034" xr:uid="{00000000-0005-0000-0000-000095940000}"/>
    <cellStyle name="Normal 2 9 2 3 4 2" xfId="38035" xr:uid="{00000000-0005-0000-0000-000096940000}"/>
    <cellStyle name="Normal 2 9 2 3 4 2 2" xfId="38036" xr:uid="{00000000-0005-0000-0000-000097940000}"/>
    <cellStyle name="Normal 2 9 2 3 4 2 3" xfId="38037" xr:uid="{00000000-0005-0000-0000-000098940000}"/>
    <cellStyle name="Normal 2 9 2 3 4 3" xfId="38038" xr:uid="{00000000-0005-0000-0000-000099940000}"/>
    <cellStyle name="Normal 2 9 2 3 4 4" xfId="38039" xr:uid="{00000000-0005-0000-0000-00009A940000}"/>
    <cellStyle name="Normal 2 9 2 3 4 5" xfId="38040" xr:uid="{00000000-0005-0000-0000-00009B940000}"/>
    <cellStyle name="Normal 2 9 2 3 4 6" xfId="38041" xr:uid="{00000000-0005-0000-0000-00009C940000}"/>
    <cellStyle name="Normal 2 9 2 3 5" xfId="38042" xr:uid="{00000000-0005-0000-0000-00009D940000}"/>
    <cellStyle name="Normal 2 9 2 3 5 2" xfId="38043" xr:uid="{00000000-0005-0000-0000-00009E940000}"/>
    <cellStyle name="Normal 2 9 2 3 5 2 2" xfId="38044" xr:uid="{00000000-0005-0000-0000-00009F940000}"/>
    <cellStyle name="Normal 2 9 2 3 5 3" xfId="38045" xr:uid="{00000000-0005-0000-0000-0000A0940000}"/>
    <cellStyle name="Normal 2 9 2 3 5 4" xfId="38046" xr:uid="{00000000-0005-0000-0000-0000A1940000}"/>
    <cellStyle name="Normal 2 9 2 3 5 5" xfId="38047" xr:uid="{00000000-0005-0000-0000-0000A2940000}"/>
    <cellStyle name="Normal 2 9 2 3 6" xfId="38048" xr:uid="{00000000-0005-0000-0000-0000A3940000}"/>
    <cellStyle name="Normal 2 9 2 3 6 2" xfId="38049" xr:uid="{00000000-0005-0000-0000-0000A4940000}"/>
    <cellStyle name="Normal 2 9 2 3 6 3" xfId="38050" xr:uid="{00000000-0005-0000-0000-0000A5940000}"/>
    <cellStyle name="Normal 2 9 2 3 6 4" xfId="38051" xr:uid="{00000000-0005-0000-0000-0000A6940000}"/>
    <cellStyle name="Normal 2 9 2 3 7" xfId="38052" xr:uid="{00000000-0005-0000-0000-0000A7940000}"/>
    <cellStyle name="Normal 2 9 2 3 7 2" xfId="38053" xr:uid="{00000000-0005-0000-0000-0000A8940000}"/>
    <cellStyle name="Normal 2 9 2 3 8" xfId="38054" xr:uid="{00000000-0005-0000-0000-0000A9940000}"/>
    <cellStyle name="Normal 2 9 2 3 9" xfId="38055" xr:uid="{00000000-0005-0000-0000-0000AA940000}"/>
    <cellStyle name="Normal 2 9 2 4" xfId="38056" xr:uid="{00000000-0005-0000-0000-0000AB940000}"/>
    <cellStyle name="Normal 2 9 2 4 10" xfId="38057" xr:uid="{00000000-0005-0000-0000-0000AC940000}"/>
    <cellStyle name="Normal 2 9 2 4 11" xfId="38058" xr:uid="{00000000-0005-0000-0000-0000AD940000}"/>
    <cellStyle name="Normal 2 9 2 4 2" xfId="38059" xr:uid="{00000000-0005-0000-0000-0000AE940000}"/>
    <cellStyle name="Normal 2 9 2 4 2 2" xfId="38060" xr:uid="{00000000-0005-0000-0000-0000AF940000}"/>
    <cellStyle name="Normal 2 9 2 4 2 2 2" xfId="38061" xr:uid="{00000000-0005-0000-0000-0000B0940000}"/>
    <cellStyle name="Normal 2 9 2 4 2 2 2 2" xfId="38062" xr:uid="{00000000-0005-0000-0000-0000B1940000}"/>
    <cellStyle name="Normal 2 9 2 4 2 2 2 3" xfId="38063" xr:uid="{00000000-0005-0000-0000-0000B2940000}"/>
    <cellStyle name="Normal 2 9 2 4 2 2 3" xfId="38064" xr:uid="{00000000-0005-0000-0000-0000B3940000}"/>
    <cellStyle name="Normal 2 9 2 4 2 2 4" xfId="38065" xr:uid="{00000000-0005-0000-0000-0000B4940000}"/>
    <cellStyle name="Normal 2 9 2 4 2 2 5" xfId="38066" xr:uid="{00000000-0005-0000-0000-0000B5940000}"/>
    <cellStyle name="Normal 2 9 2 4 2 2 6" xfId="38067" xr:uid="{00000000-0005-0000-0000-0000B6940000}"/>
    <cellStyle name="Normal 2 9 2 4 2 3" xfId="38068" xr:uid="{00000000-0005-0000-0000-0000B7940000}"/>
    <cellStyle name="Normal 2 9 2 4 2 3 2" xfId="38069" xr:uid="{00000000-0005-0000-0000-0000B8940000}"/>
    <cellStyle name="Normal 2 9 2 4 2 3 2 2" xfId="38070" xr:uid="{00000000-0005-0000-0000-0000B9940000}"/>
    <cellStyle name="Normal 2 9 2 4 2 3 3" xfId="38071" xr:uid="{00000000-0005-0000-0000-0000BA940000}"/>
    <cellStyle name="Normal 2 9 2 4 2 3 4" xfId="38072" xr:uid="{00000000-0005-0000-0000-0000BB940000}"/>
    <cellStyle name="Normal 2 9 2 4 2 3 5" xfId="38073" xr:uid="{00000000-0005-0000-0000-0000BC940000}"/>
    <cellStyle name="Normal 2 9 2 4 2 4" xfId="38074" xr:uid="{00000000-0005-0000-0000-0000BD940000}"/>
    <cellStyle name="Normal 2 9 2 4 2 4 2" xfId="38075" xr:uid="{00000000-0005-0000-0000-0000BE940000}"/>
    <cellStyle name="Normal 2 9 2 4 2 4 3" xfId="38076" xr:uid="{00000000-0005-0000-0000-0000BF940000}"/>
    <cellStyle name="Normal 2 9 2 4 2 4 4" xfId="38077" xr:uid="{00000000-0005-0000-0000-0000C0940000}"/>
    <cellStyle name="Normal 2 9 2 4 2 5" xfId="38078" xr:uid="{00000000-0005-0000-0000-0000C1940000}"/>
    <cellStyle name="Normal 2 9 2 4 2 5 2" xfId="38079" xr:uid="{00000000-0005-0000-0000-0000C2940000}"/>
    <cellStyle name="Normal 2 9 2 4 2 6" xfId="38080" xr:uid="{00000000-0005-0000-0000-0000C3940000}"/>
    <cellStyle name="Normal 2 9 2 4 2 7" xfId="38081" xr:uid="{00000000-0005-0000-0000-0000C4940000}"/>
    <cellStyle name="Normal 2 9 2 4 2 8" xfId="38082" xr:uid="{00000000-0005-0000-0000-0000C5940000}"/>
    <cellStyle name="Normal 2 9 2 4 2 9" xfId="38083" xr:uid="{00000000-0005-0000-0000-0000C6940000}"/>
    <cellStyle name="Normal 2 9 2 4 3" xfId="38084" xr:uid="{00000000-0005-0000-0000-0000C7940000}"/>
    <cellStyle name="Normal 2 9 2 4 3 2" xfId="38085" xr:uid="{00000000-0005-0000-0000-0000C8940000}"/>
    <cellStyle name="Normal 2 9 2 4 3 2 2" xfId="38086" xr:uid="{00000000-0005-0000-0000-0000C9940000}"/>
    <cellStyle name="Normal 2 9 2 4 3 2 2 2" xfId="38087" xr:uid="{00000000-0005-0000-0000-0000CA940000}"/>
    <cellStyle name="Normal 2 9 2 4 3 2 2 3" xfId="38088" xr:uid="{00000000-0005-0000-0000-0000CB940000}"/>
    <cellStyle name="Normal 2 9 2 4 3 2 3" xfId="38089" xr:uid="{00000000-0005-0000-0000-0000CC940000}"/>
    <cellStyle name="Normal 2 9 2 4 3 2 4" xfId="38090" xr:uid="{00000000-0005-0000-0000-0000CD940000}"/>
    <cellStyle name="Normal 2 9 2 4 3 2 5" xfId="38091" xr:uid="{00000000-0005-0000-0000-0000CE940000}"/>
    <cellStyle name="Normal 2 9 2 4 3 2 6" xfId="38092" xr:uid="{00000000-0005-0000-0000-0000CF940000}"/>
    <cellStyle name="Normal 2 9 2 4 3 3" xfId="38093" xr:uid="{00000000-0005-0000-0000-0000D0940000}"/>
    <cellStyle name="Normal 2 9 2 4 3 3 2" xfId="38094" xr:uid="{00000000-0005-0000-0000-0000D1940000}"/>
    <cellStyle name="Normal 2 9 2 4 3 3 2 2" xfId="38095" xr:uid="{00000000-0005-0000-0000-0000D2940000}"/>
    <cellStyle name="Normal 2 9 2 4 3 3 3" xfId="38096" xr:uid="{00000000-0005-0000-0000-0000D3940000}"/>
    <cellStyle name="Normal 2 9 2 4 3 3 4" xfId="38097" xr:uid="{00000000-0005-0000-0000-0000D4940000}"/>
    <cellStyle name="Normal 2 9 2 4 3 3 5" xfId="38098" xr:uid="{00000000-0005-0000-0000-0000D5940000}"/>
    <cellStyle name="Normal 2 9 2 4 3 4" xfId="38099" xr:uid="{00000000-0005-0000-0000-0000D6940000}"/>
    <cellStyle name="Normal 2 9 2 4 3 4 2" xfId="38100" xr:uid="{00000000-0005-0000-0000-0000D7940000}"/>
    <cellStyle name="Normal 2 9 2 4 3 4 3" xfId="38101" xr:uid="{00000000-0005-0000-0000-0000D8940000}"/>
    <cellStyle name="Normal 2 9 2 4 3 4 4" xfId="38102" xr:uid="{00000000-0005-0000-0000-0000D9940000}"/>
    <cellStyle name="Normal 2 9 2 4 3 5" xfId="38103" xr:uid="{00000000-0005-0000-0000-0000DA940000}"/>
    <cellStyle name="Normal 2 9 2 4 3 5 2" xfId="38104" xr:uid="{00000000-0005-0000-0000-0000DB940000}"/>
    <cellStyle name="Normal 2 9 2 4 3 6" xfId="38105" xr:uid="{00000000-0005-0000-0000-0000DC940000}"/>
    <cellStyle name="Normal 2 9 2 4 3 7" xfId="38106" xr:uid="{00000000-0005-0000-0000-0000DD940000}"/>
    <cellStyle name="Normal 2 9 2 4 3 8" xfId="38107" xr:uid="{00000000-0005-0000-0000-0000DE940000}"/>
    <cellStyle name="Normal 2 9 2 4 3 9" xfId="38108" xr:uid="{00000000-0005-0000-0000-0000DF940000}"/>
    <cellStyle name="Normal 2 9 2 4 4" xfId="38109" xr:uid="{00000000-0005-0000-0000-0000E0940000}"/>
    <cellStyle name="Normal 2 9 2 4 4 2" xfId="38110" xr:uid="{00000000-0005-0000-0000-0000E1940000}"/>
    <cellStyle name="Normal 2 9 2 4 4 2 2" xfId="38111" xr:uid="{00000000-0005-0000-0000-0000E2940000}"/>
    <cellStyle name="Normal 2 9 2 4 4 2 3" xfId="38112" xr:uid="{00000000-0005-0000-0000-0000E3940000}"/>
    <cellStyle name="Normal 2 9 2 4 4 3" xfId="38113" xr:uid="{00000000-0005-0000-0000-0000E4940000}"/>
    <cellStyle name="Normal 2 9 2 4 4 4" xfId="38114" xr:uid="{00000000-0005-0000-0000-0000E5940000}"/>
    <cellStyle name="Normal 2 9 2 4 4 5" xfId="38115" xr:uid="{00000000-0005-0000-0000-0000E6940000}"/>
    <cellStyle name="Normal 2 9 2 4 4 6" xfId="38116" xr:uid="{00000000-0005-0000-0000-0000E7940000}"/>
    <cellStyle name="Normal 2 9 2 4 5" xfId="38117" xr:uid="{00000000-0005-0000-0000-0000E8940000}"/>
    <cellStyle name="Normal 2 9 2 4 5 2" xfId="38118" xr:uid="{00000000-0005-0000-0000-0000E9940000}"/>
    <cellStyle name="Normal 2 9 2 4 5 2 2" xfId="38119" xr:uid="{00000000-0005-0000-0000-0000EA940000}"/>
    <cellStyle name="Normal 2 9 2 4 5 3" xfId="38120" xr:uid="{00000000-0005-0000-0000-0000EB940000}"/>
    <cellStyle name="Normal 2 9 2 4 5 4" xfId="38121" xr:uid="{00000000-0005-0000-0000-0000EC940000}"/>
    <cellStyle name="Normal 2 9 2 4 5 5" xfId="38122" xr:uid="{00000000-0005-0000-0000-0000ED940000}"/>
    <cellStyle name="Normal 2 9 2 4 6" xfId="38123" xr:uid="{00000000-0005-0000-0000-0000EE940000}"/>
    <cellStyle name="Normal 2 9 2 4 6 2" xfId="38124" xr:uid="{00000000-0005-0000-0000-0000EF940000}"/>
    <cellStyle name="Normal 2 9 2 4 6 3" xfId="38125" xr:uid="{00000000-0005-0000-0000-0000F0940000}"/>
    <cellStyle name="Normal 2 9 2 4 6 4" xfId="38126" xr:uid="{00000000-0005-0000-0000-0000F1940000}"/>
    <cellStyle name="Normal 2 9 2 4 7" xfId="38127" xr:uid="{00000000-0005-0000-0000-0000F2940000}"/>
    <cellStyle name="Normal 2 9 2 4 7 2" xfId="38128" xr:uid="{00000000-0005-0000-0000-0000F3940000}"/>
    <cellStyle name="Normal 2 9 2 4 8" xfId="38129" xr:uid="{00000000-0005-0000-0000-0000F4940000}"/>
    <cellStyle name="Normal 2 9 2 4 9" xfId="38130" xr:uid="{00000000-0005-0000-0000-0000F5940000}"/>
    <cellStyle name="Normal 2 9 2 5" xfId="38131" xr:uid="{00000000-0005-0000-0000-0000F6940000}"/>
    <cellStyle name="Normal 2 9 2 5 10" xfId="38132" xr:uid="{00000000-0005-0000-0000-0000F7940000}"/>
    <cellStyle name="Normal 2 9 2 5 11" xfId="38133" xr:uid="{00000000-0005-0000-0000-0000F8940000}"/>
    <cellStyle name="Normal 2 9 2 5 2" xfId="38134" xr:uid="{00000000-0005-0000-0000-0000F9940000}"/>
    <cellStyle name="Normal 2 9 2 5 2 2" xfId="38135" xr:uid="{00000000-0005-0000-0000-0000FA940000}"/>
    <cellStyle name="Normal 2 9 2 5 2 2 2" xfId="38136" xr:uid="{00000000-0005-0000-0000-0000FB940000}"/>
    <cellStyle name="Normal 2 9 2 5 2 2 2 2" xfId="38137" xr:uid="{00000000-0005-0000-0000-0000FC940000}"/>
    <cellStyle name="Normal 2 9 2 5 2 2 2 3" xfId="38138" xr:uid="{00000000-0005-0000-0000-0000FD940000}"/>
    <cellStyle name="Normal 2 9 2 5 2 2 3" xfId="38139" xr:uid="{00000000-0005-0000-0000-0000FE940000}"/>
    <cellStyle name="Normal 2 9 2 5 2 2 4" xfId="38140" xr:uid="{00000000-0005-0000-0000-0000FF940000}"/>
    <cellStyle name="Normal 2 9 2 5 2 2 5" xfId="38141" xr:uid="{00000000-0005-0000-0000-000000950000}"/>
    <cellStyle name="Normal 2 9 2 5 2 2 6" xfId="38142" xr:uid="{00000000-0005-0000-0000-000001950000}"/>
    <cellStyle name="Normal 2 9 2 5 2 3" xfId="38143" xr:uid="{00000000-0005-0000-0000-000002950000}"/>
    <cellStyle name="Normal 2 9 2 5 2 3 2" xfId="38144" xr:uid="{00000000-0005-0000-0000-000003950000}"/>
    <cellStyle name="Normal 2 9 2 5 2 3 2 2" xfId="38145" xr:uid="{00000000-0005-0000-0000-000004950000}"/>
    <cellStyle name="Normal 2 9 2 5 2 3 3" xfId="38146" xr:uid="{00000000-0005-0000-0000-000005950000}"/>
    <cellStyle name="Normal 2 9 2 5 2 3 4" xfId="38147" xr:uid="{00000000-0005-0000-0000-000006950000}"/>
    <cellStyle name="Normal 2 9 2 5 2 3 5" xfId="38148" xr:uid="{00000000-0005-0000-0000-000007950000}"/>
    <cellStyle name="Normal 2 9 2 5 2 4" xfId="38149" xr:uid="{00000000-0005-0000-0000-000008950000}"/>
    <cellStyle name="Normal 2 9 2 5 2 4 2" xfId="38150" xr:uid="{00000000-0005-0000-0000-000009950000}"/>
    <cellStyle name="Normal 2 9 2 5 2 4 3" xfId="38151" xr:uid="{00000000-0005-0000-0000-00000A950000}"/>
    <cellStyle name="Normal 2 9 2 5 2 4 4" xfId="38152" xr:uid="{00000000-0005-0000-0000-00000B950000}"/>
    <cellStyle name="Normal 2 9 2 5 2 5" xfId="38153" xr:uid="{00000000-0005-0000-0000-00000C950000}"/>
    <cellStyle name="Normal 2 9 2 5 2 5 2" xfId="38154" xr:uid="{00000000-0005-0000-0000-00000D950000}"/>
    <cellStyle name="Normal 2 9 2 5 2 6" xfId="38155" xr:uid="{00000000-0005-0000-0000-00000E950000}"/>
    <cellStyle name="Normal 2 9 2 5 2 7" xfId="38156" xr:uid="{00000000-0005-0000-0000-00000F950000}"/>
    <cellStyle name="Normal 2 9 2 5 2 8" xfId="38157" xr:uid="{00000000-0005-0000-0000-000010950000}"/>
    <cellStyle name="Normal 2 9 2 5 2 9" xfId="38158" xr:uid="{00000000-0005-0000-0000-000011950000}"/>
    <cellStyle name="Normal 2 9 2 5 3" xfId="38159" xr:uid="{00000000-0005-0000-0000-000012950000}"/>
    <cellStyle name="Normal 2 9 2 5 3 2" xfId="38160" xr:uid="{00000000-0005-0000-0000-000013950000}"/>
    <cellStyle name="Normal 2 9 2 5 3 2 2" xfId="38161" xr:uid="{00000000-0005-0000-0000-000014950000}"/>
    <cellStyle name="Normal 2 9 2 5 3 2 2 2" xfId="38162" xr:uid="{00000000-0005-0000-0000-000015950000}"/>
    <cellStyle name="Normal 2 9 2 5 3 2 2 3" xfId="38163" xr:uid="{00000000-0005-0000-0000-000016950000}"/>
    <cellStyle name="Normal 2 9 2 5 3 2 3" xfId="38164" xr:uid="{00000000-0005-0000-0000-000017950000}"/>
    <cellStyle name="Normal 2 9 2 5 3 2 4" xfId="38165" xr:uid="{00000000-0005-0000-0000-000018950000}"/>
    <cellStyle name="Normal 2 9 2 5 3 2 5" xfId="38166" xr:uid="{00000000-0005-0000-0000-000019950000}"/>
    <cellStyle name="Normal 2 9 2 5 3 2 6" xfId="38167" xr:uid="{00000000-0005-0000-0000-00001A950000}"/>
    <cellStyle name="Normal 2 9 2 5 3 3" xfId="38168" xr:uid="{00000000-0005-0000-0000-00001B950000}"/>
    <cellStyle name="Normal 2 9 2 5 3 3 2" xfId="38169" xr:uid="{00000000-0005-0000-0000-00001C950000}"/>
    <cellStyle name="Normal 2 9 2 5 3 3 2 2" xfId="38170" xr:uid="{00000000-0005-0000-0000-00001D950000}"/>
    <cellStyle name="Normal 2 9 2 5 3 3 3" xfId="38171" xr:uid="{00000000-0005-0000-0000-00001E950000}"/>
    <cellStyle name="Normal 2 9 2 5 3 3 4" xfId="38172" xr:uid="{00000000-0005-0000-0000-00001F950000}"/>
    <cellStyle name="Normal 2 9 2 5 3 3 5" xfId="38173" xr:uid="{00000000-0005-0000-0000-000020950000}"/>
    <cellStyle name="Normal 2 9 2 5 3 4" xfId="38174" xr:uid="{00000000-0005-0000-0000-000021950000}"/>
    <cellStyle name="Normal 2 9 2 5 3 4 2" xfId="38175" xr:uid="{00000000-0005-0000-0000-000022950000}"/>
    <cellStyle name="Normal 2 9 2 5 3 4 3" xfId="38176" xr:uid="{00000000-0005-0000-0000-000023950000}"/>
    <cellStyle name="Normal 2 9 2 5 3 4 4" xfId="38177" xr:uid="{00000000-0005-0000-0000-000024950000}"/>
    <cellStyle name="Normal 2 9 2 5 3 5" xfId="38178" xr:uid="{00000000-0005-0000-0000-000025950000}"/>
    <cellStyle name="Normal 2 9 2 5 3 5 2" xfId="38179" xr:uid="{00000000-0005-0000-0000-000026950000}"/>
    <cellStyle name="Normal 2 9 2 5 3 6" xfId="38180" xr:uid="{00000000-0005-0000-0000-000027950000}"/>
    <cellStyle name="Normal 2 9 2 5 3 7" xfId="38181" xr:uid="{00000000-0005-0000-0000-000028950000}"/>
    <cellStyle name="Normal 2 9 2 5 3 8" xfId="38182" xr:uid="{00000000-0005-0000-0000-000029950000}"/>
    <cellStyle name="Normal 2 9 2 5 3 9" xfId="38183" xr:uid="{00000000-0005-0000-0000-00002A950000}"/>
    <cellStyle name="Normal 2 9 2 5 4" xfId="38184" xr:uid="{00000000-0005-0000-0000-00002B950000}"/>
    <cellStyle name="Normal 2 9 2 5 4 2" xfId="38185" xr:uid="{00000000-0005-0000-0000-00002C950000}"/>
    <cellStyle name="Normal 2 9 2 5 4 2 2" xfId="38186" xr:uid="{00000000-0005-0000-0000-00002D950000}"/>
    <cellStyle name="Normal 2 9 2 5 4 2 3" xfId="38187" xr:uid="{00000000-0005-0000-0000-00002E950000}"/>
    <cellStyle name="Normal 2 9 2 5 4 3" xfId="38188" xr:uid="{00000000-0005-0000-0000-00002F950000}"/>
    <cellStyle name="Normal 2 9 2 5 4 4" xfId="38189" xr:uid="{00000000-0005-0000-0000-000030950000}"/>
    <cellStyle name="Normal 2 9 2 5 4 5" xfId="38190" xr:uid="{00000000-0005-0000-0000-000031950000}"/>
    <cellStyle name="Normal 2 9 2 5 4 6" xfId="38191" xr:uid="{00000000-0005-0000-0000-000032950000}"/>
    <cellStyle name="Normal 2 9 2 5 5" xfId="38192" xr:uid="{00000000-0005-0000-0000-000033950000}"/>
    <cellStyle name="Normal 2 9 2 5 5 2" xfId="38193" xr:uid="{00000000-0005-0000-0000-000034950000}"/>
    <cellStyle name="Normal 2 9 2 5 5 2 2" xfId="38194" xr:uid="{00000000-0005-0000-0000-000035950000}"/>
    <cellStyle name="Normal 2 9 2 5 5 3" xfId="38195" xr:uid="{00000000-0005-0000-0000-000036950000}"/>
    <cellStyle name="Normal 2 9 2 5 5 4" xfId="38196" xr:uid="{00000000-0005-0000-0000-000037950000}"/>
    <cellStyle name="Normal 2 9 2 5 5 5" xfId="38197" xr:uid="{00000000-0005-0000-0000-000038950000}"/>
    <cellStyle name="Normal 2 9 2 5 6" xfId="38198" xr:uid="{00000000-0005-0000-0000-000039950000}"/>
    <cellStyle name="Normal 2 9 2 5 6 2" xfId="38199" xr:uid="{00000000-0005-0000-0000-00003A950000}"/>
    <cellStyle name="Normal 2 9 2 5 6 3" xfId="38200" xr:uid="{00000000-0005-0000-0000-00003B950000}"/>
    <cellStyle name="Normal 2 9 2 5 6 4" xfId="38201" xr:uid="{00000000-0005-0000-0000-00003C950000}"/>
    <cellStyle name="Normal 2 9 2 5 7" xfId="38202" xr:uid="{00000000-0005-0000-0000-00003D950000}"/>
    <cellStyle name="Normal 2 9 2 5 7 2" xfId="38203" xr:uid="{00000000-0005-0000-0000-00003E950000}"/>
    <cellStyle name="Normal 2 9 2 5 8" xfId="38204" xr:uid="{00000000-0005-0000-0000-00003F950000}"/>
    <cellStyle name="Normal 2 9 2 5 9" xfId="38205" xr:uid="{00000000-0005-0000-0000-000040950000}"/>
    <cellStyle name="Normal 2 9 2 6" xfId="38206" xr:uid="{00000000-0005-0000-0000-000041950000}"/>
    <cellStyle name="Normal 2 9 2 6 10" xfId="38207" xr:uid="{00000000-0005-0000-0000-000042950000}"/>
    <cellStyle name="Normal 2 9 2 6 11" xfId="38208" xr:uid="{00000000-0005-0000-0000-000043950000}"/>
    <cellStyle name="Normal 2 9 2 6 2" xfId="38209" xr:uid="{00000000-0005-0000-0000-000044950000}"/>
    <cellStyle name="Normal 2 9 2 6 2 2" xfId="38210" xr:uid="{00000000-0005-0000-0000-000045950000}"/>
    <cellStyle name="Normal 2 9 2 6 2 2 2" xfId="38211" xr:uid="{00000000-0005-0000-0000-000046950000}"/>
    <cellStyle name="Normal 2 9 2 6 2 2 2 2" xfId="38212" xr:uid="{00000000-0005-0000-0000-000047950000}"/>
    <cellStyle name="Normal 2 9 2 6 2 2 2 3" xfId="38213" xr:uid="{00000000-0005-0000-0000-000048950000}"/>
    <cellStyle name="Normal 2 9 2 6 2 2 3" xfId="38214" xr:uid="{00000000-0005-0000-0000-000049950000}"/>
    <cellStyle name="Normal 2 9 2 6 2 2 4" xfId="38215" xr:uid="{00000000-0005-0000-0000-00004A950000}"/>
    <cellStyle name="Normal 2 9 2 6 2 2 5" xfId="38216" xr:uid="{00000000-0005-0000-0000-00004B950000}"/>
    <cellStyle name="Normal 2 9 2 6 2 2 6" xfId="38217" xr:uid="{00000000-0005-0000-0000-00004C950000}"/>
    <cellStyle name="Normal 2 9 2 6 2 3" xfId="38218" xr:uid="{00000000-0005-0000-0000-00004D950000}"/>
    <cellStyle name="Normal 2 9 2 6 2 3 2" xfId="38219" xr:uid="{00000000-0005-0000-0000-00004E950000}"/>
    <cellStyle name="Normal 2 9 2 6 2 3 2 2" xfId="38220" xr:uid="{00000000-0005-0000-0000-00004F950000}"/>
    <cellStyle name="Normal 2 9 2 6 2 3 3" xfId="38221" xr:uid="{00000000-0005-0000-0000-000050950000}"/>
    <cellStyle name="Normal 2 9 2 6 2 3 4" xfId="38222" xr:uid="{00000000-0005-0000-0000-000051950000}"/>
    <cellStyle name="Normal 2 9 2 6 2 3 5" xfId="38223" xr:uid="{00000000-0005-0000-0000-000052950000}"/>
    <cellStyle name="Normal 2 9 2 6 2 4" xfId="38224" xr:uid="{00000000-0005-0000-0000-000053950000}"/>
    <cellStyle name="Normal 2 9 2 6 2 4 2" xfId="38225" xr:uid="{00000000-0005-0000-0000-000054950000}"/>
    <cellStyle name="Normal 2 9 2 6 2 4 3" xfId="38226" xr:uid="{00000000-0005-0000-0000-000055950000}"/>
    <cellStyle name="Normal 2 9 2 6 2 4 4" xfId="38227" xr:uid="{00000000-0005-0000-0000-000056950000}"/>
    <cellStyle name="Normal 2 9 2 6 2 5" xfId="38228" xr:uid="{00000000-0005-0000-0000-000057950000}"/>
    <cellStyle name="Normal 2 9 2 6 2 5 2" xfId="38229" xr:uid="{00000000-0005-0000-0000-000058950000}"/>
    <cellStyle name="Normal 2 9 2 6 2 6" xfId="38230" xr:uid="{00000000-0005-0000-0000-000059950000}"/>
    <cellStyle name="Normal 2 9 2 6 2 7" xfId="38231" xr:uid="{00000000-0005-0000-0000-00005A950000}"/>
    <cellStyle name="Normal 2 9 2 6 2 8" xfId="38232" xr:uid="{00000000-0005-0000-0000-00005B950000}"/>
    <cellStyle name="Normal 2 9 2 6 2 9" xfId="38233" xr:uid="{00000000-0005-0000-0000-00005C950000}"/>
    <cellStyle name="Normal 2 9 2 6 3" xfId="38234" xr:uid="{00000000-0005-0000-0000-00005D950000}"/>
    <cellStyle name="Normal 2 9 2 6 3 2" xfId="38235" xr:uid="{00000000-0005-0000-0000-00005E950000}"/>
    <cellStyle name="Normal 2 9 2 6 3 2 2" xfId="38236" xr:uid="{00000000-0005-0000-0000-00005F950000}"/>
    <cellStyle name="Normal 2 9 2 6 3 2 2 2" xfId="38237" xr:uid="{00000000-0005-0000-0000-000060950000}"/>
    <cellStyle name="Normal 2 9 2 6 3 2 2 3" xfId="38238" xr:uid="{00000000-0005-0000-0000-000061950000}"/>
    <cellStyle name="Normal 2 9 2 6 3 2 3" xfId="38239" xr:uid="{00000000-0005-0000-0000-000062950000}"/>
    <cellStyle name="Normal 2 9 2 6 3 2 4" xfId="38240" xr:uid="{00000000-0005-0000-0000-000063950000}"/>
    <cellStyle name="Normal 2 9 2 6 3 2 5" xfId="38241" xr:uid="{00000000-0005-0000-0000-000064950000}"/>
    <cellStyle name="Normal 2 9 2 6 3 2 6" xfId="38242" xr:uid="{00000000-0005-0000-0000-000065950000}"/>
    <cellStyle name="Normal 2 9 2 6 3 3" xfId="38243" xr:uid="{00000000-0005-0000-0000-000066950000}"/>
    <cellStyle name="Normal 2 9 2 6 3 3 2" xfId="38244" xr:uid="{00000000-0005-0000-0000-000067950000}"/>
    <cellStyle name="Normal 2 9 2 6 3 3 2 2" xfId="38245" xr:uid="{00000000-0005-0000-0000-000068950000}"/>
    <cellStyle name="Normal 2 9 2 6 3 3 3" xfId="38246" xr:uid="{00000000-0005-0000-0000-000069950000}"/>
    <cellStyle name="Normal 2 9 2 6 3 3 4" xfId="38247" xr:uid="{00000000-0005-0000-0000-00006A950000}"/>
    <cellStyle name="Normal 2 9 2 6 3 3 5" xfId="38248" xr:uid="{00000000-0005-0000-0000-00006B950000}"/>
    <cellStyle name="Normal 2 9 2 6 3 4" xfId="38249" xr:uid="{00000000-0005-0000-0000-00006C950000}"/>
    <cellStyle name="Normal 2 9 2 6 3 4 2" xfId="38250" xr:uid="{00000000-0005-0000-0000-00006D950000}"/>
    <cellStyle name="Normal 2 9 2 6 3 4 3" xfId="38251" xr:uid="{00000000-0005-0000-0000-00006E950000}"/>
    <cellStyle name="Normal 2 9 2 6 3 4 4" xfId="38252" xr:uid="{00000000-0005-0000-0000-00006F950000}"/>
    <cellStyle name="Normal 2 9 2 6 3 5" xfId="38253" xr:uid="{00000000-0005-0000-0000-000070950000}"/>
    <cellStyle name="Normal 2 9 2 6 3 5 2" xfId="38254" xr:uid="{00000000-0005-0000-0000-000071950000}"/>
    <cellStyle name="Normal 2 9 2 6 3 6" xfId="38255" xr:uid="{00000000-0005-0000-0000-000072950000}"/>
    <cellStyle name="Normal 2 9 2 6 3 7" xfId="38256" xr:uid="{00000000-0005-0000-0000-000073950000}"/>
    <cellStyle name="Normal 2 9 2 6 3 8" xfId="38257" xr:uid="{00000000-0005-0000-0000-000074950000}"/>
    <cellStyle name="Normal 2 9 2 6 3 9" xfId="38258" xr:uid="{00000000-0005-0000-0000-000075950000}"/>
    <cellStyle name="Normal 2 9 2 6 4" xfId="38259" xr:uid="{00000000-0005-0000-0000-000076950000}"/>
    <cellStyle name="Normal 2 9 2 6 4 2" xfId="38260" xr:uid="{00000000-0005-0000-0000-000077950000}"/>
    <cellStyle name="Normal 2 9 2 6 4 2 2" xfId="38261" xr:uid="{00000000-0005-0000-0000-000078950000}"/>
    <cellStyle name="Normal 2 9 2 6 4 2 3" xfId="38262" xr:uid="{00000000-0005-0000-0000-000079950000}"/>
    <cellStyle name="Normal 2 9 2 6 4 3" xfId="38263" xr:uid="{00000000-0005-0000-0000-00007A950000}"/>
    <cellStyle name="Normal 2 9 2 6 4 4" xfId="38264" xr:uid="{00000000-0005-0000-0000-00007B950000}"/>
    <cellStyle name="Normal 2 9 2 6 4 5" xfId="38265" xr:uid="{00000000-0005-0000-0000-00007C950000}"/>
    <cellStyle name="Normal 2 9 2 6 4 6" xfId="38266" xr:uid="{00000000-0005-0000-0000-00007D950000}"/>
    <cellStyle name="Normal 2 9 2 6 5" xfId="38267" xr:uid="{00000000-0005-0000-0000-00007E950000}"/>
    <cellStyle name="Normal 2 9 2 6 5 2" xfId="38268" xr:uid="{00000000-0005-0000-0000-00007F950000}"/>
    <cellStyle name="Normal 2 9 2 6 5 2 2" xfId="38269" xr:uid="{00000000-0005-0000-0000-000080950000}"/>
    <cellStyle name="Normal 2 9 2 6 5 3" xfId="38270" xr:uid="{00000000-0005-0000-0000-000081950000}"/>
    <cellStyle name="Normal 2 9 2 6 5 4" xfId="38271" xr:uid="{00000000-0005-0000-0000-000082950000}"/>
    <cellStyle name="Normal 2 9 2 6 5 5" xfId="38272" xr:uid="{00000000-0005-0000-0000-000083950000}"/>
    <cellStyle name="Normal 2 9 2 6 6" xfId="38273" xr:uid="{00000000-0005-0000-0000-000084950000}"/>
    <cellStyle name="Normal 2 9 2 6 6 2" xfId="38274" xr:uid="{00000000-0005-0000-0000-000085950000}"/>
    <cellStyle name="Normal 2 9 2 6 6 3" xfId="38275" xr:uid="{00000000-0005-0000-0000-000086950000}"/>
    <cellStyle name="Normal 2 9 2 6 6 4" xfId="38276" xr:uid="{00000000-0005-0000-0000-000087950000}"/>
    <cellStyle name="Normal 2 9 2 6 7" xfId="38277" xr:uid="{00000000-0005-0000-0000-000088950000}"/>
    <cellStyle name="Normal 2 9 2 6 7 2" xfId="38278" xr:uid="{00000000-0005-0000-0000-000089950000}"/>
    <cellStyle name="Normal 2 9 2 6 8" xfId="38279" xr:uid="{00000000-0005-0000-0000-00008A950000}"/>
    <cellStyle name="Normal 2 9 2 6 9" xfId="38280" xr:uid="{00000000-0005-0000-0000-00008B950000}"/>
    <cellStyle name="Normal 2 9 2 7" xfId="38281" xr:uid="{00000000-0005-0000-0000-00008C950000}"/>
    <cellStyle name="Normal 2 9 2 7 10" xfId="38282" xr:uid="{00000000-0005-0000-0000-00008D950000}"/>
    <cellStyle name="Normal 2 9 2 7 11" xfId="38283" xr:uid="{00000000-0005-0000-0000-00008E950000}"/>
    <cellStyle name="Normal 2 9 2 7 2" xfId="38284" xr:uid="{00000000-0005-0000-0000-00008F950000}"/>
    <cellStyle name="Normal 2 9 2 7 2 2" xfId="38285" xr:uid="{00000000-0005-0000-0000-000090950000}"/>
    <cellStyle name="Normal 2 9 2 7 2 2 2" xfId="38286" xr:uid="{00000000-0005-0000-0000-000091950000}"/>
    <cellStyle name="Normal 2 9 2 7 2 2 2 2" xfId="38287" xr:uid="{00000000-0005-0000-0000-000092950000}"/>
    <cellStyle name="Normal 2 9 2 7 2 2 2 3" xfId="38288" xr:uid="{00000000-0005-0000-0000-000093950000}"/>
    <cellStyle name="Normal 2 9 2 7 2 2 3" xfId="38289" xr:uid="{00000000-0005-0000-0000-000094950000}"/>
    <cellStyle name="Normal 2 9 2 7 2 2 4" xfId="38290" xr:uid="{00000000-0005-0000-0000-000095950000}"/>
    <cellStyle name="Normal 2 9 2 7 2 2 5" xfId="38291" xr:uid="{00000000-0005-0000-0000-000096950000}"/>
    <cellStyle name="Normal 2 9 2 7 2 2 6" xfId="38292" xr:uid="{00000000-0005-0000-0000-000097950000}"/>
    <cellStyle name="Normal 2 9 2 7 2 3" xfId="38293" xr:uid="{00000000-0005-0000-0000-000098950000}"/>
    <cellStyle name="Normal 2 9 2 7 2 3 2" xfId="38294" xr:uid="{00000000-0005-0000-0000-000099950000}"/>
    <cellStyle name="Normal 2 9 2 7 2 3 2 2" xfId="38295" xr:uid="{00000000-0005-0000-0000-00009A950000}"/>
    <cellStyle name="Normal 2 9 2 7 2 3 3" xfId="38296" xr:uid="{00000000-0005-0000-0000-00009B950000}"/>
    <cellStyle name="Normal 2 9 2 7 2 3 4" xfId="38297" xr:uid="{00000000-0005-0000-0000-00009C950000}"/>
    <cellStyle name="Normal 2 9 2 7 2 3 5" xfId="38298" xr:uid="{00000000-0005-0000-0000-00009D950000}"/>
    <cellStyle name="Normal 2 9 2 7 2 4" xfId="38299" xr:uid="{00000000-0005-0000-0000-00009E950000}"/>
    <cellStyle name="Normal 2 9 2 7 2 4 2" xfId="38300" xr:uid="{00000000-0005-0000-0000-00009F950000}"/>
    <cellStyle name="Normal 2 9 2 7 2 4 3" xfId="38301" xr:uid="{00000000-0005-0000-0000-0000A0950000}"/>
    <cellStyle name="Normal 2 9 2 7 2 4 4" xfId="38302" xr:uid="{00000000-0005-0000-0000-0000A1950000}"/>
    <cellStyle name="Normal 2 9 2 7 2 5" xfId="38303" xr:uid="{00000000-0005-0000-0000-0000A2950000}"/>
    <cellStyle name="Normal 2 9 2 7 2 5 2" xfId="38304" xr:uid="{00000000-0005-0000-0000-0000A3950000}"/>
    <cellStyle name="Normal 2 9 2 7 2 6" xfId="38305" xr:uid="{00000000-0005-0000-0000-0000A4950000}"/>
    <cellStyle name="Normal 2 9 2 7 2 7" xfId="38306" xr:uid="{00000000-0005-0000-0000-0000A5950000}"/>
    <cellStyle name="Normal 2 9 2 7 2 8" xfId="38307" xr:uid="{00000000-0005-0000-0000-0000A6950000}"/>
    <cellStyle name="Normal 2 9 2 7 2 9" xfId="38308" xr:uid="{00000000-0005-0000-0000-0000A7950000}"/>
    <cellStyle name="Normal 2 9 2 7 3" xfId="38309" xr:uid="{00000000-0005-0000-0000-0000A8950000}"/>
    <cellStyle name="Normal 2 9 2 7 3 2" xfId="38310" xr:uid="{00000000-0005-0000-0000-0000A9950000}"/>
    <cellStyle name="Normal 2 9 2 7 3 2 2" xfId="38311" xr:uid="{00000000-0005-0000-0000-0000AA950000}"/>
    <cellStyle name="Normal 2 9 2 7 3 2 2 2" xfId="38312" xr:uid="{00000000-0005-0000-0000-0000AB950000}"/>
    <cellStyle name="Normal 2 9 2 7 3 2 2 3" xfId="38313" xr:uid="{00000000-0005-0000-0000-0000AC950000}"/>
    <cellStyle name="Normal 2 9 2 7 3 2 3" xfId="38314" xr:uid="{00000000-0005-0000-0000-0000AD950000}"/>
    <cellStyle name="Normal 2 9 2 7 3 2 4" xfId="38315" xr:uid="{00000000-0005-0000-0000-0000AE950000}"/>
    <cellStyle name="Normal 2 9 2 7 3 2 5" xfId="38316" xr:uid="{00000000-0005-0000-0000-0000AF950000}"/>
    <cellStyle name="Normal 2 9 2 7 3 2 6" xfId="38317" xr:uid="{00000000-0005-0000-0000-0000B0950000}"/>
    <cellStyle name="Normal 2 9 2 7 3 3" xfId="38318" xr:uid="{00000000-0005-0000-0000-0000B1950000}"/>
    <cellStyle name="Normal 2 9 2 7 3 3 2" xfId="38319" xr:uid="{00000000-0005-0000-0000-0000B2950000}"/>
    <cellStyle name="Normal 2 9 2 7 3 3 2 2" xfId="38320" xr:uid="{00000000-0005-0000-0000-0000B3950000}"/>
    <cellStyle name="Normal 2 9 2 7 3 3 3" xfId="38321" xr:uid="{00000000-0005-0000-0000-0000B4950000}"/>
    <cellStyle name="Normal 2 9 2 7 3 3 4" xfId="38322" xr:uid="{00000000-0005-0000-0000-0000B5950000}"/>
    <cellStyle name="Normal 2 9 2 7 3 3 5" xfId="38323" xr:uid="{00000000-0005-0000-0000-0000B6950000}"/>
    <cellStyle name="Normal 2 9 2 7 3 4" xfId="38324" xr:uid="{00000000-0005-0000-0000-0000B7950000}"/>
    <cellStyle name="Normal 2 9 2 7 3 4 2" xfId="38325" xr:uid="{00000000-0005-0000-0000-0000B8950000}"/>
    <cellStyle name="Normal 2 9 2 7 3 4 3" xfId="38326" xr:uid="{00000000-0005-0000-0000-0000B9950000}"/>
    <cellStyle name="Normal 2 9 2 7 3 4 4" xfId="38327" xr:uid="{00000000-0005-0000-0000-0000BA950000}"/>
    <cellStyle name="Normal 2 9 2 7 3 5" xfId="38328" xr:uid="{00000000-0005-0000-0000-0000BB950000}"/>
    <cellStyle name="Normal 2 9 2 7 3 5 2" xfId="38329" xr:uid="{00000000-0005-0000-0000-0000BC950000}"/>
    <cellStyle name="Normal 2 9 2 7 3 6" xfId="38330" xr:uid="{00000000-0005-0000-0000-0000BD950000}"/>
    <cellStyle name="Normal 2 9 2 7 3 7" xfId="38331" xr:uid="{00000000-0005-0000-0000-0000BE950000}"/>
    <cellStyle name="Normal 2 9 2 7 3 8" xfId="38332" xr:uid="{00000000-0005-0000-0000-0000BF950000}"/>
    <cellStyle name="Normal 2 9 2 7 3 9" xfId="38333" xr:uid="{00000000-0005-0000-0000-0000C0950000}"/>
    <cellStyle name="Normal 2 9 2 7 4" xfId="38334" xr:uid="{00000000-0005-0000-0000-0000C1950000}"/>
    <cellStyle name="Normal 2 9 2 7 4 2" xfId="38335" xr:uid="{00000000-0005-0000-0000-0000C2950000}"/>
    <cellStyle name="Normal 2 9 2 7 4 2 2" xfId="38336" xr:uid="{00000000-0005-0000-0000-0000C3950000}"/>
    <cellStyle name="Normal 2 9 2 7 4 2 3" xfId="38337" xr:uid="{00000000-0005-0000-0000-0000C4950000}"/>
    <cellStyle name="Normal 2 9 2 7 4 3" xfId="38338" xr:uid="{00000000-0005-0000-0000-0000C5950000}"/>
    <cellStyle name="Normal 2 9 2 7 4 4" xfId="38339" xr:uid="{00000000-0005-0000-0000-0000C6950000}"/>
    <cellStyle name="Normal 2 9 2 7 4 5" xfId="38340" xr:uid="{00000000-0005-0000-0000-0000C7950000}"/>
    <cellStyle name="Normal 2 9 2 7 4 6" xfId="38341" xr:uid="{00000000-0005-0000-0000-0000C8950000}"/>
    <cellStyle name="Normal 2 9 2 7 5" xfId="38342" xr:uid="{00000000-0005-0000-0000-0000C9950000}"/>
    <cellStyle name="Normal 2 9 2 7 5 2" xfId="38343" xr:uid="{00000000-0005-0000-0000-0000CA950000}"/>
    <cellStyle name="Normal 2 9 2 7 5 2 2" xfId="38344" xr:uid="{00000000-0005-0000-0000-0000CB950000}"/>
    <cellStyle name="Normal 2 9 2 7 5 3" xfId="38345" xr:uid="{00000000-0005-0000-0000-0000CC950000}"/>
    <cellStyle name="Normal 2 9 2 7 5 4" xfId="38346" xr:uid="{00000000-0005-0000-0000-0000CD950000}"/>
    <cellStyle name="Normal 2 9 2 7 5 5" xfId="38347" xr:uid="{00000000-0005-0000-0000-0000CE950000}"/>
    <cellStyle name="Normal 2 9 2 7 6" xfId="38348" xr:uid="{00000000-0005-0000-0000-0000CF950000}"/>
    <cellStyle name="Normal 2 9 2 7 6 2" xfId="38349" xr:uid="{00000000-0005-0000-0000-0000D0950000}"/>
    <cellStyle name="Normal 2 9 2 7 6 3" xfId="38350" xr:uid="{00000000-0005-0000-0000-0000D1950000}"/>
    <cellStyle name="Normal 2 9 2 7 6 4" xfId="38351" xr:uid="{00000000-0005-0000-0000-0000D2950000}"/>
    <cellStyle name="Normal 2 9 2 7 7" xfId="38352" xr:uid="{00000000-0005-0000-0000-0000D3950000}"/>
    <cellStyle name="Normal 2 9 2 7 7 2" xfId="38353" xr:uid="{00000000-0005-0000-0000-0000D4950000}"/>
    <cellStyle name="Normal 2 9 2 7 8" xfId="38354" xr:uid="{00000000-0005-0000-0000-0000D5950000}"/>
    <cellStyle name="Normal 2 9 2 7 9" xfId="38355" xr:uid="{00000000-0005-0000-0000-0000D6950000}"/>
    <cellStyle name="Normal 2 9 2 8" xfId="38356" xr:uid="{00000000-0005-0000-0000-0000D7950000}"/>
    <cellStyle name="Normal 2 9 2 8 10" xfId="38357" xr:uid="{00000000-0005-0000-0000-0000D8950000}"/>
    <cellStyle name="Normal 2 9 2 8 2" xfId="38358" xr:uid="{00000000-0005-0000-0000-0000D9950000}"/>
    <cellStyle name="Normal 2 9 2 8 2 2" xfId="38359" xr:uid="{00000000-0005-0000-0000-0000DA950000}"/>
    <cellStyle name="Normal 2 9 2 8 2 2 2" xfId="38360" xr:uid="{00000000-0005-0000-0000-0000DB950000}"/>
    <cellStyle name="Normal 2 9 2 8 2 2 3" xfId="38361" xr:uid="{00000000-0005-0000-0000-0000DC950000}"/>
    <cellStyle name="Normal 2 9 2 8 2 3" xfId="38362" xr:uid="{00000000-0005-0000-0000-0000DD950000}"/>
    <cellStyle name="Normal 2 9 2 8 2 4" xfId="38363" xr:uid="{00000000-0005-0000-0000-0000DE950000}"/>
    <cellStyle name="Normal 2 9 2 8 2 5" xfId="38364" xr:uid="{00000000-0005-0000-0000-0000DF950000}"/>
    <cellStyle name="Normal 2 9 2 8 2 6" xfId="38365" xr:uid="{00000000-0005-0000-0000-0000E0950000}"/>
    <cellStyle name="Normal 2 9 2 8 3" xfId="38366" xr:uid="{00000000-0005-0000-0000-0000E1950000}"/>
    <cellStyle name="Normal 2 9 2 8 3 2" xfId="38367" xr:uid="{00000000-0005-0000-0000-0000E2950000}"/>
    <cellStyle name="Normal 2 9 2 8 3 2 2" xfId="38368" xr:uid="{00000000-0005-0000-0000-0000E3950000}"/>
    <cellStyle name="Normal 2 9 2 8 3 2 3" xfId="38369" xr:uid="{00000000-0005-0000-0000-0000E4950000}"/>
    <cellStyle name="Normal 2 9 2 8 3 3" xfId="38370" xr:uid="{00000000-0005-0000-0000-0000E5950000}"/>
    <cellStyle name="Normal 2 9 2 8 3 4" xfId="38371" xr:uid="{00000000-0005-0000-0000-0000E6950000}"/>
    <cellStyle name="Normal 2 9 2 8 3 5" xfId="38372" xr:uid="{00000000-0005-0000-0000-0000E7950000}"/>
    <cellStyle name="Normal 2 9 2 8 3 6" xfId="38373" xr:uid="{00000000-0005-0000-0000-0000E8950000}"/>
    <cellStyle name="Normal 2 9 2 8 4" xfId="38374" xr:uid="{00000000-0005-0000-0000-0000E9950000}"/>
    <cellStyle name="Normal 2 9 2 8 4 2" xfId="38375" xr:uid="{00000000-0005-0000-0000-0000EA950000}"/>
    <cellStyle name="Normal 2 9 2 8 4 2 2" xfId="38376" xr:uid="{00000000-0005-0000-0000-0000EB950000}"/>
    <cellStyle name="Normal 2 9 2 8 4 3" xfId="38377" xr:uid="{00000000-0005-0000-0000-0000EC950000}"/>
    <cellStyle name="Normal 2 9 2 8 4 4" xfId="38378" xr:uid="{00000000-0005-0000-0000-0000ED950000}"/>
    <cellStyle name="Normal 2 9 2 8 4 5" xfId="38379" xr:uid="{00000000-0005-0000-0000-0000EE950000}"/>
    <cellStyle name="Normal 2 9 2 8 5" xfId="38380" xr:uid="{00000000-0005-0000-0000-0000EF950000}"/>
    <cellStyle name="Normal 2 9 2 8 5 2" xfId="38381" xr:uid="{00000000-0005-0000-0000-0000F0950000}"/>
    <cellStyle name="Normal 2 9 2 8 5 3" xfId="38382" xr:uid="{00000000-0005-0000-0000-0000F1950000}"/>
    <cellStyle name="Normal 2 9 2 8 5 4" xfId="38383" xr:uid="{00000000-0005-0000-0000-0000F2950000}"/>
    <cellStyle name="Normal 2 9 2 8 6" xfId="38384" xr:uid="{00000000-0005-0000-0000-0000F3950000}"/>
    <cellStyle name="Normal 2 9 2 8 6 2" xfId="38385" xr:uid="{00000000-0005-0000-0000-0000F4950000}"/>
    <cellStyle name="Normal 2 9 2 8 7" xfId="38386" xr:uid="{00000000-0005-0000-0000-0000F5950000}"/>
    <cellStyle name="Normal 2 9 2 8 8" xfId="38387" xr:uid="{00000000-0005-0000-0000-0000F6950000}"/>
    <cellStyle name="Normal 2 9 2 8 9" xfId="38388" xr:uid="{00000000-0005-0000-0000-0000F7950000}"/>
    <cellStyle name="Normal 2 9 2 9" xfId="38389" xr:uid="{00000000-0005-0000-0000-0000F8950000}"/>
    <cellStyle name="Normal 2 9 2 9 10" xfId="38390" xr:uid="{00000000-0005-0000-0000-0000F9950000}"/>
    <cellStyle name="Normal 2 9 2 9 2" xfId="38391" xr:uid="{00000000-0005-0000-0000-0000FA950000}"/>
    <cellStyle name="Normal 2 9 2 9 2 2" xfId="38392" xr:uid="{00000000-0005-0000-0000-0000FB950000}"/>
    <cellStyle name="Normal 2 9 2 9 2 2 2" xfId="38393" xr:uid="{00000000-0005-0000-0000-0000FC950000}"/>
    <cellStyle name="Normal 2 9 2 9 2 2 3" xfId="38394" xr:uid="{00000000-0005-0000-0000-0000FD950000}"/>
    <cellStyle name="Normal 2 9 2 9 2 3" xfId="38395" xr:uid="{00000000-0005-0000-0000-0000FE950000}"/>
    <cellStyle name="Normal 2 9 2 9 2 4" xfId="38396" xr:uid="{00000000-0005-0000-0000-0000FF950000}"/>
    <cellStyle name="Normal 2 9 2 9 2 5" xfId="38397" xr:uid="{00000000-0005-0000-0000-000000960000}"/>
    <cellStyle name="Normal 2 9 2 9 2 6" xfId="38398" xr:uid="{00000000-0005-0000-0000-000001960000}"/>
    <cellStyle name="Normal 2 9 2 9 3" xfId="38399" xr:uid="{00000000-0005-0000-0000-000002960000}"/>
    <cellStyle name="Normal 2 9 2 9 3 2" xfId="38400" xr:uid="{00000000-0005-0000-0000-000003960000}"/>
    <cellStyle name="Normal 2 9 2 9 3 2 2" xfId="38401" xr:uid="{00000000-0005-0000-0000-000004960000}"/>
    <cellStyle name="Normal 2 9 2 9 3 2 3" xfId="38402" xr:uid="{00000000-0005-0000-0000-000005960000}"/>
    <cellStyle name="Normal 2 9 2 9 3 3" xfId="38403" xr:uid="{00000000-0005-0000-0000-000006960000}"/>
    <cellStyle name="Normal 2 9 2 9 3 4" xfId="38404" xr:uid="{00000000-0005-0000-0000-000007960000}"/>
    <cellStyle name="Normal 2 9 2 9 3 5" xfId="38405" xr:uid="{00000000-0005-0000-0000-000008960000}"/>
    <cellStyle name="Normal 2 9 2 9 3 6" xfId="38406" xr:uid="{00000000-0005-0000-0000-000009960000}"/>
    <cellStyle name="Normal 2 9 2 9 4" xfId="38407" xr:uid="{00000000-0005-0000-0000-00000A960000}"/>
    <cellStyle name="Normal 2 9 2 9 4 2" xfId="38408" xr:uid="{00000000-0005-0000-0000-00000B960000}"/>
    <cellStyle name="Normal 2 9 2 9 4 2 2" xfId="38409" xr:uid="{00000000-0005-0000-0000-00000C960000}"/>
    <cellStyle name="Normal 2 9 2 9 4 3" xfId="38410" xr:uid="{00000000-0005-0000-0000-00000D960000}"/>
    <cellStyle name="Normal 2 9 2 9 4 4" xfId="38411" xr:uid="{00000000-0005-0000-0000-00000E960000}"/>
    <cellStyle name="Normal 2 9 2 9 4 5" xfId="38412" xr:uid="{00000000-0005-0000-0000-00000F960000}"/>
    <cellStyle name="Normal 2 9 2 9 5" xfId="38413" xr:uid="{00000000-0005-0000-0000-000010960000}"/>
    <cellStyle name="Normal 2 9 2 9 5 2" xfId="38414" xr:uid="{00000000-0005-0000-0000-000011960000}"/>
    <cellStyle name="Normal 2 9 2 9 5 3" xfId="38415" xr:uid="{00000000-0005-0000-0000-000012960000}"/>
    <cellStyle name="Normal 2 9 2 9 5 4" xfId="38416" xr:uid="{00000000-0005-0000-0000-000013960000}"/>
    <cellStyle name="Normal 2 9 2 9 6" xfId="38417" xr:uid="{00000000-0005-0000-0000-000014960000}"/>
    <cellStyle name="Normal 2 9 2 9 6 2" xfId="38418" xr:uid="{00000000-0005-0000-0000-000015960000}"/>
    <cellStyle name="Normal 2 9 2 9 7" xfId="38419" xr:uid="{00000000-0005-0000-0000-000016960000}"/>
    <cellStyle name="Normal 2 9 2 9 8" xfId="38420" xr:uid="{00000000-0005-0000-0000-000017960000}"/>
    <cellStyle name="Normal 2 9 2 9 9" xfId="38421" xr:uid="{00000000-0005-0000-0000-000018960000}"/>
    <cellStyle name="Normal 2 9 3" xfId="38422" xr:uid="{00000000-0005-0000-0000-000019960000}"/>
    <cellStyle name="Normal 2 9 3 2" xfId="38423" xr:uid="{00000000-0005-0000-0000-00001A960000}"/>
    <cellStyle name="Normal 2 9 4" xfId="38424" xr:uid="{00000000-0005-0000-0000-00001B960000}"/>
    <cellStyle name="Normal 2 9 5" xfId="38425" xr:uid="{00000000-0005-0000-0000-00001C960000}"/>
    <cellStyle name="Normal 2 9 6" xfId="38426" xr:uid="{00000000-0005-0000-0000-00001D960000}"/>
    <cellStyle name="Normal 2 9 7" xfId="38427" xr:uid="{00000000-0005-0000-0000-00001E960000}"/>
    <cellStyle name="Normal 2 9 8" xfId="38428" xr:uid="{00000000-0005-0000-0000-00001F960000}"/>
    <cellStyle name="Normal 20" xfId="38429" xr:uid="{00000000-0005-0000-0000-000020960000}"/>
    <cellStyle name="Normal 20 2" xfId="38430" xr:uid="{00000000-0005-0000-0000-000021960000}"/>
    <cellStyle name="Normal 20 2 2" xfId="38431" xr:uid="{00000000-0005-0000-0000-000022960000}"/>
    <cellStyle name="Normal 20 2 3" xfId="38432" xr:uid="{00000000-0005-0000-0000-000023960000}"/>
    <cellStyle name="Normal 20 3" xfId="38433" xr:uid="{00000000-0005-0000-0000-000024960000}"/>
    <cellStyle name="Normal 20 4" xfId="38434" xr:uid="{00000000-0005-0000-0000-000025960000}"/>
    <cellStyle name="Normal 21" xfId="38435" xr:uid="{00000000-0005-0000-0000-000026960000}"/>
    <cellStyle name="Normal 21 2" xfId="38436" xr:uid="{00000000-0005-0000-0000-000027960000}"/>
    <cellStyle name="Normal 21 3" xfId="38437" xr:uid="{00000000-0005-0000-0000-000028960000}"/>
    <cellStyle name="Normal 22" xfId="38438" xr:uid="{00000000-0005-0000-0000-000029960000}"/>
    <cellStyle name="Normal 22 2" xfId="38439" xr:uid="{00000000-0005-0000-0000-00002A960000}"/>
    <cellStyle name="Normal 23" xfId="38440" xr:uid="{00000000-0005-0000-0000-00002B960000}"/>
    <cellStyle name="Normal 24" xfId="38441" xr:uid="{00000000-0005-0000-0000-00002C960000}"/>
    <cellStyle name="Normal 25" xfId="38442" xr:uid="{00000000-0005-0000-0000-00002D960000}"/>
    <cellStyle name="Normal 26" xfId="38443" xr:uid="{00000000-0005-0000-0000-00002E960000}"/>
    <cellStyle name="Normal 27" xfId="38444" xr:uid="{00000000-0005-0000-0000-00002F960000}"/>
    <cellStyle name="Normal 28" xfId="38445" xr:uid="{00000000-0005-0000-0000-000030960000}"/>
    <cellStyle name="Normal 29" xfId="38446" xr:uid="{00000000-0005-0000-0000-000031960000}"/>
    <cellStyle name="Normal 3" xfId="38447" xr:uid="{00000000-0005-0000-0000-000032960000}"/>
    <cellStyle name="Normal 3 10" xfId="38448" xr:uid="{00000000-0005-0000-0000-000033960000}"/>
    <cellStyle name="Normal 3 10 2" xfId="38449" xr:uid="{00000000-0005-0000-0000-000034960000}"/>
    <cellStyle name="Normal 3 11" xfId="38450" xr:uid="{00000000-0005-0000-0000-000035960000}"/>
    <cellStyle name="Normal 3 11 2" xfId="38451" xr:uid="{00000000-0005-0000-0000-000036960000}"/>
    <cellStyle name="Normal 3 12" xfId="38452" xr:uid="{00000000-0005-0000-0000-000037960000}"/>
    <cellStyle name="Normal 3 13" xfId="38453" xr:uid="{00000000-0005-0000-0000-000038960000}"/>
    <cellStyle name="Normal 3 14" xfId="38454" xr:uid="{00000000-0005-0000-0000-000039960000}"/>
    <cellStyle name="Normal 3 15" xfId="38455" xr:uid="{00000000-0005-0000-0000-00003A960000}"/>
    <cellStyle name="Normal 3 16" xfId="38456" xr:uid="{00000000-0005-0000-0000-00003B960000}"/>
    <cellStyle name="Normal 3 17" xfId="38457" xr:uid="{00000000-0005-0000-0000-00003C960000}"/>
    <cellStyle name="Normal 3 18" xfId="38458" xr:uid="{00000000-0005-0000-0000-00003D960000}"/>
    <cellStyle name="Normal 3 19" xfId="38459" xr:uid="{00000000-0005-0000-0000-00003E960000}"/>
    <cellStyle name="Normal 3 2" xfId="38460" xr:uid="{00000000-0005-0000-0000-00003F960000}"/>
    <cellStyle name="Normal 3 2 2" xfId="38461" xr:uid="{00000000-0005-0000-0000-000040960000}"/>
    <cellStyle name="Normal 3 2 2 2" xfId="38462" xr:uid="{00000000-0005-0000-0000-000041960000}"/>
    <cellStyle name="Normal 3 2 2 2 2" xfId="38463" xr:uid="{00000000-0005-0000-0000-000042960000}"/>
    <cellStyle name="Normal 3 2 2 2 3" xfId="38464" xr:uid="{00000000-0005-0000-0000-000043960000}"/>
    <cellStyle name="Normal 3 2 2 3" xfId="38465" xr:uid="{00000000-0005-0000-0000-000044960000}"/>
    <cellStyle name="Normal 3 2 2 3 2" xfId="38466" xr:uid="{00000000-0005-0000-0000-000045960000}"/>
    <cellStyle name="Normal 3 2 2 4" xfId="38467" xr:uid="{00000000-0005-0000-0000-000046960000}"/>
    <cellStyle name="Normal 3 2 2 5" xfId="38468" xr:uid="{00000000-0005-0000-0000-000047960000}"/>
    <cellStyle name="Normal 3 2 2 6" xfId="38469" xr:uid="{00000000-0005-0000-0000-000048960000}"/>
    <cellStyle name="Normal 3 2 2 7" xfId="38470" xr:uid="{00000000-0005-0000-0000-000049960000}"/>
    <cellStyle name="Normal 3 2 3" xfId="38471" xr:uid="{00000000-0005-0000-0000-00004A960000}"/>
    <cellStyle name="Normal 3 2 3 2" xfId="38472" xr:uid="{00000000-0005-0000-0000-00004B960000}"/>
    <cellStyle name="Normal 3 2 3 3" xfId="38473" xr:uid="{00000000-0005-0000-0000-00004C960000}"/>
    <cellStyle name="Normal 3 2 3 4" xfId="38474" xr:uid="{00000000-0005-0000-0000-00004D960000}"/>
    <cellStyle name="Normal 3 2 3 5" xfId="38475" xr:uid="{00000000-0005-0000-0000-00004E960000}"/>
    <cellStyle name="Normal 3 2 4" xfId="38476" xr:uid="{00000000-0005-0000-0000-00004F960000}"/>
    <cellStyle name="Normal 3 2 4 2" xfId="38477" xr:uid="{00000000-0005-0000-0000-000050960000}"/>
    <cellStyle name="Normal 3 2 4 3" xfId="38478" xr:uid="{00000000-0005-0000-0000-000051960000}"/>
    <cellStyle name="Normal 3 2 4 4" xfId="38479" xr:uid="{00000000-0005-0000-0000-000052960000}"/>
    <cellStyle name="Normal 3 2 5" xfId="38480" xr:uid="{00000000-0005-0000-0000-000053960000}"/>
    <cellStyle name="Normal 3 2 5 2" xfId="38481" xr:uid="{00000000-0005-0000-0000-000054960000}"/>
    <cellStyle name="Normal 3 2 5 3" xfId="38482" xr:uid="{00000000-0005-0000-0000-000055960000}"/>
    <cellStyle name="Normal 3 2 5 4" xfId="38483" xr:uid="{00000000-0005-0000-0000-000056960000}"/>
    <cellStyle name="Normal 3 2 6" xfId="38484" xr:uid="{00000000-0005-0000-0000-000057960000}"/>
    <cellStyle name="Normal 3 2 7" xfId="38485" xr:uid="{00000000-0005-0000-0000-000058960000}"/>
    <cellStyle name="Normal 3 2 8" xfId="38486" xr:uid="{00000000-0005-0000-0000-000059960000}"/>
    <cellStyle name="Normal 3 20" xfId="38487" xr:uid="{00000000-0005-0000-0000-00005A960000}"/>
    <cellStyle name="Normal 3 21" xfId="38488" xr:uid="{00000000-0005-0000-0000-00005B960000}"/>
    <cellStyle name="Normal 3 22" xfId="38489" xr:uid="{00000000-0005-0000-0000-00005C960000}"/>
    <cellStyle name="Normal 3 23" xfId="38490" xr:uid="{00000000-0005-0000-0000-00005D960000}"/>
    <cellStyle name="Normal 3 24" xfId="38491" xr:uid="{00000000-0005-0000-0000-00005E960000}"/>
    <cellStyle name="Normal 3 25" xfId="38492" xr:uid="{00000000-0005-0000-0000-00005F960000}"/>
    <cellStyle name="Normal 3 26" xfId="38493" xr:uid="{00000000-0005-0000-0000-000060960000}"/>
    <cellStyle name="Normal 3 27" xfId="38494" xr:uid="{00000000-0005-0000-0000-000061960000}"/>
    <cellStyle name="Normal 3 28" xfId="38495" xr:uid="{00000000-0005-0000-0000-000062960000}"/>
    <cellStyle name="Normal 3 29" xfId="38496" xr:uid="{00000000-0005-0000-0000-000063960000}"/>
    <cellStyle name="Normal 3 3" xfId="38497" xr:uid="{00000000-0005-0000-0000-000064960000}"/>
    <cellStyle name="Normal 3 3 2" xfId="38498" xr:uid="{00000000-0005-0000-0000-000065960000}"/>
    <cellStyle name="Normal 3 3 3" xfId="38499" xr:uid="{00000000-0005-0000-0000-000066960000}"/>
    <cellStyle name="Normal 3 30" xfId="38500" xr:uid="{00000000-0005-0000-0000-000067960000}"/>
    <cellStyle name="Normal 3 31" xfId="38501" xr:uid="{00000000-0005-0000-0000-000068960000}"/>
    <cellStyle name="Normal 3 32" xfId="38502" xr:uid="{00000000-0005-0000-0000-000069960000}"/>
    <cellStyle name="Normal 3 33" xfId="38503" xr:uid="{00000000-0005-0000-0000-00006A960000}"/>
    <cellStyle name="Normal 3 34" xfId="38504" xr:uid="{00000000-0005-0000-0000-00006B960000}"/>
    <cellStyle name="Normal 3 35" xfId="38505" xr:uid="{00000000-0005-0000-0000-00006C960000}"/>
    <cellStyle name="Normal 3 36" xfId="38506" xr:uid="{00000000-0005-0000-0000-00006D960000}"/>
    <cellStyle name="Normal 3 37" xfId="38507" xr:uid="{00000000-0005-0000-0000-00006E960000}"/>
    <cellStyle name="Normal 3 38" xfId="38508" xr:uid="{00000000-0005-0000-0000-00006F960000}"/>
    <cellStyle name="Normal 3 39" xfId="38509" xr:uid="{00000000-0005-0000-0000-000070960000}"/>
    <cellStyle name="Normal 3 4" xfId="38510" xr:uid="{00000000-0005-0000-0000-000071960000}"/>
    <cellStyle name="Normal 3 4 10" xfId="38511" xr:uid="{00000000-0005-0000-0000-000072960000}"/>
    <cellStyle name="Normal 3 4 11" xfId="38512" xr:uid="{00000000-0005-0000-0000-000073960000}"/>
    <cellStyle name="Normal 3 4 12" xfId="38513" xr:uid="{00000000-0005-0000-0000-000074960000}"/>
    <cellStyle name="Normal 3 4 13" xfId="38514" xr:uid="{00000000-0005-0000-0000-000075960000}"/>
    <cellStyle name="Normal 3 4 14" xfId="38515" xr:uid="{00000000-0005-0000-0000-000076960000}"/>
    <cellStyle name="Normal 3 4 15" xfId="38516" xr:uid="{00000000-0005-0000-0000-000077960000}"/>
    <cellStyle name="Normal 3 4 16" xfId="38517" xr:uid="{00000000-0005-0000-0000-000078960000}"/>
    <cellStyle name="Normal 3 4 17" xfId="38518" xr:uid="{00000000-0005-0000-0000-000079960000}"/>
    <cellStyle name="Normal 3 4 18" xfId="38519" xr:uid="{00000000-0005-0000-0000-00007A960000}"/>
    <cellStyle name="Normal 3 4 19" xfId="38520" xr:uid="{00000000-0005-0000-0000-00007B960000}"/>
    <cellStyle name="Normal 3 4 2" xfId="38521" xr:uid="{00000000-0005-0000-0000-00007C960000}"/>
    <cellStyle name="Normal 3 4 20" xfId="38522" xr:uid="{00000000-0005-0000-0000-00007D960000}"/>
    <cellStyle name="Normal 3 4 21" xfId="38523" xr:uid="{00000000-0005-0000-0000-00007E960000}"/>
    <cellStyle name="Normal 3 4 22" xfId="38524" xr:uid="{00000000-0005-0000-0000-00007F960000}"/>
    <cellStyle name="Normal 3 4 23" xfId="38525" xr:uid="{00000000-0005-0000-0000-000080960000}"/>
    <cellStyle name="Normal 3 4 24" xfId="38526" xr:uid="{00000000-0005-0000-0000-000081960000}"/>
    <cellStyle name="Normal 3 4 25" xfId="38527" xr:uid="{00000000-0005-0000-0000-000082960000}"/>
    <cellStyle name="Normal 3 4 26" xfId="38528" xr:uid="{00000000-0005-0000-0000-000083960000}"/>
    <cellStyle name="Normal 3 4 27" xfId="38529" xr:uid="{00000000-0005-0000-0000-000084960000}"/>
    <cellStyle name="Normal 3 4 28" xfId="38530" xr:uid="{00000000-0005-0000-0000-000085960000}"/>
    <cellStyle name="Normal 3 4 29" xfId="38531" xr:uid="{00000000-0005-0000-0000-000086960000}"/>
    <cellStyle name="Normal 3 4 3" xfId="38532" xr:uid="{00000000-0005-0000-0000-000087960000}"/>
    <cellStyle name="Normal 3 4 30" xfId="38533" xr:uid="{00000000-0005-0000-0000-000088960000}"/>
    <cellStyle name="Normal 3 4 31" xfId="38534" xr:uid="{00000000-0005-0000-0000-000089960000}"/>
    <cellStyle name="Normal 3 4 32" xfId="38535" xr:uid="{00000000-0005-0000-0000-00008A960000}"/>
    <cellStyle name="Normal 3 4 33" xfId="38536" xr:uid="{00000000-0005-0000-0000-00008B960000}"/>
    <cellStyle name="Normal 3 4 34" xfId="38537" xr:uid="{00000000-0005-0000-0000-00008C960000}"/>
    <cellStyle name="Normal 3 4 35" xfId="38538" xr:uid="{00000000-0005-0000-0000-00008D960000}"/>
    <cellStyle name="Normal 3 4 4" xfId="38539" xr:uid="{00000000-0005-0000-0000-00008E960000}"/>
    <cellStyle name="Normal 3 4 5" xfId="38540" xr:uid="{00000000-0005-0000-0000-00008F960000}"/>
    <cellStyle name="Normal 3 4 6" xfId="38541" xr:uid="{00000000-0005-0000-0000-000090960000}"/>
    <cellStyle name="Normal 3 4 7" xfId="38542" xr:uid="{00000000-0005-0000-0000-000091960000}"/>
    <cellStyle name="Normal 3 4 8" xfId="38543" xr:uid="{00000000-0005-0000-0000-000092960000}"/>
    <cellStyle name="Normal 3 4 9" xfId="38544" xr:uid="{00000000-0005-0000-0000-000093960000}"/>
    <cellStyle name="Normal 3 40" xfId="38545" xr:uid="{00000000-0005-0000-0000-000094960000}"/>
    <cellStyle name="Normal 3 41" xfId="38546" xr:uid="{00000000-0005-0000-0000-000095960000}"/>
    <cellStyle name="Normal 3 42" xfId="38547" xr:uid="{00000000-0005-0000-0000-000096960000}"/>
    <cellStyle name="Normal 3 43" xfId="38548" xr:uid="{00000000-0005-0000-0000-000097960000}"/>
    <cellStyle name="Normal 3 44" xfId="38549" xr:uid="{00000000-0005-0000-0000-000098960000}"/>
    <cellStyle name="Normal 3 45" xfId="38550" xr:uid="{00000000-0005-0000-0000-000099960000}"/>
    <cellStyle name="Normal 3 46" xfId="38551" xr:uid="{00000000-0005-0000-0000-00009A960000}"/>
    <cellStyle name="Normal 3 47" xfId="38552" xr:uid="{00000000-0005-0000-0000-00009B960000}"/>
    <cellStyle name="Normal 3 5" xfId="38553" xr:uid="{00000000-0005-0000-0000-00009C960000}"/>
    <cellStyle name="Normal 3 5 2" xfId="38554" xr:uid="{00000000-0005-0000-0000-00009D960000}"/>
    <cellStyle name="Normal 3 5 3" xfId="38555" xr:uid="{00000000-0005-0000-0000-00009E960000}"/>
    <cellStyle name="Normal 3 6" xfId="38556" xr:uid="{00000000-0005-0000-0000-00009F960000}"/>
    <cellStyle name="Normal 3 6 2" xfId="38557" xr:uid="{00000000-0005-0000-0000-0000A0960000}"/>
    <cellStyle name="Normal 3 6 3" xfId="38558" xr:uid="{00000000-0005-0000-0000-0000A1960000}"/>
    <cellStyle name="Normal 3 7" xfId="38559" xr:uid="{00000000-0005-0000-0000-0000A2960000}"/>
    <cellStyle name="Normal 3 7 2" xfId="38560" xr:uid="{00000000-0005-0000-0000-0000A3960000}"/>
    <cellStyle name="Normal 3 8" xfId="38561" xr:uid="{00000000-0005-0000-0000-0000A4960000}"/>
    <cellStyle name="Normal 3 8 2" xfId="38562" xr:uid="{00000000-0005-0000-0000-0000A5960000}"/>
    <cellStyle name="Normal 3 9" xfId="38563" xr:uid="{00000000-0005-0000-0000-0000A6960000}"/>
    <cellStyle name="Normal 3 9 2" xfId="38564" xr:uid="{00000000-0005-0000-0000-0000A7960000}"/>
    <cellStyle name="Normal 30" xfId="38565" xr:uid="{00000000-0005-0000-0000-0000A8960000}"/>
    <cellStyle name="Normal 31" xfId="38566" xr:uid="{00000000-0005-0000-0000-0000A9960000}"/>
    <cellStyle name="Normal 32" xfId="38567" xr:uid="{00000000-0005-0000-0000-0000AA960000}"/>
    <cellStyle name="Normal 33" xfId="38568" xr:uid="{00000000-0005-0000-0000-0000AB960000}"/>
    <cellStyle name="Normal 34" xfId="38569" xr:uid="{00000000-0005-0000-0000-0000AC960000}"/>
    <cellStyle name="Normal 35" xfId="38570" xr:uid="{00000000-0005-0000-0000-0000AD960000}"/>
    <cellStyle name="Normal 36" xfId="38571" xr:uid="{00000000-0005-0000-0000-0000AE960000}"/>
    <cellStyle name="Normal 37" xfId="38572" xr:uid="{00000000-0005-0000-0000-0000AF960000}"/>
    <cellStyle name="Normal 38" xfId="38573" xr:uid="{00000000-0005-0000-0000-0000B0960000}"/>
    <cellStyle name="Normal 39" xfId="38574" xr:uid="{00000000-0005-0000-0000-0000B1960000}"/>
    <cellStyle name="Normal 4" xfId="38575" xr:uid="{00000000-0005-0000-0000-0000B2960000}"/>
    <cellStyle name="Normal 4 10" xfId="38576" xr:uid="{00000000-0005-0000-0000-0000B3960000}"/>
    <cellStyle name="Normal 4 10 2" xfId="38577" xr:uid="{00000000-0005-0000-0000-0000B4960000}"/>
    <cellStyle name="Normal 4 10 2 2" xfId="38578" xr:uid="{00000000-0005-0000-0000-0000B5960000}"/>
    <cellStyle name="Normal 4 10 3" xfId="38579" xr:uid="{00000000-0005-0000-0000-0000B6960000}"/>
    <cellStyle name="Normal 4 10 4" xfId="38580" xr:uid="{00000000-0005-0000-0000-0000B7960000}"/>
    <cellStyle name="Normal 4 11" xfId="38581" xr:uid="{00000000-0005-0000-0000-0000B8960000}"/>
    <cellStyle name="Normal 4 11 2" xfId="38582" xr:uid="{00000000-0005-0000-0000-0000B9960000}"/>
    <cellStyle name="Normal 4 11 3" xfId="38583" xr:uid="{00000000-0005-0000-0000-0000BA960000}"/>
    <cellStyle name="Normal 4 12" xfId="38584" xr:uid="{00000000-0005-0000-0000-0000BB960000}"/>
    <cellStyle name="Normal 4 13" xfId="38585" xr:uid="{00000000-0005-0000-0000-0000BC960000}"/>
    <cellStyle name="Normal 4 13 2" xfId="38586" xr:uid="{00000000-0005-0000-0000-0000BD960000}"/>
    <cellStyle name="Normal 4 14" xfId="38587" xr:uid="{00000000-0005-0000-0000-0000BE960000}"/>
    <cellStyle name="Normal 4 15" xfId="38588" xr:uid="{00000000-0005-0000-0000-0000BF960000}"/>
    <cellStyle name="Normal 4 16" xfId="38589" xr:uid="{00000000-0005-0000-0000-0000C0960000}"/>
    <cellStyle name="Normal 4 17" xfId="38590" xr:uid="{00000000-0005-0000-0000-0000C1960000}"/>
    <cellStyle name="Normal 4 18" xfId="38591" xr:uid="{00000000-0005-0000-0000-0000C2960000}"/>
    <cellStyle name="Normal 4 18 2" xfId="38592" xr:uid="{00000000-0005-0000-0000-0000C3960000}"/>
    <cellStyle name="Normal 4 19" xfId="38593" xr:uid="{00000000-0005-0000-0000-0000C4960000}"/>
    <cellStyle name="Normal 4 2" xfId="38594" xr:uid="{00000000-0005-0000-0000-0000C5960000}"/>
    <cellStyle name="Normal 4 2 10" xfId="38595" xr:uid="{00000000-0005-0000-0000-0000C6960000}"/>
    <cellStyle name="Normal 4 2 10 2" xfId="38596" xr:uid="{00000000-0005-0000-0000-0000C7960000}"/>
    <cellStyle name="Normal 4 2 11" xfId="38597" xr:uid="{00000000-0005-0000-0000-0000C8960000}"/>
    <cellStyle name="Normal 4 2 11 2" xfId="38598" xr:uid="{00000000-0005-0000-0000-0000C9960000}"/>
    <cellStyle name="Normal 4 2 12" xfId="38599" xr:uid="{00000000-0005-0000-0000-0000CA960000}"/>
    <cellStyle name="Normal 4 2 12 2" xfId="38600" xr:uid="{00000000-0005-0000-0000-0000CB960000}"/>
    <cellStyle name="Normal 4 2 13" xfId="38601" xr:uid="{00000000-0005-0000-0000-0000CC960000}"/>
    <cellStyle name="Normal 4 2 13 2" xfId="38602" xr:uid="{00000000-0005-0000-0000-0000CD960000}"/>
    <cellStyle name="Normal 4 2 14" xfId="38603" xr:uid="{00000000-0005-0000-0000-0000CE960000}"/>
    <cellStyle name="Normal 4 2 14 2" xfId="38604" xr:uid="{00000000-0005-0000-0000-0000CF960000}"/>
    <cellStyle name="Normal 4 2 15" xfId="38605" xr:uid="{00000000-0005-0000-0000-0000D0960000}"/>
    <cellStyle name="Normal 4 2 15 2" xfId="38606" xr:uid="{00000000-0005-0000-0000-0000D1960000}"/>
    <cellStyle name="Normal 4 2 16" xfId="38607" xr:uid="{00000000-0005-0000-0000-0000D2960000}"/>
    <cellStyle name="Normal 4 2 16 2" xfId="38608" xr:uid="{00000000-0005-0000-0000-0000D3960000}"/>
    <cellStyle name="Normal 4 2 17" xfId="38609" xr:uid="{00000000-0005-0000-0000-0000D4960000}"/>
    <cellStyle name="Normal 4 2 18" xfId="38610" xr:uid="{00000000-0005-0000-0000-0000D5960000}"/>
    <cellStyle name="Normal 4 2 19" xfId="38611" xr:uid="{00000000-0005-0000-0000-0000D6960000}"/>
    <cellStyle name="Normal 4 2 2" xfId="38612" xr:uid="{00000000-0005-0000-0000-0000D7960000}"/>
    <cellStyle name="Normal 4 2 2 2" xfId="38613" xr:uid="{00000000-0005-0000-0000-0000D8960000}"/>
    <cellStyle name="Normal 4 2 2 3" xfId="38614" xr:uid="{00000000-0005-0000-0000-0000D9960000}"/>
    <cellStyle name="Normal 4 2 2 4" xfId="38615" xr:uid="{00000000-0005-0000-0000-0000DA960000}"/>
    <cellStyle name="Normal 4 2 20" xfId="38616" xr:uid="{00000000-0005-0000-0000-0000DB960000}"/>
    <cellStyle name="Normal 4 2 21" xfId="38617" xr:uid="{00000000-0005-0000-0000-0000DC960000}"/>
    <cellStyle name="Normal 4 2 22" xfId="38618" xr:uid="{00000000-0005-0000-0000-0000DD960000}"/>
    <cellStyle name="Normal 4 2 23" xfId="38619" xr:uid="{00000000-0005-0000-0000-0000DE960000}"/>
    <cellStyle name="Normal 4 2 24" xfId="38620" xr:uid="{00000000-0005-0000-0000-0000DF960000}"/>
    <cellStyle name="Normal 4 2 25" xfId="38621" xr:uid="{00000000-0005-0000-0000-0000E0960000}"/>
    <cellStyle name="Normal 4 2 26" xfId="38622" xr:uid="{00000000-0005-0000-0000-0000E1960000}"/>
    <cellStyle name="Normal 4 2 27" xfId="38623" xr:uid="{00000000-0005-0000-0000-0000E2960000}"/>
    <cellStyle name="Normal 4 2 28" xfId="38624" xr:uid="{00000000-0005-0000-0000-0000E3960000}"/>
    <cellStyle name="Normal 4 2 29" xfId="38625" xr:uid="{00000000-0005-0000-0000-0000E4960000}"/>
    <cellStyle name="Normal 4 2 3" xfId="38626" xr:uid="{00000000-0005-0000-0000-0000E5960000}"/>
    <cellStyle name="Normal 4 2 3 2" xfId="38627" xr:uid="{00000000-0005-0000-0000-0000E6960000}"/>
    <cellStyle name="Normal 4 2 3 3" xfId="38628" xr:uid="{00000000-0005-0000-0000-0000E7960000}"/>
    <cellStyle name="Normal 4 2 30" xfId="38629" xr:uid="{00000000-0005-0000-0000-0000E8960000}"/>
    <cellStyle name="Normal 4 2 31" xfId="38630" xr:uid="{00000000-0005-0000-0000-0000E9960000}"/>
    <cellStyle name="Normal 4 2 32" xfId="38631" xr:uid="{00000000-0005-0000-0000-0000EA960000}"/>
    <cellStyle name="Normal 4 2 33" xfId="38632" xr:uid="{00000000-0005-0000-0000-0000EB960000}"/>
    <cellStyle name="Normal 4 2 34" xfId="38633" xr:uid="{00000000-0005-0000-0000-0000EC960000}"/>
    <cellStyle name="Normal 4 2 35" xfId="38634" xr:uid="{00000000-0005-0000-0000-0000ED960000}"/>
    <cellStyle name="Normal 4 2 36" xfId="38635" xr:uid="{00000000-0005-0000-0000-0000EE960000}"/>
    <cellStyle name="Normal 4 2 37" xfId="38636" xr:uid="{00000000-0005-0000-0000-0000EF960000}"/>
    <cellStyle name="Normal 4 2 38" xfId="38637" xr:uid="{00000000-0005-0000-0000-0000F0960000}"/>
    <cellStyle name="Normal 4 2 39" xfId="38638" xr:uid="{00000000-0005-0000-0000-0000F1960000}"/>
    <cellStyle name="Normal 4 2 4" xfId="38639" xr:uid="{00000000-0005-0000-0000-0000F2960000}"/>
    <cellStyle name="Normal 4 2 4 2" xfId="38640" xr:uid="{00000000-0005-0000-0000-0000F3960000}"/>
    <cellStyle name="Normal 4 2 40" xfId="38641" xr:uid="{00000000-0005-0000-0000-0000F4960000}"/>
    <cellStyle name="Normal 4 2 41" xfId="38642" xr:uid="{00000000-0005-0000-0000-0000F5960000}"/>
    <cellStyle name="Normal 4 2 42" xfId="38643" xr:uid="{00000000-0005-0000-0000-0000F6960000}"/>
    <cellStyle name="Normal 4 2 43" xfId="38644" xr:uid="{00000000-0005-0000-0000-0000F7960000}"/>
    <cellStyle name="Normal 4 2 44" xfId="38645" xr:uid="{00000000-0005-0000-0000-0000F8960000}"/>
    <cellStyle name="Normal 4 2 45" xfId="38646" xr:uid="{00000000-0005-0000-0000-0000F9960000}"/>
    <cellStyle name="Normal 4 2 46" xfId="38647" xr:uid="{00000000-0005-0000-0000-0000FA960000}"/>
    <cellStyle name="Normal 4 2 47" xfId="38648" xr:uid="{00000000-0005-0000-0000-0000FB960000}"/>
    <cellStyle name="Normal 4 2 48" xfId="38649" xr:uid="{00000000-0005-0000-0000-0000FC960000}"/>
    <cellStyle name="Normal 4 2 49" xfId="38650" xr:uid="{00000000-0005-0000-0000-0000FD960000}"/>
    <cellStyle name="Normal 4 2 5" xfId="38651" xr:uid="{00000000-0005-0000-0000-0000FE960000}"/>
    <cellStyle name="Normal 4 2 5 2" xfId="38652" xr:uid="{00000000-0005-0000-0000-0000FF960000}"/>
    <cellStyle name="Normal 4 2 50" xfId="38653" xr:uid="{00000000-0005-0000-0000-000000970000}"/>
    <cellStyle name="Normal 4 2 6" xfId="38654" xr:uid="{00000000-0005-0000-0000-000001970000}"/>
    <cellStyle name="Normal 4 2 6 2" xfId="38655" xr:uid="{00000000-0005-0000-0000-000002970000}"/>
    <cellStyle name="Normal 4 2 7" xfId="38656" xr:uid="{00000000-0005-0000-0000-000003970000}"/>
    <cellStyle name="Normal 4 2 7 2" xfId="38657" xr:uid="{00000000-0005-0000-0000-000004970000}"/>
    <cellStyle name="Normal 4 2 8" xfId="38658" xr:uid="{00000000-0005-0000-0000-000005970000}"/>
    <cellStyle name="Normal 4 2 8 2" xfId="38659" xr:uid="{00000000-0005-0000-0000-000006970000}"/>
    <cellStyle name="Normal 4 2 9" xfId="38660" xr:uid="{00000000-0005-0000-0000-000007970000}"/>
    <cellStyle name="Normal 4 2 9 2" xfId="38661" xr:uid="{00000000-0005-0000-0000-000008970000}"/>
    <cellStyle name="Normal 4 20" xfId="38662" xr:uid="{00000000-0005-0000-0000-000009970000}"/>
    <cellStyle name="Normal 4 21" xfId="38663" xr:uid="{00000000-0005-0000-0000-00000A970000}"/>
    <cellStyle name="Normal 4 22" xfId="38664" xr:uid="{00000000-0005-0000-0000-00000B970000}"/>
    <cellStyle name="Normal 4 22 2" xfId="38665" xr:uid="{00000000-0005-0000-0000-00000C970000}"/>
    <cellStyle name="Normal 4 23" xfId="38666" xr:uid="{00000000-0005-0000-0000-00000D970000}"/>
    <cellStyle name="Normal 4 24" xfId="38667" xr:uid="{00000000-0005-0000-0000-00000E970000}"/>
    <cellStyle name="Normal 4 25" xfId="38668" xr:uid="{00000000-0005-0000-0000-00000F970000}"/>
    <cellStyle name="Normal 4 3" xfId="38669" xr:uid="{00000000-0005-0000-0000-000010970000}"/>
    <cellStyle name="Normal 4 3 2" xfId="38670" xr:uid="{00000000-0005-0000-0000-000011970000}"/>
    <cellStyle name="Normal 4 3 3" xfId="38671" xr:uid="{00000000-0005-0000-0000-000012970000}"/>
    <cellStyle name="Normal 4 3 4" xfId="38672" xr:uid="{00000000-0005-0000-0000-000013970000}"/>
    <cellStyle name="Normal 4 3 5" xfId="38673" xr:uid="{00000000-0005-0000-0000-000014970000}"/>
    <cellStyle name="Normal 4 3 6" xfId="38674" xr:uid="{00000000-0005-0000-0000-000015970000}"/>
    <cellStyle name="Normal 4 3 7" xfId="38675" xr:uid="{00000000-0005-0000-0000-000016970000}"/>
    <cellStyle name="Normal 4 3 7 2" xfId="38676" xr:uid="{00000000-0005-0000-0000-000017970000}"/>
    <cellStyle name="Normal 4 3 8" xfId="38677" xr:uid="{00000000-0005-0000-0000-000018970000}"/>
    <cellStyle name="Normal 4 4" xfId="38678" xr:uid="{00000000-0005-0000-0000-000019970000}"/>
    <cellStyle name="Normal 4 4 10" xfId="38679" xr:uid="{00000000-0005-0000-0000-00001A970000}"/>
    <cellStyle name="Normal 4 4 2" xfId="38680" xr:uid="{00000000-0005-0000-0000-00001B970000}"/>
    <cellStyle name="Normal 4 4 2 2" xfId="38681" xr:uid="{00000000-0005-0000-0000-00001C970000}"/>
    <cellStyle name="Normal 4 4 2 2 2" xfId="38682" xr:uid="{00000000-0005-0000-0000-00001D970000}"/>
    <cellStyle name="Normal 4 4 2 2 2 2" xfId="38683" xr:uid="{00000000-0005-0000-0000-00001E970000}"/>
    <cellStyle name="Normal 4 4 2 2 2 3" xfId="38684" xr:uid="{00000000-0005-0000-0000-00001F970000}"/>
    <cellStyle name="Normal 4 4 2 2 3" xfId="38685" xr:uid="{00000000-0005-0000-0000-000020970000}"/>
    <cellStyle name="Normal 4 4 2 2 4" xfId="38686" xr:uid="{00000000-0005-0000-0000-000021970000}"/>
    <cellStyle name="Normal 4 4 2 2 5" xfId="38687" xr:uid="{00000000-0005-0000-0000-000022970000}"/>
    <cellStyle name="Normal 4 4 2 2 6" xfId="38688" xr:uid="{00000000-0005-0000-0000-000023970000}"/>
    <cellStyle name="Normal 4 4 2 3" xfId="38689" xr:uid="{00000000-0005-0000-0000-000024970000}"/>
    <cellStyle name="Normal 4 4 2 3 2" xfId="38690" xr:uid="{00000000-0005-0000-0000-000025970000}"/>
    <cellStyle name="Normal 4 4 2 3 2 2" xfId="38691" xr:uid="{00000000-0005-0000-0000-000026970000}"/>
    <cellStyle name="Normal 4 4 2 3 3" xfId="38692" xr:uid="{00000000-0005-0000-0000-000027970000}"/>
    <cellStyle name="Normal 4 4 2 3 4" xfId="38693" xr:uid="{00000000-0005-0000-0000-000028970000}"/>
    <cellStyle name="Normal 4 4 2 3 5" xfId="38694" xr:uid="{00000000-0005-0000-0000-000029970000}"/>
    <cellStyle name="Normal 4 4 2 4" xfId="38695" xr:uid="{00000000-0005-0000-0000-00002A970000}"/>
    <cellStyle name="Normal 4 4 2 4 2" xfId="38696" xr:uid="{00000000-0005-0000-0000-00002B970000}"/>
    <cellStyle name="Normal 4 4 2 4 3" xfId="38697" xr:uid="{00000000-0005-0000-0000-00002C970000}"/>
    <cellStyle name="Normal 4 4 2 4 4" xfId="38698" xr:uid="{00000000-0005-0000-0000-00002D970000}"/>
    <cellStyle name="Normal 4 4 2 5" xfId="38699" xr:uid="{00000000-0005-0000-0000-00002E970000}"/>
    <cellStyle name="Normal 4 4 2 5 2" xfId="38700" xr:uid="{00000000-0005-0000-0000-00002F970000}"/>
    <cellStyle name="Normal 4 4 2 6" xfId="38701" xr:uid="{00000000-0005-0000-0000-000030970000}"/>
    <cellStyle name="Normal 4 4 2 7" xfId="38702" xr:uid="{00000000-0005-0000-0000-000031970000}"/>
    <cellStyle name="Normal 4 4 2 8" xfId="38703" xr:uid="{00000000-0005-0000-0000-000032970000}"/>
    <cellStyle name="Normal 4 4 2 9" xfId="38704" xr:uid="{00000000-0005-0000-0000-000033970000}"/>
    <cellStyle name="Normal 4 4 3" xfId="38705" xr:uid="{00000000-0005-0000-0000-000034970000}"/>
    <cellStyle name="Normal 4 4 3 2" xfId="38706" xr:uid="{00000000-0005-0000-0000-000035970000}"/>
    <cellStyle name="Normal 4 4 3 2 2" xfId="38707" xr:uid="{00000000-0005-0000-0000-000036970000}"/>
    <cellStyle name="Normal 4 4 3 2 3" xfId="38708" xr:uid="{00000000-0005-0000-0000-000037970000}"/>
    <cellStyle name="Normal 4 4 3 3" xfId="38709" xr:uid="{00000000-0005-0000-0000-000038970000}"/>
    <cellStyle name="Normal 4 4 3 4" xfId="38710" xr:uid="{00000000-0005-0000-0000-000039970000}"/>
    <cellStyle name="Normal 4 4 3 5" xfId="38711" xr:uid="{00000000-0005-0000-0000-00003A970000}"/>
    <cellStyle name="Normal 4 4 3 6" xfId="38712" xr:uid="{00000000-0005-0000-0000-00003B970000}"/>
    <cellStyle name="Normal 4 4 4" xfId="38713" xr:uid="{00000000-0005-0000-0000-00003C970000}"/>
    <cellStyle name="Normal 4 4 4 2" xfId="38714" xr:uid="{00000000-0005-0000-0000-00003D970000}"/>
    <cellStyle name="Normal 4 4 4 2 2" xfId="38715" xr:uid="{00000000-0005-0000-0000-00003E970000}"/>
    <cellStyle name="Normal 4 4 4 3" xfId="38716" xr:uid="{00000000-0005-0000-0000-00003F970000}"/>
    <cellStyle name="Normal 4 4 4 4" xfId="38717" xr:uid="{00000000-0005-0000-0000-000040970000}"/>
    <cellStyle name="Normal 4 4 4 5" xfId="38718" xr:uid="{00000000-0005-0000-0000-000041970000}"/>
    <cellStyle name="Normal 4 4 5" xfId="38719" xr:uid="{00000000-0005-0000-0000-000042970000}"/>
    <cellStyle name="Normal 4 4 5 2" xfId="38720" xr:uid="{00000000-0005-0000-0000-000043970000}"/>
    <cellStyle name="Normal 4 4 5 3" xfId="38721" xr:uid="{00000000-0005-0000-0000-000044970000}"/>
    <cellStyle name="Normal 4 4 5 4" xfId="38722" xr:uid="{00000000-0005-0000-0000-000045970000}"/>
    <cellStyle name="Normal 4 4 6" xfId="38723" xr:uid="{00000000-0005-0000-0000-000046970000}"/>
    <cellStyle name="Normal 4 4 6 2" xfId="38724" xr:uid="{00000000-0005-0000-0000-000047970000}"/>
    <cellStyle name="Normal 4 4 6 3" xfId="38725" xr:uid="{00000000-0005-0000-0000-000048970000}"/>
    <cellStyle name="Normal 4 4 7" xfId="38726" xr:uid="{00000000-0005-0000-0000-000049970000}"/>
    <cellStyle name="Normal 4 4 8" xfId="38727" xr:uid="{00000000-0005-0000-0000-00004A970000}"/>
    <cellStyle name="Normal 4 4 9" xfId="38728" xr:uid="{00000000-0005-0000-0000-00004B970000}"/>
    <cellStyle name="Normal 4 5" xfId="38729" xr:uid="{00000000-0005-0000-0000-00004C970000}"/>
    <cellStyle name="Normal 4 5 2" xfId="38730" xr:uid="{00000000-0005-0000-0000-00004D970000}"/>
    <cellStyle name="Normal 4 5 2 2" xfId="38731" xr:uid="{00000000-0005-0000-0000-00004E970000}"/>
    <cellStyle name="Normal 4 5 2 2 2" xfId="38732" xr:uid="{00000000-0005-0000-0000-00004F970000}"/>
    <cellStyle name="Normal 4 5 2 2 3" xfId="38733" xr:uid="{00000000-0005-0000-0000-000050970000}"/>
    <cellStyle name="Normal 4 5 2 3" xfId="38734" xr:uid="{00000000-0005-0000-0000-000051970000}"/>
    <cellStyle name="Normal 4 5 2 4" xfId="38735" xr:uid="{00000000-0005-0000-0000-000052970000}"/>
    <cellStyle name="Normal 4 5 2 5" xfId="38736" xr:uid="{00000000-0005-0000-0000-000053970000}"/>
    <cellStyle name="Normal 4 5 2 6" xfId="38737" xr:uid="{00000000-0005-0000-0000-000054970000}"/>
    <cellStyle name="Normal 4 5 3" xfId="38738" xr:uid="{00000000-0005-0000-0000-000055970000}"/>
    <cellStyle name="Normal 4 5 3 2" xfId="38739" xr:uid="{00000000-0005-0000-0000-000056970000}"/>
    <cellStyle name="Normal 4 5 3 2 2" xfId="38740" xr:uid="{00000000-0005-0000-0000-000057970000}"/>
    <cellStyle name="Normal 4 5 3 3" xfId="38741" xr:uid="{00000000-0005-0000-0000-000058970000}"/>
    <cellStyle name="Normal 4 5 3 4" xfId="38742" xr:uid="{00000000-0005-0000-0000-000059970000}"/>
    <cellStyle name="Normal 4 5 3 5" xfId="38743" xr:uid="{00000000-0005-0000-0000-00005A970000}"/>
    <cellStyle name="Normal 4 5 4" xfId="38744" xr:uid="{00000000-0005-0000-0000-00005B970000}"/>
    <cellStyle name="Normal 4 5 4 2" xfId="38745" xr:uid="{00000000-0005-0000-0000-00005C970000}"/>
    <cellStyle name="Normal 4 5 4 3" xfId="38746" xr:uid="{00000000-0005-0000-0000-00005D970000}"/>
    <cellStyle name="Normal 4 5 4 4" xfId="38747" xr:uid="{00000000-0005-0000-0000-00005E970000}"/>
    <cellStyle name="Normal 4 5 5" xfId="38748" xr:uid="{00000000-0005-0000-0000-00005F970000}"/>
    <cellStyle name="Normal 4 5 5 2" xfId="38749" xr:uid="{00000000-0005-0000-0000-000060970000}"/>
    <cellStyle name="Normal 4 5 6" xfId="38750" xr:uid="{00000000-0005-0000-0000-000061970000}"/>
    <cellStyle name="Normal 4 5 7" xfId="38751" xr:uid="{00000000-0005-0000-0000-000062970000}"/>
    <cellStyle name="Normal 4 5 8" xfId="38752" xr:uid="{00000000-0005-0000-0000-000063970000}"/>
    <cellStyle name="Normal 4 5 9" xfId="38753" xr:uid="{00000000-0005-0000-0000-000064970000}"/>
    <cellStyle name="Normal 4 6" xfId="38754" xr:uid="{00000000-0005-0000-0000-000065970000}"/>
    <cellStyle name="Normal 4 6 2" xfId="38755" xr:uid="{00000000-0005-0000-0000-000066970000}"/>
    <cellStyle name="Normal 4 6 2 2" xfId="38756" xr:uid="{00000000-0005-0000-0000-000067970000}"/>
    <cellStyle name="Normal 4 6 2 3" xfId="38757" xr:uid="{00000000-0005-0000-0000-000068970000}"/>
    <cellStyle name="Normal 4 6 2 4" xfId="38758" xr:uid="{00000000-0005-0000-0000-000069970000}"/>
    <cellStyle name="Normal 4 6 3" xfId="38759" xr:uid="{00000000-0005-0000-0000-00006A970000}"/>
    <cellStyle name="Normal 4 6 3 2" xfId="38760" xr:uid="{00000000-0005-0000-0000-00006B970000}"/>
    <cellStyle name="Normal 4 6 4" xfId="38761" xr:uid="{00000000-0005-0000-0000-00006C970000}"/>
    <cellStyle name="Normal 4 6 5" xfId="38762" xr:uid="{00000000-0005-0000-0000-00006D970000}"/>
    <cellStyle name="Normal 4 6 6" xfId="38763" xr:uid="{00000000-0005-0000-0000-00006E970000}"/>
    <cellStyle name="Normal 4 6 7" xfId="38764" xr:uid="{00000000-0005-0000-0000-00006F970000}"/>
    <cellStyle name="Normal 4 7" xfId="38765" xr:uid="{00000000-0005-0000-0000-000070970000}"/>
    <cellStyle name="Normal 4 7 2" xfId="38766" xr:uid="{00000000-0005-0000-0000-000071970000}"/>
    <cellStyle name="Normal 4 7 2 2" xfId="38767" xr:uid="{00000000-0005-0000-0000-000072970000}"/>
    <cellStyle name="Normal 4 7 3" xfId="38768" xr:uid="{00000000-0005-0000-0000-000073970000}"/>
    <cellStyle name="Normal 4 7 4" xfId="38769" xr:uid="{00000000-0005-0000-0000-000074970000}"/>
    <cellStyle name="Normal 4 7 5" xfId="38770" xr:uid="{00000000-0005-0000-0000-000075970000}"/>
    <cellStyle name="Normal 4 7 6" xfId="38771" xr:uid="{00000000-0005-0000-0000-000076970000}"/>
    <cellStyle name="Normal 4 8" xfId="38772" xr:uid="{00000000-0005-0000-0000-000077970000}"/>
    <cellStyle name="Normal 4 8 2" xfId="38773" xr:uid="{00000000-0005-0000-0000-000078970000}"/>
    <cellStyle name="Normal 4 8 2 2" xfId="38774" xr:uid="{00000000-0005-0000-0000-000079970000}"/>
    <cellStyle name="Normal 4 8 2 3" xfId="38775" xr:uid="{00000000-0005-0000-0000-00007A970000}"/>
    <cellStyle name="Normal 4 8 3" xfId="38776" xr:uid="{00000000-0005-0000-0000-00007B970000}"/>
    <cellStyle name="Normal 4 8 4" xfId="38777" xr:uid="{00000000-0005-0000-0000-00007C970000}"/>
    <cellStyle name="Normal 4 8 5" xfId="38778" xr:uid="{00000000-0005-0000-0000-00007D970000}"/>
    <cellStyle name="Normal 4 9" xfId="38779" xr:uid="{00000000-0005-0000-0000-00007E970000}"/>
    <cellStyle name="Normal 4 9 2" xfId="38780" xr:uid="{00000000-0005-0000-0000-00007F970000}"/>
    <cellStyle name="Normal 4 9 2 2" xfId="38781" xr:uid="{00000000-0005-0000-0000-000080970000}"/>
    <cellStyle name="Normal 4 9 3" xfId="38782" xr:uid="{00000000-0005-0000-0000-000081970000}"/>
    <cellStyle name="Normal 4 9 4" xfId="38783" xr:uid="{00000000-0005-0000-0000-000082970000}"/>
    <cellStyle name="Normal 4 9 5" xfId="38784" xr:uid="{00000000-0005-0000-0000-000083970000}"/>
    <cellStyle name="Normal 40" xfId="38785" xr:uid="{00000000-0005-0000-0000-000084970000}"/>
    <cellStyle name="Normal 41" xfId="38786" xr:uid="{00000000-0005-0000-0000-000085970000}"/>
    <cellStyle name="Normal 42" xfId="38787" xr:uid="{00000000-0005-0000-0000-000086970000}"/>
    <cellStyle name="Normal 43" xfId="38788" xr:uid="{00000000-0005-0000-0000-000087970000}"/>
    <cellStyle name="Normal 44" xfId="38789" xr:uid="{00000000-0005-0000-0000-000088970000}"/>
    <cellStyle name="Normal 45" xfId="38790" xr:uid="{00000000-0005-0000-0000-000089970000}"/>
    <cellStyle name="Normal 46" xfId="38791" xr:uid="{00000000-0005-0000-0000-00008A970000}"/>
    <cellStyle name="Normal 47" xfId="38792" xr:uid="{00000000-0005-0000-0000-00008B970000}"/>
    <cellStyle name="Normal 48" xfId="38793" xr:uid="{00000000-0005-0000-0000-00008C970000}"/>
    <cellStyle name="Normal 49" xfId="38794" xr:uid="{00000000-0005-0000-0000-00008D970000}"/>
    <cellStyle name="Normal 5" xfId="38795" xr:uid="{00000000-0005-0000-0000-00008E970000}"/>
    <cellStyle name="Normal 5 2" xfId="38796" xr:uid="{00000000-0005-0000-0000-00008F970000}"/>
    <cellStyle name="Normal 5 2 2" xfId="38797" xr:uid="{00000000-0005-0000-0000-000090970000}"/>
    <cellStyle name="Normal 5 2 3" xfId="38798" xr:uid="{00000000-0005-0000-0000-000091970000}"/>
    <cellStyle name="Normal 5 2 4" xfId="38799" xr:uid="{00000000-0005-0000-0000-000092970000}"/>
    <cellStyle name="Normal 5 3" xfId="38800" xr:uid="{00000000-0005-0000-0000-000093970000}"/>
    <cellStyle name="Normal 5 3 2" xfId="38801" xr:uid="{00000000-0005-0000-0000-000094970000}"/>
    <cellStyle name="Normal 5 3 3" xfId="38802" xr:uid="{00000000-0005-0000-0000-000095970000}"/>
    <cellStyle name="Normal 5 4" xfId="38803" xr:uid="{00000000-0005-0000-0000-000096970000}"/>
    <cellStyle name="Normal 5 5" xfId="38804" xr:uid="{00000000-0005-0000-0000-000097970000}"/>
    <cellStyle name="Normal 5 6" xfId="38805" xr:uid="{00000000-0005-0000-0000-000098970000}"/>
    <cellStyle name="Normal 5 7" xfId="38806" xr:uid="{00000000-0005-0000-0000-000099970000}"/>
    <cellStyle name="Normal 5 8" xfId="38807" xr:uid="{00000000-0005-0000-0000-00009A970000}"/>
    <cellStyle name="Normal 5 9" xfId="38808" xr:uid="{00000000-0005-0000-0000-00009B970000}"/>
    <cellStyle name="Normal 50" xfId="38809" xr:uid="{00000000-0005-0000-0000-00009C970000}"/>
    <cellStyle name="Normal 51" xfId="38810" xr:uid="{00000000-0005-0000-0000-00009D970000}"/>
    <cellStyle name="Normal 52" xfId="38811" xr:uid="{00000000-0005-0000-0000-00009E970000}"/>
    <cellStyle name="Normal 53" xfId="38812" xr:uid="{00000000-0005-0000-0000-00009F970000}"/>
    <cellStyle name="Normal 54" xfId="38813" xr:uid="{00000000-0005-0000-0000-0000A0970000}"/>
    <cellStyle name="Normal 55" xfId="38814" xr:uid="{00000000-0005-0000-0000-0000A1970000}"/>
    <cellStyle name="Normal 56" xfId="38815" xr:uid="{00000000-0005-0000-0000-0000A2970000}"/>
    <cellStyle name="Normal 57" xfId="38816" xr:uid="{00000000-0005-0000-0000-0000A3970000}"/>
    <cellStyle name="Normal 58" xfId="38817" xr:uid="{00000000-0005-0000-0000-0000A4970000}"/>
    <cellStyle name="Normal 59" xfId="38818" xr:uid="{00000000-0005-0000-0000-0000A5970000}"/>
    <cellStyle name="Normal 6" xfId="38819" xr:uid="{00000000-0005-0000-0000-0000A6970000}"/>
    <cellStyle name="Normal 6 10" xfId="38820" xr:uid="{00000000-0005-0000-0000-0000A7970000}"/>
    <cellStyle name="Normal 6 10 10" xfId="38821" xr:uid="{00000000-0005-0000-0000-0000A8970000}"/>
    <cellStyle name="Normal 6 10 2" xfId="38822" xr:uid="{00000000-0005-0000-0000-0000A9970000}"/>
    <cellStyle name="Normal 6 10 2 2" xfId="38823" xr:uid="{00000000-0005-0000-0000-0000AA970000}"/>
    <cellStyle name="Normal 6 10 2 2 2" xfId="38824" xr:uid="{00000000-0005-0000-0000-0000AB970000}"/>
    <cellStyle name="Normal 6 10 2 2 3" xfId="38825" xr:uid="{00000000-0005-0000-0000-0000AC970000}"/>
    <cellStyle name="Normal 6 10 2 3" xfId="38826" xr:uid="{00000000-0005-0000-0000-0000AD970000}"/>
    <cellStyle name="Normal 6 10 2 4" xfId="38827" xr:uid="{00000000-0005-0000-0000-0000AE970000}"/>
    <cellStyle name="Normal 6 10 2 5" xfId="38828" xr:uid="{00000000-0005-0000-0000-0000AF970000}"/>
    <cellStyle name="Normal 6 10 2 6" xfId="38829" xr:uid="{00000000-0005-0000-0000-0000B0970000}"/>
    <cellStyle name="Normal 6 10 3" xfId="38830" xr:uid="{00000000-0005-0000-0000-0000B1970000}"/>
    <cellStyle name="Normal 6 10 3 2" xfId="38831" xr:uid="{00000000-0005-0000-0000-0000B2970000}"/>
    <cellStyle name="Normal 6 10 3 2 2" xfId="38832" xr:uid="{00000000-0005-0000-0000-0000B3970000}"/>
    <cellStyle name="Normal 6 10 3 2 3" xfId="38833" xr:uid="{00000000-0005-0000-0000-0000B4970000}"/>
    <cellStyle name="Normal 6 10 3 3" xfId="38834" xr:uid="{00000000-0005-0000-0000-0000B5970000}"/>
    <cellStyle name="Normal 6 10 3 4" xfId="38835" xr:uid="{00000000-0005-0000-0000-0000B6970000}"/>
    <cellStyle name="Normal 6 10 3 5" xfId="38836" xr:uid="{00000000-0005-0000-0000-0000B7970000}"/>
    <cellStyle name="Normal 6 10 3 6" xfId="38837" xr:uid="{00000000-0005-0000-0000-0000B8970000}"/>
    <cellStyle name="Normal 6 10 4" xfId="38838" xr:uid="{00000000-0005-0000-0000-0000B9970000}"/>
    <cellStyle name="Normal 6 10 4 2" xfId="38839" xr:uid="{00000000-0005-0000-0000-0000BA970000}"/>
    <cellStyle name="Normal 6 10 4 2 2" xfId="38840" xr:uid="{00000000-0005-0000-0000-0000BB970000}"/>
    <cellStyle name="Normal 6 10 4 3" xfId="38841" xr:uid="{00000000-0005-0000-0000-0000BC970000}"/>
    <cellStyle name="Normal 6 10 4 4" xfId="38842" xr:uid="{00000000-0005-0000-0000-0000BD970000}"/>
    <cellStyle name="Normal 6 10 4 5" xfId="38843" xr:uid="{00000000-0005-0000-0000-0000BE970000}"/>
    <cellStyle name="Normal 6 10 5" xfId="38844" xr:uid="{00000000-0005-0000-0000-0000BF970000}"/>
    <cellStyle name="Normal 6 10 5 2" xfId="38845" xr:uid="{00000000-0005-0000-0000-0000C0970000}"/>
    <cellStyle name="Normal 6 10 5 3" xfId="38846" xr:uid="{00000000-0005-0000-0000-0000C1970000}"/>
    <cellStyle name="Normal 6 10 5 4" xfId="38847" xr:uid="{00000000-0005-0000-0000-0000C2970000}"/>
    <cellStyle name="Normal 6 10 6" xfId="38848" xr:uid="{00000000-0005-0000-0000-0000C3970000}"/>
    <cellStyle name="Normal 6 10 6 2" xfId="38849" xr:uid="{00000000-0005-0000-0000-0000C4970000}"/>
    <cellStyle name="Normal 6 10 7" xfId="38850" xr:uid="{00000000-0005-0000-0000-0000C5970000}"/>
    <cellStyle name="Normal 6 10 8" xfId="38851" xr:uid="{00000000-0005-0000-0000-0000C6970000}"/>
    <cellStyle name="Normal 6 10 9" xfId="38852" xr:uid="{00000000-0005-0000-0000-0000C7970000}"/>
    <cellStyle name="Normal 6 11" xfId="38853" xr:uid="{00000000-0005-0000-0000-0000C8970000}"/>
    <cellStyle name="Normal 6 11 10" xfId="38854" xr:uid="{00000000-0005-0000-0000-0000C9970000}"/>
    <cellStyle name="Normal 6 11 2" xfId="38855" xr:uid="{00000000-0005-0000-0000-0000CA970000}"/>
    <cellStyle name="Normal 6 11 2 2" xfId="38856" xr:uid="{00000000-0005-0000-0000-0000CB970000}"/>
    <cellStyle name="Normal 6 11 2 2 2" xfId="38857" xr:uid="{00000000-0005-0000-0000-0000CC970000}"/>
    <cellStyle name="Normal 6 11 2 2 3" xfId="38858" xr:uid="{00000000-0005-0000-0000-0000CD970000}"/>
    <cellStyle name="Normal 6 11 2 3" xfId="38859" xr:uid="{00000000-0005-0000-0000-0000CE970000}"/>
    <cellStyle name="Normal 6 11 2 4" xfId="38860" xr:uid="{00000000-0005-0000-0000-0000CF970000}"/>
    <cellStyle name="Normal 6 11 2 5" xfId="38861" xr:uid="{00000000-0005-0000-0000-0000D0970000}"/>
    <cellStyle name="Normal 6 11 2 6" xfId="38862" xr:uid="{00000000-0005-0000-0000-0000D1970000}"/>
    <cellStyle name="Normal 6 11 3" xfId="38863" xr:uid="{00000000-0005-0000-0000-0000D2970000}"/>
    <cellStyle name="Normal 6 11 3 2" xfId="38864" xr:uid="{00000000-0005-0000-0000-0000D3970000}"/>
    <cellStyle name="Normal 6 11 3 2 2" xfId="38865" xr:uid="{00000000-0005-0000-0000-0000D4970000}"/>
    <cellStyle name="Normal 6 11 3 2 3" xfId="38866" xr:uid="{00000000-0005-0000-0000-0000D5970000}"/>
    <cellStyle name="Normal 6 11 3 3" xfId="38867" xr:uid="{00000000-0005-0000-0000-0000D6970000}"/>
    <cellStyle name="Normal 6 11 3 4" xfId="38868" xr:uid="{00000000-0005-0000-0000-0000D7970000}"/>
    <cellStyle name="Normal 6 11 3 5" xfId="38869" xr:uid="{00000000-0005-0000-0000-0000D8970000}"/>
    <cellStyle name="Normal 6 11 3 6" xfId="38870" xr:uid="{00000000-0005-0000-0000-0000D9970000}"/>
    <cellStyle name="Normal 6 11 4" xfId="38871" xr:uid="{00000000-0005-0000-0000-0000DA970000}"/>
    <cellStyle name="Normal 6 11 4 2" xfId="38872" xr:uid="{00000000-0005-0000-0000-0000DB970000}"/>
    <cellStyle name="Normal 6 11 4 2 2" xfId="38873" xr:uid="{00000000-0005-0000-0000-0000DC970000}"/>
    <cellStyle name="Normal 6 11 4 3" xfId="38874" xr:uid="{00000000-0005-0000-0000-0000DD970000}"/>
    <cellStyle name="Normal 6 11 4 4" xfId="38875" xr:uid="{00000000-0005-0000-0000-0000DE970000}"/>
    <cellStyle name="Normal 6 11 4 5" xfId="38876" xr:uid="{00000000-0005-0000-0000-0000DF970000}"/>
    <cellStyle name="Normal 6 11 5" xfId="38877" xr:uid="{00000000-0005-0000-0000-0000E0970000}"/>
    <cellStyle name="Normal 6 11 5 2" xfId="38878" xr:uid="{00000000-0005-0000-0000-0000E1970000}"/>
    <cellStyle name="Normal 6 11 5 3" xfId="38879" xr:uid="{00000000-0005-0000-0000-0000E2970000}"/>
    <cellStyle name="Normal 6 11 5 4" xfId="38880" xr:uid="{00000000-0005-0000-0000-0000E3970000}"/>
    <cellStyle name="Normal 6 11 6" xfId="38881" xr:uid="{00000000-0005-0000-0000-0000E4970000}"/>
    <cellStyle name="Normal 6 11 6 2" xfId="38882" xr:uid="{00000000-0005-0000-0000-0000E5970000}"/>
    <cellStyle name="Normal 6 11 7" xfId="38883" xr:uid="{00000000-0005-0000-0000-0000E6970000}"/>
    <cellStyle name="Normal 6 11 8" xfId="38884" xr:uid="{00000000-0005-0000-0000-0000E7970000}"/>
    <cellStyle name="Normal 6 11 9" xfId="38885" xr:uid="{00000000-0005-0000-0000-0000E8970000}"/>
    <cellStyle name="Normal 6 12" xfId="38886" xr:uid="{00000000-0005-0000-0000-0000E9970000}"/>
    <cellStyle name="Normal 6 12 10" xfId="38887" xr:uid="{00000000-0005-0000-0000-0000EA970000}"/>
    <cellStyle name="Normal 6 12 2" xfId="38888" xr:uid="{00000000-0005-0000-0000-0000EB970000}"/>
    <cellStyle name="Normal 6 12 2 2" xfId="38889" xr:uid="{00000000-0005-0000-0000-0000EC970000}"/>
    <cellStyle name="Normal 6 12 2 2 2" xfId="38890" xr:uid="{00000000-0005-0000-0000-0000ED970000}"/>
    <cellStyle name="Normal 6 12 2 2 3" xfId="38891" xr:uid="{00000000-0005-0000-0000-0000EE970000}"/>
    <cellStyle name="Normal 6 12 2 3" xfId="38892" xr:uid="{00000000-0005-0000-0000-0000EF970000}"/>
    <cellStyle name="Normal 6 12 2 4" xfId="38893" xr:uid="{00000000-0005-0000-0000-0000F0970000}"/>
    <cellStyle name="Normal 6 12 2 5" xfId="38894" xr:uid="{00000000-0005-0000-0000-0000F1970000}"/>
    <cellStyle name="Normal 6 12 2 6" xfId="38895" xr:uid="{00000000-0005-0000-0000-0000F2970000}"/>
    <cellStyle name="Normal 6 12 3" xfId="38896" xr:uid="{00000000-0005-0000-0000-0000F3970000}"/>
    <cellStyle name="Normal 6 12 3 2" xfId="38897" xr:uid="{00000000-0005-0000-0000-0000F4970000}"/>
    <cellStyle name="Normal 6 12 3 2 2" xfId="38898" xr:uid="{00000000-0005-0000-0000-0000F5970000}"/>
    <cellStyle name="Normal 6 12 3 2 3" xfId="38899" xr:uid="{00000000-0005-0000-0000-0000F6970000}"/>
    <cellStyle name="Normal 6 12 3 3" xfId="38900" xr:uid="{00000000-0005-0000-0000-0000F7970000}"/>
    <cellStyle name="Normal 6 12 3 4" xfId="38901" xr:uid="{00000000-0005-0000-0000-0000F8970000}"/>
    <cellStyle name="Normal 6 12 3 5" xfId="38902" xr:uid="{00000000-0005-0000-0000-0000F9970000}"/>
    <cellStyle name="Normal 6 12 3 6" xfId="38903" xr:uid="{00000000-0005-0000-0000-0000FA970000}"/>
    <cellStyle name="Normal 6 12 4" xfId="38904" xr:uid="{00000000-0005-0000-0000-0000FB970000}"/>
    <cellStyle name="Normal 6 12 4 2" xfId="38905" xr:uid="{00000000-0005-0000-0000-0000FC970000}"/>
    <cellStyle name="Normal 6 12 4 2 2" xfId="38906" xr:uid="{00000000-0005-0000-0000-0000FD970000}"/>
    <cellStyle name="Normal 6 12 4 3" xfId="38907" xr:uid="{00000000-0005-0000-0000-0000FE970000}"/>
    <cellStyle name="Normal 6 12 4 4" xfId="38908" xr:uid="{00000000-0005-0000-0000-0000FF970000}"/>
    <cellStyle name="Normal 6 12 4 5" xfId="38909" xr:uid="{00000000-0005-0000-0000-000000980000}"/>
    <cellStyle name="Normal 6 12 5" xfId="38910" xr:uid="{00000000-0005-0000-0000-000001980000}"/>
    <cellStyle name="Normal 6 12 5 2" xfId="38911" xr:uid="{00000000-0005-0000-0000-000002980000}"/>
    <cellStyle name="Normal 6 12 5 3" xfId="38912" xr:uid="{00000000-0005-0000-0000-000003980000}"/>
    <cellStyle name="Normal 6 12 5 4" xfId="38913" xr:uid="{00000000-0005-0000-0000-000004980000}"/>
    <cellStyle name="Normal 6 12 6" xfId="38914" xr:uid="{00000000-0005-0000-0000-000005980000}"/>
    <cellStyle name="Normal 6 12 6 2" xfId="38915" xr:uid="{00000000-0005-0000-0000-000006980000}"/>
    <cellStyle name="Normal 6 12 7" xfId="38916" xr:uid="{00000000-0005-0000-0000-000007980000}"/>
    <cellStyle name="Normal 6 12 8" xfId="38917" xr:uid="{00000000-0005-0000-0000-000008980000}"/>
    <cellStyle name="Normal 6 12 9" xfId="38918" xr:uid="{00000000-0005-0000-0000-000009980000}"/>
    <cellStyle name="Normal 6 13" xfId="38919" xr:uid="{00000000-0005-0000-0000-00000A980000}"/>
    <cellStyle name="Normal 6 13 10" xfId="38920" xr:uid="{00000000-0005-0000-0000-00000B980000}"/>
    <cellStyle name="Normal 6 13 2" xfId="38921" xr:uid="{00000000-0005-0000-0000-00000C980000}"/>
    <cellStyle name="Normal 6 13 2 2" xfId="38922" xr:uid="{00000000-0005-0000-0000-00000D980000}"/>
    <cellStyle name="Normal 6 13 2 2 2" xfId="38923" xr:uid="{00000000-0005-0000-0000-00000E980000}"/>
    <cellStyle name="Normal 6 13 2 2 3" xfId="38924" xr:uid="{00000000-0005-0000-0000-00000F980000}"/>
    <cellStyle name="Normal 6 13 2 3" xfId="38925" xr:uid="{00000000-0005-0000-0000-000010980000}"/>
    <cellStyle name="Normal 6 13 2 4" xfId="38926" xr:uid="{00000000-0005-0000-0000-000011980000}"/>
    <cellStyle name="Normal 6 13 2 5" xfId="38927" xr:uid="{00000000-0005-0000-0000-000012980000}"/>
    <cellStyle name="Normal 6 13 2 6" xfId="38928" xr:uid="{00000000-0005-0000-0000-000013980000}"/>
    <cellStyle name="Normal 6 13 3" xfId="38929" xr:uid="{00000000-0005-0000-0000-000014980000}"/>
    <cellStyle name="Normal 6 13 3 2" xfId="38930" xr:uid="{00000000-0005-0000-0000-000015980000}"/>
    <cellStyle name="Normal 6 13 3 2 2" xfId="38931" xr:uid="{00000000-0005-0000-0000-000016980000}"/>
    <cellStyle name="Normal 6 13 3 2 3" xfId="38932" xr:uid="{00000000-0005-0000-0000-000017980000}"/>
    <cellStyle name="Normal 6 13 3 3" xfId="38933" xr:uid="{00000000-0005-0000-0000-000018980000}"/>
    <cellStyle name="Normal 6 13 3 4" xfId="38934" xr:uid="{00000000-0005-0000-0000-000019980000}"/>
    <cellStyle name="Normal 6 13 3 5" xfId="38935" xr:uid="{00000000-0005-0000-0000-00001A980000}"/>
    <cellStyle name="Normal 6 13 3 6" xfId="38936" xr:uid="{00000000-0005-0000-0000-00001B980000}"/>
    <cellStyle name="Normal 6 13 4" xfId="38937" xr:uid="{00000000-0005-0000-0000-00001C980000}"/>
    <cellStyle name="Normal 6 13 4 2" xfId="38938" xr:uid="{00000000-0005-0000-0000-00001D980000}"/>
    <cellStyle name="Normal 6 13 4 2 2" xfId="38939" xr:uid="{00000000-0005-0000-0000-00001E980000}"/>
    <cellStyle name="Normal 6 13 4 3" xfId="38940" xr:uid="{00000000-0005-0000-0000-00001F980000}"/>
    <cellStyle name="Normal 6 13 4 4" xfId="38941" xr:uid="{00000000-0005-0000-0000-000020980000}"/>
    <cellStyle name="Normal 6 13 4 5" xfId="38942" xr:uid="{00000000-0005-0000-0000-000021980000}"/>
    <cellStyle name="Normal 6 13 5" xfId="38943" xr:uid="{00000000-0005-0000-0000-000022980000}"/>
    <cellStyle name="Normal 6 13 5 2" xfId="38944" xr:uid="{00000000-0005-0000-0000-000023980000}"/>
    <cellStyle name="Normal 6 13 5 3" xfId="38945" xr:uid="{00000000-0005-0000-0000-000024980000}"/>
    <cellStyle name="Normal 6 13 5 4" xfId="38946" xr:uid="{00000000-0005-0000-0000-000025980000}"/>
    <cellStyle name="Normal 6 13 6" xfId="38947" xr:uid="{00000000-0005-0000-0000-000026980000}"/>
    <cellStyle name="Normal 6 13 6 2" xfId="38948" xr:uid="{00000000-0005-0000-0000-000027980000}"/>
    <cellStyle name="Normal 6 13 7" xfId="38949" xr:uid="{00000000-0005-0000-0000-000028980000}"/>
    <cellStyle name="Normal 6 13 8" xfId="38950" xr:uid="{00000000-0005-0000-0000-000029980000}"/>
    <cellStyle name="Normal 6 13 9" xfId="38951" xr:uid="{00000000-0005-0000-0000-00002A980000}"/>
    <cellStyle name="Normal 6 14" xfId="38952" xr:uid="{00000000-0005-0000-0000-00002B980000}"/>
    <cellStyle name="Normal 6 14 2" xfId="38953" xr:uid="{00000000-0005-0000-0000-00002C980000}"/>
    <cellStyle name="Normal 6 14 2 2" xfId="38954" xr:uid="{00000000-0005-0000-0000-00002D980000}"/>
    <cellStyle name="Normal 6 14 2 2 2" xfId="38955" xr:uid="{00000000-0005-0000-0000-00002E980000}"/>
    <cellStyle name="Normal 6 14 2 2 3" xfId="38956" xr:uid="{00000000-0005-0000-0000-00002F980000}"/>
    <cellStyle name="Normal 6 14 2 3" xfId="38957" xr:uid="{00000000-0005-0000-0000-000030980000}"/>
    <cellStyle name="Normal 6 14 2 4" xfId="38958" xr:uid="{00000000-0005-0000-0000-000031980000}"/>
    <cellStyle name="Normal 6 14 2 5" xfId="38959" xr:uid="{00000000-0005-0000-0000-000032980000}"/>
    <cellStyle name="Normal 6 14 2 6" xfId="38960" xr:uid="{00000000-0005-0000-0000-000033980000}"/>
    <cellStyle name="Normal 6 14 3" xfId="38961" xr:uid="{00000000-0005-0000-0000-000034980000}"/>
    <cellStyle name="Normal 6 14 3 2" xfId="38962" xr:uid="{00000000-0005-0000-0000-000035980000}"/>
    <cellStyle name="Normal 6 14 3 2 2" xfId="38963" xr:uid="{00000000-0005-0000-0000-000036980000}"/>
    <cellStyle name="Normal 6 14 3 3" xfId="38964" xr:uid="{00000000-0005-0000-0000-000037980000}"/>
    <cellStyle name="Normal 6 14 3 4" xfId="38965" xr:uid="{00000000-0005-0000-0000-000038980000}"/>
    <cellStyle name="Normal 6 14 3 5" xfId="38966" xr:uid="{00000000-0005-0000-0000-000039980000}"/>
    <cellStyle name="Normal 6 14 4" xfId="38967" xr:uid="{00000000-0005-0000-0000-00003A980000}"/>
    <cellStyle name="Normal 6 14 4 2" xfId="38968" xr:uid="{00000000-0005-0000-0000-00003B980000}"/>
    <cellStyle name="Normal 6 14 4 3" xfId="38969" xr:uid="{00000000-0005-0000-0000-00003C980000}"/>
    <cellStyle name="Normal 6 14 4 4" xfId="38970" xr:uid="{00000000-0005-0000-0000-00003D980000}"/>
    <cellStyle name="Normal 6 14 5" xfId="38971" xr:uid="{00000000-0005-0000-0000-00003E980000}"/>
    <cellStyle name="Normal 6 14 5 2" xfId="38972" xr:uid="{00000000-0005-0000-0000-00003F980000}"/>
    <cellStyle name="Normal 6 14 6" xfId="38973" xr:uid="{00000000-0005-0000-0000-000040980000}"/>
    <cellStyle name="Normal 6 14 7" xfId="38974" xr:uid="{00000000-0005-0000-0000-000041980000}"/>
    <cellStyle name="Normal 6 14 8" xfId="38975" xr:uid="{00000000-0005-0000-0000-000042980000}"/>
    <cellStyle name="Normal 6 14 9" xfId="38976" xr:uid="{00000000-0005-0000-0000-000043980000}"/>
    <cellStyle name="Normal 6 15" xfId="38977" xr:uid="{00000000-0005-0000-0000-000044980000}"/>
    <cellStyle name="Normal 6 15 2" xfId="38978" xr:uid="{00000000-0005-0000-0000-000045980000}"/>
    <cellStyle name="Normal 6 15 2 2" xfId="38979" xr:uid="{00000000-0005-0000-0000-000046980000}"/>
    <cellStyle name="Normal 6 15 2 2 2" xfId="38980" xr:uid="{00000000-0005-0000-0000-000047980000}"/>
    <cellStyle name="Normal 6 15 2 2 3" xfId="38981" xr:uid="{00000000-0005-0000-0000-000048980000}"/>
    <cellStyle name="Normal 6 15 2 3" xfId="38982" xr:uid="{00000000-0005-0000-0000-000049980000}"/>
    <cellStyle name="Normal 6 15 2 4" xfId="38983" xr:uid="{00000000-0005-0000-0000-00004A980000}"/>
    <cellStyle name="Normal 6 15 2 5" xfId="38984" xr:uid="{00000000-0005-0000-0000-00004B980000}"/>
    <cellStyle name="Normal 6 15 2 6" xfId="38985" xr:uid="{00000000-0005-0000-0000-00004C980000}"/>
    <cellStyle name="Normal 6 15 3" xfId="38986" xr:uid="{00000000-0005-0000-0000-00004D980000}"/>
    <cellStyle name="Normal 6 15 3 2" xfId="38987" xr:uid="{00000000-0005-0000-0000-00004E980000}"/>
    <cellStyle name="Normal 6 15 3 2 2" xfId="38988" xr:uid="{00000000-0005-0000-0000-00004F980000}"/>
    <cellStyle name="Normal 6 15 3 3" xfId="38989" xr:uid="{00000000-0005-0000-0000-000050980000}"/>
    <cellStyle name="Normal 6 15 3 4" xfId="38990" xr:uid="{00000000-0005-0000-0000-000051980000}"/>
    <cellStyle name="Normal 6 15 3 5" xfId="38991" xr:uid="{00000000-0005-0000-0000-000052980000}"/>
    <cellStyle name="Normal 6 15 4" xfId="38992" xr:uid="{00000000-0005-0000-0000-000053980000}"/>
    <cellStyle name="Normal 6 15 4 2" xfId="38993" xr:uid="{00000000-0005-0000-0000-000054980000}"/>
    <cellStyle name="Normal 6 15 4 3" xfId="38994" xr:uid="{00000000-0005-0000-0000-000055980000}"/>
    <cellStyle name="Normal 6 15 4 4" xfId="38995" xr:uid="{00000000-0005-0000-0000-000056980000}"/>
    <cellStyle name="Normal 6 15 5" xfId="38996" xr:uid="{00000000-0005-0000-0000-000057980000}"/>
    <cellStyle name="Normal 6 15 5 2" xfId="38997" xr:uid="{00000000-0005-0000-0000-000058980000}"/>
    <cellStyle name="Normal 6 15 6" xfId="38998" xr:uid="{00000000-0005-0000-0000-000059980000}"/>
    <cellStyle name="Normal 6 15 7" xfId="38999" xr:uid="{00000000-0005-0000-0000-00005A980000}"/>
    <cellStyle name="Normal 6 15 8" xfId="39000" xr:uid="{00000000-0005-0000-0000-00005B980000}"/>
    <cellStyle name="Normal 6 15 9" xfId="39001" xr:uid="{00000000-0005-0000-0000-00005C980000}"/>
    <cellStyle name="Normal 6 16" xfId="39002" xr:uid="{00000000-0005-0000-0000-00005D980000}"/>
    <cellStyle name="Normal 6 16 2" xfId="39003" xr:uid="{00000000-0005-0000-0000-00005E980000}"/>
    <cellStyle name="Normal 6 16 2 2" xfId="39004" xr:uid="{00000000-0005-0000-0000-00005F980000}"/>
    <cellStyle name="Normal 6 16 2 3" xfId="39005" xr:uid="{00000000-0005-0000-0000-000060980000}"/>
    <cellStyle name="Normal 6 16 3" xfId="39006" xr:uid="{00000000-0005-0000-0000-000061980000}"/>
    <cellStyle name="Normal 6 16 4" xfId="39007" xr:uid="{00000000-0005-0000-0000-000062980000}"/>
    <cellStyle name="Normal 6 16 5" xfId="39008" xr:uid="{00000000-0005-0000-0000-000063980000}"/>
    <cellStyle name="Normal 6 16 6" xfId="39009" xr:uid="{00000000-0005-0000-0000-000064980000}"/>
    <cellStyle name="Normal 6 17" xfId="39010" xr:uid="{00000000-0005-0000-0000-000065980000}"/>
    <cellStyle name="Normal 6 17 2" xfId="39011" xr:uid="{00000000-0005-0000-0000-000066980000}"/>
    <cellStyle name="Normal 6 17 2 2" xfId="39012" xr:uid="{00000000-0005-0000-0000-000067980000}"/>
    <cellStyle name="Normal 6 17 3" xfId="39013" xr:uid="{00000000-0005-0000-0000-000068980000}"/>
    <cellStyle name="Normal 6 17 4" xfId="39014" xr:uid="{00000000-0005-0000-0000-000069980000}"/>
    <cellStyle name="Normal 6 17 5" xfId="39015" xr:uid="{00000000-0005-0000-0000-00006A980000}"/>
    <cellStyle name="Normal 6 17 6" xfId="39016" xr:uid="{00000000-0005-0000-0000-00006B980000}"/>
    <cellStyle name="Normal 6 18" xfId="39017" xr:uid="{00000000-0005-0000-0000-00006C980000}"/>
    <cellStyle name="Normal 6 18 2" xfId="39018" xr:uid="{00000000-0005-0000-0000-00006D980000}"/>
    <cellStyle name="Normal 6 18 2 2" xfId="39019" xr:uid="{00000000-0005-0000-0000-00006E980000}"/>
    <cellStyle name="Normal 6 18 3" xfId="39020" xr:uid="{00000000-0005-0000-0000-00006F980000}"/>
    <cellStyle name="Normal 6 18 4" xfId="39021" xr:uid="{00000000-0005-0000-0000-000070980000}"/>
    <cellStyle name="Normal 6 18 5" xfId="39022" xr:uid="{00000000-0005-0000-0000-000071980000}"/>
    <cellStyle name="Normal 6 18 6" xfId="39023" xr:uid="{00000000-0005-0000-0000-000072980000}"/>
    <cellStyle name="Normal 6 19" xfId="39024" xr:uid="{00000000-0005-0000-0000-000073980000}"/>
    <cellStyle name="Normal 6 19 2" xfId="39025" xr:uid="{00000000-0005-0000-0000-000074980000}"/>
    <cellStyle name="Normal 6 19 3" xfId="39026" xr:uid="{00000000-0005-0000-0000-000075980000}"/>
    <cellStyle name="Normal 6 19 4" xfId="39027" xr:uid="{00000000-0005-0000-0000-000076980000}"/>
    <cellStyle name="Normal 6 2" xfId="39028" xr:uid="{00000000-0005-0000-0000-000077980000}"/>
    <cellStyle name="Normal 6 2 2" xfId="39029" xr:uid="{00000000-0005-0000-0000-000078980000}"/>
    <cellStyle name="Normal 6 2 2 2" xfId="39030" xr:uid="{00000000-0005-0000-0000-000079980000}"/>
    <cellStyle name="Normal 6 2 2 3" xfId="39031" xr:uid="{00000000-0005-0000-0000-00007A980000}"/>
    <cellStyle name="Normal 6 2 3" xfId="39032" xr:uid="{00000000-0005-0000-0000-00007B980000}"/>
    <cellStyle name="Normal 6 2 3 2" xfId="39033" xr:uid="{00000000-0005-0000-0000-00007C980000}"/>
    <cellStyle name="Normal 6 2 4" xfId="39034" xr:uid="{00000000-0005-0000-0000-00007D980000}"/>
    <cellStyle name="Normal 6 2 5" xfId="39035" xr:uid="{00000000-0005-0000-0000-00007E980000}"/>
    <cellStyle name="Normal 6 20" xfId="39036" xr:uid="{00000000-0005-0000-0000-00007F980000}"/>
    <cellStyle name="Normal 6 20 2" xfId="39037" xr:uid="{00000000-0005-0000-0000-000080980000}"/>
    <cellStyle name="Normal 6 20 3" xfId="39038" xr:uid="{00000000-0005-0000-0000-000081980000}"/>
    <cellStyle name="Normal 6 21" xfId="39039" xr:uid="{00000000-0005-0000-0000-000082980000}"/>
    <cellStyle name="Normal 6 21 2" xfId="39040" xr:uid="{00000000-0005-0000-0000-000083980000}"/>
    <cellStyle name="Normal 6 22" xfId="39041" xr:uid="{00000000-0005-0000-0000-000084980000}"/>
    <cellStyle name="Normal 6 22 2" xfId="39042" xr:uid="{00000000-0005-0000-0000-000085980000}"/>
    <cellStyle name="Normal 6 23" xfId="39043" xr:uid="{00000000-0005-0000-0000-000086980000}"/>
    <cellStyle name="Normal 6 23 2" xfId="39044" xr:uid="{00000000-0005-0000-0000-000087980000}"/>
    <cellStyle name="Normal 6 24" xfId="39045" xr:uid="{00000000-0005-0000-0000-000088980000}"/>
    <cellStyle name="Normal 6 25" xfId="39046" xr:uid="{00000000-0005-0000-0000-000089980000}"/>
    <cellStyle name="Normal 6 26" xfId="39047" xr:uid="{00000000-0005-0000-0000-00008A980000}"/>
    <cellStyle name="Normal 6 27" xfId="39048" xr:uid="{00000000-0005-0000-0000-00008B980000}"/>
    <cellStyle name="Normal 6 28" xfId="39049" xr:uid="{00000000-0005-0000-0000-00008C980000}"/>
    <cellStyle name="Normal 6 29" xfId="39050" xr:uid="{00000000-0005-0000-0000-00008D980000}"/>
    <cellStyle name="Normal 6 3" xfId="39051" xr:uid="{00000000-0005-0000-0000-00008E980000}"/>
    <cellStyle name="Normal 6 3 10" xfId="39052" xr:uid="{00000000-0005-0000-0000-00008F980000}"/>
    <cellStyle name="Normal 6 3 11" xfId="39053" xr:uid="{00000000-0005-0000-0000-000090980000}"/>
    <cellStyle name="Normal 6 3 2" xfId="39054" xr:uid="{00000000-0005-0000-0000-000091980000}"/>
    <cellStyle name="Normal 6 3 2 2" xfId="39055" xr:uid="{00000000-0005-0000-0000-000092980000}"/>
    <cellStyle name="Normal 6 3 2 2 2" xfId="39056" xr:uid="{00000000-0005-0000-0000-000093980000}"/>
    <cellStyle name="Normal 6 3 2 2 2 2" xfId="39057" xr:uid="{00000000-0005-0000-0000-000094980000}"/>
    <cellStyle name="Normal 6 3 2 2 2 3" xfId="39058" xr:uid="{00000000-0005-0000-0000-000095980000}"/>
    <cellStyle name="Normal 6 3 2 2 3" xfId="39059" xr:uid="{00000000-0005-0000-0000-000096980000}"/>
    <cellStyle name="Normal 6 3 2 2 4" xfId="39060" xr:uid="{00000000-0005-0000-0000-000097980000}"/>
    <cellStyle name="Normal 6 3 2 2 5" xfId="39061" xr:uid="{00000000-0005-0000-0000-000098980000}"/>
    <cellStyle name="Normal 6 3 2 2 6" xfId="39062" xr:uid="{00000000-0005-0000-0000-000099980000}"/>
    <cellStyle name="Normal 6 3 2 3" xfId="39063" xr:uid="{00000000-0005-0000-0000-00009A980000}"/>
    <cellStyle name="Normal 6 3 2 3 2" xfId="39064" xr:uid="{00000000-0005-0000-0000-00009B980000}"/>
    <cellStyle name="Normal 6 3 2 3 2 2" xfId="39065" xr:uid="{00000000-0005-0000-0000-00009C980000}"/>
    <cellStyle name="Normal 6 3 2 3 3" xfId="39066" xr:uid="{00000000-0005-0000-0000-00009D980000}"/>
    <cellStyle name="Normal 6 3 2 3 4" xfId="39067" xr:uid="{00000000-0005-0000-0000-00009E980000}"/>
    <cellStyle name="Normal 6 3 2 3 5" xfId="39068" xr:uid="{00000000-0005-0000-0000-00009F980000}"/>
    <cellStyle name="Normal 6 3 2 4" xfId="39069" xr:uid="{00000000-0005-0000-0000-0000A0980000}"/>
    <cellStyle name="Normal 6 3 2 4 2" xfId="39070" xr:uid="{00000000-0005-0000-0000-0000A1980000}"/>
    <cellStyle name="Normal 6 3 2 4 3" xfId="39071" xr:uid="{00000000-0005-0000-0000-0000A2980000}"/>
    <cellStyle name="Normal 6 3 2 4 4" xfId="39072" xr:uid="{00000000-0005-0000-0000-0000A3980000}"/>
    <cellStyle name="Normal 6 3 2 5" xfId="39073" xr:uid="{00000000-0005-0000-0000-0000A4980000}"/>
    <cellStyle name="Normal 6 3 2 5 2" xfId="39074" xr:uid="{00000000-0005-0000-0000-0000A5980000}"/>
    <cellStyle name="Normal 6 3 2 6" xfId="39075" xr:uid="{00000000-0005-0000-0000-0000A6980000}"/>
    <cellStyle name="Normal 6 3 2 7" xfId="39076" xr:uid="{00000000-0005-0000-0000-0000A7980000}"/>
    <cellStyle name="Normal 6 3 2 8" xfId="39077" xr:uid="{00000000-0005-0000-0000-0000A8980000}"/>
    <cellStyle name="Normal 6 3 2 9" xfId="39078" xr:uid="{00000000-0005-0000-0000-0000A9980000}"/>
    <cellStyle name="Normal 6 3 3" xfId="39079" xr:uid="{00000000-0005-0000-0000-0000AA980000}"/>
    <cellStyle name="Normal 6 3 3 2" xfId="39080" xr:uid="{00000000-0005-0000-0000-0000AB980000}"/>
    <cellStyle name="Normal 6 3 3 2 2" xfId="39081" xr:uid="{00000000-0005-0000-0000-0000AC980000}"/>
    <cellStyle name="Normal 6 3 3 2 2 2" xfId="39082" xr:uid="{00000000-0005-0000-0000-0000AD980000}"/>
    <cellStyle name="Normal 6 3 3 2 2 3" xfId="39083" xr:uid="{00000000-0005-0000-0000-0000AE980000}"/>
    <cellStyle name="Normal 6 3 3 2 3" xfId="39084" xr:uid="{00000000-0005-0000-0000-0000AF980000}"/>
    <cellStyle name="Normal 6 3 3 2 4" xfId="39085" xr:uid="{00000000-0005-0000-0000-0000B0980000}"/>
    <cellStyle name="Normal 6 3 3 2 5" xfId="39086" xr:uid="{00000000-0005-0000-0000-0000B1980000}"/>
    <cellStyle name="Normal 6 3 3 2 6" xfId="39087" xr:uid="{00000000-0005-0000-0000-0000B2980000}"/>
    <cellStyle name="Normal 6 3 3 3" xfId="39088" xr:uid="{00000000-0005-0000-0000-0000B3980000}"/>
    <cellStyle name="Normal 6 3 3 3 2" xfId="39089" xr:uid="{00000000-0005-0000-0000-0000B4980000}"/>
    <cellStyle name="Normal 6 3 3 3 2 2" xfId="39090" xr:uid="{00000000-0005-0000-0000-0000B5980000}"/>
    <cellStyle name="Normal 6 3 3 3 3" xfId="39091" xr:uid="{00000000-0005-0000-0000-0000B6980000}"/>
    <cellStyle name="Normal 6 3 3 3 4" xfId="39092" xr:uid="{00000000-0005-0000-0000-0000B7980000}"/>
    <cellStyle name="Normal 6 3 3 3 5" xfId="39093" xr:uid="{00000000-0005-0000-0000-0000B8980000}"/>
    <cellStyle name="Normal 6 3 3 4" xfId="39094" xr:uid="{00000000-0005-0000-0000-0000B9980000}"/>
    <cellStyle name="Normal 6 3 3 4 2" xfId="39095" xr:uid="{00000000-0005-0000-0000-0000BA980000}"/>
    <cellStyle name="Normal 6 3 3 4 3" xfId="39096" xr:uid="{00000000-0005-0000-0000-0000BB980000}"/>
    <cellStyle name="Normal 6 3 3 4 4" xfId="39097" xr:uid="{00000000-0005-0000-0000-0000BC980000}"/>
    <cellStyle name="Normal 6 3 3 5" xfId="39098" xr:uid="{00000000-0005-0000-0000-0000BD980000}"/>
    <cellStyle name="Normal 6 3 3 5 2" xfId="39099" xr:uid="{00000000-0005-0000-0000-0000BE980000}"/>
    <cellStyle name="Normal 6 3 3 6" xfId="39100" xr:uid="{00000000-0005-0000-0000-0000BF980000}"/>
    <cellStyle name="Normal 6 3 3 7" xfId="39101" xr:uid="{00000000-0005-0000-0000-0000C0980000}"/>
    <cellStyle name="Normal 6 3 3 8" xfId="39102" xr:uid="{00000000-0005-0000-0000-0000C1980000}"/>
    <cellStyle name="Normal 6 3 3 9" xfId="39103" xr:uid="{00000000-0005-0000-0000-0000C2980000}"/>
    <cellStyle name="Normal 6 3 4" xfId="39104" xr:uid="{00000000-0005-0000-0000-0000C3980000}"/>
    <cellStyle name="Normal 6 3 4 2" xfId="39105" xr:uid="{00000000-0005-0000-0000-0000C4980000}"/>
    <cellStyle name="Normal 6 3 4 2 2" xfId="39106" xr:uid="{00000000-0005-0000-0000-0000C5980000}"/>
    <cellStyle name="Normal 6 3 4 2 3" xfId="39107" xr:uid="{00000000-0005-0000-0000-0000C6980000}"/>
    <cellStyle name="Normal 6 3 4 3" xfId="39108" xr:uid="{00000000-0005-0000-0000-0000C7980000}"/>
    <cellStyle name="Normal 6 3 4 4" xfId="39109" xr:uid="{00000000-0005-0000-0000-0000C8980000}"/>
    <cellStyle name="Normal 6 3 4 5" xfId="39110" xr:uid="{00000000-0005-0000-0000-0000C9980000}"/>
    <cellStyle name="Normal 6 3 4 6" xfId="39111" xr:uid="{00000000-0005-0000-0000-0000CA980000}"/>
    <cellStyle name="Normal 6 3 5" xfId="39112" xr:uid="{00000000-0005-0000-0000-0000CB980000}"/>
    <cellStyle name="Normal 6 3 5 2" xfId="39113" xr:uid="{00000000-0005-0000-0000-0000CC980000}"/>
    <cellStyle name="Normal 6 3 5 2 2" xfId="39114" xr:uid="{00000000-0005-0000-0000-0000CD980000}"/>
    <cellStyle name="Normal 6 3 5 3" xfId="39115" xr:uid="{00000000-0005-0000-0000-0000CE980000}"/>
    <cellStyle name="Normal 6 3 5 4" xfId="39116" xr:uid="{00000000-0005-0000-0000-0000CF980000}"/>
    <cellStyle name="Normal 6 3 5 5" xfId="39117" xr:uid="{00000000-0005-0000-0000-0000D0980000}"/>
    <cellStyle name="Normal 6 3 6" xfId="39118" xr:uid="{00000000-0005-0000-0000-0000D1980000}"/>
    <cellStyle name="Normal 6 3 6 2" xfId="39119" xr:uid="{00000000-0005-0000-0000-0000D2980000}"/>
    <cellStyle name="Normal 6 3 6 3" xfId="39120" xr:uid="{00000000-0005-0000-0000-0000D3980000}"/>
    <cellStyle name="Normal 6 3 6 4" xfId="39121" xr:uid="{00000000-0005-0000-0000-0000D4980000}"/>
    <cellStyle name="Normal 6 3 7" xfId="39122" xr:uid="{00000000-0005-0000-0000-0000D5980000}"/>
    <cellStyle name="Normal 6 3 7 2" xfId="39123" xr:uid="{00000000-0005-0000-0000-0000D6980000}"/>
    <cellStyle name="Normal 6 3 8" xfId="39124" xr:uid="{00000000-0005-0000-0000-0000D7980000}"/>
    <cellStyle name="Normal 6 3 9" xfId="39125" xr:uid="{00000000-0005-0000-0000-0000D8980000}"/>
    <cellStyle name="Normal 6 30" xfId="39126" xr:uid="{00000000-0005-0000-0000-0000D9980000}"/>
    <cellStyle name="Normal 6 31" xfId="39127" xr:uid="{00000000-0005-0000-0000-0000DA980000}"/>
    <cellStyle name="Normal 6 32" xfId="39128" xr:uid="{00000000-0005-0000-0000-0000DB980000}"/>
    <cellStyle name="Normal 6 33" xfId="39129" xr:uid="{00000000-0005-0000-0000-0000DC980000}"/>
    <cellStyle name="Normal 6 34" xfId="39130" xr:uid="{00000000-0005-0000-0000-0000DD980000}"/>
    <cellStyle name="Normal 6 35" xfId="39131" xr:uid="{00000000-0005-0000-0000-0000DE980000}"/>
    <cellStyle name="Normal 6 36" xfId="39132" xr:uid="{00000000-0005-0000-0000-0000DF980000}"/>
    <cellStyle name="Normal 6 37" xfId="39133" xr:uid="{00000000-0005-0000-0000-0000E0980000}"/>
    <cellStyle name="Normal 6 38" xfId="39134" xr:uid="{00000000-0005-0000-0000-0000E1980000}"/>
    <cellStyle name="Normal 6 39" xfId="39135" xr:uid="{00000000-0005-0000-0000-0000E2980000}"/>
    <cellStyle name="Normal 6 4" xfId="39136" xr:uid="{00000000-0005-0000-0000-0000E3980000}"/>
    <cellStyle name="Normal 6 4 10" xfId="39137" xr:uid="{00000000-0005-0000-0000-0000E4980000}"/>
    <cellStyle name="Normal 6 4 11" xfId="39138" xr:uid="{00000000-0005-0000-0000-0000E5980000}"/>
    <cellStyle name="Normal 6 4 2" xfId="39139" xr:uid="{00000000-0005-0000-0000-0000E6980000}"/>
    <cellStyle name="Normal 6 4 2 2" xfId="39140" xr:uid="{00000000-0005-0000-0000-0000E7980000}"/>
    <cellStyle name="Normal 6 4 2 2 2" xfId="39141" xr:uid="{00000000-0005-0000-0000-0000E8980000}"/>
    <cellStyle name="Normal 6 4 2 2 2 2" xfId="39142" xr:uid="{00000000-0005-0000-0000-0000E9980000}"/>
    <cellStyle name="Normal 6 4 2 2 2 3" xfId="39143" xr:uid="{00000000-0005-0000-0000-0000EA980000}"/>
    <cellStyle name="Normal 6 4 2 2 3" xfId="39144" xr:uid="{00000000-0005-0000-0000-0000EB980000}"/>
    <cellStyle name="Normal 6 4 2 2 4" xfId="39145" xr:uid="{00000000-0005-0000-0000-0000EC980000}"/>
    <cellStyle name="Normal 6 4 2 2 5" xfId="39146" xr:uid="{00000000-0005-0000-0000-0000ED980000}"/>
    <cellStyle name="Normal 6 4 2 2 6" xfId="39147" xr:uid="{00000000-0005-0000-0000-0000EE980000}"/>
    <cellStyle name="Normal 6 4 2 3" xfId="39148" xr:uid="{00000000-0005-0000-0000-0000EF980000}"/>
    <cellStyle name="Normal 6 4 2 3 2" xfId="39149" xr:uid="{00000000-0005-0000-0000-0000F0980000}"/>
    <cellStyle name="Normal 6 4 2 3 2 2" xfId="39150" xr:uid="{00000000-0005-0000-0000-0000F1980000}"/>
    <cellStyle name="Normal 6 4 2 3 3" xfId="39151" xr:uid="{00000000-0005-0000-0000-0000F2980000}"/>
    <cellStyle name="Normal 6 4 2 3 4" xfId="39152" xr:uid="{00000000-0005-0000-0000-0000F3980000}"/>
    <cellStyle name="Normal 6 4 2 3 5" xfId="39153" xr:uid="{00000000-0005-0000-0000-0000F4980000}"/>
    <cellStyle name="Normal 6 4 2 4" xfId="39154" xr:uid="{00000000-0005-0000-0000-0000F5980000}"/>
    <cellStyle name="Normal 6 4 2 4 2" xfId="39155" xr:uid="{00000000-0005-0000-0000-0000F6980000}"/>
    <cellStyle name="Normal 6 4 2 4 3" xfId="39156" xr:uid="{00000000-0005-0000-0000-0000F7980000}"/>
    <cellStyle name="Normal 6 4 2 4 4" xfId="39157" xr:uid="{00000000-0005-0000-0000-0000F8980000}"/>
    <cellStyle name="Normal 6 4 2 5" xfId="39158" xr:uid="{00000000-0005-0000-0000-0000F9980000}"/>
    <cellStyle name="Normal 6 4 2 5 2" xfId="39159" xr:uid="{00000000-0005-0000-0000-0000FA980000}"/>
    <cellStyle name="Normal 6 4 2 6" xfId="39160" xr:uid="{00000000-0005-0000-0000-0000FB980000}"/>
    <cellStyle name="Normal 6 4 2 7" xfId="39161" xr:uid="{00000000-0005-0000-0000-0000FC980000}"/>
    <cellStyle name="Normal 6 4 2 8" xfId="39162" xr:uid="{00000000-0005-0000-0000-0000FD980000}"/>
    <cellStyle name="Normal 6 4 2 9" xfId="39163" xr:uid="{00000000-0005-0000-0000-0000FE980000}"/>
    <cellStyle name="Normal 6 4 3" xfId="39164" xr:uid="{00000000-0005-0000-0000-0000FF980000}"/>
    <cellStyle name="Normal 6 4 3 2" xfId="39165" xr:uid="{00000000-0005-0000-0000-000000990000}"/>
    <cellStyle name="Normal 6 4 3 2 2" xfId="39166" xr:uid="{00000000-0005-0000-0000-000001990000}"/>
    <cellStyle name="Normal 6 4 3 2 2 2" xfId="39167" xr:uid="{00000000-0005-0000-0000-000002990000}"/>
    <cellStyle name="Normal 6 4 3 2 2 3" xfId="39168" xr:uid="{00000000-0005-0000-0000-000003990000}"/>
    <cellStyle name="Normal 6 4 3 2 3" xfId="39169" xr:uid="{00000000-0005-0000-0000-000004990000}"/>
    <cellStyle name="Normal 6 4 3 2 4" xfId="39170" xr:uid="{00000000-0005-0000-0000-000005990000}"/>
    <cellStyle name="Normal 6 4 3 2 5" xfId="39171" xr:uid="{00000000-0005-0000-0000-000006990000}"/>
    <cellStyle name="Normal 6 4 3 2 6" xfId="39172" xr:uid="{00000000-0005-0000-0000-000007990000}"/>
    <cellStyle name="Normal 6 4 3 3" xfId="39173" xr:uid="{00000000-0005-0000-0000-000008990000}"/>
    <cellStyle name="Normal 6 4 3 3 2" xfId="39174" xr:uid="{00000000-0005-0000-0000-000009990000}"/>
    <cellStyle name="Normal 6 4 3 3 2 2" xfId="39175" xr:uid="{00000000-0005-0000-0000-00000A990000}"/>
    <cellStyle name="Normal 6 4 3 3 3" xfId="39176" xr:uid="{00000000-0005-0000-0000-00000B990000}"/>
    <cellStyle name="Normal 6 4 3 3 4" xfId="39177" xr:uid="{00000000-0005-0000-0000-00000C990000}"/>
    <cellStyle name="Normal 6 4 3 3 5" xfId="39178" xr:uid="{00000000-0005-0000-0000-00000D990000}"/>
    <cellStyle name="Normal 6 4 3 4" xfId="39179" xr:uid="{00000000-0005-0000-0000-00000E990000}"/>
    <cellStyle name="Normal 6 4 3 4 2" xfId="39180" xr:uid="{00000000-0005-0000-0000-00000F990000}"/>
    <cellStyle name="Normal 6 4 3 4 3" xfId="39181" xr:uid="{00000000-0005-0000-0000-000010990000}"/>
    <cellStyle name="Normal 6 4 3 4 4" xfId="39182" xr:uid="{00000000-0005-0000-0000-000011990000}"/>
    <cellStyle name="Normal 6 4 3 5" xfId="39183" xr:uid="{00000000-0005-0000-0000-000012990000}"/>
    <cellStyle name="Normal 6 4 3 5 2" xfId="39184" xr:uid="{00000000-0005-0000-0000-000013990000}"/>
    <cellStyle name="Normal 6 4 3 6" xfId="39185" xr:uid="{00000000-0005-0000-0000-000014990000}"/>
    <cellStyle name="Normal 6 4 3 7" xfId="39186" xr:uid="{00000000-0005-0000-0000-000015990000}"/>
    <cellStyle name="Normal 6 4 3 8" xfId="39187" xr:uid="{00000000-0005-0000-0000-000016990000}"/>
    <cellStyle name="Normal 6 4 3 9" xfId="39188" xr:uid="{00000000-0005-0000-0000-000017990000}"/>
    <cellStyle name="Normal 6 4 4" xfId="39189" xr:uid="{00000000-0005-0000-0000-000018990000}"/>
    <cellStyle name="Normal 6 4 4 2" xfId="39190" xr:uid="{00000000-0005-0000-0000-000019990000}"/>
    <cellStyle name="Normal 6 4 4 2 2" xfId="39191" xr:uid="{00000000-0005-0000-0000-00001A990000}"/>
    <cellStyle name="Normal 6 4 4 2 3" xfId="39192" xr:uid="{00000000-0005-0000-0000-00001B990000}"/>
    <cellStyle name="Normal 6 4 4 3" xfId="39193" xr:uid="{00000000-0005-0000-0000-00001C990000}"/>
    <cellStyle name="Normal 6 4 4 4" xfId="39194" xr:uid="{00000000-0005-0000-0000-00001D990000}"/>
    <cellStyle name="Normal 6 4 4 5" xfId="39195" xr:uid="{00000000-0005-0000-0000-00001E990000}"/>
    <cellStyle name="Normal 6 4 4 6" xfId="39196" xr:uid="{00000000-0005-0000-0000-00001F990000}"/>
    <cellStyle name="Normal 6 4 5" xfId="39197" xr:uid="{00000000-0005-0000-0000-000020990000}"/>
    <cellStyle name="Normal 6 4 5 2" xfId="39198" xr:uid="{00000000-0005-0000-0000-000021990000}"/>
    <cellStyle name="Normal 6 4 5 2 2" xfId="39199" xr:uid="{00000000-0005-0000-0000-000022990000}"/>
    <cellStyle name="Normal 6 4 5 3" xfId="39200" xr:uid="{00000000-0005-0000-0000-000023990000}"/>
    <cellStyle name="Normal 6 4 5 4" xfId="39201" xr:uid="{00000000-0005-0000-0000-000024990000}"/>
    <cellStyle name="Normal 6 4 5 5" xfId="39202" xr:uid="{00000000-0005-0000-0000-000025990000}"/>
    <cellStyle name="Normal 6 4 6" xfId="39203" xr:uid="{00000000-0005-0000-0000-000026990000}"/>
    <cellStyle name="Normal 6 4 6 2" xfId="39204" xr:uid="{00000000-0005-0000-0000-000027990000}"/>
    <cellStyle name="Normal 6 4 6 3" xfId="39205" xr:uid="{00000000-0005-0000-0000-000028990000}"/>
    <cellStyle name="Normal 6 4 6 4" xfId="39206" xr:uid="{00000000-0005-0000-0000-000029990000}"/>
    <cellStyle name="Normal 6 4 7" xfId="39207" xr:uid="{00000000-0005-0000-0000-00002A990000}"/>
    <cellStyle name="Normal 6 4 7 2" xfId="39208" xr:uid="{00000000-0005-0000-0000-00002B990000}"/>
    <cellStyle name="Normal 6 4 8" xfId="39209" xr:uid="{00000000-0005-0000-0000-00002C990000}"/>
    <cellStyle name="Normal 6 4 9" xfId="39210" xr:uid="{00000000-0005-0000-0000-00002D990000}"/>
    <cellStyle name="Normal 6 40" xfId="39211" xr:uid="{00000000-0005-0000-0000-00002E990000}"/>
    <cellStyle name="Normal 6 41" xfId="39212" xr:uid="{00000000-0005-0000-0000-00002F990000}"/>
    <cellStyle name="Normal 6 5" xfId="39213" xr:uid="{00000000-0005-0000-0000-000030990000}"/>
    <cellStyle name="Normal 6 5 10" xfId="39214" xr:uid="{00000000-0005-0000-0000-000031990000}"/>
    <cellStyle name="Normal 6 5 11" xfId="39215" xr:uid="{00000000-0005-0000-0000-000032990000}"/>
    <cellStyle name="Normal 6 5 2" xfId="39216" xr:uid="{00000000-0005-0000-0000-000033990000}"/>
    <cellStyle name="Normal 6 5 2 2" xfId="39217" xr:uid="{00000000-0005-0000-0000-000034990000}"/>
    <cellStyle name="Normal 6 5 2 2 2" xfId="39218" xr:uid="{00000000-0005-0000-0000-000035990000}"/>
    <cellStyle name="Normal 6 5 2 2 2 2" xfId="39219" xr:uid="{00000000-0005-0000-0000-000036990000}"/>
    <cellStyle name="Normal 6 5 2 2 2 3" xfId="39220" xr:uid="{00000000-0005-0000-0000-000037990000}"/>
    <cellStyle name="Normal 6 5 2 2 3" xfId="39221" xr:uid="{00000000-0005-0000-0000-000038990000}"/>
    <cellStyle name="Normal 6 5 2 2 4" xfId="39222" xr:uid="{00000000-0005-0000-0000-000039990000}"/>
    <cellStyle name="Normal 6 5 2 2 5" xfId="39223" xr:uid="{00000000-0005-0000-0000-00003A990000}"/>
    <cellStyle name="Normal 6 5 2 2 6" xfId="39224" xr:uid="{00000000-0005-0000-0000-00003B990000}"/>
    <cellStyle name="Normal 6 5 2 3" xfId="39225" xr:uid="{00000000-0005-0000-0000-00003C990000}"/>
    <cellStyle name="Normal 6 5 2 3 2" xfId="39226" xr:uid="{00000000-0005-0000-0000-00003D990000}"/>
    <cellStyle name="Normal 6 5 2 3 2 2" xfId="39227" xr:uid="{00000000-0005-0000-0000-00003E990000}"/>
    <cellStyle name="Normal 6 5 2 3 3" xfId="39228" xr:uid="{00000000-0005-0000-0000-00003F990000}"/>
    <cellStyle name="Normal 6 5 2 3 4" xfId="39229" xr:uid="{00000000-0005-0000-0000-000040990000}"/>
    <cellStyle name="Normal 6 5 2 3 5" xfId="39230" xr:uid="{00000000-0005-0000-0000-000041990000}"/>
    <cellStyle name="Normal 6 5 2 4" xfId="39231" xr:uid="{00000000-0005-0000-0000-000042990000}"/>
    <cellStyle name="Normal 6 5 2 4 2" xfId="39232" xr:uid="{00000000-0005-0000-0000-000043990000}"/>
    <cellStyle name="Normal 6 5 2 4 3" xfId="39233" xr:uid="{00000000-0005-0000-0000-000044990000}"/>
    <cellStyle name="Normal 6 5 2 4 4" xfId="39234" xr:uid="{00000000-0005-0000-0000-000045990000}"/>
    <cellStyle name="Normal 6 5 2 5" xfId="39235" xr:uid="{00000000-0005-0000-0000-000046990000}"/>
    <cellStyle name="Normal 6 5 2 5 2" xfId="39236" xr:uid="{00000000-0005-0000-0000-000047990000}"/>
    <cellStyle name="Normal 6 5 2 6" xfId="39237" xr:uid="{00000000-0005-0000-0000-000048990000}"/>
    <cellStyle name="Normal 6 5 2 7" xfId="39238" xr:uid="{00000000-0005-0000-0000-000049990000}"/>
    <cellStyle name="Normal 6 5 2 8" xfId="39239" xr:uid="{00000000-0005-0000-0000-00004A990000}"/>
    <cellStyle name="Normal 6 5 2 9" xfId="39240" xr:uid="{00000000-0005-0000-0000-00004B990000}"/>
    <cellStyle name="Normal 6 5 3" xfId="39241" xr:uid="{00000000-0005-0000-0000-00004C990000}"/>
    <cellStyle name="Normal 6 5 3 2" xfId="39242" xr:uid="{00000000-0005-0000-0000-00004D990000}"/>
    <cellStyle name="Normal 6 5 3 2 2" xfId="39243" xr:uid="{00000000-0005-0000-0000-00004E990000}"/>
    <cellStyle name="Normal 6 5 3 2 2 2" xfId="39244" xr:uid="{00000000-0005-0000-0000-00004F990000}"/>
    <cellStyle name="Normal 6 5 3 2 2 3" xfId="39245" xr:uid="{00000000-0005-0000-0000-000050990000}"/>
    <cellStyle name="Normal 6 5 3 2 3" xfId="39246" xr:uid="{00000000-0005-0000-0000-000051990000}"/>
    <cellStyle name="Normal 6 5 3 2 4" xfId="39247" xr:uid="{00000000-0005-0000-0000-000052990000}"/>
    <cellStyle name="Normal 6 5 3 2 5" xfId="39248" xr:uid="{00000000-0005-0000-0000-000053990000}"/>
    <cellStyle name="Normal 6 5 3 2 6" xfId="39249" xr:uid="{00000000-0005-0000-0000-000054990000}"/>
    <cellStyle name="Normal 6 5 3 3" xfId="39250" xr:uid="{00000000-0005-0000-0000-000055990000}"/>
    <cellStyle name="Normal 6 5 3 3 2" xfId="39251" xr:uid="{00000000-0005-0000-0000-000056990000}"/>
    <cellStyle name="Normal 6 5 3 3 2 2" xfId="39252" xr:uid="{00000000-0005-0000-0000-000057990000}"/>
    <cellStyle name="Normal 6 5 3 3 3" xfId="39253" xr:uid="{00000000-0005-0000-0000-000058990000}"/>
    <cellStyle name="Normal 6 5 3 3 4" xfId="39254" xr:uid="{00000000-0005-0000-0000-000059990000}"/>
    <cellStyle name="Normal 6 5 3 3 5" xfId="39255" xr:uid="{00000000-0005-0000-0000-00005A990000}"/>
    <cellStyle name="Normal 6 5 3 4" xfId="39256" xr:uid="{00000000-0005-0000-0000-00005B990000}"/>
    <cellStyle name="Normal 6 5 3 4 2" xfId="39257" xr:uid="{00000000-0005-0000-0000-00005C990000}"/>
    <cellStyle name="Normal 6 5 3 4 3" xfId="39258" xr:uid="{00000000-0005-0000-0000-00005D990000}"/>
    <cellStyle name="Normal 6 5 3 4 4" xfId="39259" xr:uid="{00000000-0005-0000-0000-00005E990000}"/>
    <cellStyle name="Normal 6 5 3 5" xfId="39260" xr:uid="{00000000-0005-0000-0000-00005F990000}"/>
    <cellStyle name="Normal 6 5 3 5 2" xfId="39261" xr:uid="{00000000-0005-0000-0000-000060990000}"/>
    <cellStyle name="Normal 6 5 3 6" xfId="39262" xr:uid="{00000000-0005-0000-0000-000061990000}"/>
    <cellStyle name="Normal 6 5 3 7" xfId="39263" xr:uid="{00000000-0005-0000-0000-000062990000}"/>
    <cellStyle name="Normal 6 5 3 8" xfId="39264" xr:uid="{00000000-0005-0000-0000-000063990000}"/>
    <cellStyle name="Normal 6 5 3 9" xfId="39265" xr:uid="{00000000-0005-0000-0000-000064990000}"/>
    <cellStyle name="Normal 6 5 4" xfId="39266" xr:uid="{00000000-0005-0000-0000-000065990000}"/>
    <cellStyle name="Normal 6 5 4 2" xfId="39267" xr:uid="{00000000-0005-0000-0000-000066990000}"/>
    <cellStyle name="Normal 6 5 4 2 2" xfId="39268" xr:uid="{00000000-0005-0000-0000-000067990000}"/>
    <cellStyle name="Normal 6 5 4 2 3" xfId="39269" xr:uid="{00000000-0005-0000-0000-000068990000}"/>
    <cellStyle name="Normal 6 5 4 3" xfId="39270" xr:uid="{00000000-0005-0000-0000-000069990000}"/>
    <cellStyle name="Normal 6 5 4 4" xfId="39271" xr:uid="{00000000-0005-0000-0000-00006A990000}"/>
    <cellStyle name="Normal 6 5 4 5" xfId="39272" xr:uid="{00000000-0005-0000-0000-00006B990000}"/>
    <cellStyle name="Normal 6 5 4 6" xfId="39273" xr:uid="{00000000-0005-0000-0000-00006C990000}"/>
    <cellStyle name="Normal 6 5 5" xfId="39274" xr:uid="{00000000-0005-0000-0000-00006D990000}"/>
    <cellStyle name="Normal 6 5 5 2" xfId="39275" xr:uid="{00000000-0005-0000-0000-00006E990000}"/>
    <cellStyle name="Normal 6 5 5 2 2" xfId="39276" xr:uid="{00000000-0005-0000-0000-00006F990000}"/>
    <cellStyle name="Normal 6 5 5 3" xfId="39277" xr:uid="{00000000-0005-0000-0000-000070990000}"/>
    <cellStyle name="Normal 6 5 5 4" xfId="39278" xr:uid="{00000000-0005-0000-0000-000071990000}"/>
    <cellStyle name="Normal 6 5 5 5" xfId="39279" xr:uid="{00000000-0005-0000-0000-000072990000}"/>
    <cellStyle name="Normal 6 5 6" xfId="39280" xr:uid="{00000000-0005-0000-0000-000073990000}"/>
    <cellStyle name="Normal 6 5 6 2" xfId="39281" xr:uid="{00000000-0005-0000-0000-000074990000}"/>
    <cellStyle name="Normal 6 5 6 3" xfId="39282" xr:uid="{00000000-0005-0000-0000-000075990000}"/>
    <cellStyle name="Normal 6 5 6 4" xfId="39283" xr:uid="{00000000-0005-0000-0000-000076990000}"/>
    <cellStyle name="Normal 6 5 7" xfId="39284" xr:uid="{00000000-0005-0000-0000-000077990000}"/>
    <cellStyle name="Normal 6 5 7 2" xfId="39285" xr:uid="{00000000-0005-0000-0000-000078990000}"/>
    <cellStyle name="Normal 6 5 8" xfId="39286" xr:uid="{00000000-0005-0000-0000-000079990000}"/>
    <cellStyle name="Normal 6 5 9" xfId="39287" xr:uid="{00000000-0005-0000-0000-00007A990000}"/>
    <cellStyle name="Normal 6 6" xfId="39288" xr:uid="{00000000-0005-0000-0000-00007B990000}"/>
    <cellStyle name="Normal 6 6 10" xfId="39289" xr:uid="{00000000-0005-0000-0000-00007C990000}"/>
    <cellStyle name="Normal 6 6 11" xfId="39290" xr:uid="{00000000-0005-0000-0000-00007D990000}"/>
    <cellStyle name="Normal 6 6 2" xfId="39291" xr:uid="{00000000-0005-0000-0000-00007E990000}"/>
    <cellStyle name="Normal 6 6 2 2" xfId="39292" xr:uid="{00000000-0005-0000-0000-00007F990000}"/>
    <cellStyle name="Normal 6 6 2 2 2" xfId="39293" xr:uid="{00000000-0005-0000-0000-000080990000}"/>
    <cellStyle name="Normal 6 6 2 2 2 2" xfId="39294" xr:uid="{00000000-0005-0000-0000-000081990000}"/>
    <cellStyle name="Normal 6 6 2 2 2 3" xfId="39295" xr:uid="{00000000-0005-0000-0000-000082990000}"/>
    <cellStyle name="Normal 6 6 2 2 3" xfId="39296" xr:uid="{00000000-0005-0000-0000-000083990000}"/>
    <cellStyle name="Normal 6 6 2 2 4" xfId="39297" xr:uid="{00000000-0005-0000-0000-000084990000}"/>
    <cellStyle name="Normal 6 6 2 2 5" xfId="39298" xr:uid="{00000000-0005-0000-0000-000085990000}"/>
    <cellStyle name="Normal 6 6 2 2 6" xfId="39299" xr:uid="{00000000-0005-0000-0000-000086990000}"/>
    <cellStyle name="Normal 6 6 2 3" xfId="39300" xr:uid="{00000000-0005-0000-0000-000087990000}"/>
    <cellStyle name="Normal 6 6 2 3 2" xfId="39301" xr:uid="{00000000-0005-0000-0000-000088990000}"/>
    <cellStyle name="Normal 6 6 2 3 2 2" xfId="39302" xr:uid="{00000000-0005-0000-0000-000089990000}"/>
    <cellStyle name="Normal 6 6 2 3 3" xfId="39303" xr:uid="{00000000-0005-0000-0000-00008A990000}"/>
    <cellStyle name="Normal 6 6 2 3 4" xfId="39304" xr:uid="{00000000-0005-0000-0000-00008B990000}"/>
    <cellStyle name="Normal 6 6 2 3 5" xfId="39305" xr:uid="{00000000-0005-0000-0000-00008C990000}"/>
    <cellStyle name="Normal 6 6 2 4" xfId="39306" xr:uid="{00000000-0005-0000-0000-00008D990000}"/>
    <cellStyle name="Normal 6 6 2 4 2" xfId="39307" xr:uid="{00000000-0005-0000-0000-00008E990000}"/>
    <cellStyle name="Normal 6 6 2 4 3" xfId="39308" xr:uid="{00000000-0005-0000-0000-00008F990000}"/>
    <cellStyle name="Normal 6 6 2 4 4" xfId="39309" xr:uid="{00000000-0005-0000-0000-000090990000}"/>
    <cellStyle name="Normal 6 6 2 5" xfId="39310" xr:uid="{00000000-0005-0000-0000-000091990000}"/>
    <cellStyle name="Normal 6 6 2 5 2" xfId="39311" xr:uid="{00000000-0005-0000-0000-000092990000}"/>
    <cellStyle name="Normal 6 6 2 6" xfId="39312" xr:uid="{00000000-0005-0000-0000-000093990000}"/>
    <cellStyle name="Normal 6 6 2 7" xfId="39313" xr:uid="{00000000-0005-0000-0000-000094990000}"/>
    <cellStyle name="Normal 6 6 2 8" xfId="39314" xr:uid="{00000000-0005-0000-0000-000095990000}"/>
    <cellStyle name="Normal 6 6 2 9" xfId="39315" xr:uid="{00000000-0005-0000-0000-000096990000}"/>
    <cellStyle name="Normal 6 6 3" xfId="39316" xr:uid="{00000000-0005-0000-0000-000097990000}"/>
    <cellStyle name="Normal 6 6 3 2" xfId="39317" xr:uid="{00000000-0005-0000-0000-000098990000}"/>
    <cellStyle name="Normal 6 6 3 2 2" xfId="39318" xr:uid="{00000000-0005-0000-0000-000099990000}"/>
    <cellStyle name="Normal 6 6 3 2 2 2" xfId="39319" xr:uid="{00000000-0005-0000-0000-00009A990000}"/>
    <cellStyle name="Normal 6 6 3 2 2 3" xfId="39320" xr:uid="{00000000-0005-0000-0000-00009B990000}"/>
    <cellStyle name="Normal 6 6 3 2 3" xfId="39321" xr:uid="{00000000-0005-0000-0000-00009C990000}"/>
    <cellStyle name="Normal 6 6 3 2 4" xfId="39322" xr:uid="{00000000-0005-0000-0000-00009D990000}"/>
    <cellStyle name="Normal 6 6 3 2 5" xfId="39323" xr:uid="{00000000-0005-0000-0000-00009E990000}"/>
    <cellStyle name="Normal 6 6 3 2 6" xfId="39324" xr:uid="{00000000-0005-0000-0000-00009F990000}"/>
    <cellStyle name="Normal 6 6 3 3" xfId="39325" xr:uid="{00000000-0005-0000-0000-0000A0990000}"/>
    <cellStyle name="Normal 6 6 3 3 2" xfId="39326" xr:uid="{00000000-0005-0000-0000-0000A1990000}"/>
    <cellStyle name="Normal 6 6 3 3 2 2" xfId="39327" xr:uid="{00000000-0005-0000-0000-0000A2990000}"/>
    <cellStyle name="Normal 6 6 3 3 3" xfId="39328" xr:uid="{00000000-0005-0000-0000-0000A3990000}"/>
    <cellStyle name="Normal 6 6 3 3 4" xfId="39329" xr:uid="{00000000-0005-0000-0000-0000A4990000}"/>
    <cellStyle name="Normal 6 6 3 3 5" xfId="39330" xr:uid="{00000000-0005-0000-0000-0000A5990000}"/>
    <cellStyle name="Normal 6 6 3 4" xfId="39331" xr:uid="{00000000-0005-0000-0000-0000A6990000}"/>
    <cellStyle name="Normal 6 6 3 4 2" xfId="39332" xr:uid="{00000000-0005-0000-0000-0000A7990000}"/>
    <cellStyle name="Normal 6 6 3 4 3" xfId="39333" xr:uid="{00000000-0005-0000-0000-0000A8990000}"/>
    <cellStyle name="Normal 6 6 3 4 4" xfId="39334" xr:uid="{00000000-0005-0000-0000-0000A9990000}"/>
    <cellStyle name="Normal 6 6 3 5" xfId="39335" xr:uid="{00000000-0005-0000-0000-0000AA990000}"/>
    <cellStyle name="Normal 6 6 3 5 2" xfId="39336" xr:uid="{00000000-0005-0000-0000-0000AB990000}"/>
    <cellStyle name="Normal 6 6 3 6" xfId="39337" xr:uid="{00000000-0005-0000-0000-0000AC990000}"/>
    <cellStyle name="Normal 6 6 3 7" xfId="39338" xr:uid="{00000000-0005-0000-0000-0000AD990000}"/>
    <cellStyle name="Normal 6 6 3 8" xfId="39339" xr:uid="{00000000-0005-0000-0000-0000AE990000}"/>
    <cellStyle name="Normal 6 6 3 9" xfId="39340" xr:uid="{00000000-0005-0000-0000-0000AF990000}"/>
    <cellStyle name="Normal 6 6 4" xfId="39341" xr:uid="{00000000-0005-0000-0000-0000B0990000}"/>
    <cellStyle name="Normal 6 6 4 2" xfId="39342" xr:uid="{00000000-0005-0000-0000-0000B1990000}"/>
    <cellStyle name="Normal 6 6 4 2 2" xfId="39343" xr:uid="{00000000-0005-0000-0000-0000B2990000}"/>
    <cellStyle name="Normal 6 6 4 2 3" xfId="39344" xr:uid="{00000000-0005-0000-0000-0000B3990000}"/>
    <cellStyle name="Normal 6 6 4 3" xfId="39345" xr:uid="{00000000-0005-0000-0000-0000B4990000}"/>
    <cellStyle name="Normal 6 6 4 4" xfId="39346" xr:uid="{00000000-0005-0000-0000-0000B5990000}"/>
    <cellStyle name="Normal 6 6 4 5" xfId="39347" xr:uid="{00000000-0005-0000-0000-0000B6990000}"/>
    <cellStyle name="Normal 6 6 4 6" xfId="39348" xr:uid="{00000000-0005-0000-0000-0000B7990000}"/>
    <cellStyle name="Normal 6 6 5" xfId="39349" xr:uid="{00000000-0005-0000-0000-0000B8990000}"/>
    <cellStyle name="Normal 6 6 5 2" xfId="39350" xr:uid="{00000000-0005-0000-0000-0000B9990000}"/>
    <cellStyle name="Normal 6 6 5 2 2" xfId="39351" xr:uid="{00000000-0005-0000-0000-0000BA990000}"/>
    <cellStyle name="Normal 6 6 5 3" xfId="39352" xr:uid="{00000000-0005-0000-0000-0000BB990000}"/>
    <cellStyle name="Normal 6 6 5 4" xfId="39353" xr:uid="{00000000-0005-0000-0000-0000BC990000}"/>
    <cellStyle name="Normal 6 6 5 5" xfId="39354" xr:uid="{00000000-0005-0000-0000-0000BD990000}"/>
    <cellStyle name="Normal 6 6 6" xfId="39355" xr:uid="{00000000-0005-0000-0000-0000BE990000}"/>
    <cellStyle name="Normal 6 6 6 2" xfId="39356" xr:uid="{00000000-0005-0000-0000-0000BF990000}"/>
    <cellStyle name="Normal 6 6 6 3" xfId="39357" xr:uid="{00000000-0005-0000-0000-0000C0990000}"/>
    <cellStyle name="Normal 6 6 6 4" xfId="39358" xr:uid="{00000000-0005-0000-0000-0000C1990000}"/>
    <cellStyle name="Normal 6 6 7" xfId="39359" xr:uid="{00000000-0005-0000-0000-0000C2990000}"/>
    <cellStyle name="Normal 6 6 7 2" xfId="39360" xr:uid="{00000000-0005-0000-0000-0000C3990000}"/>
    <cellStyle name="Normal 6 6 8" xfId="39361" xr:uid="{00000000-0005-0000-0000-0000C4990000}"/>
    <cellStyle name="Normal 6 6 9" xfId="39362" xr:uid="{00000000-0005-0000-0000-0000C5990000}"/>
    <cellStyle name="Normal 6 7" xfId="39363" xr:uid="{00000000-0005-0000-0000-0000C6990000}"/>
    <cellStyle name="Normal 6 7 10" xfId="39364" xr:uid="{00000000-0005-0000-0000-0000C7990000}"/>
    <cellStyle name="Normal 6 7 11" xfId="39365" xr:uid="{00000000-0005-0000-0000-0000C8990000}"/>
    <cellStyle name="Normal 6 7 2" xfId="39366" xr:uid="{00000000-0005-0000-0000-0000C9990000}"/>
    <cellStyle name="Normal 6 7 2 2" xfId="39367" xr:uid="{00000000-0005-0000-0000-0000CA990000}"/>
    <cellStyle name="Normal 6 7 2 2 2" xfId="39368" xr:uid="{00000000-0005-0000-0000-0000CB990000}"/>
    <cellStyle name="Normal 6 7 2 2 2 2" xfId="39369" xr:uid="{00000000-0005-0000-0000-0000CC990000}"/>
    <cellStyle name="Normal 6 7 2 2 2 3" xfId="39370" xr:uid="{00000000-0005-0000-0000-0000CD990000}"/>
    <cellStyle name="Normal 6 7 2 2 3" xfId="39371" xr:uid="{00000000-0005-0000-0000-0000CE990000}"/>
    <cellStyle name="Normal 6 7 2 2 4" xfId="39372" xr:uid="{00000000-0005-0000-0000-0000CF990000}"/>
    <cellStyle name="Normal 6 7 2 2 5" xfId="39373" xr:uid="{00000000-0005-0000-0000-0000D0990000}"/>
    <cellStyle name="Normal 6 7 2 2 6" xfId="39374" xr:uid="{00000000-0005-0000-0000-0000D1990000}"/>
    <cellStyle name="Normal 6 7 2 3" xfId="39375" xr:uid="{00000000-0005-0000-0000-0000D2990000}"/>
    <cellStyle name="Normal 6 7 2 3 2" xfId="39376" xr:uid="{00000000-0005-0000-0000-0000D3990000}"/>
    <cellStyle name="Normal 6 7 2 3 2 2" xfId="39377" xr:uid="{00000000-0005-0000-0000-0000D4990000}"/>
    <cellStyle name="Normal 6 7 2 3 3" xfId="39378" xr:uid="{00000000-0005-0000-0000-0000D5990000}"/>
    <cellStyle name="Normal 6 7 2 3 4" xfId="39379" xr:uid="{00000000-0005-0000-0000-0000D6990000}"/>
    <cellStyle name="Normal 6 7 2 3 5" xfId="39380" xr:uid="{00000000-0005-0000-0000-0000D7990000}"/>
    <cellStyle name="Normal 6 7 2 4" xfId="39381" xr:uid="{00000000-0005-0000-0000-0000D8990000}"/>
    <cellStyle name="Normal 6 7 2 4 2" xfId="39382" xr:uid="{00000000-0005-0000-0000-0000D9990000}"/>
    <cellStyle name="Normal 6 7 2 4 3" xfId="39383" xr:uid="{00000000-0005-0000-0000-0000DA990000}"/>
    <cellStyle name="Normal 6 7 2 4 4" xfId="39384" xr:uid="{00000000-0005-0000-0000-0000DB990000}"/>
    <cellStyle name="Normal 6 7 2 5" xfId="39385" xr:uid="{00000000-0005-0000-0000-0000DC990000}"/>
    <cellStyle name="Normal 6 7 2 5 2" xfId="39386" xr:uid="{00000000-0005-0000-0000-0000DD990000}"/>
    <cellStyle name="Normal 6 7 2 6" xfId="39387" xr:uid="{00000000-0005-0000-0000-0000DE990000}"/>
    <cellStyle name="Normal 6 7 2 7" xfId="39388" xr:uid="{00000000-0005-0000-0000-0000DF990000}"/>
    <cellStyle name="Normal 6 7 2 8" xfId="39389" xr:uid="{00000000-0005-0000-0000-0000E0990000}"/>
    <cellStyle name="Normal 6 7 2 9" xfId="39390" xr:uid="{00000000-0005-0000-0000-0000E1990000}"/>
    <cellStyle name="Normal 6 7 3" xfId="39391" xr:uid="{00000000-0005-0000-0000-0000E2990000}"/>
    <cellStyle name="Normal 6 7 3 2" xfId="39392" xr:uid="{00000000-0005-0000-0000-0000E3990000}"/>
    <cellStyle name="Normal 6 7 3 2 2" xfId="39393" xr:uid="{00000000-0005-0000-0000-0000E4990000}"/>
    <cellStyle name="Normal 6 7 3 2 2 2" xfId="39394" xr:uid="{00000000-0005-0000-0000-0000E5990000}"/>
    <cellStyle name="Normal 6 7 3 2 2 3" xfId="39395" xr:uid="{00000000-0005-0000-0000-0000E6990000}"/>
    <cellStyle name="Normal 6 7 3 2 3" xfId="39396" xr:uid="{00000000-0005-0000-0000-0000E7990000}"/>
    <cellStyle name="Normal 6 7 3 2 4" xfId="39397" xr:uid="{00000000-0005-0000-0000-0000E8990000}"/>
    <cellStyle name="Normal 6 7 3 2 5" xfId="39398" xr:uid="{00000000-0005-0000-0000-0000E9990000}"/>
    <cellStyle name="Normal 6 7 3 2 6" xfId="39399" xr:uid="{00000000-0005-0000-0000-0000EA990000}"/>
    <cellStyle name="Normal 6 7 3 3" xfId="39400" xr:uid="{00000000-0005-0000-0000-0000EB990000}"/>
    <cellStyle name="Normal 6 7 3 3 2" xfId="39401" xr:uid="{00000000-0005-0000-0000-0000EC990000}"/>
    <cellStyle name="Normal 6 7 3 3 2 2" xfId="39402" xr:uid="{00000000-0005-0000-0000-0000ED990000}"/>
    <cellStyle name="Normal 6 7 3 3 3" xfId="39403" xr:uid="{00000000-0005-0000-0000-0000EE990000}"/>
    <cellStyle name="Normal 6 7 3 3 4" xfId="39404" xr:uid="{00000000-0005-0000-0000-0000EF990000}"/>
    <cellStyle name="Normal 6 7 3 3 5" xfId="39405" xr:uid="{00000000-0005-0000-0000-0000F0990000}"/>
    <cellStyle name="Normal 6 7 3 4" xfId="39406" xr:uid="{00000000-0005-0000-0000-0000F1990000}"/>
    <cellStyle name="Normal 6 7 3 4 2" xfId="39407" xr:uid="{00000000-0005-0000-0000-0000F2990000}"/>
    <cellStyle name="Normal 6 7 3 4 3" xfId="39408" xr:uid="{00000000-0005-0000-0000-0000F3990000}"/>
    <cellStyle name="Normal 6 7 3 4 4" xfId="39409" xr:uid="{00000000-0005-0000-0000-0000F4990000}"/>
    <cellStyle name="Normal 6 7 3 5" xfId="39410" xr:uid="{00000000-0005-0000-0000-0000F5990000}"/>
    <cellStyle name="Normal 6 7 3 5 2" xfId="39411" xr:uid="{00000000-0005-0000-0000-0000F6990000}"/>
    <cellStyle name="Normal 6 7 3 6" xfId="39412" xr:uid="{00000000-0005-0000-0000-0000F7990000}"/>
    <cellStyle name="Normal 6 7 3 7" xfId="39413" xr:uid="{00000000-0005-0000-0000-0000F8990000}"/>
    <cellStyle name="Normal 6 7 3 8" xfId="39414" xr:uid="{00000000-0005-0000-0000-0000F9990000}"/>
    <cellStyle name="Normal 6 7 3 9" xfId="39415" xr:uid="{00000000-0005-0000-0000-0000FA990000}"/>
    <cellStyle name="Normal 6 7 4" xfId="39416" xr:uid="{00000000-0005-0000-0000-0000FB990000}"/>
    <cellStyle name="Normal 6 7 4 2" xfId="39417" xr:uid="{00000000-0005-0000-0000-0000FC990000}"/>
    <cellStyle name="Normal 6 7 4 2 2" xfId="39418" xr:uid="{00000000-0005-0000-0000-0000FD990000}"/>
    <cellStyle name="Normal 6 7 4 2 3" xfId="39419" xr:uid="{00000000-0005-0000-0000-0000FE990000}"/>
    <cellStyle name="Normal 6 7 4 3" xfId="39420" xr:uid="{00000000-0005-0000-0000-0000FF990000}"/>
    <cellStyle name="Normal 6 7 4 4" xfId="39421" xr:uid="{00000000-0005-0000-0000-0000009A0000}"/>
    <cellStyle name="Normal 6 7 4 5" xfId="39422" xr:uid="{00000000-0005-0000-0000-0000019A0000}"/>
    <cellStyle name="Normal 6 7 4 6" xfId="39423" xr:uid="{00000000-0005-0000-0000-0000029A0000}"/>
    <cellStyle name="Normal 6 7 5" xfId="39424" xr:uid="{00000000-0005-0000-0000-0000039A0000}"/>
    <cellStyle name="Normal 6 7 5 2" xfId="39425" xr:uid="{00000000-0005-0000-0000-0000049A0000}"/>
    <cellStyle name="Normal 6 7 5 2 2" xfId="39426" xr:uid="{00000000-0005-0000-0000-0000059A0000}"/>
    <cellStyle name="Normal 6 7 5 3" xfId="39427" xr:uid="{00000000-0005-0000-0000-0000069A0000}"/>
    <cellStyle name="Normal 6 7 5 4" xfId="39428" xr:uid="{00000000-0005-0000-0000-0000079A0000}"/>
    <cellStyle name="Normal 6 7 5 5" xfId="39429" xr:uid="{00000000-0005-0000-0000-0000089A0000}"/>
    <cellStyle name="Normal 6 7 6" xfId="39430" xr:uid="{00000000-0005-0000-0000-0000099A0000}"/>
    <cellStyle name="Normal 6 7 6 2" xfId="39431" xr:uid="{00000000-0005-0000-0000-00000A9A0000}"/>
    <cellStyle name="Normal 6 7 6 3" xfId="39432" xr:uid="{00000000-0005-0000-0000-00000B9A0000}"/>
    <cellStyle name="Normal 6 7 6 4" xfId="39433" xr:uid="{00000000-0005-0000-0000-00000C9A0000}"/>
    <cellStyle name="Normal 6 7 7" xfId="39434" xr:uid="{00000000-0005-0000-0000-00000D9A0000}"/>
    <cellStyle name="Normal 6 7 7 2" xfId="39435" xr:uid="{00000000-0005-0000-0000-00000E9A0000}"/>
    <cellStyle name="Normal 6 7 8" xfId="39436" xr:uid="{00000000-0005-0000-0000-00000F9A0000}"/>
    <cellStyle name="Normal 6 7 9" xfId="39437" xr:uid="{00000000-0005-0000-0000-0000109A0000}"/>
    <cellStyle name="Normal 6 8" xfId="39438" xr:uid="{00000000-0005-0000-0000-0000119A0000}"/>
    <cellStyle name="Normal 6 8 10" xfId="39439" xr:uid="{00000000-0005-0000-0000-0000129A0000}"/>
    <cellStyle name="Normal 6 8 11" xfId="39440" xr:uid="{00000000-0005-0000-0000-0000139A0000}"/>
    <cellStyle name="Normal 6 8 2" xfId="39441" xr:uid="{00000000-0005-0000-0000-0000149A0000}"/>
    <cellStyle name="Normal 6 8 2 2" xfId="39442" xr:uid="{00000000-0005-0000-0000-0000159A0000}"/>
    <cellStyle name="Normal 6 8 2 2 2" xfId="39443" xr:uid="{00000000-0005-0000-0000-0000169A0000}"/>
    <cellStyle name="Normal 6 8 2 2 2 2" xfId="39444" xr:uid="{00000000-0005-0000-0000-0000179A0000}"/>
    <cellStyle name="Normal 6 8 2 2 2 3" xfId="39445" xr:uid="{00000000-0005-0000-0000-0000189A0000}"/>
    <cellStyle name="Normal 6 8 2 2 3" xfId="39446" xr:uid="{00000000-0005-0000-0000-0000199A0000}"/>
    <cellStyle name="Normal 6 8 2 2 4" xfId="39447" xr:uid="{00000000-0005-0000-0000-00001A9A0000}"/>
    <cellStyle name="Normal 6 8 2 2 5" xfId="39448" xr:uid="{00000000-0005-0000-0000-00001B9A0000}"/>
    <cellStyle name="Normal 6 8 2 2 6" xfId="39449" xr:uid="{00000000-0005-0000-0000-00001C9A0000}"/>
    <cellStyle name="Normal 6 8 2 3" xfId="39450" xr:uid="{00000000-0005-0000-0000-00001D9A0000}"/>
    <cellStyle name="Normal 6 8 2 3 2" xfId="39451" xr:uid="{00000000-0005-0000-0000-00001E9A0000}"/>
    <cellStyle name="Normal 6 8 2 3 2 2" xfId="39452" xr:uid="{00000000-0005-0000-0000-00001F9A0000}"/>
    <cellStyle name="Normal 6 8 2 3 3" xfId="39453" xr:uid="{00000000-0005-0000-0000-0000209A0000}"/>
    <cellStyle name="Normal 6 8 2 3 4" xfId="39454" xr:uid="{00000000-0005-0000-0000-0000219A0000}"/>
    <cellStyle name="Normal 6 8 2 3 5" xfId="39455" xr:uid="{00000000-0005-0000-0000-0000229A0000}"/>
    <cellStyle name="Normal 6 8 2 4" xfId="39456" xr:uid="{00000000-0005-0000-0000-0000239A0000}"/>
    <cellStyle name="Normal 6 8 2 4 2" xfId="39457" xr:uid="{00000000-0005-0000-0000-0000249A0000}"/>
    <cellStyle name="Normal 6 8 2 4 3" xfId="39458" xr:uid="{00000000-0005-0000-0000-0000259A0000}"/>
    <cellStyle name="Normal 6 8 2 4 4" xfId="39459" xr:uid="{00000000-0005-0000-0000-0000269A0000}"/>
    <cellStyle name="Normal 6 8 2 5" xfId="39460" xr:uid="{00000000-0005-0000-0000-0000279A0000}"/>
    <cellStyle name="Normal 6 8 2 5 2" xfId="39461" xr:uid="{00000000-0005-0000-0000-0000289A0000}"/>
    <cellStyle name="Normal 6 8 2 6" xfId="39462" xr:uid="{00000000-0005-0000-0000-0000299A0000}"/>
    <cellStyle name="Normal 6 8 2 7" xfId="39463" xr:uid="{00000000-0005-0000-0000-00002A9A0000}"/>
    <cellStyle name="Normal 6 8 2 8" xfId="39464" xr:uid="{00000000-0005-0000-0000-00002B9A0000}"/>
    <cellStyle name="Normal 6 8 2 9" xfId="39465" xr:uid="{00000000-0005-0000-0000-00002C9A0000}"/>
    <cellStyle name="Normal 6 8 3" xfId="39466" xr:uid="{00000000-0005-0000-0000-00002D9A0000}"/>
    <cellStyle name="Normal 6 8 3 2" xfId="39467" xr:uid="{00000000-0005-0000-0000-00002E9A0000}"/>
    <cellStyle name="Normal 6 8 3 2 2" xfId="39468" xr:uid="{00000000-0005-0000-0000-00002F9A0000}"/>
    <cellStyle name="Normal 6 8 3 2 2 2" xfId="39469" xr:uid="{00000000-0005-0000-0000-0000309A0000}"/>
    <cellStyle name="Normal 6 8 3 2 2 3" xfId="39470" xr:uid="{00000000-0005-0000-0000-0000319A0000}"/>
    <cellStyle name="Normal 6 8 3 2 3" xfId="39471" xr:uid="{00000000-0005-0000-0000-0000329A0000}"/>
    <cellStyle name="Normal 6 8 3 2 4" xfId="39472" xr:uid="{00000000-0005-0000-0000-0000339A0000}"/>
    <cellStyle name="Normal 6 8 3 2 5" xfId="39473" xr:uid="{00000000-0005-0000-0000-0000349A0000}"/>
    <cellStyle name="Normal 6 8 3 2 6" xfId="39474" xr:uid="{00000000-0005-0000-0000-0000359A0000}"/>
    <cellStyle name="Normal 6 8 3 3" xfId="39475" xr:uid="{00000000-0005-0000-0000-0000369A0000}"/>
    <cellStyle name="Normal 6 8 3 3 2" xfId="39476" xr:uid="{00000000-0005-0000-0000-0000379A0000}"/>
    <cellStyle name="Normal 6 8 3 3 2 2" xfId="39477" xr:uid="{00000000-0005-0000-0000-0000389A0000}"/>
    <cellStyle name="Normal 6 8 3 3 3" xfId="39478" xr:uid="{00000000-0005-0000-0000-0000399A0000}"/>
    <cellStyle name="Normal 6 8 3 3 4" xfId="39479" xr:uid="{00000000-0005-0000-0000-00003A9A0000}"/>
    <cellStyle name="Normal 6 8 3 3 5" xfId="39480" xr:uid="{00000000-0005-0000-0000-00003B9A0000}"/>
    <cellStyle name="Normal 6 8 3 4" xfId="39481" xr:uid="{00000000-0005-0000-0000-00003C9A0000}"/>
    <cellStyle name="Normal 6 8 3 4 2" xfId="39482" xr:uid="{00000000-0005-0000-0000-00003D9A0000}"/>
    <cellStyle name="Normal 6 8 3 4 3" xfId="39483" xr:uid="{00000000-0005-0000-0000-00003E9A0000}"/>
    <cellStyle name="Normal 6 8 3 4 4" xfId="39484" xr:uid="{00000000-0005-0000-0000-00003F9A0000}"/>
    <cellStyle name="Normal 6 8 3 5" xfId="39485" xr:uid="{00000000-0005-0000-0000-0000409A0000}"/>
    <cellStyle name="Normal 6 8 3 5 2" xfId="39486" xr:uid="{00000000-0005-0000-0000-0000419A0000}"/>
    <cellStyle name="Normal 6 8 3 6" xfId="39487" xr:uid="{00000000-0005-0000-0000-0000429A0000}"/>
    <cellStyle name="Normal 6 8 3 7" xfId="39488" xr:uid="{00000000-0005-0000-0000-0000439A0000}"/>
    <cellStyle name="Normal 6 8 3 8" xfId="39489" xr:uid="{00000000-0005-0000-0000-0000449A0000}"/>
    <cellStyle name="Normal 6 8 3 9" xfId="39490" xr:uid="{00000000-0005-0000-0000-0000459A0000}"/>
    <cellStyle name="Normal 6 8 4" xfId="39491" xr:uid="{00000000-0005-0000-0000-0000469A0000}"/>
    <cellStyle name="Normal 6 8 4 2" xfId="39492" xr:uid="{00000000-0005-0000-0000-0000479A0000}"/>
    <cellStyle name="Normal 6 8 4 2 2" xfId="39493" xr:uid="{00000000-0005-0000-0000-0000489A0000}"/>
    <cellStyle name="Normal 6 8 4 2 3" xfId="39494" xr:uid="{00000000-0005-0000-0000-0000499A0000}"/>
    <cellStyle name="Normal 6 8 4 3" xfId="39495" xr:uid="{00000000-0005-0000-0000-00004A9A0000}"/>
    <cellStyle name="Normal 6 8 4 4" xfId="39496" xr:uid="{00000000-0005-0000-0000-00004B9A0000}"/>
    <cellStyle name="Normal 6 8 4 5" xfId="39497" xr:uid="{00000000-0005-0000-0000-00004C9A0000}"/>
    <cellStyle name="Normal 6 8 4 6" xfId="39498" xr:uid="{00000000-0005-0000-0000-00004D9A0000}"/>
    <cellStyle name="Normal 6 8 5" xfId="39499" xr:uid="{00000000-0005-0000-0000-00004E9A0000}"/>
    <cellStyle name="Normal 6 8 5 2" xfId="39500" xr:uid="{00000000-0005-0000-0000-00004F9A0000}"/>
    <cellStyle name="Normal 6 8 5 2 2" xfId="39501" xr:uid="{00000000-0005-0000-0000-0000509A0000}"/>
    <cellStyle name="Normal 6 8 5 3" xfId="39502" xr:uid="{00000000-0005-0000-0000-0000519A0000}"/>
    <cellStyle name="Normal 6 8 5 4" xfId="39503" xr:uid="{00000000-0005-0000-0000-0000529A0000}"/>
    <cellStyle name="Normal 6 8 5 5" xfId="39504" xr:uid="{00000000-0005-0000-0000-0000539A0000}"/>
    <cellStyle name="Normal 6 8 6" xfId="39505" xr:uid="{00000000-0005-0000-0000-0000549A0000}"/>
    <cellStyle name="Normal 6 8 6 2" xfId="39506" xr:uid="{00000000-0005-0000-0000-0000559A0000}"/>
    <cellStyle name="Normal 6 8 6 3" xfId="39507" xr:uid="{00000000-0005-0000-0000-0000569A0000}"/>
    <cellStyle name="Normal 6 8 6 4" xfId="39508" xr:uid="{00000000-0005-0000-0000-0000579A0000}"/>
    <cellStyle name="Normal 6 8 7" xfId="39509" xr:uid="{00000000-0005-0000-0000-0000589A0000}"/>
    <cellStyle name="Normal 6 8 7 2" xfId="39510" xr:uid="{00000000-0005-0000-0000-0000599A0000}"/>
    <cellStyle name="Normal 6 8 8" xfId="39511" xr:uid="{00000000-0005-0000-0000-00005A9A0000}"/>
    <cellStyle name="Normal 6 8 9" xfId="39512" xr:uid="{00000000-0005-0000-0000-00005B9A0000}"/>
    <cellStyle name="Normal 6 9" xfId="39513" xr:uid="{00000000-0005-0000-0000-00005C9A0000}"/>
    <cellStyle name="Normal 6 9 10" xfId="39514" xr:uid="{00000000-0005-0000-0000-00005D9A0000}"/>
    <cellStyle name="Normal 6 9 2" xfId="39515" xr:uid="{00000000-0005-0000-0000-00005E9A0000}"/>
    <cellStyle name="Normal 6 9 2 2" xfId="39516" xr:uid="{00000000-0005-0000-0000-00005F9A0000}"/>
    <cellStyle name="Normal 6 9 2 2 2" xfId="39517" xr:uid="{00000000-0005-0000-0000-0000609A0000}"/>
    <cellStyle name="Normal 6 9 2 2 3" xfId="39518" xr:uid="{00000000-0005-0000-0000-0000619A0000}"/>
    <cellStyle name="Normal 6 9 2 3" xfId="39519" xr:uid="{00000000-0005-0000-0000-0000629A0000}"/>
    <cellStyle name="Normal 6 9 2 4" xfId="39520" xr:uid="{00000000-0005-0000-0000-0000639A0000}"/>
    <cellStyle name="Normal 6 9 2 5" xfId="39521" xr:uid="{00000000-0005-0000-0000-0000649A0000}"/>
    <cellStyle name="Normal 6 9 2 6" xfId="39522" xr:uid="{00000000-0005-0000-0000-0000659A0000}"/>
    <cellStyle name="Normal 6 9 3" xfId="39523" xr:uid="{00000000-0005-0000-0000-0000669A0000}"/>
    <cellStyle name="Normal 6 9 3 2" xfId="39524" xr:uid="{00000000-0005-0000-0000-0000679A0000}"/>
    <cellStyle name="Normal 6 9 3 2 2" xfId="39525" xr:uid="{00000000-0005-0000-0000-0000689A0000}"/>
    <cellStyle name="Normal 6 9 3 2 3" xfId="39526" xr:uid="{00000000-0005-0000-0000-0000699A0000}"/>
    <cellStyle name="Normal 6 9 3 3" xfId="39527" xr:uid="{00000000-0005-0000-0000-00006A9A0000}"/>
    <cellStyle name="Normal 6 9 3 4" xfId="39528" xr:uid="{00000000-0005-0000-0000-00006B9A0000}"/>
    <cellStyle name="Normal 6 9 3 5" xfId="39529" xr:uid="{00000000-0005-0000-0000-00006C9A0000}"/>
    <cellStyle name="Normal 6 9 3 6" xfId="39530" xr:uid="{00000000-0005-0000-0000-00006D9A0000}"/>
    <cellStyle name="Normal 6 9 4" xfId="39531" xr:uid="{00000000-0005-0000-0000-00006E9A0000}"/>
    <cellStyle name="Normal 6 9 4 2" xfId="39532" xr:uid="{00000000-0005-0000-0000-00006F9A0000}"/>
    <cellStyle name="Normal 6 9 4 2 2" xfId="39533" xr:uid="{00000000-0005-0000-0000-0000709A0000}"/>
    <cellStyle name="Normal 6 9 4 3" xfId="39534" xr:uid="{00000000-0005-0000-0000-0000719A0000}"/>
    <cellStyle name="Normal 6 9 4 4" xfId="39535" xr:uid="{00000000-0005-0000-0000-0000729A0000}"/>
    <cellStyle name="Normal 6 9 4 5" xfId="39536" xr:uid="{00000000-0005-0000-0000-0000739A0000}"/>
    <cellStyle name="Normal 6 9 5" xfId="39537" xr:uid="{00000000-0005-0000-0000-0000749A0000}"/>
    <cellStyle name="Normal 6 9 5 2" xfId="39538" xr:uid="{00000000-0005-0000-0000-0000759A0000}"/>
    <cellStyle name="Normal 6 9 5 3" xfId="39539" xr:uid="{00000000-0005-0000-0000-0000769A0000}"/>
    <cellStyle name="Normal 6 9 5 4" xfId="39540" xr:uid="{00000000-0005-0000-0000-0000779A0000}"/>
    <cellStyle name="Normal 6 9 6" xfId="39541" xr:uid="{00000000-0005-0000-0000-0000789A0000}"/>
    <cellStyle name="Normal 6 9 6 2" xfId="39542" xr:uid="{00000000-0005-0000-0000-0000799A0000}"/>
    <cellStyle name="Normal 6 9 7" xfId="39543" xr:uid="{00000000-0005-0000-0000-00007A9A0000}"/>
    <cellStyle name="Normal 6 9 8" xfId="39544" xr:uid="{00000000-0005-0000-0000-00007B9A0000}"/>
    <cellStyle name="Normal 6 9 9" xfId="39545" xr:uid="{00000000-0005-0000-0000-00007C9A0000}"/>
    <cellStyle name="Normal 60" xfId="39546" xr:uid="{00000000-0005-0000-0000-00007D9A0000}"/>
    <cellStyle name="Normal 61" xfId="39547" xr:uid="{00000000-0005-0000-0000-00007E9A0000}"/>
    <cellStyle name="Normal 62" xfId="39548" xr:uid="{00000000-0005-0000-0000-00007F9A0000}"/>
    <cellStyle name="Normal 63" xfId="39549" xr:uid="{00000000-0005-0000-0000-0000809A0000}"/>
    <cellStyle name="Normal 64" xfId="39550" xr:uid="{00000000-0005-0000-0000-0000819A0000}"/>
    <cellStyle name="Normal 65" xfId="39551" xr:uid="{00000000-0005-0000-0000-0000829A0000}"/>
    <cellStyle name="Normal 66" xfId="39552" xr:uid="{00000000-0005-0000-0000-0000839A0000}"/>
    <cellStyle name="Normal 67" xfId="39553" xr:uid="{00000000-0005-0000-0000-0000849A0000}"/>
    <cellStyle name="Normal 68" xfId="39554" xr:uid="{00000000-0005-0000-0000-0000859A0000}"/>
    <cellStyle name="Normal 69" xfId="39555" xr:uid="{00000000-0005-0000-0000-0000869A0000}"/>
    <cellStyle name="Normal 7" xfId="39556" xr:uid="{00000000-0005-0000-0000-0000879A0000}"/>
    <cellStyle name="Normal 7 2" xfId="39557" xr:uid="{00000000-0005-0000-0000-0000889A0000}"/>
    <cellStyle name="Normal 7 2 2" xfId="39558" xr:uid="{00000000-0005-0000-0000-0000899A0000}"/>
    <cellStyle name="Normal 7 3" xfId="39559" xr:uid="{00000000-0005-0000-0000-00008A9A0000}"/>
    <cellStyle name="Normal 7 3 2" xfId="39560" xr:uid="{00000000-0005-0000-0000-00008B9A0000}"/>
    <cellStyle name="Normal 7 4" xfId="39561" xr:uid="{00000000-0005-0000-0000-00008C9A0000}"/>
    <cellStyle name="Normal 70" xfId="39562" xr:uid="{00000000-0005-0000-0000-00008D9A0000}"/>
    <cellStyle name="Normal 71" xfId="39563" xr:uid="{00000000-0005-0000-0000-00008E9A0000}"/>
    <cellStyle name="Normal 72" xfId="42323" xr:uid="{00000000-0005-0000-0000-00008F9A0000}"/>
    <cellStyle name="Normal 73" xfId="42324" xr:uid="{00000000-0005-0000-0000-0000909A0000}"/>
    <cellStyle name="Normal 8" xfId="39564" xr:uid="{00000000-0005-0000-0000-0000919A0000}"/>
    <cellStyle name="Normal 8 2" xfId="39565" xr:uid="{00000000-0005-0000-0000-0000929A0000}"/>
    <cellStyle name="Normal 8 2 2" xfId="39566" xr:uid="{00000000-0005-0000-0000-0000939A0000}"/>
    <cellStyle name="Normal 8 2 3" xfId="39567" xr:uid="{00000000-0005-0000-0000-0000949A0000}"/>
    <cellStyle name="Normal 8 3" xfId="39568" xr:uid="{00000000-0005-0000-0000-0000959A0000}"/>
    <cellStyle name="Normal 8 3 2" xfId="39569" xr:uid="{00000000-0005-0000-0000-0000969A0000}"/>
    <cellStyle name="Normal 8 4" xfId="39570" xr:uid="{00000000-0005-0000-0000-0000979A0000}"/>
    <cellStyle name="Normal 8 5" xfId="39571" xr:uid="{00000000-0005-0000-0000-0000989A0000}"/>
    <cellStyle name="Normal 8 6" xfId="39572" xr:uid="{00000000-0005-0000-0000-0000999A0000}"/>
    <cellStyle name="Normal 9" xfId="39573" xr:uid="{00000000-0005-0000-0000-00009A9A0000}"/>
    <cellStyle name="Normal 9 10" xfId="39574" xr:uid="{00000000-0005-0000-0000-00009B9A0000}"/>
    <cellStyle name="Normal 9 11" xfId="39575" xr:uid="{00000000-0005-0000-0000-00009C9A0000}"/>
    <cellStyle name="Normal 9 12" xfId="39576" xr:uid="{00000000-0005-0000-0000-00009D9A0000}"/>
    <cellStyle name="Normal 9 13" xfId="39577" xr:uid="{00000000-0005-0000-0000-00009E9A0000}"/>
    <cellStyle name="Normal 9 14" xfId="39578" xr:uid="{00000000-0005-0000-0000-00009F9A0000}"/>
    <cellStyle name="Normal 9 15" xfId="39579" xr:uid="{00000000-0005-0000-0000-0000A09A0000}"/>
    <cellStyle name="Normal 9 16" xfId="39580" xr:uid="{00000000-0005-0000-0000-0000A19A0000}"/>
    <cellStyle name="Normal 9 17" xfId="39581" xr:uid="{00000000-0005-0000-0000-0000A29A0000}"/>
    <cellStyle name="Normal 9 18" xfId="39582" xr:uid="{00000000-0005-0000-0000-0000A39A0000}"/>
    <cellStyle name="Normal 9 19" xfId="39583" xr:uid="{00000000-0005-0000-0000-0000A49A0000}"/>
    <cellStyle name="Normal 9 2" xfId="39584" xr:uid="{00000000-0005-0000-0000-0000A59A0000}"/>
    <cellStyle name="Normal 9 20" xfId="39585" xr:uid="{00000000-0005-0000-0000-0000A69A0000}"/>
    <cellStyle name="Normal 9 21" xfId="39586" xr:uid="{00000000-0005-0000-0000-0000A79A0000}"/>
    <cellStyle name="Normal 9 22" xfId="39587" xr:uid="{00000000-0005-0000-0000-0000A89A0000}"/>
    <cellStyle name="Normal 9 23" xfId="39588" xr:uid="{00000000-0005-0000-0000-0000A99A0000}"/>
    <cellStyle name="Normal 9 24" xfId="39589" xr:uid="{00000000-0005-0000-0000-0000AA9A0000}"/>
    <cellStyle name="Normal 9 25" xfId="39590" xr:uid="{00000000-0005-0000-0000-0000AB9A0000}"/>
    <cellStyle name="Normal 9 26" xfId="39591" xr:uid="{00000000-0005-0000-0000-0000AC9A0000}"/>
    <cellStyle name="Normal 9 27" xfId="39592" xr:uid="{00000000-0005-0000-0000-0000AD9A0000}"/>
    <cellStyle name="Normal 9 28" xfId="39593" xr:uid="{00000000-0005-0000-0000-0000AE9A0000}"/>
    <cellStyle name="Normal 9 29" xfId="39594" xr:uid="{00000000-0005-0000-0000-0000AF9A0000}"/>
    <cellStyle name="Normal 9 3" xfId="39595" xr:uid="{00000000-0005-0000-0000-0000B09A0000}"/>
    <cellStyle name="Normal 9 3 2" xfId="39596" xr:uid="{00000000-0005-0000-0000-0000B19A0000}"/>
    <cellStyle name="Normal 9 30" xfId="39597" xr:uid="{00000000-0005-0000-0000-0000B29A0000}"/>
    <cellStyle name="Normal 9 31" xfId="39598" xr:uid="{00000000-0005-0000-0000-0000B39A0000}"/>
    <cellStyle name="Normal 9 32" xfId="39599" xr:uid="{00000000-0005-0000-0000-0000B49A0000}"/>
    <cellStyle name="Normal 9 33" xfId="39600" xr:uid="{00000000-0005-0000-0000-0000B59A0000}"/>
    <cellStyle name="Normal 9 34" xfId="39601" xr:uid="{00000000-0005-0000-0000-0000B69A0000}"/>
    <cellStyle name="Normal 9 35" xfId="39602" xr:uid="{00000000-0005-0000-0000-0000B79A0000}"/>
    <cellStyle name="Normal 9 36" xfId="39603" xr:uid="{00000000-0005-0000-0000-0000B89A0000}"/>
    <cellStyle name="Normal 9 37" xfId="39604" xr:uid="{00000000-0005-0000-0000-0000B99A0000}"/>
    <cellStyle name="Normal 9 38" xfId="39605" xr:uid="{00000000-0005-0000-0000-0000BA9A0000}"/>
    <cellStyle name="Normal 9 39" xfId="39606" xr:uid="{00000000-0005-0000-0000-0000BB9A0000}"/>
    <cellStyle name="Normal 9 4" xfId="39607" xr:uid="{00000000-0005-0000-0000-0000BC9A0000}"/>
    <cellStyle name="Normal 9 40" xfId="39608" xr:uid="{00000000-0005-0000-0000-0000BD9A0000}"/>
    <cellStyle name="Normal 9 5" xfId="39609" xr:uid="{00000000-0005-0000-0000-0000BE9A0000}"/>
    <cellStyle name="Normal 9 6" xfId="39610" xr:uid="{00000000-0005-0000-0000-0000BF9A0000}"/>
    <cellStyle name="Normal 9 7" xfId="39611" xr:uid="{00000000-0005-0000-0000-0000C09A0000}"/>
    <cellStyle name="Normal 9 8" xfId="39612" xr:uid="{00000000-0005-0000-0000-0000C19A0000}"/>
    <cellStyle name="Normal 9 9" xfId="39613" xr:uid="{00000000-0005-0000-0000-0000C29A0000}"/>
    <cellStyle name="Normal 99" xfId="39614" xr:uid="{00000000-0005-0000-0000-0000C39A0000}"/>
    <cellStyle name="Normal_FY94COST.XLS" xfId="42319" xr:uid="{00000000-0005-0000-0000-0000C49A0000}"/>
    <cellStyle name="Note 10" xfId="39615" xr:uid="{00000000-0005-0000-0000-0000C59A0000}"/>
    <cellStyle name="Note 11" xfId="39616" xr:uid="{00000000-0005-0000-0000-0000C69A0000}"/>
    <cellStyle name="Note 11 10" xfId="39617" xr:uid="{00000000-0005-0000-0000-0000C79A0000}"/>
    <cellStyle name="Note 11 2" xfId="39618" xr:uid="{00000000-0005-0000-0000-0000C89A0000}"/>
    <cellStyle name="Note 11 2 2" xfId="39619" xr:uid="{00000000-0005-0000-0000-0000C99A0000}"/>
    <cellStyle name="Note 11 2 2 2" xfId="39620" xr:uid="{00000000-0005-0000-0000-0000CA9A0000}"/>
    <cellStyle name="Note 11 2 2 2 2" xfId="39621" xr:uid="{00000000-0005-0000-0000-0000CB9A0000}"/>
    <cellStyle name="Note 11 2 2 2 3" xfId="39622" xr:uid="{00000000-0005-0000-0000-0000CC9A0000}"/>
    <cellStyle name="Note 11 2 2 3" xfId="39623" xr:uid="{00000000-0005-0000-0000-0000CD9A0000}"/>
    <cellStyle name="Note 11 2 2 4" xfId="39624" xr:uid="{00000000-0005-0000-0000-0000CE9A0000}"/>
    <cellStyle name="Note 11 2 2 5" xfId="39625" xr:uid="{00000000-0005-0000-0000-0000CF9A0000}"/>
    <cellStyle name="Note 11 2 2 6" xfId="39626" xr:uid="{00000000-0005-0000-0000-0000D09A0000}"/>
    <cellStyle name="Note 11 2 3" xfId="39627" xr:uid="{00000000-0005-0000-0000-0000D19A0000}"/>
    <cellStyle name="Note 11 2 3 2" xfId="39628" xr:uid="{00000000-0005-0000-0000-0000D29A0000}"/>
    <cellStyle name="Note 11 2 3 2 2" xfId="39629" xr:uid="{00000000-0005-0000-0000-0000D39A0000}"/>
    <cellStyle name="Note 11 2 3 3" xfId="39630" xr:uid="{00000000-0005-0000-0000-0000D49A0000}"/>
    <cellStyle name="Note 11 2 3 4" xfId="39631" xr:uid="{00000000-0005-0000-0000-0000D59A0000}"/>
    <cellStyle name="Note 11 2 3 5" xfId="39632" xr:uid="{00000000-0005-0000-0000-0000D69A0000}"/>
    <cellStyle name="Note 11 2 4" xfId="39633" xr:uid="{00000000-0005-0000-0000-0000D79A0000}"/>
    <cellStyle name="Note 11 2 4 2" xfId="39634" xr:uid="{00000000-0005-0000-0000-0000D89A0000}"/>
    <cellStyle name="Note 11 2 4 3" xfId="39635" xr:uid="{00000000-0005-0000-0000-0000D99A0000}"/>
    <cellStyle name="Note 11 2 4 4" xfId="39636" xr:uid="{00000000-0005-0000-0000-0000DA9A0000}"/>
    <cellStyle name="Note 11 2 5" xfId="39637" xr:uid="{00000000-0005-0000-0000-0000DB9A0000}"/>
    <cellStyle name="Note 11 2 5 2" xfId="39638" xr:uid="{00000000-0005-0000-0000-0000DC9A0000}"/>
    <cellStyle name="Note 11 2 6" xfId="39639" xr:uid="{00000000-0005-0000-0000-0000DD9A0000}"/>
    <cellStyle name="Note 11 2 7" xfId="39640" xr:uid="{00000000-0005-0000-0000-0000DE9A0000}"/>
    <cellStyle name="Note 11 2 8" xfId="39641" xr:uid="{00000000-0005-0000-0000-0000DF9A0000}"/>
    <cellStyle name="Note 11 2 9" xfId="39642" xr:uid="{00000000-0005-0000-0000-0000E09A0000}"/>
    <cellStyle name="Note 11 3" xfId="39643" xr:uid="{00000000-0005-0000-0000-0000E19A0000}"/>
    <cellStyle name="Note 11 3 2" xfId="39644" xr:uid="{00000000-0005-0000-0000-0000E29A0000}"/>
    <cellStyle name="Note 11 3 2 2" xfId="39645" xr:uid="{00000000-0005-0000-0000-0000E39A0000}"/>
    <cellStyle name="Note 11 3 2 3" xfId="39646" xr:uid="{00000000-0005-0000-0000-0000E49A0000}"/>
    <cellStyle name="Note 11 3 3" xfId="39647" xr:uid="{00000000-0005-0000-0000-0000E59A0000}"/>
    <cellStyle name="Note 11 3 4" xfId="39648" xr:uid="{00000000-0005-0000-0000-0000E69A0000}"/>
    <cellStyle name="Note 11 3 5" xfId="39649" xr:uid="{00000000-0005-0000-0000-0000E79A0000}"/>
    <cellStyle name="Note 11 3 6" xfId="39650" xr:uid="{00000000-0005-0000-0000-0000E89A0000}"/>
    <cellStyle name="Note 11 4" xfId="39651" xr:uid="{00000000-0005-0000-0000-0000E99A0000}"/>
    <cellStyle name="Note 11 4 2" xfId="39652" xr:uid="{00000000-0005-0000-0000-0000EA9A0000}"/>
    <cellStyle name="Note 11 4 2 2" xfId="39653" xr:uid="{00000000-0005-0000-0000-0000EB9A0000}"/>
    <cellStyle name="Note 11 4 3" xfId="39654" xr:uid="{00000000-0005-0000-0000-0000EC9A0000}"/>
    <cellStyle name="Note 11 4 4" xfId="39655" xr:uid="{00000000-0005-0000-0000-0000ED9A0000}"/>
    <cellStyle name="Note 11 4 5" xfId="39656" xr:uid="{00000000-0005-0000-0000-0000EE9A0000}"/>
    <cellStyle name="Note 11 5" xfId="39657" xr:uid="{00000000-0005-0000-0000-0000EF9A0000}"/>
    <cellStyle name="Note 11 5 2" xfId="39658" xr:uid="{00000000-0005-0000-0000-0000F09A0000}"/>
    <cellStyle name="Note 11 5 2 2" xfId="39659" xr:uid="{00000000-0005-0000-0000-0000F19A0000}"/>
    <cellStyle name="Note 11 5 3" xfId="39660" xr:uid="{00000000-0005-0000-0000-0000F29A0000}"/>
    <cellStyle name="Note 11 5 4" xfId="39661" xr:uid="{00000000-0005-0000-0000-0000F39A0000}"/>
    <cellStyle name="Note 11 5 5" xfId="39662" xr:uid="{00000000-0005-0000-0000-0000F49A0000}"/>
    <cellStyle name="Note 11 6" xfId="39663" xr:uid="{00000000-0005-0000-0000-0000F59A0000}"/>
    <cellStyle name="Note 11 6 2" xfId="39664" xr:uid="{00000000-0005-0000-0000-0000F69A0000}"/>
    <cellStyle name="Note 11 7" xfId="39665" xr:uid="{00000000-0005-0000-0000-0000F79A0000}"/>
    <cellStyle name="Note 11 8" xfId="39666" xr:uid="{00000000-0005-0000-0000-0000F89A0000}"/>
    <cellStyle name="Note 11 9" xfId="39667" xr:uid="{00000000-0005-0000-0000-0000F99A0000}"/>
    <cellStyle name="Note 12" xfId="39668" xr:uid="{00000000-0005-0000-0000-0000FA9A0000}"/>
    <cellStyle name="Note 12 10" xfId="39669" xr:uid="{00000000-0005-0000-0000-0000FB9A0000}"/>
    <cellStyle name="Note 12 2" xfId="39670" xr:uid="{00000000-0005-0000-0000-0000FC9A0000}"/>
    <cellStyle name="Note 12 2 2" xfId="39671" xr:uid="{00000000-0005-0000-0000-0000FD9A0000}"/>
    <cellStyle name="Note 12 2 2 2" xfId="39672" xr:uid="{00000000-0005-0000-0000-0000FE9A0000}"/>
    <cellStyle name="Note 12 2 2 2 2" xfId="39673" xr:uid="{00000000-0005-0000-0000-0000FF9A0000}"/>
    <cellStyle name="Note 12 2 2 2 3" xfId="39674" xr:uid="{00000000-0005-0000-0000-0000009B0000}"/>
    <cellStyle name="Note 12 2 2 3" xfId="39675" xr:uid="{00000000-0005-0000-0000-0000019B0000}"/>
    <cellStyle name="Note 12 2 2 4" xfId="39676" xr:uid="{00000000-0005-0000-0000-0000029B0000}"/>
    <cellStyle name="Note 12 2 2 5" xfId="39677" xr:uid="{00000000-0005-0000-0000-0000039B0000}"/>
    <cellStyle name="Note 12 2 2 6" xfId="39678" xr:uid="{00000000-0005-0000-0000-0000049B0000}"/>
    <cellStyle name="Note 12 2 3" xfId="39679" xr:uid="{00000000-0005-0000-0000-0000059B0000}"/>
    <cellStyle name="Note 12 2 3 2" xfId="39680" xr:uid="{00000000-0005-0000-0000-0000069B0000}"/>
    <cellStyle name="Note 12 2 3 2 2" xfId="39681" xr:uid="{00000000-0005-0000-0000-0000079B0000}"/>
    <cellStyle name="Note 12 2 3 3" xfId="39682" xr:uid="{00000000-0005-0000-0000-0000089B0000}"/>
    <cellStyle name="Note 12 2 3 4" xfId="39683" xr:uid="{00000000-0005-0000-0000-0000099B0000}"/>
    <cellStyle name="Note 12 2 3 5" xfId="39684" xr:uid="{00000000-0005-0000-0000-00000A9B0000}"/>
    <cellStyle name="Note 12 2 4" xfId="39685" xr:uid="{00000000-0005-0000-0000-00000B9B0000}"/>
    <cellStyle name="Note 12 2 4 2" xfId="39686" xr:uid="{00000000-0005-0000-0000-00000C9B0000}"/>
    <cellStyle name="Note 12 2 4 3" xfId="39687" xr:uid="{00000000-0005-0000-0000-00000D9B0000}"/>
    <cellStyle name="Note 12 2 4 4" xfId="39688" xr:uid="{00000000-0005-0000-0000-00000E9B0000}"/>
    <cellStyle name="Note 12 2 5" xfId="39689" xr:uid="{00000000-0005-0000-0000-00000F9B0000}"/>
    <cellStyle name="Note 12 2 5 2" xfId="39690" xr:uid="{00000000-0005-0000-0000-0000109B0000}"/>
    <cellStyle name="Note 12 2 6" xfId="39691" xr:uid="{00000000-0005-0000-0000-0000119B0000}"/>
    <cellStyle name="Note 12 2 7" xfId="39692" xr:uid="{00000000-0005-0000-0000-0000129B0000}"/>
    <cellStyle name="Note 12 2 8" xfId="39693" xr:uid="{00000000-0005-0000-0000-0000139B0000}"/>
    <cellStyle name="Note 12 2 9" xfId="39694" xr:uid="{00000000-0005-0000-0000-0000149B0000}"/>
    <cellStyle name="Note 12 3" xfId="39695" xr:uid="{00000000-0005-0000-0000-0000159B0000}"/>
    <cellStyle name="Note 12 3 2" xfId="39696" xr:uid="{00000000-0005-0000-0000-0000169B0000}"/>
    <cellStyle name="Note 12 3 2 2" xfId="39697" xr:uid="{00000000-0005-0000-0000-0000179B0000}"/>
    <cellStyle name="Note 12 3 2 3" xfId="39698" xr:uid="{00000000-0005-0000-0000-0000189B0000}"/>
    <cellStyle name="Note 12 3 3" xfId="39699" xr:uid="{00000000-0005-0000-0000-0000199B0000}"/>
    <cellStyle name="Note 12 3 4" xfId="39700" xr:uid="{00000000-0005-0000-0000-00001A9B0000}"/>
    <cellStyle name="Note 12 3 5" xfId="39701" xr:uid="{00000000-0005-0000-0000-00001B9B0000}"/>
    <cellStyle name="Note 12 3 6" xfId="39702" xr:uid="{00000000-0005-0000-0000-00001C9B0000}"/>
    <cellStyle name="Note 12 4" xfId="39703" xr:uid="{00000000-0005-0000-0000-00001D9B0000}"/>
    <cellStyle name="Note 12 4 2" xfId="39704" xr:uid="{00000000-0005-0000-0000-00001E9B0000}"/>
    <cellStyle name="Note 12 4 2 2" xfId="39705" xr:uid="{00000000-0005-0000-0000-00001F9B0000}"/>
    <cellStyle name="Note 12 4 3" xfId="39706" xr:uid="{00000000-0005-0000-0000-0000209B0000}"/>
    <cellStyle name="Note 12 4 4" xfId="39707" xr:uid="{00000000-0005-0000-0000-0000219B0000}"/>
    <cellStyle name="Note 12 4 5" xfId="39708" xr:uid="{00000000-0005-0000-0000-0000229B0000}"/>
    <cellStyle name="Note 12 5" xfId="39709" xr:uid="{00000000-0005-0000-0000-0000239B0000}"/>
    <cellStyle name="Note 12 5 2" xfId="39710" xr:uid="{00000000-0005-0000-0000-0000249B0000}"/>
    <cellStyle name="Note 12 5 2 2" xfId="39711" xr:uid="{00000000-0005-0000-0000-0000259B0000}"/>
    <cellStyle name="Note 12 5 3" xfId="39712" xr:uid="{00000000-0005-0000-0000-0000269B0000}"/>
    <cellStyle name="Note 12 5 4" xfId="39713" xr:uid="{00000000-0005-0000-0000-0000279B0000}"/>
    <cellStyle name="Note 12 5 5" xfId="39714" xr:uid="{00000000-0005-0000-0000-0000289B0000}"/>
    <cellStyle name="Note 12 6" xfId="39715" xr:uid="{00000000-0005-0000-0000-0000299B0000}"/>
    <cellStyle name="Note 12 6 2" xfId="39716" xr:uid="{00000000-0005-0000-0000-00002A9B0000}"/>
    <cellStyle name="Note 12 7" xfId="39717" xr:uid="{00000000-0005-0000-0000-00002B9B0000}"/>
    <cellStyle name="Note 12 8" xfId="39718" xr:uid="{00000000-0005-0000-0000-00002C9B0000}"/>
    <cellStyle name="Note 12 9" xfId="39719" xr:uid="{00000000-0005-0000-0000-00002D9B0000}"/>
    <cellStyle name="Note 13" xfId="39720" xr:uid="{00000000-0005-0000-0000-00002E9B0000}"/>
    <cellStyle name="Note 13 10" xfId="39721" xr:uid="{00000000-0005-0000-0000-00002F9B0000}"/>
    <cellStyle name="Note 13 2" xfId="39722" xr:uid="{00000000-0005-0000-0000-0000309B0000}"/>
    <cellStyle name="Note 13 2 2" xfId="39723" xr:uid="{00000000-0005-0000-0000-0000319B0000}"/>
    <cellStyle name="Note 13 2 2 2" xfId="39724" xr:uid="{00000000-0005-0000-0000-0000329B0000}"/>
    <cellStyle name="Note 13 2 2 2 2" xfId="39725" xr:uid="{00000000-0005-0000-0000-0000339B0000}"/>
    <cellStyle name="Note 13 2 2 2 3" xfId="39726" xr:uid="{00000000-0005-0000-0000-0000349B0000}"/>
    <cellStyle name="Note 13 2 2 3" xfId="39727" xr:uid="{00000000-0005-0000-0000-0000359B0000}"/>
    <cellStyle name="Note 13 2 2 4" xfId="39728" xr:uid="{00000000-0005-0000-0000-0000369B0000}"/>
    <cellStyle name="Note 13 2 2 5" xfId="39729" xr:uid="{00000000-0005-0000-0000-0000379B0000}"/>
    <cellStyle name="Note 13 2 2 6" xfId="39730" xr:uid="{00000000-0005-0000-0000-0000389B0000}"/>
    <cellStyle name="Note 13 2 3" xfId="39731" xr:uid="{00000000-0005-0000-0000-0000399B0000}"/>
    <cellStyle name="Note 13 2 3 2" xfId="39732" xr:uid="{00000000-0005-0000-0000-00003A9B0000}"/>
    <cellStyle name="Note 13 2 3 2 2" xfId="39733" xr:uid="{00000000-0005-0000-0000-00003B9B0000}"/>
    <cellStyle name="Note 13 2 3 3" xfId="39734" xr:uid="{00000000-0005-0000-0000-00003C9B0000}"/>
    <cellStyle name="Note 13 2 3 4" xfId="39735" xr:uid="{00000000-0005-0000-0000-00003D9B0000}"/>
    <cellStyle name="Note 13 2 3 5" xfId="39736" xr:uid="{00000000-0005-0000-0000-00003E9B0000}"/>
    <cellStyle name="Note 13 2 4" xfId="39737" xr:uid="{00000000-0005-0000-0000-00003F9B0000}"/>
    <cellStyle name="Note 13 2 4 2" xfId="39738" xr:uid="{00000000-0005-0000-0000-0000409B0000}"/>
    <cellStyle name="Note 13 2 4 3" xfId="39739" xr:uid="{00000000-0005-0000-0000-0000419B0000}"/>
    <cellStyle name="Note 13 2 4 4" xfId="39740" xr:uid="{00000000-0005-0000-0000-0000429B0000}"/>
    <cellStyle name="Note 13 2 5" xfId="39741" xr:uid="{00000000-0005-0000-0000-0000439B0000}"/>
    <cellStyle name="Note 13 2 5 2" xfId="39742" xr:uid="{00000000-0005-0000-0000-0000449B0000}"/>
    <cellStyle name="Note 13 2 6" xfId="39743" xr:uid="{00000000-0005-0000-0000-0000459B0000}"/>
    <cellStyle name="Note 13 2 7" xfId="39744" xr:uid="{00000000-0005-0000-0000-0000469B0000}"/>
    <cellStyle name="Note 13 2 8" xfId="39745" xr:uid="{00000000-0005-0000-0000-0000479B0000}"/>
    <cellStyle name="Note 13 2 9" xfId="39746" xr:uid="{00000000-0005-0000-0000-0000489B0000}"/>
    <cellStyle name="Note 13 3" xfId="39747" xr:uid="{00000000-0005-0000-0000-0000499B0000}"/>
    <cellStyle name="Note 13 3 2" xfId="39748" xr:uid="{00000000-0005-0000-0000-00004A9B0000}"/>
    <cellStyle name="Note 13 3 2 2" xfId="39749" xr:uid="{00000000-0005-0000-0000-00004B9B0000}"/>
    <cellStyle name="Note 13 3 2 3" xfId="39750" xr:uid="{00000000-0005-0000-0000-00004C9B0000}"/>
    <cellStyle name="Note 13 3 3" xfId="39751" xr:uid="{00000000-0005-0000-0000-00004D9B0000}"/>
    <cellStyle name="Note 13 3 4" xfId="39752" xr:uid="{00000000-0005-0000-0000-00004E9B0000}"/>
    <cellStyle name="Note 13 3 5" xfId="39753" xr:uid="{00000000-0005-0000-0000-00004F9B0000}"/>
    <cellStyle name="Note 13 3 6" xfId="39754" xr:uid="{00000000-0005-0000-0000-0000509B0000}"/>
    <cellStyle name="Note 13 4" xfId="39755" xr:uid="{00000000-0005-0000-0000-0000519B0000}"/>
    <cellStyle name="Note 13 4 2" xfId="39756" xr:uid="{00000000-0005-0000-0000-0000529B0000}"/>
    <cellStyle name="Note 13 4 2 2" xfId="39757" xr:uid="{00000000-0005-0000-0000-0000539B0000}"/>
    <cellStyle name="Note 13 4 3" xfId="39758" xr:uid="{00000000-0005-0000-0000-0000549B0000}"/>
    <cellStyle name="Note 13 4 4" xfId="39759" xr:uid="{00000000-0005-0000-0000-0000559B0000}"/>
    <cellStyle name="Note 13 4 5" xfId="39760" xr:uid="{00000000-0005-0000-0000-0000569B0000}"/>
    <cellStyle name="Note 13 5" xfId="39761" xr:uid="{00000000-0005-0000-0000-0000579B0000}"/>
    <cellStyle name="Note 13 5 2" xfId="39762" xr:uid="{00000000-0005-0000-0000-0000589B0000}"/>
    <cellStyle name="Note 13 5 2 2" xfId="39763" xr:uid="{00000000-0005-0000-0000-0000599B0000}"/>
    <cellStyle name="Note 13 5 3" xfId="39764" xr:uid="{00000000-0005-0000-0000-00005A9B0000}"/>
    <cellStyle name="Note 13 5 4" xfId="39765" xr:uid="{00000000-0005-0000-0000-00005B9B0000}"/>
    <cellStyle name="Note 13 5 5" xfId="39766" xr:uid="{00000000-0005-0000-0000-00005C9B0000}"/>
    <cellStyle name="Note 13 6" xfId="39767" xr:uid="{00000000-0005-0000-0000-00005D9B0000}"/>
    <cellStyle name="Note 13 6 2" xfId="39768" xr:uid="{00000000-0005-0000-0000-00005E9B0000}"/>
    <cellStyle name="Note 13 7" xfId="39769" xr:uid="{00000000-0005-0000-0000-00005F9B0000}"/>
    <cellStyle name="Note 13 8" xfId="39770" xr:uid="{00000000-0005-0000-0000-0000609B0000}"/>
    <cellStyle name="Note 13 9" xfId="39771" xr:uid="{00000000-0005-0000-0000-0000619B0000}"/>
    <cellStyle name="Note 14" xfId="39772" xr:uid="{00000000-0005-0000-0000-0000629B0000}"/>
    <cellStyle name="Note 14 10" xfId="39773" xr:uid="{00000000-0005-0000-0000-0000639B0000}"/>
    <cellStyle name="Note 14 2" xfId="39774" xr:uid="{00000000-0005-0000-0000-0000649B0000}"/>
    <cellStyle name="Note 14 2 2" xfId="39775" xr:uid="{00000000-0005-0000-0000-0000659B0000}"/>
    <cellStyle name="Note 14 2 2 2" xfId="39776" xr:uid="{00000000-0005-0000-0000-0000669B0000}"/>
    <cellStyle name="Note 14 2 2 2 2" xfId="39777" xr:uid="{00000000-0005-0000-0000-0000679B0000}"/>
    <cellStyle name="Note 14 2 2 2 3" xfId="39778" xr:uid="{00000000-0005-0000-0000-0000689B0000}"/>
    <cellStyle name="Note 14 2 2 3" xfId="39779" xr:uid="{00000000-0005-0000-0000-0000699B0000}"/>
    <cellStyle name="Note 14 2 2 4" xfId="39780" xr:uid="{00000000-0005-0000-0000-00006A9B0000}"/>
    <cellStyle name="Note 14 2 2 5" xfId="39781" xr:uid="{00000000-0005-0000-0000-00006B9B0000}"/>
    <cellStyle name="Note 14 2 2 6" xfId="39782" xr:uid="{00000000-0005-0000-0000-00006C9B0000}"/>
    <cellStyle name="Note 14 2 3" xfId="39783" xr:uid="{00000000-0005-0000-0000-00006D9B0000}"/>
    <cellStyle name="Note 14 2 3 2" xfId="39784" xr:uid="{00000000-0005-0000-0000-00006E9B0000}"/>
    <cellStyle name="Note 14 2 3 2 2" xfId="39785" xr:uid="{00000000-0005-0000-0000-00006F9B0000}"/>
    <cellStyle name="Note 14 2 3 3" xfId="39786" xr:uid="{00000000-0005-0000-0000-0000709B0000}"/>
    <cellStyle name="Note 14 2 3 4" xfId="39787" xr:uid="{00000000-0005-0000-0000-0000719B0000}"/>
    <cellStyle name="Note 14 2 3 5" xfId="39788" xr:uid="{00000000-0005-0000-0000-0000729B0000}"/>
    <cellStyle name="Note 14 2 4" xfId="39789" xr:uid="{00000000-0005-0000-0000-0000739B0000}"/>
    <cellStyle name="Note 14 2 4 2" xfId="39790" xr:uid="{00000000-0005-0000-0000-0000749B0000}"/>
    <cellStyle name="Note 14 2 4 3" xfId="39791" xr:uid="{00000000-0005-0000-0000-0000759B0000}"/>
    <cellStyle name="Note 14 2 4 4" xfId="39792" xr:uid="{00000000-0005-0000-0000-0000769B0000}"/>
    <cellStyle name="Note 14 2 5" xfId="39793" xr:uid="{00000000-0005-0000-0000-0000779B0000}"/>
    <cellStyle name="Note 14 2 5 2" xfId="39794" xr:uid="{00000000-0005-0000-0000-0000789B0000}"/>
    <cellStyle name="Note 14 2 6" xfId="39795" xr:uid="{00000000-0005-0000-0000-0000799B0000}"/>
    <cellStyle name="Note 14 2 7" xfId="39796" xr:uid="{00000000-0005-0000-0000-00007A9B0000}"/>
    <cellStyle name="Note 14 2 8" xfId="39797" xr:uid="{00000000-0005-0000-0000-00007B9B0000}"/>
    <cellStyle name="Note 14 2 9" xfId="39798" xr:uid="{00000000-0005-0000-0000-00007C9B0000}"/>
    <cellStyle name="Note 14 3" xfId="39799" xr:uid="{00000000-0005-0000-0000-00007D9B0000}"/>
    <cellStyle name="Note 14 3 2" xfId="39800" xr:uid="{00000000-0005-0000-0000-00007E9B0000}"/>
    <cellStyle name="Note 14 3 2 2" xfId="39801" xr:uid="{00000000-0005-0000-0000-00007F9B0000}"/>
    <cellStyle name="Note 14 3 2 3" xfId="39802" xr:uid="{00000000-0005-0000-0000-0000809B0000}"/>
    <cellStyle name="Note 14 3 3" xfId="39803" xr:uid="{00000000-0005-0000-0000-0000819B0000}"/>
    <cellStyle name="Note 14 3 4" xfId="39804" xr:uid="{00000000-0005-0000-0000-0000829B0000}"/>
    <cellStyle name="Note 14 3 5" xfId="39805" xr:uid="{00000000-0005-0000-0000-0000839B0000}"/>
    <cellStyle name="Note 14 3 6" xfId="39806" xr:uid="{00000000-0005-0000-0000-0000849B0000}"/>
    <cellStyle name="Note 14 4" xfId="39807" xr:uid="{00000000-0005-0000-0000-0000859B0000}"/>
    <cellStyle name="Note 14 4 2" xfId="39808" xr:uid="{00000000-0005-0000-0000-0000869B0000}"/>
    <cellStyle name="Note 14 4 2 2" xfId="39809" xr:uid="{00000000-0005-0000-0000-0000879B0000}"/>
    <cellStyle name="Note 14 4 3" xfId="39810" xr:uid="{00000000-0005-0000-0000-0000889B0000}"/>
    <cellStyle name="Note 14 4 4" xfId="39811" xr:uid="{00000000-0005-0000-0000-0000899B0000}"/>
    <cellStyle name="Note 14 4 5" xfId="39812" xr:uid="{00000000-0005-0000-0000-00008A9B0000}"/>
    <cellStyle name="Note 14 5" xfId="39813" xr:uid="{00000000-0005-0000-0000-00008B9B0000}"/>
    <cellStyle name="Note 14 5 2" xfId="39814" xr:uid="{00000000-0005-0000-0000-00008C9B0000}"/>
    <cellStyle name="Note 14 5 2 2" xfId="39815" xr:uid="{00000000-0005-0000-0000-00008D9B0000}"/>
    <cellStyle name="Note 14 5 3" xfId="39816" xr:uid="{00000000-0005-0000-0000-00008E9B0000}"/>
    <cellStyle name="Note 14 5 4" xfId="39817" xr:uid="{00000000-0005-0000-0000-00008F9B0000}"/>
    <cellStyle name="Note 14 5 5" xfId="39818" xr:uid="{00000000-0005-0000-0000-0000909B0000}"/>
    <cellStyle name="Note 14 6" xfId="39819" xr:uid="{00000000-0005-0000-0000-0000919B0000}"/>
    <cellStyle name="Note 14 6 2" xfId="39820" xr:uid="{00000000-0005-0000-0000-0000929B0000}"/>
    <cellStyle name="Note 14 7" xfId="39821" xr:uid="{00000000-0005-0000-0000-0000939B0000}"/>
    <cellStyle name="Note 14 8" xfId="39822" xr:uid="{00000000-0005-0000-0000-0000949B0000}"/>
    <cellStyle name="Note 14 9" xfId="39823" xr:uid="{00000000-0005-0000-0000-0000959B0000}"/>
    <cellStyle name="Note 15" xfId="39824" xr:uid="{00000000-0005-0000-0000-0000969B0000}"/>
    <cellStyle name="Note 15 10" xfId="39825" xr:uid="{00000000-0005-0000-0000-0000979B0000}"/>
    <cellStyle name="Note 15 2" xfId="39826" xr:uid="{00000000-0005-0000-0000-0000989B0000}"/>
    <cellStyle name="Note 15 2 2" xfId="39827" xr:uid="{00000000-0005-0000-0000-0000999B0000}"/>
    <cellStyle name="Note 15 2 2 2" xfId="39828" xr:uid="{00000000-0005-0000-0000-00009A9B0000}"/>
    <cellStyle name="Note 15 2 2 2 2" xfId="39829" xr:uid="{00000000-0005-0000-0000-00009B9B0000}"/>
    <cellStyle name="Note 15 2 2 2 3" xfId="39830" xr:uid="{00000000-0005-0000-0000-00009C9B0000}"/>
    <cellStyle name="Note 15 2 2 3" xfId="39831" xr:uid="{00000000-0005-0000-0000-00009D9B0000}"/>
    <cellStyle name="Note 15 2 2 4" xfId="39832" xr:uid="{00000000-0005-0000-0000-00009E9B0000}"/>
    <cellStyle name="Note 15 2 2 5" xfId="39833" xr:uid="{00000000-0005-0000-0000-00009F9B0000}"/>
    <cellStyle name="Note 15 2 2 6" xfId="39834" xr:uid="{00000000-0005-0000-0000-0000A09B0000}"/>
    <cellStyle name="Note 15 2 3" xfId="39835" xr:uid="{00000000-0005-0000-0000-0000A19B0000}"/>
    <cellStyle name="Note 15 2 3 2" xfId="39836" xr:uid="{00000000-0005-0000-0000-0000A29B0000}"/>
    <cellStyle name="Note 15 2 3 2 2" xfId="39837" xr:uid="{00000000-0005-0000-0000-0000A39B0000}"/>
    <cellStyle name="Note 15 2 3 3" xfId="39838" xr:uid="{00000000-0005-0000-0000-0000A49B0000}"/>
    <cellStyle name="Note 15 2 3 4" xfId="39839" xr:uid="{00000000-0005-0000-0000-0000A59B0000}"/>
    <cellStyle name="Note 15 2 3 5" xfId="39840" xr:uid="{00000000-0005-0000-0000-0000A69B0000}"/>
    <cellStyle name="Note 15 2 4" xfId="39841" xr:uid="{00000000-0005-0000-0000-0000A79B0000}"/>
    <cellStyle name="Note 15 2 4 2" xfId="39842" xr:uid="{00000000-0005-0000-0000-0000A89B0000}"/>
    <cellStyle name="Note 15 2 4 3" xfId="39843" xr:uid="{00000000-0005-0000-0000-0000A99B0000}"/>
    <cellStyle name="Note 15 2 4 4" xfId="39844" xr:uid="{00000000-0005-0000-0000-0000AA9B0000}"/>
    <cellStyle name="Note 15 2 5" xfId="39845" xr:uid="{00000000-0005-0000-0000-0000AB9B0000}"/>
    <cellStyle name="Note 15 2 5 2" xfId="39846" xr:uid="{00000000-0005-0000-0000-0000AC9B0000}"/>
    <cellStyle name="Note 15 2 6" xfId="39847" xr:uid="{00000000-0005-0000-0000-0000AD9B0000}"/>
    <cellStyle name="Note 15 2 7" xfId="39848" xr:uid="{00000000-0005-0000-0000-0000AE9B0000}"/>
    <cellStyle name="Note 15 2 8" xfId="39849" xr:uid="{00000000-0005-0000-0000-0000AF9B0000}"/>
    <cellStyle name="Note 15 2 9" xfId="39850" xr:uid="{00000000-0005-0000-0000-0000B09B0000}"/>
    <cellStyle name="Note 15 3" xfId="39851" xr:uid="{00000000-0005-0000-0000-0000B19B0000}"/>
    <cellStyle name="Note 15 3 2" xfId="39852" xr:uid="{00000000-0005-0000-0000-0000B29B0000}"/>
    <cellStyle name="Note 15 3 2 2" xfId="39853" xr:uid="{00000000-0005-0000-0000-0000B39B0000}"/>
    <cellStyle name="Note 15 3 2 3" xfId="39854" xr:uid="{00000000-0005-0000-0000-0000B49B0000}"/>
    <cellStyle name="Note 15 3 3" xfId="39855" xr:uid="{00000000-0005-0000-0000-0000B59B0000}"/>
    <cellStyle name="Note 15 3 4" xfId="39856" xr:uid="{00000000-0005-0000-0000-0000B69B0000}"/>
    <cellStyle name="Note 15 3 5" xfId="39857" xr:uid="{00000000-0005-0000-0000-0000B79B0000}"/>
    <cellStyle name="Note 15 3 6" xfId="39858" xr:uid="{00000000-0005-0000-0000-0000B89B0000}"/>
    <cellStyle name="Note 15 4" xfId="39859" xr:uid="{00000000-0005-0000-0000-0000B99B0000}"/>
    <cellStyle name="Note 15 4 2" xfId="39860" xr:uid="{00000000-0005-0000-0000-0000BA9B0000}"/>
    <cellStyle name="Note 15 4 2 2" xfId="39861" xr:uid="{00000000-0005-0000-0000-0000BB9B0000}"/>
    <cellStyle name="Note 15 4 3" xfId="39862" xr:uid="{00000000-0005-0000-0000-0000BC9B0000}"/>
    <cellStyle name="Note 15 4 4" xfId="39863" xr:uid="{00000000-0005-0000-0000-0000BD9B0000}"/>
    <cellStyle name="Note 15 4 5" xfId="39864" xr:uid="{00000000-0005-0000-0000-0000BE9B0000}"/>
    <cellStyle name="Note 15 5" xfId="39865" xr:uid="{00000000-0005-0000-0000-0000BF9B0000}"/>
    <cellStyle name="Note 15 5 2" xfId="39866" xr:uid="{00000000-0005-0000-0000-0000C09B0000}"/>
    <cellStyle name="Note 15 5 2 2" xfId="39867" xr:uid="{00000000-0005-0000-0000-0000C19B0000}"/>
    <cellStyle name="Note 15 5 3" xfId="39868" xr:uid="{00000000-0005-0000-0000-0000C29B0000}"/>
    <cellStyle name="Note 15 5 4" xfId="39869" xr:uid="{00000000-0005-0000-0000-0000C39B0000}"/>
    <cellStyle name="Note 15 5 5" xfId="39870" xr:uid="{00000000-0005-0000-0000-0000C49B0000}"/>
    <cellStyle name="Note 15 6" xfId="39871" xr:uid="{00000000-0005-0000-0000-0000C59B0000}"/>
    <cellStyle name="Note 15 6 2" xfId="39872" xr:uid="{00000000-0005-0000-0000-0000C69B0000}"/>
    <cellStyle name="Note 15 7" xfId="39873" xr:uid="{00000000-0005-0000-0000-0000C79B0000}"/>
    <cellStyle name="Note 15 8" xfId="39874" xr:uid="{00000000-0005-0000-0000-0000C89B0000}"/>
    <cellStyle name="Note 15 9" xfId="39875" xr:uid="{00000000-0005-0000-0000-0000C99B0000}"/>
    <cellStyle name="Note 16" xfId="39876" xr:uid="{00000000-0005-0000-0000-0000CA9B0000}"/>
    <cellStyle name="Note 16 10" xfId="39877" xr:uid="{00000000-0005-0000-0000-0000CB9B0000}"/>
    <cellStyle name="Note 16 2" xfId="39878" xr:uid="{00000000-0005-0000-0000-0000CC9B0000}"/>
    <cellStyle name="Note 16 2 2" xfId="39879" xr:uid="{00000000-0005-0000-0000-0000CD9B0000}"/>
    <cellStyle name="Note 16 2 2 2" xfId="39880" xr:uid="{00000000-0005-0000-0000-0000CE9B0000}"/>
    <cellStyle name="Note 16 2 2 2 2" xfId="39881" xr:uid="{00000000-0005-0000-0000-0000CF9B0000}"/>
    <cellStyle name="Note 16 2 2 2 3" xfId="39882" xr:uid="{00000000-0005-0000-0000-0000D09B0000}"/>
    <cellStyle name="Note 16 2 2 3" xfId="39883" xr:uid="{00000000-0005-0000-0000-0000D19B0000}"/>
    <cellStyle name="Note 16 2 2 4" xfId="39884" xr:uid="{00000000-0005-0000-0000-0000D29B0000}"/>
    <cellStyle name="Note 16 2 2 5" xfId="39885" xr:uid="{00000000-0005-0000-0000-0000D39B0000}"/>
    <cellStyle name="Note 16 2 2 6" xfId="39886" xr:uid="{00000000-0005-0000-0000-0000D49B0000}"/>
    <cellStyle name="Note 16 2 3" xfId="39887" xr:uid="{00000000-0005-0000-0000-0000D59B0000}"/>
    <cellStyle name="Note 16 2 3 2" xfId="39888" xr:uid="{00000000-0005-0000-0000-0000D69B0000}"/>
    <cellStyle name="Note 16 2 3 2 2" xfId="39889" xr:uid="{00000000-0005-0000-0000-0000D79B0000}"/>
    <cellStyle name="Note 16 2 3 3" xfId="39890" xr:uid="{00000000-0005-0000-0000-0000D89B0000}"/>
    <cellStyle name="Note 16 2 3 4" xfId="39891" xr:uid="{00000000-0005-0000-0000-0000D99B0000}"/>
    <cellStyle name="Note 16 2 3 5" xfId="39892" xr:uid="{00000000-0005-0000-0000-0000DA9B0000}"/>
    <cellStyle name="Note 16 2 4" xfId="39893" xr:uid="{00000000-0005-0000-0000-0000DB9B0000}"/>
    <cellStyle name="Note 16 2 4 2" xfId="39894" xr:uid="{00000000-0005-0000-0000-0000DC9B0000}"/>
    <cellStyle name="Note 16 2 4 3" xfId="39895" xr:uid="{00000000-0005-0000-0000-0000DD9B0000}"/>
    <cellStyle name="Note 16 2 4 4" xfId="39896" xr:uid="{00000000-0005-0000-0000-0000DE9B0000}"/>
    <cellStyle name="Note 16 2 5" xfId="39897" xr:uid="{00000000-0005-0000-0000-0000DF9B0000}"/>
    <cellStyle name="Note 16 2 5 2" xfId="39898" xr:uid="{00000000-0005-0000-0000-0000E09B0000}"/>
    <cellStyle name="Note 16 2 6" xfId="39899" xr:uid="{00000000-0005-0000-0000-0000E19B0000}"/>
    <cellStyle name="Note 16 2 7" xfId="39900" xr:uid="{00000000-0005-0000-0000-0000E29B0000}"/>
    <cellStyle name="Note 16 2 8" xfId="39901" xr:uid="{00000000-0005-0000-0000-0000E39B0000}"/>
    <cellStyle name="Note 16 2 9" xfId="39902" xr:uid="{00000000-0005-0000-0000-0000E49B0000}"/>
    <cellStyle name="Note 16 3" xfId="39903" xr:uid="{00000000-0005-0000-0000-0000E59B0000}"/>
    <cellStyle name="Note 16 3 2" xfId="39904" xr:uid="{00000000-0005-0000-0000-0000E69B0000}"/>
    <cellStyle name="Note 16 3 2 2" xfId="39905" xr:uid="{00000000-0005-0000-0000-0000E79B0000}"/>
    <cellStyle name="Note 16 3 2 3" xfId="39906" xr:uid="{00000000-0005-0000-0000-0000E89B0000}"/>
    <cellStyle name="Note 16 3 3" xfId="39907" xr:uid="{00000000-0005-0000-0000-0000E99B0000}"/>
    <cellStyle name="Note 16 3 4" xfId="39908" xr:uid="{00000000-0005-0000-0000-0000EA9B0000}"/>
    <cellStyle name="Note 16 3 5" xfId="39909" xr:uid="{00000000-0005-0000-0000-0000EB9B0000}"/>
    <cellStyle name="Note 16 3 6" xfId="39910" xr:uid="{00000000-0005-0000-0000-0000EC9B0000}"/>
    <cellStyle name="Note 16 4" xfId="39911" xr:uid="{00000000-0005-0000-0000-0000ED9B0000}"/>
    <cellStyle name="Note 16 4 2" xfId="39912" xr:uid="{00000000-0005-0000-0000-0000EE9B0000}"/>
    <cellStyle name="Note 16 4 2 2" xfId="39913" xr:uid="{00000000-0005-0000-0000-0000EF9B0000}"/>
    <cellStyle name="Note 16 4 3" xfId="39914" xr:uid="{00000000-0005-0000-0000-0000F09B0000}"/>
    <cellStyle name="Note 16 4 4" xfId="39915" xr:uid="{00000000-0005-0000-0000-0000F19B0000}"/>
    <cellStyle name="Note 16 4 5" xfId="39916" xr:uid="{00000000-0005-0000-0000-0000F29B0000}"/>
    <cellStyle name="Note 16 5" xfId="39917" xr:uid="{00000000-0005-0000-0000-0000F39B0000}"/>
    <cellStyle name="Note 16 5 2" xfId="39918" xr:uid="{00000000-0005-0000-0000-0000F49B0000}"/>
    <cellStyle name="Note 16 5 2 2" xfId="39919" xr:uid="{00000000-0005-0000-0000-0000F59B0000}"/>
    <cellStyle name="Note 16 5 3" xfId="39920" xr:uid="{00000000-0005-0000-0000-0000F69B0000}"/>
    <cellStyle name="Note 16 5 4" xfId="39921" xr:uid="{00000000-0005-0000-0000-0000F79B0000}"/>
    <cellStyle name="Note 16 5 5" xfId="39922" xr:uid="{00000000-0005-0000-0000-0000F89B0000}"/>
    <cellStyle name="Note 16 6" xfId="39923" xr:uid="{00000000-0005-0000-0000-0000F99B0000}"/>
    <cellStyle name="Note 16 6 2" xfId="39924" xr:uid="{00000000-0005-0000-0000-0000FA9B0000}"/>
    <cellStyle name="Note 16 7" xfId="39925" xr:uid="{00000000-0005-0000-0000-0000FB9B0000}"/>
    <cellStyle name="Note 16 8" xfId="39926" xr:uid="{00000000-0005-0000-0000-0000FC9B0000}"/>
    <cellStyle name="Note 16 9" xfId="39927" xr:uid="{00000000-0005-0000-0000-0000FD9B0000}"/>
    <cellStyle name="Note 17" xfId="39928" xr:uid="{00000000-0005-0000-0000-0000FE9B0000}"/>
    <cellStyle name="Note 17 10" xfId="39929" xr:uid="{00000000-0005-0000-0000-0000FF9B0000}"/>
    <cellStyle name="Note 17 2" xfId="39930" xr:uid="{00000000-0005-0000-0000-0000009C0000}"/>
    <cellStyle name="Note 17 2 2" xfId="39931" xr:uid="{00000000-0005-0000-0000-0000019C0000}"/>
    <cellStyle name="Note 17 2 2 2" xfId="39932" xr:uid="{00000000-0005-0000-0000-0000029C0000}"/>
    <cellStyle name="Note 17 2 2 2 2" xfId="39933" xr:uid="{00000000-0005-0000-0000-0000039C0000}"/>
    <cellStyle name="Note 17 2 2 2 3" xfId="39934" xr:uid="{00000000-0005-0000-0000-0000049C0000}"/>
    <cellStyle name="Note 17 2 2 3" xfId="39935" xr:uid="{00000000-0005-0000-0000-0000059C0000}"/>
    <cellStyle name="Note 17 2 2 4" xfId="39936" xr:uid="{00000000-0005-0000-0000-0000069C0000}"/>
    <cellStyle name="Note 17 2 2 5" xfId="39937" xr:uid="{00000000-0005-0000-0000-0000079C0000}"/>
    <cellStyle name="Note 17 2 2 6" xfId="39938" xr:uid="{00000000-0005-0000-0000-0000089C0000}"/>
    <cellStyle name="Note 17 2 3" xfId="39939" xr:uid="{00000000-0005-0000-0000-0000099C0000}"/>
    <cellStyle name="Note 17 2 3 2" xfId="39940" xr:uid="{00000000-0005-0000-0000-00000A9C0000}"/>
    <cellStyle name="Note 17 2 3 2 2" xfId="39941" xr:uid="{00000000-0005-0000-0000-00000B9C0000}"/>
    <cellStyle name="Note 17 2 3 3" xfId="39942" xr:uid="{00000000-0005-0000-0000-00000C9C0000}"/>
    <cellStyle name="Note 17 2 3 4" xfId="39943" xr:uid="{00000000-0005-0000-0000-00000D9C0000}"/>
    <cellStyle name="Note 17 2 3 5" xfId="39944" xr:uid="{00000000-0005-0000-0000-00000E9C0000}"/>
    <cellStyle name="Note 17 2 4" xfId="39945" xr:uid="{00000000-0005-0000-0000-00000F9C0000}"/>
    <cellStyle name="Note 17 2 4 2" xfId="39946" xr:uid="{00000000-0005-0000-0000-0000109C0000}"/>
    <cellStyle name="Note 17 2 4 3" xfId="39947" xr:uid="{00000000-0005-0000-0000-0000119C0000}"/>
    <cellStyle name="Note 17 2 4 4" xfId="39948" xr:uid="{00000000-0005-0000-0000-0000129C0000}"/>
    <cellStyle name="Note 17 2 5" xfId="39949" xr:uid="{00000000-0005-0000-0000-0000139C0000}"/>
    <cellStyle name="Note 17 2 5 2" xfId="39950" xr:uid="{00000000-0005-0000-0000-0000149C0000}"/>
    <cellStyle name="Note 17 2 6" xfId="39951" xr:uid="{00000000-0005-0000-0000-0000159C0000}"/>
    <cellStyle name="Note 17 2 7" xfId="39952" xr:uid="{00000000-0005-0000-0000-0000169C0000}"/>
    <cellStyle name="Note 17 2 8" xfId="39953" xr:uid="{00000000-0005-0000-0000-0000179C0000}"/>
    <cellStyle name="Note 17 2 9" xfId="39954" xr:uid="{00000000-0005-0000-0000-0000189C0000}"/>
    <cellStyle name="Note 17 3" xfId="39955" xr:uid="{00000000-0005-0000-0000-0000199C0000}"/>
    <cellStyle name="Note 17 3 2" xfId="39956" xr:uid="{00000000-0005-0000-0000-00001A9C0000}"/>
    <cellStyle name="Note 17 3 2 2" xfId="39957" xr:uid="{00000000-0005-0000-0000-00001B9C0000}"/>
    <cellStyle name="Note 17 3 2 3" xfId="39958" xr:uid="{00000000-0005-0000-0000-00001C9C0000}"/>
    <cellStyle name="Note 17 3 3" xfId="39959" xr:uid="{00000000-0005-0000-0000-00001D9C0000}"/>
    <cellStyle name="Note 17 3 4" xfId="39960" xr:uid="{00000000-0005-0000-0000-00001E9C0000}"/>
    <cellStyle name="Note 17 3 5" xfId="39961" xr:uid="{00000000-0005-0000-0000-00001F9C0000}"/>
    <cellStyle name="Note 17 3 6" xfId="39962" xr:uid="{00000000-0005-0000-0000-0000209C0000}"/>
    <cellStyle name="Note 17 4" xfId="39963" xr:uid="{00000000-0005-0000-0000-0000219C0000}"/>
    <cellStyle name="Note 17 4 2" xfId="39964" xr:uid="{00000000-0005-0000-0000-0000229C0000}"/>
    <cellStyle name="Note 17 4 2 2" xfId="39965" xr:uid="{00000000-0005-0000-0000-0000239C0000}"/>
    <cellStyle name="Note 17 4 3" xfId="39966" xr:uid="{00000000-0005-0000-0000-0000249C0000}"/>
    <cellStyle name="Note 17 4 4" xfId="39967" xr:uid="{00000000-0005-0000-0000-0000259C0000}"/>
    <cellStyle name="Note 17 4 5" xfId="39968" xr:uid="{00000000-0005-0000-0000-0000269C0000}"/>
    <cellStyle name="Note 17 5" xfId="39969" xr:uid="{00000000-0005-0000-0000-0000279C0000}"/>
    <cellStyle name="Note 17 5 2" xfId="39970" xr:uid="{00000000-0005-0000-0000-0000289C0000}"/>
    <cellStyle name="Note 17 5 2 2" xfId="39971" xr:uid="{00000000-0005-0000-0000-0000299C0000}"/>
    <cellStyle name="Note 17 5 3" xfId="39972" xr:uid="{00000000-0005-0000-0000-00002A9C0000}"/>
    <cellStyle name="Note 17 5 4" xfId="39973" xr:uid="{00000000-0005-0000-0000-00002B9C0000}"/>
    <cellStyle name="Note 17 5 5" xfId="39974" xr:uid="{00000000-0005-0000-0000-00002C9C0000}"/>
    <cellStyle name="Note 17 6" xfId="39975" xr:uid="{00000000-0005-0000-0000-00002D9C0000}"/>
    <cellStyle name="Note 17 6 2" xfId="39976" xr:uid="{00000000-0005-0000-0000-00002E9C0000}"/>
    <cellStyle name="Note 17 7" xfId="39977" xr:uid="{00000000-0005-0000-0000-00002F9C0000}"/>
    <cellStyle name="Note 17 8" xfId="39978" xr:uid="{00000000-0005-0000-0000-0000309C0000}"/>
    <cellStyle name="Note 17 9" xfId="39979" xr:uid="{00000000-0005-0000-0000-0000319C0000}"/>
    <cellStyle name="Note 18" xfId="39980" xr:uid="{00000000-0005-0000-0000-0000329C0000}"/>
    <cellStyle name="Note 18 10" xfId="39981" xr:uid="{00000000-0005-0000-0000-0000339C0000}"/>
    <cellStyle name="Note 18 2" xfId="39982" xr:uid="{00000000-0005-0000-0000-0000349C0000}"/>
    <cellStyle name="Note 18 2 2" xfId="39983" xr:uid="{00000000-0005-0000-0000-0000359C0000}"/>
    <cellStyle name="Note 18 2 2 2" xfId="39984" xr:uid="{00000000-0005-0000-0000-0000369C0000}"/>
    <cellStyle name="Note 18 2 2 2 2" xfId="39985" xr:uid="{00000000-0005-0000-0000-0000379C0000}"/>
    <cellStyle name="Note 18 2 2 2 3" xfId="39986" xr:uid="{00000000-0005-0000-0000-0000389C0000}"/>
    <cellStyle name="Note 18 2 2 3" xfId="39987" xr:uid="{00000000-0005-0000-0000-0000399C0000}"/>
    <cellStyle name="Note 18 2 2 4" xfId="39988" xr:uid="{00000000-0005-0000-0000-00003A9C0000}"/>
    <cellStyle name="Note 18 2 2 5" xfId="39989" xr:uid="{00000000-0005-0000-0000-00003B9C0000}"/>
    <cellStyle name="Note 18 2 2 6" xfId="39990" xr:uid="{00000000-0005-0000-0000-00003C9C0000}"/>
    <cellStyle name="Note 18 2 3" xfId="39991" xr:uid="{00000000-0005-0000-0000-00003D9C0000}"/>
    <cellStyle name="Note 18 2 3 2" xfId="39992" xr:uid="{00000000-0005-0000-0000-00003E9C0000}"/>
    <cellStyle name="Note 18 2 3 2 2" xfId="39993" xr:uid="{00000000-0005-0000-0000-00003F9C0000}"/>
    <cellStyle name="Note 18 2 3 3" xfId="39994" xr:uid="{00000000-0005-0000-0000-0000409C0000}"/>
    <cellStyle name="Note 18 2 3 4" xfId="39995" xr:uid="{00000000-0005-0000-0000-0000419C0000}"/>
    <cellStyle name="Note 18 2 3 5" xfId="39996" xr:uid="{00000000-0005-0000-0000-0000429C0000}"/>
    <cellStyle name="Note 18 2 4" xfId="39997" xr:uid="{00000000-0005-0000-0000-0000439C0000}"/>
    <cellStyle name="Note 18 2 4 2" xfId="39998" xr:uid="{00000000-0005-0000-0000-0000449C0000}"/>
    <cellStyle name="Note 18 2 4 3" xfId="39999" xr:uid="{00000000-0005-0000-0000-0000459C0000}"/>
    <cellStyle name="Note 18 2 4 4" xfId="40000" xr:uid="{00000000-0005-0000-0000-0000469C0000}"/>
    <cellStyle name="Note 18 2 5" xfId="40001" xr:uid="{00000000-0005-0000-0000-0000479C0000}"/>
    <cellStyle name="Note 18 2 5 2" xfId="40002" xr:uid="{00000000-0005-0000-0000-0000489C0000}"/>
    <cellStyle name="Note 18 2 6" xfId="40003" xr:uid="{00000000-0005-0000-0000-0000499C0000}"/>
    <cellStyle name="Note 18 2 7" xfId="40004" xr:uid="{00000000-0005-0000-0000-00004A9C0000}"/>
    <cellStyle name="Note 18 2 8" xfId="40005" xr:uid="{00000000-0005-0000-0000-00004B9C0000}"/>
    <cellStyle name="Note 18 2 9" xfId="40006" xr:uid="{00000000-0005-0000-0000-00004C9C0000}"/>
    <cellStyle name="Note 18 3" xfId="40007" xr:uid="{00000000-0005-0000-0000-00004D9C0000}"/>
    <cellStyle name="Note 18 3 2" xfId="40008" xr:uid="{00000000-0005-0000-0000-00004E9C0000}"/>
    <cellStyle name="Note 18 3 2 2" xfId="40009" xr:uid="{00000000-0005-0000-0000-00004F9C0000}"/>
    <cellStyle name="Note 18 3 2 3" xfId="40010" xr:uid="{00000000-0005-0000-0000-0000509C0000}"/>
    <cellStyle name="Note 18 3 3" xfId="40011" xr:uid="{00000000-0005-0000-0000-0000519C0000}"/>
    <cellStyle name="Note 18 3 4" xfId="40012" xr:uid="{00000000-0005-0000-0000-0000529C0000}"/>
    <cellStyle name="Note 18 3 5" xfId="40013" xr:uid="{00000000-0005-0000-0000-0000539C0000}"/>
    <cellStyle name="Note 18 3 6" xfId="40014" xr:uid="{00000000-0005-0000-0000-0000549C0000}"/>
    <cellStyle name="Note 18 4" xfId="40015" xr:uid="{00000000-0005-0000-0000-0000559C0000}"/>
    <cellStyle name="Note 18 4 2" xfId="40016" xr:uid="{00000000-0005-0000-0000-0000569C0000}"/>
    <cellStyle name="Note 18 4 2 2" xfId="40017" xr:uid="{00000000-0005-0000-0000-0000579C0000}"/>
    <cellStyle name="Note 18 4 3" xfId="40018" xr:uid="{00000000-0005-0000-0000-0000589C0000}"/>
    <cellStyle name="Note 18 4 4" xfId="40019" xr:uid="{00000000-0005-0000-0000-0000599C0000}"/>
    <cellStyle name="Note 18 4 5" xfId="40020" xr:uid="{00000000-0005-0000-0000-00005A9C0000}"/>
    <cellStyle name="Note 18 5" xfId="40021" xr:uid="{00000000-0005-0000-0000-00005B9C0000}"/>
    <cellStyle name="Note 18 5 2" xfId="40022" xr:uid="{00000000-0005-0000-0000-00005C9C0000}"/>
    <cellStyle name="Note 18 5 2 2" xfId="40023" xr:uid="{00000000-0005-0000-0000-00005D9C0000}"/>
    <cellStyle name="Note 18 5 3" xfId="40024" xr:uid="{00000000-0005-0000-0000-00005E9C0000}"/>
    <cellStyle name="Note 18 5 4" xfId="40025" xr:uid="{00000000-0005-0000-0000-00005F9C0000}"/>
    <cellStyle name="Note 18 5 5" xfId="40026" xr:uid="{00000000-0005-0000-0000-0000609C0000}"/>
    <cellStyle name="Note 18 6" xfId="40027" xr:uid="{00000000-0005-0000-0000-0000619C0000}"/>
    <cellStyle name="Note 18 6 2" xfId="40028" xr:uid="{00000000-0005-0000-0000-0000629C0000}"/>
    <cellStyle name="Note 18 7" xfId="40029" xr:uid="{00000000-0005-0000-0000-0000639C0000}"/>
    <cellStyle name="Note 18 8" xfId="40030" xr:uid="{00000000-0005-0000-0000-0000649C0000}"/>
    <cellStyle name="Note 18 9" xfId="40031" xr:uid="{00000000-0005-0000-0000-0000659C0000}"/>
    <cellStyle name="Note 19" xfId="40032" xr:uid="{00000000-0005-0000-0000-0000669C0000}"/>
    <cellStyle name="Note 19 10" xfId="40033" xr:uid="{00000000-0005-0000-0000-0000679C0000}"/>
    <cellStyle name="Note 19 2" xfId="40034" xr:uid="{00000000-0005-0000-0000-0000689C0000}"/>
    <cellStyle name="Note 19 2 2" xfId="40035" xr:uid="{00000000-0005-0000-0000-0000699C0000}"/>
    <cellStyle name="Note 19 2 2 2" xfId="40036" xr:uid="{00000000-0005-0000-0000-00006A9C0000}"/>
    <cellStyle name="Note 19 2 2 2 2" xfId="40037" xr:uid="{00000000-0005-0000-0000-00006B9C0000}"/>
    <cellStyle name="Note 19 2 2 2 3" xfId="40038" xr:uid="{00000000-0005-0000-0000-00006C9C0000}"/>
    <cellStyle name="Note 19 2 2 3" xfId="40039" xr:uid="{00000000-0005-0000-0000-00006D9C0000}"/>
    <cellStyle name="Note 19 2 2 4" xfId="40040" xr:uid="{00000000-0005-0000-0000-00006E9C0000}"/>
    <cellStyle name="Note 19 2 2 5" xfId="40041" xr:uid="{00000000-0005-0000-0000-00006F9C0000}"/>
    <cellStyle name="Note 19 2 2 6" xfId="40042" xr:uid="{00000000-0005-0000-0000-0000709C0000}"/>
    <cellStyle name="Note 19 2 3" xfId="40043" xr:uid="{00000000-0005-0000-0000-0000719C0000}"/>
    <cellStyle name="Note 19 2 3 2" xfId="40044" xr:uid="{00000000-0005-0000-0000-0000729C0000}"/>
    <cellStyle name="Note 19 2 3 2 2" xfId="40045" xr:uid="{00000000-0005-0000-0000-0000739C0000}"/>
    <cellStyle name="Note 19 2 3 3" xfId="40046" xr:uid="{00000000-0005-0000-0000-0000749C0000}"/>
    <cellStyle name="Note 19 2 3 4" xfId="40047" xr:uid="{00000000-0005-0000-0000-0000759C0000}"/>
    <cellStyle name="Note 19 2 3 5" xfId="40048" xr:uid="{00000000-0005-0000-0000-0000769C0000}"/>
    <cellStyle name="Note 19 2 4" xfId="40049" xr:uid="{00000000-0005-0000-0000-0000779C0000}"/>
    <cellStyle name="Note 19 2 4 2" xfId="40050" xr:uid="{00000000-0005-0000-0000-0000789C0000}"/>
    <cellStyle name="Note 19 2 4 3" xfId="40051" xr:uid="{00000000-0005-0000-0000-0000799C0000}"/>
    <cellStyle name="Note 19 2 4 4" xfId="40052" xr:uid="{00000000-0005-0000-0000-00007A9C0000}"/>
    <cellStyle name="Note 19 2 5" xfId="40053" xr:uid="{00000000-0005-0000-0000-00007B9C0000}"/>
    <cellStyle name="Note 19 2 5 2" xfId="40054" xr:uid="{00000000-0005-0000-0000-00007C9C0000}"/>
    <cellStyle name="Note 19 2 6" xfId="40055" xr:uid="{00000000-0005-0000-0000-00007D9C0000}"/>
    <cellStyle name="Note 19 2 7" xfId="40056" xr:uid="{00000000-0005-0000-0000-00007E9C0000}"/>
    <cellStyle name="Note 19 2 8" xfId="40057" xr:uid="{00000000-0005-0000-0000-00007F9C0000}"/>
    <cellStyle name="Note 19 2 9" xfId="40058" xr:uid="{00000000-0005-0000-0000-0000809C0000}"/>
    <cellStyle name="Note 19 3" xfId="40059" xr:uid="{00000000-0005-0000-0000-0000819C0000}"/>
    <cellStyle name="Note 19 3 2" xfId="40060" xr:uid="{00000000-0005-0000-0000-0000829C0000}"/>
    <cellStyle name="Note 19 3 2 2" xfId="40061" xr:uid="{00000000-0005-0000-0000-0000839C0000}"/>
    <cellStyle name="Note 19 3 2 3" xfId="40062" xr:uid="{00000000-0005-0000-0000-0000849C0000}"/>
    <cellStyle name="Note 19 3 3" xfId="40063" xr:uid="{00000000-0005-0000-0000-0000859C0000}"/>
    <cellStyle name="Note 19 3 4" xfId="40064" xr:uid="{00000000-0005-0000-0000-0000869C0000}"/>
    <cellStyle name="Note 19 3 5" xfId="40065" xr:uid="{00000000-0005-0000-0000-0000879C0000}"/>
    <cellStyle name="Note 19 3 6" xfId="40066" xr:uid="{00000000-0005-0000-0000-0000889C0000}"/>
    <cellStyle name="Note 19 4" xfId="40067" xr:uid="{00000000-0005-0000-0000-0000899C0000}"/>
    <cellStyle name="Note 19 4 2" xfId="40068" xr:uid="{00000000-0005-0000-0000-00008A9C0000}"/>
    <cellStyle name="Note 19 4 2 2" xfId="40069" xr:uid="{00000000-0005-0000-0000-00008B9C0000}"/>
    <cellStyle name="Note 19 4 3" xfId="40070" xr:uid="{00000000-0005-0000-0000-00008C9C0000}"/>
    <cellStyle name="Note 19 4 4" xfId="40071" xr:uid="{00000000-0005-0000-0000-00008D9C0000}"/>
    <cellStyle name="Note 19 4 5" xfId="40072" xr:uid="{00000000-0005-0000-0000-00008E9C0000}"/>
    <cellStyle name="Note 19 5" xfId="40073" xr:uid="{00000000-0005-0000-0000-00008F9C0000}"/>
    <cellStyle name="Note 19 5 2" xfId="40074" xr:uid="{00000000-0005-0000-0000-0000909C0000}"/>
    <cellStyle name="Note 19 5 2 2" xfId="40075" xr:uid="{00000000-0005-0000-0000-0000919C0000}"/>
    <cellStyle name="Note 19 5 3" xfId="40076" xr:uid="{00000000-0005-0000-0000-0000929C0000}"/>
    <cellStyle name="Note 19 5 4" xfId="40077" xr:uid="{00000000-0005-0000-0000-0000939C0000}"/>
    <cellStyle name="Note 19 5 5" xfId="40078" xr:uid="{00000000-0005-0000-0000-0000949C0000}"/>
    <cellStyle name="Note 19 6" xfId="40079" xr:uid="{00000000-0005-0000-0000-0000959C0000}"/>
    <cellStyle name="Note 19 6 2" xfId="40080" xr:uid="{00000000-0005-0000-0000-0000969C0000}"/>
    <cellStyle name="Note 19 7" xfId="40081" xr:uid="{00000000-0005-0000-0000-0000979C0000}"/>
    <cellStyle name="Note 19 8" xfId="40082" xr:uid="{00000000-0005-0000-0000-0000989C0000}"/>
    <cellStyle name="Note 19 9" xfId="40083" xr:uid="{00000000-0005-0000-0000-0000999C0000}"/>
    <cellStyle name="Note 2" xfId="40084" xr:uid="{00000000-0005-0000-0000-00009A9C0000}"/>
    <cellStyle name="Note 2 10" xfId="40085" xr:uid="{00000000-0005-0000-0000-00009B9C0000}"/>
    <cellStyle name="Note 2 10 2" xfId="40086" xr:uid="{00000000-0005-0000-0000-00009C9C0000}"/>
    <cellStyle name="Note 2 10 2 2" xfId="40087" xr:uid="{00000000-0005-0000-0000-00009D9C0000}"/>
    <cellStyle name="Note 2 10 2 2 2" xfId="40088" xr:uid="{00000000-0005-0000-0000-00009E9C0000}"/>
    <cellStyle name="Note 2 10 2 2 3" xfId="40089" xr:uid="{00000000-0005-0000-0000-00009F9C0000}"/>
    <cellStyle name="Note 2 10 2 3" xfId="40090" xr:uid="{00000000-0005-0000-0000-0000A09C0000}"/>
    <cellStyle name="Note 2 10 2 4" xfId="40091" xr:uid="{00000000-0005-0000-0000-0000A19C0000}"/>
    <cellStyle name="Note 2 10 2 5" xfId="40092" xr:uid="{00000000-0005-0000-0000-0000A29C0000}"/>
    <cellStyle name="Note 2 10 2 6" xfId="40093" xr:uid="{00000000-0005-0000-0000-0000A39C0000}"/>
    <cellStyle name="Note 2 10 3" xfId="40094" xr:uid="{00000000-0005-0000-0000-0000A49C0000}"/>
    <cellStyle name="Note 2 10 3 2" xfId="40095" xr:uid="{00000000-0005-0000-0000-0000A59C0000}"/>
    <cellStyle name="Note 2 10 3 2 2" xfId="40096" xr:uid="{00000000-0005-0000-0000-0000A69C0000}"/>
    <cellStyle name="Note 2 10 3 3" xfId="40097" xr:uid="{00000000-0005-0000-0000-0000A79C0000}"/>
    <cellStyle name="Note 2 10 3 4" xfId="40098" xr:uid="{00000000-0005-0000-0000-0000A89C0000}"/>
    <cellStyle name="Note 2 10 3 5" xfId="40099" xr:uid="{00000000-0005-0000-0000-0000A99C0000}"/>
    <cellStyle name="Note 2 10 4" xfId="40100" xr:uid="{00000000-0005-0000-0000-0000AA9C0000}"/>
    <cellStyle name="Note 2 10 4 2" xfId="40101" xr:uid="{00000000-0005-0000-0000-0000AB9C0000}"/>
    <cellStyle name="Note 2 10 4 3" xfId="40102" xr:uid="{00000000-0005-0000-0000-0000AC9C0000}"/>
    <cellStyle name="Note 2 10 4 4" xfId="40103" xr:uid="{00000000-0005-0000-0000-0000AD9C0000}"/>
    <cellStyle name="Note 2 10 5" xfId="40104" xr:uid="{00000000-0005-0000-0000-0000AE9C0000}"/>
    <cellStyle name="Note 2 10 5 2" xfId="40105" xr:uid="{00000000-0005-0000-0000-0000AF9C0000}"/>
    <cellStyle name="Note 2 10 6" xfId="40106" xr:uid="{00000000-0005-0000-0000-0000B09C0000}"/>
    <cellStyle name="Note 2 10 7" xfId="40107" xr:uid="{00000000-0005-0000-0000-0000B19C0000}"/>
    <cellStyle name="Note 2 10 8" xfId="40108" xr:uid="{00000000-0005-0000-0000-0000B29C0000}"/>
    <cellStyle name="Note 2 10 9" xfId="40109" xr:uid="{00000000-0005-0000-0000-0000B39C0000}"/>
    <cellStyle name="Note 2 11" xfId="40110" xr:uid="{00000000-0005-0000-0000-0000B49C0000}"/>
    <cellStyle name="Note 2 11 2" xfId="40111" xr:uid="{00000000-0005-0000-0000-0000B59C0000}"/>
    <cellStyle name="Note 2 11 2 2" xfId="40112" xr:uid="{00000000-0005-0000-0000-0000B69C0000}"/>
    <cellStyle name="Note 2 11 2 2 2" xfId="40113" xr:uid="{00000000-0005-0000-0000-0000B79C0000}"/>
    <cellStyle name="Note 2 11 2 3" xfId="40114" xr:uid="{00000000-0005-0000-0000-0000B89C0000}"/>
    <cellStyle name="Note 2 11 2 4" xfId="40115" xr:uid="{00000000-0005-0000-0000-0000B99C0000}"/>
    <cellStyle name="Note 2 11 2 5" xfId="40116" xr:uid="{00000000-0005-0000-0000-0000BA9C0000}"/>
    <cellStyle name="Note 2 11 3" xfId="40117" xr:uid="{00000000-0005-0000-0000-0000BB9C0000}"/>
    <cellStyle name="Note 2 11 3 2" xfId="40118" xr:uid="{00000000-0005-0000-0000-0000BC9C0000}"/>
    <cellStyle name="Note 2 11 3 3" xfId="40119" xr:uid="{00000000-0005-0000-0000-0000BD9C0000}"/>
    <cellStyle name="Note 2 11 3 4" xfId="40120" xr:uid="{00000000-0005-0000-0000-0000BE9C0000}"/>
    <cellStyle name="Note 2 11 4" xfId="40121" xr:uid="{00000000-0005-0000-0000-0000BF9C0000}"/>
    <cellStyle name="Note 2 11 4 2" xfId="40122" xr:uid="{00000000-0005-0000-0000-0000C09C0000}"/>
    <cellStyle name="Note 2 11 5" xfId="40123" xr:uid="{00000000-0005-0000-0000-0000C19C0000}"/>
    <cellStyle name="Note 2 11 6" xfId="40124" xr:uid="{00000000-0005-0000-0000-0000C29C0000}"/>
    <cellStyle name="Note 2 11 7" xfId="40125" xr:uid="{00000000-0005-0000-0000-0000C39C0000}"/>
    <cellStyle name="Note 2 11 8" xfId="40126" xr:uid="{00000000-0005-0000-0000-0000C49C0000}"/>
    <cellStyle name="Note 2 12" xfId="40127" xr:uid="{00000000-0005-0000-0000-0000C59C0000}"/>
    <cellStyle name="Note 2 12 2" xfId="40128" xr:uid="{00000000-0005-0000-0000-0000C69C0000}"/>
    <cellStyle name="Note 2 12 2 2" xfId="40129" xr:uid="{00000000-0005-0000-0000-0000C79C0000}"/>
    <cellStyle name="Note 2 12 2 3" xfId="40130" xr:uid="{00000000-0005-0000-0000-0000C89C0000}"/>
    <cellStyle name="Note 2 12 3" xfId="40131" xr:uid="{00000000-0005-0000-0000-0000C99C0000}"/>
    <cellStyle name="Note 2 12 4" xfId="40132" xr:uid="{00000000-0005-0000-0000-0000CA9C0000}"/>
    <cellStyle name="Note 2 12 5" xfId="40133" xr:uid="{00000000-0005-0000-0000-0000CB9C0000}"/>
    <cellStyle name="Note 2 12 6" xfId="40134" xr:uid="{00000000-0005-0000-0000-0000CC9C0000}"/>
    <cellStyle name="Note 2 13" xfId="40135" xr:uid="{00000000-0005-0000-0000-0000CD9C0000}"/>
    <cellStyle name="Note 2 13 2" xfId="40136" xr:uid="{00000000-0005-0000-0000-0000CE9C0000}"/>
    <cellStyle name="Note 2 13 2 2" xfId="40137" xr:uid="{00000000-0005-0000-0000-0000CF9C0000}"/>
    <cellStyle name="Note 2 13 3" xfId="40138" xr:uid="{00000000-0005-0000-0000-0000D09C0000}"/>
    <cellStyle name="Note 2 13 4" xfId="40139" xr:uid="{00000000-0005-0000-0000-0000D19C0000}"/>
    <cellStyle name="Note 2 13 5" xfId="40140" xr:uid="{00000000-0005-0000-0000-0000D29C0000}"/>
    <cellStyle name="Note 2 14" xfId="40141" xr:uid="{00000000-0005-0000-0000-0000D39C0000}"/>
    <cellStyle name="Note 2 14 2" xfId="40142" xr:uid="{00000000-0005-0000-0000-0000D49C0000}"/>
    <cellStyle name="Note 2 14 2 2" xfId="40143" xr:uid="{00000000-0005-0000-0000-0000D59C0000}"/>
    <cellStyle name="Note 2 14 3" xfId="40144" xr:uid="{00000000-0005-0000-0000-0000D69C0000}"/>
    <cellStyle name="Note 2 14 4" xfId="40145" xr:uid="{00000000-0005-0000-0000-0000D79C0000}"/>
    <cellStyle name="Note 2 14 5" xfId="40146" xr:uid="{00000000-0005-0000-0000-0000D89C0000}"/>
    <cellStyle name="Note 2 15" xfId="40147" xr:uid="{00000000-0005-0000-0000-0000D99C0000}"/>
    <cellStyle name="Note 2 15 2" xfId="40148" xr:uid="{00000000-0005-0000-0000-0000DA9C0000}"/>
    <cellStyle name="Note 2 16" xfId="40149" xr:uid="{00000000-0005-0000-0000-0000DB9C0000}"/>
    <cellStyle name="Note 2 17" xfId="40150" xr:uid="{00000000-0005-0000-0000-0000DC9C0000}"/>
    <cellStyle name="Note 2 18" xfId="40151" xr:uid="{00000000-0005-0000-0000-0000DD9C0000}"/>
    <cellStyle name="Note 2 19" xfId="40152" xr:uid="{00000000-0005-0000-0000-0000DE9C0000}"/>
    <cellStyle name="Note 2 2" xfId="40153" xr:uid="{00000000-0005-0000-0000-0000DF9C0000}"/>
    <cellStyle name="Note 2 2 10" xfId="40154" xr:uid="{00000000-0005-0000-0000-0000E09C0000}"/>
    <cellStyle name="Note 2 2 2" xfId="40155" xr:uid="{00000000-0005-0000-0000-0000E19C0000}"/>
    <cellStyle name="Note 2 2 2 2" xfId="40156" xr:uid="{00000000-0005-0000-0000-0000E29C0000}"/>
    <cellStyle name="Note 2 2 2 2 2" xfId="40157" xr:uid="{00000000-0005-0000-0000-0000E39C0000}"/>
    <cellStyle name="Note 2 2 2 2 2 2" xfId="40158" xr:uid="{00000000-0005-0000-0000-0000E49C0000}"/>
    <cellStyle name="Note 2 2 2 2 2 3" xfId="40159" xr:uid="{00000000-0005-0000-0000-0000E59C0000}"/>
    <cellStyle name="Note 2 2 2 2 3" xfId="40160" xr:uid="{00000000-0005-0000-0000-0000E69C0000}"/>
    <cellStyle name="Note 2 2 2 2 4" xfId="40161" xr:uid="{00000000-0005-0000-0000-0000E79C0000}"/>
    <cellStyle name="Note 2 2 2 2 5" xfId="40162" xr:uid="{00000000-0005-0000-0000-0000E89C0000}"/>
    <cellStyle name="Note 2 2 2 2 6" xfId="40163" xr:uid="{00000000-0005-0000-0000-0000E99C0000}"/>
    <cellStyle name="Note 2 2 2 3" xfId="40164" xr:uid="{00000000-0005-0000-0000-0000EA9C0000}"/>
    <cellStyle name="Note 2 2 2 3 2" xfId="40165" xr:uid="{00000000-0005-0000-0000-0000EB9C0000}"/>
    <cellStyle name="Note 2 2 2 3 2 2" xfId="40166" xr:uid="{00000000-0005-0000-0000-0000EC9C0000}"/>
    <cellStyle name="Note 2 2 2 3 3" xfId="40167" xr:uid="{00000000-0005-0000-0000-0000ED9C0000}"/>
    <cellStyle name="Note 2 2 2 3 4" xfId="40168" xr:uid="{00000000-0005-0000-0000-0000EE9C0000}"/>
    <cellStyle name="Note 2 2 2 3 5" xfId="40169" xr:uid="{00000000-0005-0000-0000-0000EF9C0000}"/>
    <cellStyle name="Note 2 2 2 4" xfId="40170" xr:uid="{00000000-0005-0000-0000-0000F09C0000}"/>
    <cellStyle name="Note 2 2 2 4 2" xfId="40171" xr:uid="{00000000-0005-0000-0000-0000F19C0000}"/>
    <cellStyle name="Note 2 2 2 4 3" xfId="40172" xr:uid="{00000000-0005-0000-0000-0000F29C0000}"/>
    <cellStyle name="Note 2 2 2 4 4" xfId="40173" xr:uid="{00000000-0005-0000-0000-0000F39C0000}"/>
    <cellStyle name="Note 2 2 2 5" xfId="40174" xr:uid="{00000000-0005-0000-0000-0000F49C0000}"/>
    <cellStyle name="Note 2 2 2 5 2" xfId="40175" xr:uid="{00000000-0005-0000-0000-0000F59C0000}"/>
    <cellStyle name="Note 2 2 2 6" xfId="40176" xr:uid="{00000000-0005-0000-0000-0000F69C0000}"/>
    <cellStyle name="Note 2 2 2 7" xfId="40177" xr:uid="{00000000-0005-0000-0000-0000F79C0000}"/>
    <cellStyle name="Note 2 2 2 8" xfId="40178" xr:uid="{00000000-0005-0000-0000-0000F89C0000}"/>
    <cellStyle name="Note 2 2 2 9" xfId="40179" xr:uid="{00000000-0005-0000-0000-0000F99C0000}"/>
    <cellStyle name="Note 2 2 3" xfId="40180" xr:uid="{00000000-0005-0000-0000-0000FA9C0000}"/>
    <cellStyle name="Note 2 2 3 2" xfId="40181" xr:uid="{00000000-0005-0000-0000-0000FB9C0000}"/>
    <cellStyle name="Note 2 2 3 2 2" xfId="40182" xr:uid="{00000000-0005-0000-0000-0000FC9C0000}"/>
    <cellStyle name="Note 2 2 3 2 3" xfId="40183" xr:uid="{00000000-0005-0000-0000-0000FD9C0000}"/>
    <cellStyle name="Note 2 2 3 3" xfId="40184" xr:uid="{00000000-0005-0000-0000-0000FE9C0000}"/>
    <cellStyle name="Note 2 2 3 4" xfId="40185" xr:uid="{00000000-0005-0000-0000-0000FF9C0000}"/>
    <cellStyle name="Note 2 2 3 5" xfId="40186" xr:uid="{00000000-0005-0000-0000-0000009D0000}"/>
    <cellStyle name="Note 2 2 3 6" xfId="40187" xr:uid="{00000000-0005-0000-0000-0000019D0000}"/>
    <cellStyle name="Note 2 2 4" xfId="40188" xr:uid="{00000000-0005-0000-0000-0000029D0000}"/>
    <cellStyle name="Note 2 2 4 2" xfId="40189" xr:uid="{00000000-0005-0000-0000-0000039D0000}"/>
    <cellStyle name="Note 2 2 4 2 2" xfId="40190" xr:uid="{00000000-0005-0000-0000-0000049D0000}"/>
    <cellStyle name="Note 2 2 4 3" xfId="40191" xr:uid="{00000000-0005-0000-0000-0000059D0000}"/>
    <cellStyle name="Note 2 2 4 4" xfId="40192" xr:uid="{00000000-0005-0000-0000-0000069D0000}"/>
    <cellStyle name="Note 2 2 4 5" xfId="40193" xr:uid="{00000000-0005-0000-0000-0000079D0000}"/>
    <cellStyle name="Note 2 2 5" xfId="40194" xr:uid="{00000000-0005-0000-0000-0000089D0000}"/>
    <cellStyle name="Note 2 2 5 2" xfId="40195" xr:uid="{00000000-0005-0000-0000-0000099D0000}"/>
    <cellStyle name="Note 2 2 5 2 2" xfId="40196" xr:uid="{00000000-0005-0000-0000-00000A9D0000}"/>
    <cellStyle name="Note 2 2 5 3" xfId="40197" xr:uid="{00000000-0005-0000-0000-00000B9D0000}"/>
    <cellStyle name="Note 2 2 5 4" xfId="40198" xr:uid="{00000000-0005-0000-0000-00000C9D0000}"/>
    <cellStyle name="Note 2 2 5 5" xfId="40199" xr:uid="{00000000-0005-0000-0000-00000D9D0000}"/>
    <cellStyle name="Note 2 2 6" xfId="40200" xr:uid="{00000000-0005-0000-0000-00000E9D0000}"/>
    <cellStyle name="Note 2 2 6 2" xfId="40201" xr:uid="{00000000-0005-0000-0000-00000F9D0000}"/>
    <cellStyle name="Note 2 2 7" xfId="40202" xr:uid="{00000000-0005-0000-0000-0000109D0000}"/>
    <cellStyle name="Note 2 2 8" xfId="40203" xr:uid="{00000000-0005-0000-0000-0000119D0000}"/>
    <cellStyle name="Note 2 2 9" xfId="40204" xr:uid="{00000000-0005-0000-0000-0000129D0000}"/>
    <cellStyle name="Note 2 3" xfId="40205" xr:uid="{00000000-0005-0000-0000-0000139D0000}"/>
    <cellStyle name="Note 2 3 10" xfId="40206" xr:uid="{00000000-0005-0000-0000-0000149D0000}"/>
    <cellStyle name="Note 2 3 2" xfId="40207" xr:uid="{00000000-0005-0000-0000-0000159D0000}"/>
    <cellStyle name="Note 2 3 2 2" xfId="40208" xr:uid="{00000000-0005-0000-0000-0000169D0000}"/>
    <cellStyle name="Note 2 3 2 2 2" xfId="40209" xr:uid="{00000000-0005-0000-0000-0000179D0000}"/>
    <cellStyle name="Note 2 3 2 2 2 2" xfId="40210" xr:uid="{00000000-0005-0000-0000-0000189D0000}"/>
    <cellStyle name="Note 2 3 2 2 2 3" xfId="40211" xr:uid="{00000000-0005-0000-0000-0000199D0000}"/>
    <cellStyle name="Note 2 3 2 2 3" xfId="40212" xr:uid="{00000000-0005-0000-0000-00001A9D0000}"/>
    <cellStyle name="Note 2 3 2 2 4" xfId="40213" xr:uid="{00000000-0005-0000-0000-00001B9D0000}"/>
    <cellStyle name="Note 2 3 2 2 5" xfId="40214" xr:uid="{00000000-0005-0000-0000-00001C9D0000}"/>
    <cellStyle name="Note 2 3 2 2 6" xfId="40215" xr:uid="{00000000-0005-0000-0000-00001D9D0000}"/>
    <cellStyle name="Note 2 3 2 3" xfId="40216" xr:uid="{00000000-0005-0000-0000-00001E9D0000}"/>
    <cellStyle name="Note 2 3 2 3 2" xfId="40217" xr:uid="{00000000-0005-0000-0000-00001F9D0000}"/>
    <cellStyle name="Note 2 3 2 3 2 2" xfId="40218" xr:uid="{00000000-0005-0000-0000-0000209D0000}"/>
    <cellStyle name="Note 2 3 2 3 3" xfId="40219" xr:uid="{00000000-0005-0000-0000-0000219D0000}"/>
    <cellStyle name="Note 2 3 2 3 4" xfId="40220" xr:uid="{00000000-0005-0000-0000-0000229D0000}"/>
    <cellStyle name="Note 2 3 2 3 5" xfId="40221" xr:uid="{00000000-0005-0000-0000-0000239D0000}"/>
    <cellStyle name="Note 2 3 2 4" xfId="40222" xr:uid="{00000000-0005-0000-0000-0000249D0000}"/>
    <cellStyle name="Note 2 3 2 4 2" xfId="40223" xr:uid="{00000000-0005-0000-0000-0000259D0000}"/>
    <cellStyle name="Note 2 3 2 4 3" xfId="40224" xr:uid="{00000000-0005-0000-0000-0000269D0000}"/>
    <cellStyle name="Note 2 3 2 4 4" xfId="40225" xr:uid="{00000000-0005-0000-0000-0000279D0000}"/>
    <cellStyle name="Note 2 3 2 5" xfId="40226" xr:uid="{00000000-0005-0000-0000-0000289D0000}"/>
    <cellStyle name="Note 2 3 2 5 2" xfId="40227" xr:uid="{00000000-0005-0000-0000-0000299D0000}"/>
    <cellStyle name="Note 2 3 2 6" xfId="40228" xr:uid="{00000000-0005-0000-0000-00002A9D0000}"/>
    <cellStyle name="Note 2 3 2 7" xfId="40229" xr:uid="{00000000-0005-0000-0000-00002B9D0000}"/>
    <cellStyle name="Note 2 3 2 8" xfId="40230" xr:uid="{00000000-0005-0000-0000-00002C9D0000}"/>
    <cellStyle name="Note 2 3 2 9" xfId="40231" xr:uid="{00000000-0005-0000-0000-00002D9D0000}"/>
    <cellStyle name="Note 2 3 3" xfId="40232" xr:uid="{00000000-0005-0000-0000-00002E9D0000}"/>
    <cellStyle name="Note 2 3 3 2" xfId="40233" xr:uid="{00000000-0005-0000-0000-00002F9D0000}"/>
    <cellStyle name="Note 2 3 3 2 2" xfId="40234" xr:uid="{00000000-0005-0000-0000-0000309D0000}"/>
    <cellStyle name="Note 2 3 3 2 3" xfId="40235" xr:uid="{00000000-0005-0000-0000-0000319D0000}"/>
    <cellStyle name="Note 2 3 3 3" xfId="40236" xr:uid="{00000000-0005-0000-0000-0000329D0000}"/>
    <cellStyle name="Note 2 3 3 4" xfId="40237" xr:uid="{00000000-0005-0000-0000-0000339D0000}"/>
    <cellStyle name="Note 2 3 3 5" xfId="40238" xr:uid="{00000000-0005-0000-0000-0000349D0000}"/>
    <cellStyle name="Note 2 3 3 6" xfId="40239" xr:uid="{00000000-0005-0000-0000-0000359D0000}"/>
    <cellStyle name="Note 2 3 4" xfId="40240" xr:uid="{00000000-0005-0000-0000-0000369D0000}"/>
    <cellStyle name="Note 2 3 4 2" xfId="40241" xr:uid="{00000000-0005-0000-0000-0000379D0000}"/>
    <cellStyle name="Note 2 3 4 2 2" xfId="40242" xr:uid="{00000000-0005-0000-0000-0000389D0000}"/>
    <cellStyle name="Note 2 3 4 3" xfId="40243" xr:uid="{00000000-0005-0000-0000-0000399D0000}"/>
    <cellStyle name="Note 2 3 4 4" xfId="40244" xr:uid="{00000000-0005-0000-0000-00003A9D0000}"/>
    <cellStyle name="Note 2 3 4 5" xfId="40245" xr:uid="{00000000-0005-0000-0000-00003B9D0000}"/>
    <cellStyle name="Note 2 3 5" xfId="40246" xr:uid="{00000000-0005-0000-0000-00003C9D0000}"/>
    <cellStyle name="Note 2 3 5 2" xfId="40247" xr:uid="{00000000-0005-0000-0000-00003D9D0000}"/>
    <cellStyle name="Note 2 3 5 2 2" xfId="40248" xr:uid="{00000000-0005-0000-0000-00003E9D0000}"/>
    <cellStyle name="Note 2 3 5 3" xfId="40249" xr:uid="{00000000-0005-0000-0000-00003F9D0000}"/>
    <cellStyle name="Note 2 3 5 4" xfId="40250" xr:uid="{00000000-0005-0000-0000-0000409D0000}"/>
    <cellStyle name="Note 2 3 5 5" xfId="40251" xr:uid="{00000000-0005-0000-0000-0000419D0000}"/>
    <cellStyle name="Note 2 3 6" xfId="40252" xr:uid="{00000000-0005-0000-0000-0000429D0000}"/>
    <cellStyle name="Note 2 3 6 2" xfId="40253" xr:uid="{00000000-0005-0000-0000-0000439D0000}"/>
    <cellStyle name="Note 2 3 7" xfId="40254" xr:uid="{00000000-0005-0000-0000-0000449D0000}"/>
    <cellStyle name="Note 2 3 8" xfId="40255" xr:uid="{00000000-0005-0000-0000-0000459D0000}"/>
    <cellStyle name="Note 2 3 9" xfId="40256" xr:uid="{00000000-0005-0000-0000-0000469D0000}"/>
    <cellStyle name="Note 2 4" xfId="40257" xr:uid="{00000000-0005-0000-0000-0000479D0000}"/>
    <cellStyle name="Note 2 4 10" xfId="40258" xr:uid="{00000000-0005-0000-0000-0000489D0000}"/>
    <cellStyle name="Note 2 4 2" xfId="40259" xr:uid="{00000000-0005-0000-0000-0000499D0000}"/>
    <cellStyle name="Note 2 4 2 2" xfId="40260" xr:uid="{00000000-0005-0000-0000-00004A9D0000}"/>
    <cellStyle name="Note 2 4 2 2 2" xfId="40261" xr:uid="{00000000-0005-0000-0000-00004B9D0000}"/>
    <cellStyle name="Note 2 4 2 2 2 2" xfId="40262" xr:uid="{00000000-0005-0000-0000-00004C9D0000}"/>
    <cellStyle name="Note 2 4 2 2 2 3" xfId="40263" xr:uid="{00000000-0005-0000-0000-00004D9D0000}"/>
    <cellStyle name="Note 2 4 2 2 3" xfId="40264" xr:uid="{00000000-0005-0000-0000-00004E9D0000}"/>
    <cellStyle name="Note 2 4 2 2 4" xfId="40265" xr:uid="{00000000-0005-0000-0000-00004F9D0000}"/>
    <cellStyle name="Note 2 4 2 2 5" xfId="40266" xr:uid="{00000000-0005-0000-0000-0000509D0000}"/>
    <cellStyle name="Note 2 4 2 2 6" xfId="40267" xr:uid="{00000000-0005-0000-0000-0000519D0000}"/>
    <cellStyle name="Note 2 4 2 3" xfId="40268" xr:uid="{00000000-0005-0000-0000-0000529D0000}"/>
    <cellStyle name="Note 2 4 2 3 2" xfId="40269" xr:uid="{00000000-0005-0000-0000-0000539D0000}"/>
    <cellStyle name="Note 2 4 2 3 2 2" xfId="40270" xr:uid="{00000000-0005-0000-0000-0000549D0000}"/>
    <cellStyle name="Note 2 4 2 3 3" xfId="40271" xr:uid="{00000000-0005-0000-0000-0000559D0000}"/>
    <cellStyle name="Note 2 4 2 3 4" xfId="40272" xr:uid="{00000000-0005-0000-0000-0000569D0000}"/>
    <cellStyle name="Note 2 4 2 3 5" xfId="40273" xr:uid="{00000000-0005-0000-0000-0000579D0000}"/>
    <cellStyle name="Note 2 4 2 4" xfId="40274" xr:uid="{00000000-0005-0000-0000-0000589D0000}"/>
    <cellStyle name="Note 2 4 2 4 2" xfId="40275" xr:uid="{00000000-0005-0000-0000-0000599D0000}"/>
    <cellStyle name="Note 2 4 2 4 3" xfId="40276" xr:uid="{00000000-0005-0000-0000-00005A9D0000}"/>
    <cellStyle name="Note 2 4 2 4 4" xfId="40277" xr:uid="{00000000-0005-0000-0000-00005B9D0000}"/>
    <cellStyle name="Note 2 4 2 5" xfId="40278" xr:uid="{00000000-0005-0000-0000-00005C9D0000}"/>
    <cellStyle name="Note 2 4 2 5 2" xfId="40279" xr:uid="{00000000-0005-0000-0000-00005D9D0000}"/>
    <cellStyle name="Note 2 4 2 6" xfId="40280" xr:uid="{00000000-0005-0000-0000-00005E9D0000}"/>
    <cellStyle name="Note 2 4 2 7" xfId="40281" xr:uid="{00000000-0005-0000-0000-00005F9D0000}"/>
    <cellStyle name="Note 2 4 2 8" xfId="40282" xr:uid="{00000000-0005-0000-0000-0000609D0000}"/>
    <cellStyle name="Note 2 4 2 9" xfId="40283" xr:uid="{00000000-0005-0000-0000-0000619D0000}"/>
    <cellStyle name="Note 2 4 3" xfId="40284" xr:uid="{00000000-0005-0000-0000-0000629D0000}"/>
    <cellStyle name="Note 2 4 3 2" xfId="40285" xr:uid="{00000000-0005-0000-0000-0000639D0000}"/>
    <cellStyle name="Note 2 4 3 2 2" xfId="40286" xr:uid="{00000000-0005-0000-0000-0000649D0000}"/>
    <cellStyle name="Note 2 4 3 2 3" xfId="40287" xr:uid="{00000000-0005-0000-0000-0000659D0000}"/>
    <cellStyle name="Note 2 4 3 3" xfId="40288" xr:uid="{00000000-0005-0000-0000-0000669D0000}"/>
    <cellStyle name="Note 2 4 3 4" xfId="40289" xr:uid="{00000000-0005-0000-0000-0000679D0000}"/>
    <cellStyle name="Note 2 4 3 5" xfId="40290" xr:uid="{00000000-0005-0000-0000-0000689D0000}"/>
    <cellStyle name="Note 2 4 3 6" xfId="40291" xr:uid="{00000000-0005-0000-0000-0000699D0000}"/>
    <cellStyle name="Note 2 4 4" xfId="40292" xr:uid="{00000000-0005-0000-0000-00006A9D0000}"/>
    <cellStyle name="Note 2 4 4 2" xfId="40293" xr:uid="{00000000-0005-0000-0000-00006B9D0000}"/>
    <cellStyle name="Note 2 4 4 2 2" xfId="40294" xr:uid="{00000000-0005-0000-0000-00006C9D0000}"/>
    <cellStyle name="Note 2 4 4 3" xfId="40295" xr:uid="{00000000-0005-0000-0000-00006D9D0000}"/>
    <cellStyle name="Note 2 4 4 4" xfId="40296" xr:uid="{00000000-0005-0000-0000-00006E9D0000}"/>
    <cellStyle name="Note 2 4 4 5" xfId="40297" xr:uid="{00000000-0005-0000-0000-00006F9D0000}"/>
    <cellStyle name="Note 2 4 5" xfId="40298" xr:uid="{00000000-0005-0000-0000-0000709D0000}"/>
    <cellStyle name="Note 2 4 5 2" xfId="40299" xr:uid="{00000000-0005-0000-0000-0000719D0000}"/>
    <cellStyle name="Note 2 4 5 2 2" xfId="40300" xr:uid="{00000000-0005-0000-0000-0000729D0000}"/>
    <cellStyle name="Note 2 4 5 3" xfId="40301" xr:uid="{00000000-0005-0000-0000-0000739D0000}"/>
    <cellStyle name="Note 2 4 5 4" xfId="40302" xr:uid="{00000000-0005-0000-0000-0000749D0000}"/>
    <cellStyle name="Note 2 4 5 5" xfId="40303" xr:uid="{00000000-0005-0000-0000-0000759D0000}"/>
    <cellStyle name="Note 2 4 6" xfId="40304" xr:uid="{00000000-0005-0000-0000-0000769D0000}"/>
    <cellStyle name="Note 2 4 6 2" xfId="40305" xr:uid="{00000000-0005-0000-0000-0000779D0000}"/>
    <cellStyle name="Note 2 4 7" xfId="40306" xr:uid="{00000000-0005-0000-0000-0000789D0000}"/>
    <cellStyle name="Note 2 4 8" xfId="40307" xr:uid="{00000000-0005-0000-0000-0000799D0000}"/>
    <cellStyle name="Note 2 4 9" xfId="40308" xr:uid="{00000000-0005-0000-0000-00007A9D0000}"/>
    <cellStyle name="Note 2 5" xfId="40309" xr:uid="{00000000-0005-0000-0000-00007B9D0000}"/>
    <cellStyle name="Note 2 5 10" xfId="40310" xr:uid="{00000000-0005-0000-0000-00007C9D0000}"/>
    <cellStyle name="Note 2 5 2" xfId="40311" xr:uid="{00000000-0005-0000-0000-00007D9D0000}"/>
    <cellStyle name="Note 2 5 2 2" xfId="40312" xr:uid="{00000000-0005-0000-0000-00007E9D0000}"/>
    <cellStyle name="Note 2 5 2 2 2" xfId="40313" xr:uid="{00000000-0005-0000-0000-00007F9D0000}"/>
    <cellStyle name="Note 2 5 2 2 2 2" xfId="40314" xr:uid="{00000000-0005-0000-0000-0000809D0000}"/>
    <cellStyle name="Note 2 5 2 2 2 3" xfId="40315" xr:uid="{00000000-0005-0000-0000-0000819D0000}"/>
    <cellStyle name="Note 2 5 2 2 3" xfId="40316" xr:uid="{00000000-0005-0000-0000-0000829D0000}"/>
    <cellStyle name="Note 2 5 2 2 4" xfId="40317" xr:uid="{00000000-0005-0000-0000-0000839D0000}"/>
    <cellStyle name="Note 2 5 2 2 5" xfId="40318" xr:uid="{00000000-0005-0000-0000-0000849D0000}"/>
    <cellStyle name="Note 2 5 2 2 6" xfId="40319" xr:uid="{00000000-0005-0000-0000-0000859D0000}"/>
    <cellStyle name="Note 2 5 2 3" xfId="40320" xr:uid="{00000000-0005-0000-0000-0000869D0000}"/>
    <cellStyle name="Note 2 5 2 3 2" xfId="40321" xr:uid="{00000000-0005-0000-0000-0000879D0000}"/>
    <cellStyle name="Note 2 5 2 3 2 2" xfId="40322" xr:uid="{00000000-0005-0000-0000-0000889D0000}"/>
    <cellStyle name="Note 2 5 2 3 3" xfId="40323" xr:uid="{00000000-0005-0000-0000-0000899D0000}"/>
    <cellStyle name="Note 2 5 2 3 4" xfId="40324" xr:uid="{00000000-0005-0000-0000-00008A9D0000}"/>
    <cellStyle name="Note 2 5 2 3 5" xfId="40325" xr:uid="{00000000-0005-0000-0000-00008B9D0000}"/>
    <cellStyle name="Note 2 5 2 4" xfId="40326" xr:uid="{00000000-0005-0000-0000-00008C9D0000}"/>
    <cellStyle name="Note 2 5 2 4 2" xfId="40327" xr:uid="{00000000-0005-0000-0000-00008D9D0000}"/>
    <cellStyle name="Note 2 5 2 4 3" xfId="40328" xr:uid="{00000000-0005-0000-0000-00008E9D0000}"/>
    <cellStyle name="Note 2 5 2 4 4" xfId="40329" xr:uid="{00000000-0005-0000-0000-00008F9D0000}"/>
    <cellStyle name="Note 2 5 2 5" xfId="40330" xr:uid="{00000000-0005-0000-0000-0000909D0000}"/>
    <cellStyle name="Note 2 5 2 5 2" xfId="40331" xr:uid="{00000000-0005-0000-0000-0000919D0000}"/>
    <cellStyle name="Note 2 5 2 6" xfId="40332" xr:uid="{00000000-0005-0000-0000-0000929D0000}"/>
    <cellStyle name="Note 2 5 2 7" xfId="40333" xr:uid="{00000000-0005-0000-0000-0000939D0000}"/>
    <cellStyle name="Note 2 5 2 8" xfId="40334" xr:uid="{00000000-0005-0000-0000-0000949D0000}"/>
    <cellStyle name="Note 2 5 2 9" xfId="40335" xr:uid="{00000000-0005-0000-0000-0000959D0000}"/>
    <cellStyle name="Note 2 5 3" xfId="40336" xr:uid="{00000000-0005-0000-0000-0000969D0000}"/>
    <cellStyle name="Note 2 5 3 2" xfId="40337" xr:uid="{00000000-0005-0000-0000-0000979D0000}"/>
    <cellStyle name="Note 2 5 3 2 2" xfId="40338" xr:uid="{00000000-0005-0000-0000-0000989D0000}"/>
    <cellStyle name="Note 2 5 3 2 3" xfId="40339" xr:uid="{00000000-0005-0000-0000-0000999D0000}"/>
    <cellStyle name="Note 2 5 3 3" xfId="40340" xr:uid="{00000000-0005-0000-0000-00009A9D0000}"/>
    <cellStyle name="Note 2 5 3 4" xfId="40341" xr:uid="{00000000-0005-0000-0000-00009B9D0000}"/>
    <cellStyle name="Note 2 5 3 5" xfId="40342" xr:uid="{00000000-0005-0000-0000-00009C9D0000}"/>
    <cellStyle name="Note 2 5 3 6" xfId="40343" xr:uid="{00000000-0005-0000-0000-00009D9D0000}"/>
    <cellStyle name="Note 2 5 4" xfId="40344" xr:uid="{00000000-0005-0000-0000-00009E9D0000}"/>
    <cellStyle name="Note 2 5 4 2" xfId="40345" xr:uid="{00000000-0005-0000-0000-00009F9D0000}"/>
    <cellStyle name="Note 2 5 4 2 2" xfId="40346" xr:uid="{00000000-0005-0000-0000-0000A09D0000}"/>
    <cellStyle name="Note 2 5 4 3" xfId="40347" xr:uid="{00000000-0005-0000-0000-0000A19D0000}"/>
    <cellStyle name="Note 2 5 4 4" xfId="40348" xr:uid="{00000000-0005-0000-0000-0000A29D0000}"/>
    <cellStyle name="Note 2 5 4 5" xfId="40349" xr:uid="{00000000-0005-0000-0000-0000A39D0000}"/>
    <cellStyle name="Note 2 5 5" xfId="40350" xr:uid="{00000000-0005-0000-0000-0000A49D0000}"/>
    <cellStyle name="Note 2 5 5 2" xfId="40351" xr:uid="{00000000-0005-0000-0000-0000A59D0000}"/>
    <cellStyle name="Note 2 5 5 2 2" xfId="40352" xr:uid="{00000000-0005-0000-0000-0000A69D0000}"/>
    <cellStyle name="Note 2 5 5 3" xfId="40353" xr:uid="{00000000-0005-0000-0000-0000A79D0000}"/>
    <cellStyle name="Note 2 5 5 4" xfId="40354" xr:uid="{00000000-0005-0000-0000-0000A89D0000}"/>
    <cellStyle name="Note 2 5 5 5" xfId="40355" xr:uid="{00000000-0005-0000-0000-0000A99D0000}"/>
    <cellStyle name="Note 2 5 6" xfId="40356" xr:uid="{00000000-0005-0000-0000-0000AA9D0000}"/>
    <cellStyle name="Note 2 5 6 2" xfId="40357" xr:uid="{00000000-0005-0000-0000-0000AB9D0000}"/>
    <cellStyle name="Note 2 5 7" xfId="40358" xr:uid="{00000000-0005-0000-0000-0000AC9D0000}"/>
    <cellStyle name="Note 2 5 8" xfId="40359" xr:uid="{00000000-0005-0000-0000-0000AD9D0000}"/>
    <cellStyle name="Note 2 5 9" xfId="40360" xr:uid="{00000000-0005-0000-0000-0000AE9D0000}"/>
    <cellStyle name="Note 2 6" xfId="40361" xr:uid="{00000000-0005-0000-0000-0000AF9D0000}"/>
    <cellStyle name="Note 2 6 10" xfId="40362" xr:uid="{00000000-0005-0000-0000-0000B09D0000}"/>
    <cellStyle name="Note 2 6 2" xfId="40363" xr:uid="{00000000-0005-0000-0000-0000B19D0000}"/>
    <cellStyle name="Note 2 6 2 2" xfId="40364" xr:uid="{00000000-0005-0000-0000-0000B29D0000}"/>
    <cellStyle name="Note 2 6 2 2 2" xfId="40365" xr:uid="{00000000-0005-0000-0000-0000B39D0000}"/>
    <cellStyle name="Note 2 6 2 2 2 2" xfId="40366" xr:uid="{00000000-0005-0000-0000-0000B49D0000}"/>
    <cellStyle name="Note 2 6 2 2 2 3" xfId="40367" xr:uid="{00000000-0005-0000-0000-0000B59D0000}"/>
    <cellStyle name="Note 2 6 2 2 3" xfId="40368" xr:uid="{00000000-0005-0000-0000-0000B69D0000}"/>
    <cellStyle name="Note 2 6 2 2 4" xfId="40369" xr:uid="{00000000-0005-0000-0000-0000B79D0000}"/>
    <cellStyle name="Note 2 6 2 2 5" xfId="40370" xr:uid="{00000000-0005-0000-0000-0000B89D0000}"/>
    <cellStyle name="Note 2 6 2 2 6" xfId="40371" xr:uid="{00000000-0005-0000-0000-0000B99D0000}"/>
    <cellStyle name="Note 2 6 2 3" xfId="40372" xr:uid="{00000000-0005-0000-0000-0000BA9D0000}"/>
    <cellStyle name="Note 2 6 2 3 2" xfId="40373" xr:uid="{00000000-0005-0000-0000-0000BB9D0000}"/>
    <cellStyle name="Note 2 6 2 3 2 2" xfId="40374" xr:uid="{00000000-0005-0000-0000-0000BC9D0000}"/>
    <cellStyle name="Note 2 6 2 3 3" xfId="40375" xr:uid="{00000000-0005-0000-0000-0000BD9D0000}"/>
    <cellStyle name="Note 2 6 2 3 4" xfId="40376" xr:uid="{00000000-0005-0000-0000-0000BE9D0000}"/>
    <cellStyle name="Note 2 6 2 3 5" xfId="40377" xr:uid="{00000000-0005-0000-0000-0000BF9D0000}"/>
    <cellStyle name="Note 2 6 2 4" xfId="40378" xr:uid="{00000000-0005-0000-0000-0000C09D0000}"/>
    <cellStyle name="Note 2 6 2 4 2" xfId="40379" xr:uid="{00000000-0005-0000-0000-0000C19D0000}"/>
    <cellStyle name="Note 2 6 2 4 3" xfId="40380" xr:uid="{00000000-0005-0000-0000-0000C29D0000}"/>
    <cellStyle name="Note 2 6 2 4 4" xfId="40381" xr:uid="{00000000-0005-0000-0000-0000C39D0000}"/>
    <cellStyle name="Note 2 6 2 5" xfId="40382" xr:uid="{00000000-0005-0000-0000-0000C49D0000}"/>
    <cellStyle name="Note 2 6 2 5 2" xfId="40383" xr:uid="{00000000-0005-0000-0000-0000C59D0000}"/>
    <cellStyle name="Note 2 6 2 6" xfId="40384" xr:uid="{00000000-0005-0000-0000-0000C69D0000}"/>
    <cellStyle name="Note 2 6 2 7" xfId="40385" xr:uid="{00000000-0005-0000-0000-0000C79D0000}"/>
    <cellStyle name="Note 2 6 2 8" xfId="40386" xr:uid="{00000000-0005-0000-0000-0000C89D0000}"/>
    <cellStyle name="Note 2 6 2 9" xfId="40387" xr:uid="{00000000-0005-0000-0000-0000C99D0000}"/>
    <cellStyle name="Note 2 6 3" xfId="40388" xr:uid="{00000000-0005-0000-0000-0000CA9D0000}"/>
    <cellStyle name="Note 2 6 3 2" xfId="40389" xr:uid="{00000000-0005-0000-0000-0000CB9D0000}"/>
    <cellStyle name="Note 2 6 3 2 2" xfId="40390" xr:uid="{00000000-0005-0000-0000-0000CC9D0000}"/>
    <cellStyle name="Note 2 6 3 2 3" xfId="40391" xr:uid="{00000000-0005-0000-0000-0000CD9D0000}"/>
    <cellStyle name="Note 2 6 3 3" xfId="40392" xr:uid="{00000000-0005-0000-0000-0000CE9D0000}"/>
    <cellStyle name="Note 2 6 3 4" xfId="40393" xr:uid="{00000000-0005-0000-0000-0000CF9D0000}"/>
    <cellStyle name="Note 2 6 3 5" xfId="40394" xr:uid="{00000000-0005-0000-0000-0000D09D0000}"/>
    <cellStyle name="Note 2 6 3 6" xfId="40395" xr:uid="{00000000-0005-0000-0000-0000D19D0000}"/>
    <cellStyle name="Note 2 6 4" xfId="40396" xr:uid="{00000000-0005-0000-0000-0000D29D0000}"/>
    <cellStyle name="Note 2 6 4 2" xfId="40397" xr:uid="{00000000-0005-0000-0000-0000D39D0000}"/>
    <cellStyle name="Note 2 6 4 2 2" xfId="40398" xr:uid="{00000000-0005-0000-0000-0000D49D0000}"/>
    <cellStyle name="Note 2 6 4 3" xfId="40399" xr:uid="{00000000-0005-0000-0000-0000D59D0000}"/>
    <cellStyle name="Note 2 6 4 4" xfId="40400" xr:uid="{00000000-0005-0000-0000-0000D69D0000}"/>
    <cellStyle name="Note 2 6 4 5" xfId="40401" xr:uid="{00000000-0005-0000-0000-0000D79D0000}"/>
    <cellStyle name="Note 2 6 5" xfId="40402" xr:uid="{00000000-0005-0000-0000-0000D89D0000}"/>
    <cellStyle name="Note 2 6 5 2" xfId="40403" xr:uid="{00000000-0005-0000-0000-0000D99D0000}"/>
    <cellStyle name="Note 2 6 5 2 2" xfId="40404" xr:uid="{00000000-0005-0000-0000-0000DA9D0000}"/>
    <cellStyle name="Note 2 6 5 3" xfId="40405" xr:uid="{00000000-0005-0000-0000-0000DB9D0000}"/>
    <cellStyle name="Note 2 6 5 4" xfId="40406" xr:uid="{00000000-0005-0000-0000-0000DC9D0000}"/>
    <cellStyle name="Note 2 6 5 5" xfId="40407" xr:uid="{00000000-0005-0000-0000-0000DD9D0000}"/>
    <cellStyle name="Note 2 6 6" xfId="40408" xr:uid="{00000000-0005-0000-0000-0000DE9D0000}"/>
    <cellStyle name="Note 2 6 6 2" xfId="40409" xr:uid="{00000000-0005-0000-0000-0000DF9D0000}"/>
    <cellStyle name="Note 2 6 7" xfId="40410" xr:uid="{00000000-0005-0000-0000-0000E09D0000}"/>
    <cellStyle name="Note 2 6 8" xfId="40411" xr:uid="{00000000-0005-0000-0000-0000E19D0000}"/>
    <cellStyle name="Note 2 6 9" xfId="40412" xr:uid="{00000000-0005-0000-0000-0000E29D0000}"/>
    <cellStyle name="Note 2 7" xfId="40413" xr:uid="{00000000-0005-0000-0000-0000E39D0000}"/>
    <cellStyle name="Note 2 7 10" xfId="40414" xr:uid="{00000000-0005-0000-0000-0000E49D0000}"/>
    <cellStyle name="Note 2 7 2" xfId="40415" xr:uid="{00000000-0005-0000-0000-0000E59D0000}"/>
    <cellStyle name="Note 2 7 2 2" xfId="40416" xr:uid="{00000000-0005-0000-0000-0000E69D0000}"/>
    <cellStyle name="Note 2 7 2 2 2" xfId="40417" xr:uid="{00000000-0005-0000-0000-0000E79D0000}"/>
    <cellStyle name="Note 2 7 2 2 2 2" xfId="40418" xr:uid="{00000000-0005-0000-0000-0000E89D0000}"/>
    <cellStyle name="Note 2 7 2 2 2 3" xfId="40419" xr:uid="{00000000-0005-0000-0000-0000E99D0000}"/>
    <cellStyle name="Note 2 7 2 2 3" xfId="40420" xr:uid="{00000000-0005-0000-0000-0000EA9D0000}"/>
    <cellStyle name="Note 2 7 2 2 4" xfId="40421" xr:uid="{00000000-0005-0000-0000-0000EB9D0000}"/>
    <cellStyle name="Note 2 7 2 2 5" xfId="40422" xr:uid="{00000000-0005-0000-0000-0000EC9D0000}"/>
    <cellStyle name="Note 2 7 2 2 6" xfId="40423" xr:uid="{00000000-0005-0000-0000-0000ED9D0000}"/>
    <cellStyle name="Note 2 7 2 3" xfId="40424" xr:uid="{00000000-0005-0000-0000-0000EE9D0000}"/>
    <cellStyle name="Note 2 7 2 3 2" xfId="40425" xr:uid="{00000000-0005-0000-0000-0000EF9D0000}"/>
    <cellStyle name="Note 2 7 2 3 2 2" xfId="40426" xr:uid="{00000000-0005-0000-0000-0000F09D0000}"/>
    <cellStyle name="Note 2 7 2 3 3" xfId="40427" xr:uid="{00000000-0005-0000-0000-0000F19D0000}"/>
    <cellStyle name="Note 2 7 2 3 4" xfId="40428" xr:uid="{00000000-0005-0000-0000-0000F29D0000}"/>
    <cellStyle name="Note 2 7 2 3 5" xfId="40429" xr:uid="{00000000-0005-0000-0000-0000F39D0000}"/>
    <cellStyle name="Note 2 7 2 4" xfId="40430" xr:uid="{00000000-0005-0000-0000-0000F49D0000}"/>
    <cellStyle name="Note 2 7 2 4 2" xfId="40431" xr:uid="{00000000-0005-0000-0000-0000F59D0000}"/>
    <cellStyle name="Note 2 7 2 4 3" xfId="40432" xr:uid="{00000000-0005-0000-0000-0000F69D0000}"/>
    <cellStyle name="Note 2 7 2 4 4" xfId="40433" xr:uid="{00000000-0005-0000-0000-0000F79D0000}"/>
    <cellStyle name="Note 2 7 2 5" xfId="40434" xr:uid="{00000000-0005-0000-0000-0000F89D0000}"/>
    <cellStyle name="Note 2 7 2 5 2" xfId="40435" xr:uid="{00000000-0005-0000-0000-0000F99D0000}"/>
    <cellStyle name="Note 2 7 2 6" xfId="40436" xr:uid="{00000000-0005-0000-0000-0000FA9D0000}"/>
    <cellStyle name="Note 2 7 2 7" xfId="40437" xr:uid="{00000000-0005-0000-0000-0000FB9D0000}"/>
    <cellStyle name="Note 2 7 2 8" xfId="40438" xr:uid="{00000000-0005-0000-0000-0000FC9D0000}"/>
    <cellStyle name="Note 2 7 2 9" xfId="40439" xr:uid="{00000000-0005-0000-0000-0000FD9D0000}"/>
    <cellStyle name="Note 2 7 3" xfId="40440" xr:uid="{00000000-0005-0000-0000-0000FE9D0000}"/>
    <cellStyle name="Note 2 7 3 2" xfId="40441" xr:uid="{00000000-0005-0000-0000-0000FF9D0000}"/>
    <cellStyle name="Note 2 7 3 2 2" xfId="40442" xr:uid="{00000000-0005-0000-0000-0000009E0000}"/>
    <cellStyle name="Note 2 7 3 2 3" xfId="40443" xr:uid="{00000000-0005-0000-0000-0000019E0000}"/>
    <cellStyle name="Note 2 7 3 3" xfId="40444" xr:uid="{00000000-0005-0000-0000-0000029E0000}"/>
    <cellStyle name="Note 2 7 3 4" xfId="40445" xr:uid="{00000000-0005-0000-0000-0000039E0000}"/>
    <cellStyle name="Note 2 7 3 5" xfId="40446" xr:uid="{00000000-0005-0000-0000-0000049E0000}"/>
    <cellStyle name="Note 2 7 3 6" xfId="40447" xr:uid="{00000000-0005-0000-0000-0000059E0000}"/>
    <cellStyle name="Note 2 7 4" xfId="40448" xr:uid="{00000000-0005-0000-0000-0000069E0000}"/>
    <cellStyle name="Note 2 7 4 2" xfId="40449" xr:uid="{00000000-0005-0000-0000-0000079E0000}"/>
    <cellStyle name="Note 2 7 4 2 2" xfId="40450" xr:uid="{00000000-0005-0000-0000-0000089E0000}"/>
    <cellStyle name="Note 2 7 4 3" xfId="40451" xr:uid="{00000000-0005-0000-0000-0000099E0000}"/>
    <cellStyle name="Note 2 7 4 4" xfId="40452" xr:uid="{00000000-0005-0000-0000-00000A9E0000}"/>
    <cellStyle name="Note 2 7 4 5" xfId="40453" xr:uid="{00000000-0005-0000-0000-00000B9E0000}"/>
    <cellStyle name="Note 2 7 5" xfId="40454" xr:uid="{00000000-0005-0000-0000-00000C9E0000}"/>
    <cellStyle name="Note 2 7 5 2" xfId="40455" xr:uid="{00000000-0005-0000-0000-00000D9E0000}"/>
    <cellStyle name="Note 2 7 5 2 2" xfId="40456" xr:uid="{00000000-0005-0000-0000-00000E9E0000}"/>
    <cellStyle name="Note 2 7 5 3" xfId="40457" xr:uid="{00000000-0005-0000-0000-00000F9E0000}"/>
    <cellStyle name="Note 2 7 5 4" xfId="40458" xr:uid="{00000000-0005-0000-0000-0000109E0000}"/>
    <cellStyle name="Note 2 7 5 5" xfId="40459" xr:uid="{00000000-0005-0000-0000-0000119E0000}"/>
    <cellStyle name="Note 2 7 6" xfId="40460" xr:uid="{00000000-0005-0000-0000-0000129E0000}"/>
    <cellStyle name="Note 2 7 6 2" xfId="40461" xr:uid="{00000000-0005-0000-0000-0000139E0000}"/>
    <cellStyle name="Note 2 7 7" xfId="40462" xr:uid="{00000000-0005-0000-0000-0000149E0000}"/>
    <cellStyle name="Note 2 7 8" xfId="40463" xr:uid="{00000000-0005-0000-0000-0000159E0000}"/>
    <cellStyle name="Note 2 7 9" xfId="40464" xr:uid="{00000000-0005-0000-0000-0000169E0000}"/>
    <cellStyle name="Note 2 8" xfId="40465" xr:uid="{00000000-0005-0000-0000-0000179E0000}"/>
    <cellStyle name="Note 2 8 10" xfId="40466" xr:uid="{00000000-0005-0000-0000-0000189E0000}"/>
    <cellStyle name="Note 2 8 2" xfId="40467" xr:uid="{00000000-0005-0000-0000-0000199E0000}"/>
    <cellStyle name="Note 2 8 2 2" xfId="40468" xr:uid="{00000000-0005-0000-0000-00001A9E0000}"/>
    <cellStyle name="Note 2 8 2 2 2" xfId="40469" xr:uid="{00000000-0005-0000-0000-00001B9E0000}"/>
    <cellStyle name="Note 2 8 2 2 2 2" xfId="40470" xr:uid="{00000000-0005-0000-0000-00001C9E0000}"/>
    <cellStyle name="Note 2 8 2 2 2 3" xfId="40471" xr:uid="{00000000-0005-0000-0000-00001D9E0000}"/>
    <cellStyle name="Note 2 8 2 2 3" xfId="40472" xr:uid="{00000000-0005-0000-0000-00001E9E0000}"/>
    <cellStyle name="Note 2 8 2 2 4" xfId="40473" xr:uid="{00000000-0005-0000-0000-00001F9E0000}"/>
    <cellStyle name="Note 2 8 2 2 5" xfId="40474" xr:uid="{00000000-0005-0000-0000-0000209E0000}"/>
    <cellStyle name="Note 2 8 2 2 6" xfId="40475" xr:uid="{00000000-0005-0000-0000-0000219E0000}"/>
    <cellStyle name="Note 2 8 2 3" xfId="40476" xr:uid="{00000000-0005-0000-0000-0000229E0000}"/>
    <cellStyle name="Note 2 8 2 3 2" xfId="40477" xr:uid="{00000000-0005-0000-0000-0000239E0000}"/>
    <cellStyle name="Note 2 8 2 3 2 2" xfId="40478" xr:uid="{00000000-0005-0000-0000-0000249E0000}"/>
    <cellStyle name="Note 2 8 2 3 3" xfId="40479" xr:uid="{00000000-0005-0000-0000-0000259E0000}"/>
    <cellStyle name="Note 2 8 2 3 4" xfId="40480" xr:uid="{00000000-0005-0000-0000-0000269E0000}"/>
    <cellStyle name="Note 2 8 2 3 5" xfId="40481" xr:uid="{00000000-0005-0000-0000-0000279E0000}"/>
    <cellStyle name="Note 2 8 2 4" xfId="40482" xr:uid="{00000000-0005-0000-0000-0000289E0000}"/>
    <cellStyle name="Note 2 8 2 4 2" xfId="40483" xr:uid="{00000000-0005-0000-0000-0000299E0000}"/>
    <cellStyle name="Note 2 8 2 4 3" xfId="40484" xr:uid="{00000000-0005-0000-0000-00002A9E0000}"/>
    <cellStyle name="Note 2 8 2 4 4" xfId="40485" xr:uid="{00000000-0005-0000-0000-00002B9E0000}"/>
    <cellStyle name="Note 2 8 2 5" xfId="40486" xr:uid="{00000000-0005-0000-0000-00002C9E0000}"/>
    <cellStyle name="Note 2 8 2 5 2" xfId="40487" xr:uid="{00000000-0005-0000-0000-00002D9E0000}"/>
    <cellStyle name="Note 2 8 2 6" xfId="40488" xr:uid="{00000000-0005-0000-0000-00002E9E0000}"/>
    <cellStyle name="Note 2 8 2 7" xfId="40489" xr:uid="{00000000-0005-0000-0000-00002F9E0000}"/>
    <cellStyle name="Note 2 8 2 8" xfId="40490" xr:uid="{00000000-0005-0000-0000-0000309E0000}"/>
    <cellStyle name="Note 2 8 2 9" xfId="40491" xr:uid="{00000000-0005-0000-0000-0000319E0000}"/>
    <cellStyle name="Note 2 8 3" xfId="40492" xr:uid="{00000000-0005-0000-0000-0000329E0000}"/>
    <cellStyle name="Note 2 8 3 2" xfId="40493" xr:uid="{00000000-0005-0000-0000-0000339E0000}"/>
    <cellStyle name="Note 2 8 3 2 2" xfId="40494" xr:uid="{00000000-0005-0000-0000-0000349E0000}"/>
    <cellStyle name="Note 2 8 3 2 3" xfId="40495" xr:uid="{00000000-0005-0000-0000-0000359E0000}"/>
    <cellStyle name="Note 2 8 3 3" xfId="40496" xr:uid="{00000000-0005-0000-0000-0000369E0000}"/>
    <cellStyle name="Note 2 8 3 4" xfId="40497" xr:uid="{00000000-0005-0000-0000-0000379E0000}"/>
    <cellStyle name="Note 2 8 3 5" xfId="40498" xr:uid="{00000000-0005-0000-0000-0000389E0000}"/>
    <cellStyle name="Note 2 8 3 6" xfId="40499" xr:uid="{00000000-0005-0000-0000-0000399E0000}"/>
    <cellStyle name="Note 2 8 4" xfId="40500" xr:uid="{00000000-0005-0000-0000-00003A9E0000}"/>
    <cellStyle name="Note 2 8 4 2" xfId="40501" xr:uid="{00000000-0005-0000-0000-00003B9E0000}"/>
    <cellStyle name="Note 2 8 4 2 2" xfId="40502" xr:uid="{00000000-0005-0000-0000-00003C9E0000}"/>
    <cellStyle name="Note 2 8 4 3" xfId="40503" xr:uid="{00000000-0005-0000-0000-00003D9E0000}"/>
    <cellStyle name="Note 2 8 4 4" xfId="40504" xr:uid="{00000000-0005-0000-0000-00003E9E0000}"/>
    <cellStyle name="Note 2 8 4 5" xfId="40505" xr:uid="{00000000-0005-0000-0000-00003F9E0000}"/>
    <cellStyle name="Note 2 8 5" xfId="40506" xr:uid="{00000000-0005-0000-0000-0000409E0000}"/>
    <cellStyle name="Note 2 8 5 2" xfId="40507" xr:uid="{00000000-0005-0000-0000-0000419E0000}"/>
    <cellStyle name="Note 2 8 5 2 2" xfId="40508" xr:uid="{00000000-0005-0000-0000-0000429E0000}"/>
    <cellStyle name="Note 2 8 5 3" xfId="40509" xr:uid="{00000000-0005-0000-0000-0000439E0000}"/>
    <cellStyle name="Note 2 8 5 4" xfId="40510" xr:uid="{00000000-0005-0000-0000-0000449E0000}"/>
    <cellStyle name="Note 2 8 5 5" xfId="40511" xr:uid="{00000000-0005-0000-0000-0000459E0000}"/>
    <cellStyle name="Note 2 8 6" xfId="40512" xr:uid="{00000000-0005-0000-0000-0000469E0000}"/>
    <cellStyle name="Note 2 8 6 2" xfId="40513" xr:uid="{00000000-0005-0000-0000-0000479E0000}"/>
    <cellStyle name="Note 2 8 7" xfId="40514" xr:uid="{00000000-0005-0000-0000-0000489E0000}"/>
    <cellStyle name="Note 2 8 8" xfId="40515" xr:uid="{00000000-0005-0000-0000-0000499E0000}"/>
    <cellStyle name="Note 2 8 9" xfId="40516" xr:uid="{00000000-0005-0000-0000-00004A9E0000}"/>
    <cellStyle name="Note 2 9" xfId="40517" xr:uid="{00000000-0005-0000-0000-00004B9E0000}"/>
    <cellStyle name="Note 2 9 10" xfId="40518" xr:uid="{00000000-0005-0000-0000-00004C9E0000}"/>
    <cellStyle name="Note 2 9 2" xfId="40519" xr:uid="{00000000-0005-0000-0000-00004D9E0000}"/>
    <cellStyle name="Note 2 9 2 2" xfId="40520" xr:uid="{00000000-0005-0000-0000-00004E9E0000}"/>
    <cellStyle name="Note 2 9 2 2 2" xfId="40521" xr:uid="{00000000-0005-0000-0000-00004F9E0000}"/>
    <cellStyle name="Note 2 9 2 2 2 2" xfId="40522" xr:uid="{00000000-0005-0000-0000-0000509E0000}"/>
    <cellStyle name="Note 2 9 2 2 2 3" xfId="40523" xr:uid="{00000000-0005-0000-0000-0000519E0000}"/>
    <cellStyle name="Note 2 9 2 2 3" xfId="40524" xr:uid="{00000000-0005-0000-0000-0000529E0000}"/>
    <cellStyle name="Note 2 9 2 2 4" xfId="40525" xr:uid="{00000000-0005-0000-0000-0000539E0000}"/>
    <cellStyle name="Note 2 9 2 2 5" xfId="40526" xr:uid="{00000000-0005-0000-0000-0000549E0000}"/>
    <cellStyle name="Note 2 9 2 2 6" xfId="40527" xr:uid="{00000000-0005-0000-0000-0000559E0000}"/>
    <cellStyle name="Note 2 9 2 3" xfId="40528" xr:uid="{00000000-0005-0000-0000-0000569E0000}"/>
    <cellStyle name="Note 2 9 2 3 2" xfId="40529" xr:uid="{00000000-0005-0000-0000-0000579E0000}"/>
    <cellStyle name="Note 2 9 2 3 2 2" xfId="40530" xr:uid="{00000000-0005-0000-0000-0000589E0000}"/>
    <cellStyle name="Note 2 9 2 3 3" xfId="40531" xr:uid="{00000000-0005-0000-0000-0000599E0000}"/>
    <cellStyle name="Note 2 9 2 3 4" xfId="40532" xr:uid="{00000000-0005-0000-0000-00005A9E0000}"/>
    <cellStyle name="Note 2 9 2 3 5" xfId="40533" xr:uid="{00000000-0005-0000-0000-00005B9E0000}"/>
    <cellStyle name="Note 2 9 2 4" xfId="40534" xr:uid="{00000000-0005-0000-0000-00005C9E0000}"/>
    <cellStyle name="Note 2 9 2 4 2" xfId="40535" xr:uid="{00000000-0005-0000-0000-00005D9E0000}"/>
    <cellStyle name="Note 2 9 2 4 3" xfId="40536" xr:uid="{00000000-0005-0000-0000-00005E9E0000}"/>
    <cellStyle name="Note 2 9 2 4 4" xfId="40537" xr:uid="{00000000-0005-0000-0000-00005F9E0000}"/>
    <cellStyle name="Note 2 9 2 5" xfId="40538" xr:uid="{00000000-0005-0000-0000-0000609E0000}"/>
    <cellStyle name="Note 2 9 2 5 2" xfId="40539" xr:uid="{00000000-0005-0000-0000-0000619E0000}"/>
    <cellStyle name="Note 2 9 2 6" xfId="40540" xr:uid="{00000000-0005-0000-0000-0000629E0000}"/>
    <cellStyle name="Note 2 9 2 7" xfId="40541" xr:uid="{00000000-0005-0000-0000-0000639E0000}"/>
    <cellStyle name="Note 2 9 2 8" xfId="40542" xr:uid="{00000000-0005-0000-0000-0000649E0000}"/>
    <cellStyle name="Note 2 9 2 9" xfId="40543" xr:uid="{00000000-0005-0000-0000-0000659E0000}"/>
    <cellStyle name="Note 2 9 3" xfId="40544" xr:uid="{00000000-0005-0000-0000-0000669E0000}"/>
    <cellStyle name="Note 2 9 3 2" xfId="40545" xr:uid="{00000000-0005-0000-0000-0000679E0000}"/>
    <cellStyle name="Note 2 9 3 2 2" xfId="40546" xr:uid="{00000000-0005-0000-0000-0000689E0000}"/>
    <cellStyle name="Note 2 9 3 2 3" xfId="40547" xr:uid="{00000000-0005-0000-0000-0000699E0000}"/>
    <cellStyle name="Note 2 9 3 3" xfId="40548" xr:uid="{00000000-0005-0000-0000-00006A9E0000}"/>
    <cellStyle name="Note 2 9 3 4" xfId="40549" xr:uid="{00000000-0005-0000-0000-00006B9E0000}"/>
    <cellStyle name="Note 2 9 3 5" xfId="40550" xr:uid="{00000000-0005-0000-0000-00006C9E0000}"/>
    <cellStyle name="Note 2 9 3 6" xfId="40551" xr:uid="{00000000-0005-0000-0000-00006D9E0000}"/>
    <cellStyle name="Note 2 9 4" xfId="40552" xr:uid="{00000000-0005-0000-0000-00006E9E0000}"/>
    <cellStyle name="Note 2 9 4 2" xfId="40553" xr:uid="{00000000-0005-0000-0000-00006F9E0000}"/>
    <cellStyle name="Note 2 9 4 2 2" xfId="40554" xr:uid="{00000000-0005-0000-0000-0000709E0000}"/>
    <cellStyle name="Note 2 9 4 3" xfId="40555" xr:uid="{00000000-0005-0000-0000-0000719E0000}"/>
    <cellStyle name="Note 2 9 4 4" xfId="40556" xr:uid="{00000000-0005-0000-0000-0000729E0000}"/>
    <cellStyle name="Note 2 9 4 5" xfId="40557" xr:uid="{00000000-0005-0000-0000-0000739E0000}"/>
    <cellStyle name="Note 2 9 5" xfId="40558" xr:uid="{00000000-0005-0000-0000-0000749E0000}"/>
    <cellStyle name="Note 2 9 5 2" xfId="40559" xr:uid="{00000000-0005-0000-0000-0000759E0000}"/>
    <cellStyle name="Note 2 9 5 3" xfId="40560" xr:uid="{00000000-0005-0000-0000-0000769E0000}"/>
    <cellStyle name="Note 2 9 5 4" xfId="40561" xr:uid="{00000000-0005-0000-0000-0000779E0000}"/>
    <cellStyle name="Note 2 9 6" xfId="40562" xr:uid="{00000000-0005-0000-0000-0000789E0000}"/>
    <cellStyle name="Note 2 9 6 2" xfId="40563" xr:uid="{00000000-0005-0000-0000-0000799E0000}"/>
    <cellStyle name="Note 2 9 7" xfId="40564" xr:uid="{00000000-0005-0000-0000-00007A9E0000}"/>
    <cellStyle name="Note 2 9 8" xfId="40565" xr:uid="{00000000-0005-0000-0000-00007B9E0000}"/>
    <cellStyle name="Note 2 9 9" xfId="40566" xr:uid="{00000000-0005-0000-0000-00007C9E0000}"/>
    <cellStyle name="Note 20" xfId="40567" xr:uid="{00000000-0005-0000-0000-00007D9E0000}"/>
    <cellStyle name="Note 20 10" xfId="40568" xr:uid="{00000000-0005-0000-0000-00007E9E0000}"/>
    <cellStyle name="Note 20 2" xfId="40569" xr:uid="{00000000-0005-0000-0000-00007F9E0000}"/>
    <cellStyle name="Note 20 2 2" xfId="40570" xr:uid="{00000000-0005-0000-0000-0000809E0000}"/>
    <cellStyle name="Note 20 2 2 2" xfId="40571" xr:uid="{00000000-0005-0000-0000-0000819E0000}"/>
    <cellStyle name="Note 20 2 2 2 2" xfId="40572" xr:uid="{00000000-0005-0000-0000-0000829E0000}"/>
    <cellStyle name="Note 20 2 2 2 3" xfId="40573" xr:uid="{00000000-0005-0000-0000-0000839E0000}"/>
    <cellStyle name="Note 20 2 2 3" xfId="40574" xr:uid="{00000000-0005-0000-0000-0000849E0000}"/>
    <cellStyle name="Note 20 2 2 4" xfId="40575" xr:uid="{00000000-0005-0000-0000-0000859E0000}"/>
    <cellStyle name="Note 20 2 2 5" xfId="40576" xr:uid="{00000000-0005-0000-0000-0000869E0000}"/>
    <cellStyle name="Note 20 2 2 6" xfId="40577" xr:uid="{00000000-0005-0000-0000-0000879E0000}"/>
    <cellStyle name="Note 20 2 3" xfId="40578" xr:uid="{00000000-0005-0000-0000-0000889E0000}"/>
    <cellStyle name="Note 20 2 3 2" xfId="40579" xr:uid="{00000000-0005-0000-0000-0000899E0000}"/>
    <cellStyle name="Note 20 2 3 2 2" xfId="40580" xr:uid="{00000000-0005-0000-0000-00008A9E0000}"/>
    <cellStyle name="Note 20 2 3 3" xfId="40581" xr:uid="{00000000-0005-0000-0000-00008B9E0000}"/>
    <cellStyle name="Note 20 2 3 4" xfId="40582" xr:uid="{00000000-0005-0000-0000-00008C9E0000}"/>
    <cellStyle name="Note 20 2 3 5" xfId="40583" xr:uid="{00000000-0005-0000-0000-00008D9E0000}"/>
    <cellStyle name="Note 20 2 4" xfId="40584" xr:uid="{00000000-0005-0000-0000-00008E9E0000}"/>
    <cellStyle name="Note 20 2 4 2" xfId="40585" xr:uid="{00000000-0005-0000-0000-00008F9E0000}"/>
    <cellStyle name="Note 20 2 4 3" xfId="40586" xr:uid="{00000000-0005-0000-0000-0000909E0000}"/>
    <cellStyle name="Note 20 2 4 4" xfId="40587" xr:uid="{00000000-0005-0000-0000-0000919E0000}"/>
    <cellStyle name="Note 20 2 5" xfId="40588" xr:uid="{00000000-0005-0000-0000-0000929E0000}"/>
    <cellStyle name="Note 20 2 5 2" xfId="40589" xr:uid="{00000000-0005-0000-0000-0000939E0000}"/>
    <cellStyle name="Note 20 2 6" xfId="40590" xr:uid="{00000000-0005-0000-0000-0000949E0000}"/>
    <cellStyle name="Note 20 2 7" xfId="40591" xr:uid="{00000000-0005-0000-0000-0000959E0000}"/>
    <cellStyle name="Note 20 2 8" xfId="40592" xr:uid="{00000000-0005-0000-0000-0000969E0000}"/>
    <cellStyle name="Note 20 2 9" xfId="40593" xr:uid="{00000000-0005-0000-0000-0000979E0000}"/>
    <cellStyle name="Note 20 3" xfId="40594" xr:uid="{00000000-0005-0000-0000-0000989E0000}"/>
    <cellStyle name="Note 20 3 2" xfId="40595" xr:uid="{00000000-0005-0000-0000-0000999E0000}"/>
    <cellStyle name="Note 20 3 2 2" xfId="40596" xr:uid="{00000000-0005-0000-0000-00009A9E0000}"/>
    <cellStyle name="Note 20 3 2 3" xfId="40597" xr:uid="{00000000-0005-0000-0000-00009B9E0000}"/>
    <cellStyle name="Note 20 3 3" xfId="40598" xr:uid="{00000000-0005-0000-0000-00009C9E0000}"/>
    <cellStyle name="Note 20 3 4" xfId="40599" xr:uid="{00000000-0005-0000-0000-00009D9E0000}"/>
    <cellStyle name="Note 20 3 5" xfId="40600" xr:uid="{00000000-0005-0000-0000-00009E9E0000}"/>
    <cellStyle name="Note 20 3 6" xfId="40601" xr:uid="{00000000-0005-0000-0000-00009F9E0000}"/>
    <cellStyle name="Note 20 4" xfId="40602" xr:uid="{00000000-0005-0000-0000-0000A09E0000}"/>
    <cellStyle name="Note 20 4 2" xfId="40603" xr:uid="{00000000-0005-0000-0000-0000A19E0000}"/>
    <cellStyle name="Note 20 4 2 2" xfId="40604" xr:uid="{00000000-0005-0000-0000-0000A29E0000}"/>
    <cellStyle name="Note 20 4 3" xfId="40605" xr:uid="{00000000-0005-0000-0000-0000A39E0000}"/>
    <cellStyle name="Note 20 4 4" xfId="40606" xr:uid="{00000000-0005-0000-0000-0000A49E0000}"/>
    <cellStyle name="Note 20 4 5" xfId="40607" xr:uid="{00000000-0005-0000-0000-0000A59E0000}"/>
    <cellStyle name="Note 20 5" xfId="40608" xr:uid="{00000000-0005-0000-0000-0000A69E0000}"/>
    <cellStyle name="Note 20 5 2" xfId="40609" xr:uid="{00000000-0005-0000-0000-0000A79E0000}"/>
    <cellStyle name="Note 20 5 2 2" xfId="40610" xr:uid="{00000000-0005-0000-0000-0000A89E0000}"/>
    <cellStyle name="Note 20 5 3" xfId="40611" xr:uid="{00000000-0005-0000-0000-0000A99E0000}"/>
    <cellStyle name="Note 20 5 4" xfId="40612" xr:uid="{00000000-0005-0000-0000-0000AA9E0000}"/>
    <cellStyle name="Note 20 5 5" xfId="40613" xr:uid="{00000000-0005-0000-0000-0000AB9E0000}"/>
    <cellStyle name="Note 20 6" xfId="40614" xr:uid="{00000000-0005-0000-0000-0000AC9E0000}"/>
    <cellStyle name="Note 20 6 2" xfId="40615" xr:uid="{00000000-0005-0000-0000-0000AD9E0000}"/>
    <cellStyle name="Note 20 7" xfId="40616" xr:uid="{00000000-0005-0000-0000-0000AE9E0000}"/>
    <cellStyle name="Note 20 8" xfId="40617" xr:uid="{00000000-0005-0000-0000-0000AF9E0000}"/>
    <cellStyle name="Note 20 9" xfId="40618" xr:uid="{00000000-0005-0000-0000-0000B09E0000}"/>
    <cellStyle name="Note 21" xfId="40619" xr:uid="{00000000-0005-0000-0000-0000B19E0000}"/>
    <cellStyle name="Note 22" xfId="40620" xr:uid="{00000000-0005-0000-0000-0000B29E0000}"/>
    <cellStyle name="Note 23" xfId="40621" xr:uid="{00000000-0005-0000-0000-0000B39E0000}"/>
    <cellStyle name="Note 24" xfId="40622" xr:uid="{00000000-0005-0000-0000-0000B49E0000}"/>
    <cellStyle name="Note 24 10" xfId="40623" xr:uid="{00000000-0005-0000-0000-0000B59E0000}"/>
    <cellStyle name="Note 24 2" xfId="40624" xr:uid="{00000000-0005-0000-0000-0000B69E0000}"/>
    <cellStyle name="Note 24 2 2" xfId="40625" xr:uid="{00000000-0005-0000-0000-0000B79E0000}"/>
    <cellStyle name="Note 24 2 2 2" xfId="40626" xr:uid="{00000000-0005-0000-0000-0000B89E0000}"/>
    <cellStyle name="Note 24 2 2 2 2" xfId="40627" xr:uid="{00000000-0005-0000-0000-0000B99E0000}"/>
    <cellStyle name="Note 24 2 2 2 3" xfId="40628" xr:uid="{00000000-0005-0000-0000-0000BA9E0000}"/>
    <cellStyle name="Note 24 2 2 3" xfId="40629" xr:uid="{00000000-0005-0000-0000-0000BB9E0000}"/>
    <cellStyle name="Note 24 2 2 4" xfId="40630" xr:uid="{00000000-0005-0000-0000-0000BC9E0000}"/>
    <cellStyle name="Note 24 2 2 5" xfId="40631" xr:uid="{00000000-0005-0000-0000-0000BD9E0000}"/>
    <cellStyle name="Note 24 2 2 6" xfId="40632" xr:uid="{00000000-0005-0000-0000-0000BE9E0000}"/>
    <cellStyle name="Note 24 2 3" xfId="40633" xr:uid="{00000000-0005-0000-0000-0000BF9E0000}"/>
    <cellStyle name="Note 24 2 3 2" xfId="40634" xr:uid="{00000000-0005-0000-0000-0000C09E0000}"/>
    <cellStyle name="Note 24 2 3 2 2" xfId="40635" xr:uid="{00000000-0005-0000-0000-0000C19E0000}"/>
    <cellStyle name="Note 24 2 3 3" xfId="40636" xr:uid="{00000000-0005-0000-0000-0000C29E0000}"/>
    <cellStyle name="Note 24 2 3 4" xfId="40637" xr:uid="{00000000-0005-0000-0000-0000C39E0000}"/>
    <cellStyle name="Note 24 2 3 5" xfId="40638" xr:uid="{00000000-0005-0000-0000-0000C49E0000}"/>
    <cellStyle name="Note 24 2 4" xfId="40639" xr:uid="{00000000-0005-0000-0000-0000C59E0000}"/>
    <cellStyle name="Note 24 2 4 2" xfId="40640" xr:uid="{00000000-0005-0000-0000-0000C69E0000}"/>
    <cellStyle name="Note 24 2 4 3" xfId="40641" xr:uid="{00000000-0005-0000-0000-0000C79E0000}"/>
    <cellStyle name="Note 24 2 4 4" xfId="40642" xr:uid="{00000000-0005-0000-0000-0000C89E0000}"/>
    <cellStyle name="Note 24 2 5" xfId="40643" xr:uid="{00000000-0005-0000-0000-0000C99E0000}"/>
    <cellStyle name="Note 24 2 5 2" xfId="40644" xr:uid="{00000000-0005-0000-0000-0000CA9E0000}"/>
    <cellStyle name="Note 24 2 6" xfId="40645" xr:uid="{00000000-0005-0000-0000-0000CB9E0000}"/>
    <cellStyle name="Note 24 2 7" xfId="40646" xr:uid="{00000000-0005-0000-0000-0000CC9E0000}"/>
    <cellStyle name="Note 24 2 8" xfId="40647" xr:uid="{00000000-0005-0000-0000-0000CD9E0000}"/>
    <cellStyle name="Note 24 2 9" xfId="40648" xr:uid="{00000000-0005-0000-0000-0000CE9E0000}"/>
    <cellStyle name="Note 24 3" xfId="40649" xr:uid="{00000000-0005-0000-0000-0000CF9E0000}"/>
    <cellStyle name="Note 24 3 2" xfId="40650" xr:uid="{00000000-0005-0000-0000-0000D09E0000}"/>
    <cellStyle name="Note 24 3 2 2" xfId="40651" xr:uid="{00000000-0005-0000-0000-0000D19E0000}"/>
    <cellStyle name="Note 24 3 2 3" xfId="40652" xr:uid="{00000000-0005-0000-0000-0000D29E0000}"/>
    <cellStyle name="Note 24 3 3" xfId="40653" xr:uid="{00000000-0005-0000-0000-0000D39E0000}"/>
    <cellStyle name="Note 24 3 4" xfId="40654" xr:uid="{00000000-0005-0000-0000-0000D49E0000}"/>
    <cellStyle name="Note 24 3 5" xfId="40655" xr:uid="{00000000-0005-0000-0000-0000D59E0000}"/>
    <cellStyle name="Note 24 3 6" xfId="40656" xr:uid="{00000000-0005-0000-0000-0000D69E0000}"/>
    <cellStyle name="Note 24 4" xfId="40657" xr:uid="{00000000-0005-0000-0000-0000D79E0000}"/>
    <cellStyle name="Note 24 4 2" xfId="40658" xr:uid="{00000000-0005-0000-0000-0000D89E0000}"/>
    <cellStyle name="Note 24 4 2 2" xfId="40659" xr:uid="{00000000-0005-0000-0000-0000D99E0000}"/>
    <cellStyle name="Note 24 4 3" xfId="40660" xr:uid="{00000000-0005-0000-0000-0000DA9E0000}"/>
    <cellStyle name="Note 24 4 4" xfId="40661" xr:uid="{00000000-0005-0000-0000-0000DB9E0000}"/>
    <cellStyle name="Note 24 4 5" xfId="40662" xr:uid="{00000000-0005-0000-0000-0000DC9E0000}"/>
    <cellStyle name="Note 24 5" xfId="40663" xr:uid="{00000000-0005-0000-0000-0000DD9E0000}"/>
    <cellStyle name="Note 24 5 2" xfId="40664" xr:uid="{00000000-0005-0000-0000-0000DE9E0000}"/>
    <cellStyle name="Note 24 5 3" xfId="40665" xr:uid="{00000000-0005-0000-0000-0000DF9E0000}"/>
    <cellStyle name="Note 24 5 4" xfId="40666" xr:uid="{00000000-0005-0000-0000-0000E09E0000}"/>
    <cellStyle name="Note 24 6" xfId="40667" xr:uid="{00000000-0005-0000-0000-0000E19E0000}"/>
    <cellStyle name="Note 24 6 2" xfId="40668" xr:uid="{00000000-0005-0000-0000-0000E29E0000}"/>
    <cellStyle name="Note 24 7" xfId="40669" xr:uid="{00000000-0005-0000-0000-0000E39E0000}"/>
    <cellStyle name="Note 24 8" xfId="40670" xr:uid="{00000000-0005-0000-0000-0000E49E0000}"/>
    <cellStyle name="Note 24 9" xfId="40671" xr:uid="{00000000-0005-0000-0000-0000E59E0000}"/>
    <cellStyle name="Note 25" xfId="40672" xr:uid="{00000000-0005-0000-0000-0000E69E0000}"/>
    <cellStyle name="Note 25 2" xfId="40673" xr:uid="{00000000-0005-0000-0000-0000E79E0000}"/>
    <cellStyle name="Note 25 2 2" xfId="40674" xr:uid="{00000000-0005-0000-0000-0000E89E0000}"/>
    <cellStyle name="Note 25 2 2 2" xfId="40675" xr:uid="{00000000-0005-0000-0000-0000E99E0000}"/>
    <cellStyle name="Note 25 2 2 3" xfId="40676" xr:uid="{00000000-0005-0000-0000-0000EA9E0000}"/>
    <cellStyle name="Note 25 2 3" xfId="40677" xr:uid="{00000000-0005-0000-0000-0000EB9E0000}"/>
    <cellStyle name="Note 25 2 4" xfId="40678" xr:uid="{00000000-0005-0000-0000-0000EC9E0000}"/>
    <cellStyle name="Note 25 2 5" xfId="40679" xr:uid="{00000000-0005-0000-0000-0000ED9E0000}"/>
    <cellStyle name="Note 25 2 6" xfId="40680" xr:uid="{00000000-0005-0000-0000-0000EE9E0000}"/>
    <cellStyle name="Note 25 3" xfId="40681" xr:uid="{00000000-0005-0000-0000-0000EF9E0000}"/>
    <cellStyle name="Note 25 3 2" xfId="40682" xr:uid="{00000000-0005-0000-0000-0000F09E0000}"/>
    <cellStyle name="Note 25 3 2 2" xfId="40683" xr:uid="{00000000-0005-0000-0000-0000F19E0000}"/>
    <cellStyle name="Note 25 3 3" xfId="40684" xr:uid="{00000000-0005-0000-0000-0000F29E0000}"/>
    <cellStyle name="Note 25 3 4" xfId="40685" xr:uid="{00000000-0005-0000-0000-0000F39E0000}"/>
    <cellStyle name="Note 25 3 5" xfId="40686" xr:uid="{00000000-0005-0000-0000-0000F49E0000}"/>
    <cellStyle name="Note 25 4" xfId="40687" xr:uid="{00000000-0005-0000-0000-0000F59E0000}"/>
    <cellStyle name="Note 25 4 2" xfId="40688" xr:uid="{00000000-0005-0000-0000-0000F69E0000}"/>
    <cellStyle name="Note 25 4 3" xfId="40689" xr:uid="{00000000-0005-0000-0000-0000F79E0000}"/>
    <cellStyle name="Note 25 4 4" xfId="40690" xr:uid="{00000000-0005-0000-0000-0000F89E0000}"/>
    <cellStyle name="Note 25 5" xfId="40691" xr:uid="{00000000-0005-0000-0000-0000F99E0000}"/>
    <cellStyle name="Note 25 5 2" xfId="40692" xr:uid="{00000000-0005-0000-0000-0000FA9E0000}"/>
    <cellStyle name="Note 25 6" xfId="40693" xr:uid="{00000000-0005-0000-0000-0000FB9E0000}"/>
    <cellStyle name="Note 25 7" xfId="40694" xr:uid="{00000000-0005-0000-0000-0000FC9E0000}"/>
    <cellStyle name="Note 25 8" xfId="40695" xr:uid="{00000000-0005-0000-0000-0000FD9E0000}"/>
    <cellStyle name="Note 25 9" xfId="40696" xr:uid="{00000000-0005-0000-0000-0000FE9E0000}"/>
    <cellStyle name="Note 26" xfId="40697" xr:uid="{00000000-0005-0000-0000-0000FF9E0000}"/>
    <cellStyle name="Note 26 2" xfId="40698" xr:uid="{00000000-0005-0000-0000-0000009F0000}"/>
    <cellStyle name="Note 26 2 2" xfId="40699" xr:uid="{00000000-0005-0000-0000-0000019F0000}"/>
    <cellStyle name="Note 26 2 2 2" xfId="40700" xr:uid="{00000000-0005-0000-0000-0000029F0000}"/>
    <cellStyle name="Note 26 2 3" xfId="40701" xr:uid="{00000000-0005-0000-0000-0000039F0000}"/>
    <cellStyle name="Note 26 2 4" xfId="40702" xr:uid="{00000000-0005-0000-0000-0000049F0000}"/>
    <cellStyle name="Note 26 2 5" xfId="40703" xr:uid="{00000000-0005-0000-0000-0000059F0000}"/>
    <cellStyle name="Note 26 3" xfId="40704" xr:uid="{00000000-0005-0000-0000-0000069F0000}"/>
    <cellStyle name="Note 26 3 2" xfId="40705" xr:uid="{00000000-0005-0000-0000-0000079F0000}"/>
    <cellStyle name="Note 26 3 3" xfId="40706" xr:uid="{00000000-0005-0000-0000-0000089F0000}"/>
    <cellStyle name="Note 26 3 4" xfId="40707" xr:uid="{00000000-0005-0000-0000-0000099F0000}"/>
    <cellStyle name="Note 26 4" xfId="40708" xr:uid="{00000000-0005-0000-0000-00000A9F0000}"/>
    <cellStyle name="Note 26 4 2" xfId="40709" xr:uid="{00000000-0005-0000-0000-00000B9F0000}"/>
    <cellStyle name="Note 26 5" xfId="40710" xr:uid="{00000000-0005-0000-0000-00000C9F0000}"/>
    <cellStyle name="Note 26 6" xfId="40711" xr:uid="{00000000-0005-0000-0000-00000D9F0000}"/>
    <cellStyle name="Note 26 7" xfId="40712" xr:uid="{00000000-0005-0000-0000-00000E9F0000}"/>
    <cellStyle name="Note 26 8" xfId="40713" xr:uid="{00000000-0005-0000-0000-00000F9F0000}"/>
    <cellStyle name="Note 27" xfId="40714" xr:uid="{00000000-0005-0000-0000-0000109F0000}"/>
    <cellStyle name="Note 27 2" xfId="40715" xr:uid="{00000000-0005-0000-0000-0000119F0000}"/>
    <cellStyle name="Note 27 2 2" xfId="40716" xr:uid="{00000000-0005-0000-0000-0000129F0000}"/>
    <cellStyle name="Note 27 2 2 2" xfId="40717" xr:uid="{00000000-0005-0000-0000-0000139F0000}"/>
    <cellStyle name="Note 27 2 3" xfId="40718" xr:uid="{00000000-0005-0000-0000-0000149F0000}"/>
    <cellStyle name="Note 27 2 4" xfId="40719" xr:uid="{00000000-0005-0000-0000-0000159F0000}"/>
    <cellStyle name="Note 27 2 5" xfId="40720" xr:uid="{00000000-0005-0000-0000-0000169F0000}"/>
    <cellStyle name="Note 27 3" xfId="40721" xr:uid="{00000000-0005-0000-0000-0000179F0000}"/>
    <cellStyle name="Note 27 3 2" xfId="40722" xr:uid="{00000000-0005-0000-0000-0000189F0000}"/>
    <cellStyle name="Note 27 3 3" xfId="40723" xr:uid="{00000000-0005-0000-0000-0000199F0000}"/>
    <cellStyle name="Note 27 3 4" xfId="40724" xr:uid="{00000000-0005-0000-0000-00001A9F0000}"/>
    <cellStyle name="Note 27 4" xfId="40725" xr:uid="{00000000-0005-0000-0000-00001B9F0000}"/>
    <cellStyle name="Note 27 4 2" xfId="40726" xr:uid="{00000000-0005-0000-0000-00001C9F0000}"/>
    <cellStyle name="Note 27 5" xfId="40727" xr:uid="{00000000-0005-0000-0000-00001D9F0000}"/>
    <cellStyle name="Note 27 6" xfId="40728" xr:uid="{00000000-0005-0000-0000-00001E9F0000}"/>
    <cellStyle name="Note 27 7" xfId="40729" xr:uid="{00000000-0005-0000-0000-00001F9F0000}"/>
    <cellStyle name="Note 27 8" xfId="40730" xr:uid="{00000000-0005-0000-0000-0000209F0000}"/>
    <cellStyle name="Note 28" xfId="40731" xr:uid="{00000000-0005-0000-0000-0000219F0000}"/>
    <cellStyle name="Note 28 2" xfId="40732" xr:uid="{00000000-0005-0000-0000-0000229F0000}"/>
    <cellStyle name="Note 28 2 2" xfId="40733" xr:uid="{00000000-0005-0000-0000-0000239F0000}"/>
    <cellStyle name="Note 28 2 3" xfId="40734" xr:uid="{00000000-0005-0000-0000-0000249F0000}"/>
    <cellStyle name="Note 28 2 4" xfId="40735" xr:uid="{00000000-0005-0000-0000-0000259F0000}"/>
    <cellStyle name="Note 28 3" xfId="40736" xr:uid="{00000000-0005-0000-0000-0000269F0000}"/>
    <cellStyle name="Note 28 3 2" xfId="40737" xr:uid="{00000000-0005-0000-0000-0000279F0000}"/>
    <cellStyle name="Note 28 4" xfId="40738" xr:uid="{00000000-0005-0000-0000-0000289F0000}"/>
    <cellStyle name="Note 28 5" xfId="40739" xr:uid="{00000000-0005-0000-0000-0000299F0000}"/>
    <cellStyle name="Note 28 6" xfId="40740" xr:uid="{00000000-0005-0000-0000-00002A9F0000}"/>
    <cellStyle name="Note 29" xfId="40741" xr:uid="{00000000-0005-0000-0000-00002B9F0000}"/>
    <cellStyle name="Note 29 2" xfId="40742" xr:uid="{00000000-0005-0000-0000-00002C9F0000}"/>
    <cellStyle name="Note 29 2 2" xfId="40743" xr:uid="{00000000-0005-0000-0000-00002D9F0000}"/>
    <cellStyle name="Note 29 2 3" xfId="40744" xr:uid="{00000000-0005-0000-0000-00002E9F0000}"/>
    <cellStyle name="Note 29 2 4" xfId="40745" xr:uid="{00000000-0005-0000-0000-00002F9F0000}"/>
    <cellStyle name="Note 29 3" xfId="40746" xr:uid="{00000000-0005-0000-0000-0000309F0000}"/>
    <cellStyle name="Note 29 3 2" xfId="40747" xr:uid="{00000000-0005-0000-0000-0000319F0000}"/>
    <cellStyle name="Note 29 4" xfId="40748" xr:uid="{00000000-0005-0000-0000-0000329F0000}"/>
    <cellStyle name="Note 29 5" xfId="40749" xr:uid="{00000000-0005-0000-0000-0000339F0000}"/>
    <cellStyle name="Note 29 6" xfId="40750" xr:uid="{00000000-0005-0000-0000-0000349F0000}"/>
    <cellStyle name="Note 3" xfId="40751" xr:uid="{00000000-0005-0000-0000-0000359F0000}"/>
    <cellStyle name="Note 3 10" xfId="40752" xr:uid="{00000000-0005-0000-0000-0000369F0000}"/>
    <cellStyle name="Note 3 10 2" xfId="40753" xr:uid="{00000000-0005-0000-0000-0000379F0000}"/>
    <cellStyle name="Note 3 10 2 2" xfId="40754" xr:uid="{00000000-0005-0000-0000-0000389F0000}"/>
    <cellStyle name="Note 3 10 2 2 2" xfId="40755" xr:uid="{00000000-0005-0000-0000-0000399F0000}"/>
    <cellStyle name="Note 3 10 2 2 3" xfId="40756" xr:uid="{00000000-0005-0000-0000-00003A9F0000}"/>
    <cellStyle name="Note 3 10 2 3" xfId="40757" xr:uid="{00000000-0005-0000-0000-00003B9F0000}"/>
    <cellStyle name="Note 3 10 2 4" xfId="40758" xr:uid="{00000000-0005-0000-0000-00003C9F0000}"/>
    <cellStyle name="Note 3 10 2 5" xfId="40759" xr:uid="{00000000-0005-0000-0000-00003D9F0000}"/>
    <cellStyle name="Note 3 10 2 6" xfId="40760" xr:uid="{00000000-0005-0000-0000-00003E9F0000}"/>
    <cellStyle name="Note 3 10 3" xfId="40761" xr:uid="{00000000-0005-0000-0000-00003F9F0000}"/>
    <cellStyle name="Note 3 10 3 2" xfId="40762" xr:uid="{00000000-0005-0000-0000-0000409F0000}"/>
    <cellStyle name="Note 3 10 3 2 2" xfId="40763" xr:uid="{00000000-0005-0000-0000-0000419F0000}"/>
    <cellStyle name="Note 3 10 3 3" xfId="40764" xr:uid="{00000000-0005-0000-0000-0000429F0000}"/>
    <cellStyle name="Note 3 10 3 4" xfId="40765" xr:uid="{00000000-0005-0000-0000-0000439F0000}"/>
    <cellStyle name="Note 3 10 3 5" xfId="40766" xr:uid="{00000000-0005-0000-0000-0000449F0000}"/>
    <cellStyle name="Note 3 10 4" xfId="40767" xr:uid="{00000000-0005-0000-0000-0000459F0000}"/>
    <cellStyle name="Note 3 10 4 2" xfId="40768" xr:uid="{00000000-0005-0000-0000-0000469F0000}"/>
    <cellStyle name="Note 3 10 4 3" xfId="40769" xr:uid="{00000000-0005-0000-0000-0000479F0000}"/>
    <cellStyle name="Note 3 10 4 4" xfId="40770" xr:uid="{00000000-0005-0000-0000-0000489F0000}"/>
    <cellStyle name="Note 3 10 5" xfId="40771" xr:uid="{00000000-0005-0000-0000-0000499F0000}"/>
    <cellStyle name="Note 3 10 5 2" xfId="40772" xr:uid="{00000000-0005-0000-0000-00004A9F0000}"/>
    <cellStyle name="Note 3 10 6" xfId="40773" xr:uid="{00000000-0005-0000-0000-00004B9F0000}"/>
    <cellStyle name="Note 3 10 7" xfId="40774" xr:uid="{00000000-0005-0000-0000-00004C9F0000}"/>
    <cellStyle name="Note 3 10 8" xfId="40775" xr:uid="{00000000-0005-0000-0000-00004D9F0000}"/>
    <cellStyle name="Note 3 10 9" xfId="40776" xr:uid="{00000000-0005-0000-0000-00004E9F0000}"/>
    <cellStyle name="Note 3 11" xfId="40777" xr:uid="{00000000-0005-0000-0000-00004F9F0000}"/>
    <cellStyle name="Note 3 11 2" xfId="40778" xr:uid="{00000000-0005-0000-0000-0000509F0000}"/>
    <cellStyle name="Note 3 11 2 2" xfId="40779" xr:uid="{00000000-0005-0000-0000-0000519F0000}"/>
    <cellStyle name="Note 3 11 2 3" xfId="40780" xr:uid="{00000000-0005-0000-0000-0000529F0000}"/>
    <cellStyle name="Note 3 11 3" xfId="40781" xr:uid="{00000000-0005-0000-0000-0000539F0000}"/>
    <cellStyle name="Note 3 11 4" xfId="40782" xr:uid="{00000000-0005-0000-0000-0000549F0000}"/>
    <cellStyle name="Note 3 11 5" xfId="40783" xr:uid="{00000000-0005-0000-0000-0000559F0000}"/>
    <cellStyle name="Note 3 11 6" xfId="40784" xr:uid="{00000000-0005-0000-0000-0000569F0000}"/>
    <cellStyle name="Note 3 12" xfId="40785" xr:uid="{00000000-0005-0000-0000-0000579F0000}"/>
    <cellStyle name="Note 3 12 2" xfId="40786" xr:uid="{00000000-0005-0000-0000-0000589F0000}"/>
    <cellStyle name="Note 3 12 2 2" xfId="40787" xr:uid="{00000000-0005-0000-0000-0000599F0000}"/>
    <cellStyle name="Note 3 12 3" xfId="40788" xr:uid="{00000000-0005-0000-0000-00005A9F0000}"/>
    <cellStyle name="Note 3 12 4" xfId="40789" xr:uid="{00000000-0005-0000-0000-00005B9F0000}"/>
    <cellStyle name="Note 3 12 5" xfId="40790" xr:uid="{00000000-0005-0000-0000-00005C9F0000}"/>
    <cellStyle name="Note 3 13" xfId="40791" xr:uid="{00000000-0005-0000-0000-00005D9F0000}"/>
    <cellStyle name="Note 3 13 2" xfId="40792" xr:uid="{00000000-0005-0000-0000-00005E9F0000}"/>
    <cellStyle name="Note 3 13 2 2" xfId="40793" xr:uid="{00000000-0005-0000-0000-00005F9F0000}"/>
    <cellStyle name="Note 3 13 3" xfId="40794" xr:uid="{00000000-0005-0000-0000-0000609F0000}"/>
    <cellStyle name="Note 3 13 4" xfId="40795" xr:uid="{00000000-0005-0000-0000-0000619F0000}"/>
    <cellStyle name="Note 3 13 5" xfId="40796" xr:uid="{00000000-0005-0000-0000-0000629F0000}"/>
    <cellStyle name="Note 3 14" xfId="40797" xr:uid="{00000000-0005-0000-0000-0000639F0000}"/>
    <cellStyle name="Note 3 14 2" xfId="40798" xr:uid="{00000000-0005-0000-0000-0000649F0000}"/>
    <cellStyle name="Note 3 15" xfId="40799" xr:uid="{00000000-0005-0000-0000-0000659F0000}"/>
    <cellStyle name="Note 3 16" xfId="40800" xr:uid="{00000000-0005-0000-0000-0000669F0000}"/>
    <cellStyle name="Note 3 17" xfId="40801" xr:uid="{00000000-0005-0000-0000-0000679F0000}"/>
    <cellStyle name="Note 3 18" xfId="40802" xr:uid="{00000000-0005-0000-0000-0000689F0000}"/>
    <cellStyle name="Note 3 2" xfId="40803" xr:uid="{00000000-0005-0000-0000-0000699F0000}"/>
    <cellStyle name="Note 3 2 10" xfId="40804" xr:uid="{00000000-0005-0000-0000-00006A9F0000}"/>
    <cellStyle name="Note 3 2 2" xfId="40805" xr:uid="{00000000-0005-0000-0000-00006B9F0000}"/>
    <cellStyle name="Note 3 2 2 2" xfId="40806" xr:uid="{00000000-0005-0000-0000-00006C9F0000}"/>
    <cellStyle name="Note 3 2 2 2 2" xfId="40807" xr:uid="{00000000-0005-0000-0000-00006D9F0000}"/>
    <cellStyle name="Note 3 2 2 2 2 2" xfId="40808" xr:uid="{00000000-0005-0000-0000-00006E9F0000}"/>
    <cellStyle name="Note 3 2 2 2 2 3" xfId="40809" xr:uid="{00000000-0005-0000-0000-00006F9F0000}"/>
    <cellStyle name="Note 3 2 2 2 3" xfId="40810" xr:uid="{00000000-0005-0000-0000-0000709F0000}"/>
    <cellStyle name="Note 3 2 2 2 4" xfId="40811" xr:uid="{00000000-0005-0000-0000-0000719F0000}"/>
    <cellStyle name="Note 3 2 2 2 5" xfId="40812" xr:uid="{00000000-0005-0000-0000-0000729F0000}"/>
    <cellStyle name="Note 3 2 2 2 6" xfId="40813" xr:uid="{00000000-0005-0000-0000-0000739F0000}"/>
    <cellStyle name="Note 3 2 2 3" xfId="40814" xr:uid="{00000000-0005-0000-0000-0000749F0000}"/>
    <cellStyle name="Note 3 2 2 3 2" xfId="40815" xr:uid="{00000000-0005-0000-0000-0000759F0000}"/>
    <cellStyle name="Note 3 2 2 3 2 2" xfId="40816" xr:uid="{00000000-0005-0000-0000-0000769F0000}"/>
    <cellStyle name="Note 3 2 2 3 3" xfId="40817" xr:uid="{00000000-0005-0000-0000-0000779F0000}"/>
    <cellStyle name="Note 3 2 2 3 4" xfId="40818" xr:uid="{00000000-0005-0000-0000-0000789F0000}"/>
    <cellStyle name="Note 3 2 2 3 5" xfId="40819" xr:uid="{00000000-0005-0000-0000-0000799F0000}"/>
    <cellStyle name="Note 3 2 2 4" xfId="40820" xr:uid="{00000000-0005-0000-0000-00007A9F0000}"/>
    <cellStyle name="Note 3 2 2 4 2" xfId="40821" xr:uid="{00000000-0005-0000-0000-00007B9F0000}"/>
    <cellStyle name="Note 3 2 2 4 3" xfId="40822" xr:uid="{00000000-0005-0000-0000-00007C9F0000}"/>
    <cellStyle name="Note 3 2 2 4 4" xfId="40823" xr:uid="{00000000-0005-0000-0000-00007D9F0000}"/>
    <cellStyle name="Note 3 2 2 5" xfId="40824" xr:uid="{00000000-0005-0000-0000-00007E9F0000}"/>
    <cellStyle name="Note 3 2 2 5 2" xfId="40825" xr:uid="{00000000-0005-0000-0000-00007F9F0000}"/>
    <cellStyle name="Note 3 2 2 6" xfId="40826" xr:uid="{00000000-0005-0000-0000-0000809F0000}"/>
    <cellStyle name="Note 3 2 2 7" xfId="40827" xr:uid="{00000000-0005-0000-0000-0000819F0000}"/>
    <cellStyle name="Note 3 2 2 8" xfId="40828" xr:uid="{00000000-0005-0000-0000-0000829F0000}"/>
    <cellStyle name="Note 3 2 2 9" xfId="40829" xr:uid="{00000000-0005-0000-0000-0000839F0000}"/>
    <cellStyle name="Note 3 2 3" xfId="40830" xr:uid="{00000000-0005-0000-0000-0000849F0000}"/>
    <cellStyle name="Note 3 2 3 2" xfId="40831" xr:uid="{00000000-0005-0000-0000-0000859F0000}"/>
    <cellStyle name="Note 3 2 3 2 2" xfId="40832" xr:uid="{00000000-0005-0000-0000-0000869F0000}"/>
    <cellStyle name="Note 3 2 3 2 3" xfId="40833" xr:uid="{00000000-0005-0000-0000-0000879F0000}"/>
    <cellStyle name="Note 3 2 3 3" xfId="40834" xr:uid="{00000000-0005-0000-0000-0000889F0000}"/>
    <cellStyle name="Note 3 2 3 4" xfId="40835" xr:uid="{00000000-0005-0000-0000-0000899F0000}"/>
    <cellStyle name="Note 3 2 3 5" xfId="40836" xr:uid="{00000000-0005-0000-0000-00008A9F0000}"/>
    <cellStyle name="Note 3 2 3 6" xfId="40837" xr:uid="{00000000-0005-0000-0000-00008B9F0000}"/>
    <cellStyle name="Note 3 2 4" xfId="40838" xr:uid="{00000000-0005-0000-0000-00008C9F0000}"/>
    <cellStyle name="Note 3 2 4 2" xfId="40839" xr:uid="{00000000-0005-0000-0000-00008D9F0000}"/>
    <cellStyle name="Note 3 2 4 2 2" xfId="40840" xr:uid="{00000000-0005-0000-0000-00008E9F0000}"/>
    <cellStyle name="Note 3 2 4 3" xfId="40841" xr:uid="{00000000-0005-0000-0000-00008F9F0000}"/>
    <cellStyle name="Note 3 2 4 4" xfId="40842" xr:uid="{00000000-0005-0000-0000-0000909F0000}"/>
    <cellStyle name="Note 3 2 4 5" xfId="40843" xr:uid="{00000000-0005-0000-0000-0000919F0000}"/>
    <cellStyle name="Note 3 2 5" xfId="40844" xr:uid="{00000000-0005-0000-0000-0000929F0000}"/>
    <cellStyle name="Note 3 2 5 2" xfId="40845" xr:uid="{00000000-0005-0000-0000-0000939F0000}"/>
    <cellStyle name="Note 3 2 5 2 2" xfId="40846" xr:uid="{00000000-0005-0000-0000-0000949F0000}"/>
    <cellStyle name="Note 3 2 5 3" xfId="40847" xr:uid="{00000000-0005-0000-0000-0000959F0000}"/>
    <cellStyle name="Note 3 2 5 4" xfId="40848" xr:uid="{00000000-0005-0000-0000-0000969F0000}"/>
    <cellStyle name="Note 3 2 5 5" xfId="40849" xr:uid="{00000000-0005-0000-0000-0000979F0000}"/>
    <cellStyle name="Note 3 2 6" xfId="40850" xr:uid="{00000000-0005-0000-0000-0000989F0000}"/>
    <cellStyle name="Note 3 2 6 2" xfId="40851" xr:uid="{00000000-0005-0000-0000-0000999F0000}"/>
    <cellStyle name="Note 3 2 7" xfId="40852" xr:uid="{00000000-0005-0000-0000-00009A9F0000}"/>
    <cellStyle name="Note 3 2 8" xfId="40853" xr:uid="{00000000-0005-0000-0000-00009B9F0000}"/>
    <cellStyle name="Note 3 2 9" xfId="40854" xr:uid="{00000000-0005-0000-0000-00009C9F0000}"/>
    <cellStyle name="Note 3 3" xfId="40855" xr:uid="{00000000-0005-0000-0000-00009D9F0000}"/>
    <cellStyle name="Note 3 3 10" xfId="40856" xr:uid="{00000000-0005-0000-0000-00009E9F0000}"/>
    <cellStyle name="Note 3 3 2" xfId="40857" xr:uid="{00000000-0005-0000-0000-00009F9F0000}"/>
    <cellStyle name="Note 3 3 2 2" xfId="40858" xr:uid="{00000000-0005-0000-0000-0000A09F0000}"/>
    <cellStyle name="Note 3 3 2 2 2" xfId="40859" xr:uid="{00000000-0005-0000-0000-0000A19F0000}"/>
    <cellStyle name="Note 3 3 2 2 2 2" xfId="40860" xr:uid="{00000000-0005-0000-0000-0000A29F0000}"/>
    <cellStyle name="Note 3 3 2 2 2 3" xfId="40861" xr:uid="{00000000-0005-0000-0000-0000A39F0000}"/>
    <cellStyle name="Note 3 3 2 2 3" xfId="40862" xr:uid="{00000000-0005-0000-0000-0000A49F0000}"/>
    <cellStyle name="Note 3 3 2 2 4" xfId="40863" xr:uid="{00000000-0005-0000-0000-0000A59F0000}"/>
    <cellStyle name="Note 3 3 2 2 5" xfId="40864" xr:uid="{00000000-0005-0000-0000-0000A69F0000}"/>
    <cellStyle name="Note 3 3 2 2 6" xfId="40865" xr:uid="{00000000-0005-0000-0000-0000A79F0000}"/>
    <cellStyle name="Note 3 3 2 3" xfId="40866" xr:uid="{00000000-0005-0000-0000-0000A89F0000}"/>
    <cellStyle name="Note 3 3 2 3 2" xfId="40867" xr:uid="{00000000-0005-0000-0000-0000A99F0000}"/>
    <cellStyle name="Note 3 3 2 3 2 2" xfId="40868" xr:uid="{00000000-0005-0000-0000-0000AA9F0000}"/>
    <cellStyle name="Note 3 3 2 3 3" xfId="40869" xr:uid="{00000000-0005-0000-0000-0000AB9F0000}"/>
    <cellStyle name="Note 3 3 2 3 4" xfId="40870" xr:uid="{00000000-0005-0000-0000-0000AC9F0000}"/>
    <cellStyle name="Note 3 3 2 3 5" xfId="40871" xr:uid="{00000000-0005-0000-0000-0000AD9F0000}"/>
    <cellStyle name="Note 3 3 2 4" xfId="40872" xr:uid="{00000000-0005-0000-0000-0000AE9F0000}"/>
    <cellStyle name="Note 3 3 2 4 2" xfId="40873" xr:uid="{00000000-0005-0000-0000-0000AF9F0000}"/>
    <cellStyle name="Note 3 3 2 4 3" xfId="40874" xr:uid="{00000000-0005-0000-0000-0000B09F0000}"/>
    <cellStyle name="Note 3 3 2 4 4" xfId="40875" xr:uid="{00000000-0005-0000-0000-0000B19F0000}"/>
    <cellStyle name="Note 3 3 2 5" xfId="40876" xr:uid="{00000000-0005-0000-0000-0000B29F0000}"/>
    <cellStyle name="Note 3 3 2 5 2" xfId="40877" xr:uid="{00000000-0005-0000-0000-0000B39F0000}"/>
    <cellStyle name="Note 3 3 2 6" xfId="40878" xr:uid="{00000000-0005-0000-0000-0000B49F0000}"/>
    <cellStyle name="Note 3 3 2 7" xfId="40879" xr:uid="{00000000-0005-0000-0000-0000B59F0000}"/>
    <cellStyle name="Note 3 3 2 8" xfId="40880" xr:uid="{00000000-0005-0000-0000-0000B69F0000}"/>
    <cellStyle name="Note 3 3 2 9" xfId="40881" xr:uid="{00000000-0005-0000-0000-0000B79F0000}"/>
    <cellStyle name="Note 3 3 3" xfId="40882" xr:uid="{00000000-0005-0000-0000-0000B89F0000}"/>
    <cellStyle name="Note 3 3 3 2" xfId="40883" xr:uid="{00000000-0005-0000-0000-0000B99F0000}"/>
    <cellStyle name="Note 3 3 3 2 2" xfId="40884" xr:uid="{00000000-0005-0000-0000-0000BA9F0000}"/>
    <cellStyle name="Note 3 3 3 2 3" xfId="40885" xr:uid="{00000000-0005-0000-0000-0000BB9F0000}"/>
    <cellStyle name="Note 3 3 3 3" xfId="40886" xr:uid="{00000000-0005-0000-0000-0000BC9F0000}"/>
    <cellStyle name="Note 3 3 3 4" xfId="40887" xr:uid="{00000000-0005-0000-0000-0000BD9F0000}"/>
    <cellStyle name="Note 3 3 3 5" xfId="40888" xr:uid="{00000000-0005-0000-0000-0000BE9F0000}"/>
    <cellStyle name="Note 3 3 3 6" xfId="40889" xr:uid="{00000000-0005-0000-0000-0000BF9F0000}"/>
    <cellStyle name="Note 3 3 4" xfId="40890" xr:uid="{00000000-0005-0000-0000-0000C09F0000}"/>
    <cellStyle name="Note 3 3 4 2" xfId="40891" xr:uid="{00000000-0005-0000-0000-0000C19F0000}"/>
    <cellStyle name="Note 3 3 4 2 2" xfId="40892" xr:uid="{00000000-0005-0000-0000-0000C29F0000}"/>
    <cellStyle name="Note 3 3 4 3" xfId="40893" xr:uid="{00000000-0005-0000-0000-0000C39F0000}"/>
    <cellStyle name="Note 3 3 4 4" xfId="40894" xr:uid="{00000000-0005-0000-0000-0000C49F0000}"/>
    <cellStyle name="Note 3 3 4 5" xfId="40895" xr:uid="{00000000-0005-0000-0000-0000C59F0000}"/>
    <cellStyle name="Note 3 3 5" xfId="40896" xr:uid="{00000000-0005-0000-0000-0000C69F0000}"/>
    <cellStyle name="Note 3 3 5 2" xfId="40897" xr:uid="{00000000-0005-0000-0000-0000C79F0000}"/>
    <cellStyle name="Note 3 3 5 2 2" xfId="40898" xr:uid="{00000000-0005-0000-0000-0000C89F0000}"/>
    <cellStyle name="Note 3 3 5 3" xfId="40899" xr:uid="{00000000-0005-0000-0000-0000C99F0000}"/>
    <cellStyle name="Note 3 3 5 4" xfId="40900" xr:uid="{00000000-0005-0000-0000-0000CA9F0000}"/>
    <cellStyle name="Note 3 3 5 5" xfId="40901" xr:uid="{00000000-0005-0000-0000-0000CB9F0000}"/>
    <cellStyle name="Note 3 3 6" xfId="40902" xr:uid="{00000000-0005-0000-0000-0000CC9F0000}"/>
    <cellStyle name="Note 3 3 6 2" xfId="40903" xr:uid="{00000000-0005-0000-0000-0000CD9F0000}"/>
    <cellStyle name="Note 3 3 7" xfId="40904" xr:uid="{00000000-0005-0000-0000-0000CE9F0000}"/>
    <cellStyle name="Note 3 3 8" xfId="40905" xr:uid="{00000000-0005-0000-0000-0000CF9F0000}"/>
    <cellStyle name="Note 3 3 9" xfId="40906" xr:uid="{00000000-0005-0000-0000-0000D09F0000}"/>
    <cellStyle name="Note 3 4" xfId="40907" xr:uid="{00000000-0005-0000-0000-0000D19F0000}"/>
    <cellStyle name="Note 3 4 10" xfId="40908" xr:uid="{00000000-0005-0000-0000-0000D29F0000}"/>
    <cellStyle name="Note 3 4 2" xfId="40909" xr:uid="{00000000-0005-0000-0000-0000D39F0000}"/>
    <cellStyle name="Note 3 4 2 2" xfId="40910" xr:uid="{00000000-0005-0000-0000-0000D49F0000}"/>
    <cellStyle name="Note 3 4 2 2 2" xfId="40911" xr:uid="{00000000-0005-0000-0000-0000D59F0000}"/>
    <cellStyle name="Note 3 4 2 2 2 2" xfId="40912" xr:uid="{00000000-0005-0000-0000-0000D69F0000}"/>
    <cellStyle name="Note 3 4 2 2 2 3" xfId="40913" xr:uid="{00000000-0005-0000-0000-0000D79F0000}"/>
    <cellStyle name="Note 3 4 2 2 3" xfId="40914" xr:uid="{00000000-0005-0000-0000-0000D89F0000}"/>
    <cellStyle name="Note 3 4 2 2 4" xfId="40915" xr:uid="{00000000-0005-0000-0000-0000D99F0000}"/>
    <cellStyle name="Note 3 4 2 2 5" xfId="40916" xr:uid="{00000000-0005-0000-0000-0000DA9F0000}"/>
    <cellStyle name="Note 3 4 2 2 6" xfId="40917" xr:uid="{00000000-0005-0000-0000-0000DB9F0000}"/>
    <cellStyle name="Note 3 4 2 3" xfId="40918" xr:uid="{00000000-0005-0000-0000-0000DC9F0000}"/>
    <cellStyle name="Note 3 4 2 3 2" xfId="40919" xr:uid="{00000000-0005-0000-0000-0000DD9F0000}"/>
    <cellStyle name="Note 3 4 2 3 2 2" xfId="40920" xr:uid="{00000000-0005-0000-0000-0000DE9F0000}"/>
    <cellStyle name="Note 3 4 2 3 3" xfId="40921" xr:uid="{00000000-0005-0000-0000-0000DF9F0000}"/>
    <cellStyle name="Note 3 4 2 3 4" xfId="40922" xr:uid="{00000000-0005-0000-0000-0000E09F0000}"/>
    <cellStyle name="Note 3 4 2 3 5" xfId="40923" xr:uid="{00000000-0005-0000-0000-0000E19F0000}"/>
    <cellStyle name="Note 3 4 2 4" xfId="40924" xr:uid="{00000000-0005-0000-0000-0000E29F0000}"/>
    <cellStyle name="Note 3 4 2 4 2" xfId="40925" xr:uid="{00000000-0005-0000-0000-0000E39F0000}"/>
    <cellStyle name="Note 3 4 2 4 3" xfId="40926" xr:uid="{00000000-0005-0000-0000-0000E49F0000}"/>
    <cellStyle name="Note 3 4 2 4 4" xfId="40927" xr:uid="{00000000-0005-0000-0000-0000E59F0000}"/>
    <cellStyle name="Note 3 4 2 5" xfId="40928" xr:uid="{00000000-0005-0000-0000-0000E69F0000}"/>
    <cellStyle name="Note 3 4 2 5 2" xfId="40929" xr:uid="{00000000-0005-0000-0000-0000E79F0000}"/>
    <cellStyle name="Note 3 4 2 6" xfId="40930" xr:uid="{00000000-0005-0000-0000-0000E89F0000}"/>
    <cellStyle name="Note 3 4 2 7" xfId="40931" xr:uid="{00000000-0005-0000-0000-0000E99F0000}"/>
    <cellStyle name="Note 3 4 2 8" xfId="40932" xr:uid="{00000000-0005-0000-0000-0000EA9F0000}"/>
    <cellStyle name="Note 3 4 2 9" xfId="40933" xr:uid="{00000000-0005-0000-0000-0000EB9F0000}"/>
    <cellStyle name="Note 3 4 3" xfId="40934" xr:uid="{00000000-0005-0000-0000-0000EC9F0000}"/>
    <cellStyle name="Note 3 4 3 2" xfId="40935" xr:uid="{00000000-0005-0000-0000-0000ED9F0000}"/>
    <cellStyle name="Note 3 4 3 2 2" xfId="40936" xr:uid="{00000000-0005-0000-0000-0000EE9F0000}"/>
    <cellStyle name="Note 3 4 3 2 3" xfId="40937" xr:uid="{00000000-0005-0000-0000-0000EF9F0000}"/>
    <cellStyle name="Note 3 4 3 3" xfId="40938" xr:uid="{00000000-0005-0000-0000-0000F09F0000}"/>
    <cellStyle name="Note 3 4 3 4" xfId="40939" xr:uid="{00000000-0005-0000-0000-0000F19F0000}"/>
    <cellStyle name="Note 3 4 3 5" xfId="40940" xr:uid="{00000000-0005-0000-0000-0000F29F0000}"/>
    <cellStyle name="Note 3 4 3 6" xfId="40941" xr:uid="{00000000-0005-0000-0000-0000F39F0000}"/>
    <cellStyle name="Note 3 4 4" xfId="40942" xr:uid="{00000000-0005-0000-0000-0000F49F0000}"/>
    <cellStyle name="Note 3 4 4 2" xfId="40943" xr:uid="{00000000-0005-0000-0000-0000F59F0000}"/>
    <cellStyle name="Note 3 4 4 2 2" xfId="40944" xr:uid="{00000000-0005-0000-0000-0000F69F0000}"/>
    <cellStyle name="Note 3 4 4 3" xfId="40945" xr:uid="{00000000-0005-0000-0000-0000F79F0000}"/>
    <cellStyle name="Note 3 4 4 4" xfId="40946" xr:uid="{00000000-0005-0000-0000-0000F89F0000}"/>
    <cellStyle name="Note 3 4 4 5" xfId="40947" xr:uid="{00000000-0005-0000-0000-0000F99F0000}"/>
    <cellStyle name="Note 3 4 5" xfId="40948" xr:uid="{00000000-0005-0000-0000-0000FA9F0000}"/>
    <cellStyle name="Note 3 4 5 2" xfId="40949" xr:uid="{00000000-0005-0000-0000-0000FB9F0000}"/>
    <cellStyle name="Note 3 4 5 2 2" xfId="40950" xr:uid="{00000000-0005-0000-0000-0000FC9F0000}"/>
    <cellStyle name="Note 3 4 5 3" xfId="40951" xr:uid="{00000000-0005-0000-0000-0000FD9F0000}"/>
    <cellStyle name="Note 3 4 5 4" xfId="40952" xr:uid="{00000000-0005-0000-0000-0000FE9F0000}"/>
    <cellStyle name="Note 3 4 5 5" xfId="40953" xr:uid="{00000000-0005-0000-0000-0000FF9F0000}"/>
    <cellStyle name="Note 3 4 6" xfId="40954" xr:uid="{00000000-0005-0000-0000-000000A00000}"/>
    <cellStyle name="Note 3 4 6 2" xfId="40955" xr:uid="{00000000-0005-0000-0000-000001A00000}"/>
    <cellStyle name="Note 3 4 7" xfId="40956" xr:uid="{00000000-0005-0000-0000-000002A00000}"/>
    <cellStyle name="Note 3 4 8" xfId="40957" xr:uid="{00000000-0005-0000-0000-000003A00000}"/>
    <cellStyle name="Note 3 4 9" xfId="40958" xr:uid="{00000000-0005-0000-0000-000004A00000}"/>
    <cellStyle name="Note 3 5" xfId="40959" xr:uid="{00000000-0005-0000-0000-000005A00000}"/>
    <cellStyle name="Note 3 5 10" xfId="40960" xr:uid="{00000000-0005-0000-0000-000006A00000}"/>
    <cellStyle name="Note 3 5 2" xfId="40961" xr:uid="{00000000-0005-0000-0000-000007A00000}"/>
    <cellStyle name="Note 3 5 2 2" xfId="40962" xr:uid="{00000000-0005-0000-0000-000008A00000}"/>
    <cellStyle name="Note 3 5 2 2 2" xfId="40963" xr:uid="{00000000-0005-0000-0000-000009A00000}"/>
    <cellStyle name="Note 3 5 2 2 2 2" xfId="40964" xr:uid="{00000000-0005-0000-0000-00000AA00000}"/>
    <cellStyle name="Note 3 5 2 2 2 3" xfId="40965" xr:uid="{00000000-0005-0000-0000-00000BA00000}"/>
    <cellStyle name="Note 3 5 2 2 3" xfId="40966" xr:uid="{00000000-0005-0000-0000-00000CA00000}"/>
    <cellStyle name="Note 3 5 2 2 4" xfId="40967" xr:uid="{00000000-0005-0000-0000-00000DA00000}"/>
    <cellStyle name="Note 3 5 2 2 5" xfId="40968" xr:uid="{00000000-0005-0000-0000-00000EA00000}"/>
    <cellStyle name="Note 3 5 2 2 6" xfId="40969" xr:uid="{00000000-0005-0000-0000-00000FA00000}"/>
    <cellStyle name="Note 3 5 2 3" xfId="40970" xr:uid="{00000000-0005-0000-0000-000010A00000}"/>
    <cellStyle name="Note 3 5 2 3 2" xfId="40971" xr:uid="{00000000-0005-0000-0000-000011A00000}"/>
    <cellStyle name="Note 3 5 2 3 2 2" xfId="40972" xr:uid="{00000000-0005-0000-0000-000012A00000}"/>
    <cellStyle name="Note 3 5 2 3 3" xfId="40973" xr:uid="{00000000-0005-0000-0000-000013A00000}"/>
    <cellStyle name="Note 3 5 2 3 4" xfId="40974" xr:uid="{00000000-0005-0000-0000-000014A00000}"/>
    <cellStyle name="Note 3 5 2 3 5" xfId="40975" xr:uid="{00000000-0005-0000-0000-000015A00000}"/>
    <cellStyle name="Note 3 5 2 4" xfId="40976" xr:uid="{00000000-0005-0000-0000-000016A00000}"/>
    <cellStyle name="Note 3 5 2 4 2" xfId="40977" xr:uid="{00000000-0005-0000-0000-000017A00000}"/>
    <cellStyle name="Note 3 5 2 4 3" xfId="40978" xr:uid="{00000000-0005-0000-0000-000018A00000}"/>
    <cellStyle name="Note 3 5 2 4 4" xfId="40979" xr:uid="{00000000-0005-0000-0000-000019A00000}"/>
    <cellStyle name="Note 3 5 2 5" xfId="40980" xr:uid="{00000000-0005-0000-0000-00001AA00000}"/>
    <cellStyle name="Note 3 5 2 5 2" xfId="40981" xr:uid="{00000000-0005-0000-0000-00001BA00000}"/>
    <cellStyle name="Note 3 5 2 6" xfId="40982" xr:uid="{00000000-0005-0000-0000-00001CA00000}"/>
    <cellStyle name="Note 3 5 2 7" xfId="40983" xr:uid="{00000000-0005-0000-0000-00001DA00000}"/>
    <cellStyle name="Note 3 5 2 8" xfId="40984" xr:uid="{00000000-0005-0000-0000-00001EA00000}"/>
    <cellStyle name="Note 3 5 2 9" xfId="40985" xr:uid="{00000000-0005-0000-0000-00001FA00000}"/>
    <cellStyle name="Note 3 5 3" xfId="40986" xr:uid="{00000000-0005-0000-0000-000020A00000}"/>
    <cellStyle name="Note 3 5 3 2" xfId="40987" xr:uid="{00000000-0005-0000-0000-000021A00000}"/>
    <cellStyle name="Note 3 5 3 2 2" xfId="40988" xr:uid="{00000000-0005-0000-0000-000022A00000}"/>
    <cellStyle name="Note 3 5 3 2 3" xfId="40989" xr:uid="{00000000-0005-0000-0000-000023A00000}"/>
    <cellStyle name="Note 3 5 3 3" xfId="40990" xr:uid="{00000000-0005-0000-0000-000024A00000}"/>
    <cellStyle name="Note 3 5 3 4" xfId="40991" xr:uid="{00000000-0005-0000-0000-000025A00000}"/>
    <cellStyle name="Note 3 5 3 5" xfId="40992" xr:uid="{00000000-0005-0000-0000-000026A00000}"/>
    <cellStyle name="Note 3 5 3 6" xfId="40993" xr:uid="{00000000-0005-0000-0000-000027A00000}"/>
    <cellStyle name="Note 3 5 4" xfId="40994" xr:uid="{00000000-0005-0000-0000-000028A00000}"/>
    <cellStyle name="Note 3 5 4 2" xfId="40995" xr:uid="{00000000-0005-0000-0000-000029A00000}"/>
    <cellStyle name="Note 3 5 4 2 2" xfId="40996" xr:uid="{00000000-0005-0000-0000-00002AA00000}"/>
    <cellStyle name="Note 3 5 4 3" xfId="40997" xr:uid="{00000000-0005-0000-0000-00002BA00000}"/>
    <cellStyle name="Note 3 5 4 4" xfId="40998" xr:uid="{00000000-0005-0000-0000-00002CA00000}"/>
    <cellStyle name="Note 3 5 4 5" xfId="40999" xr:uid="{00000000-0005-0000-0000-00002DA00000}"/>
    <cellStyle name="Note 3 5 5" xfId="41000" xr:uid="{00000000-0005-0000-0000-00002EA00000}"/>
    <cellStyle name="Note 3 5 5 2" xfId="41001" xr:uid="{00000000-0005-0000-0000-00002FA00000}"/>
    <cellStyle name="Note 3 5 5 2 2" xfId="41002" xr:uid="{00000000-0005-0000-0000-000030A00000}"/>
    <cellStyle name="Note 3 5 5 3" xfId="41003" xr:uid="{00000000-0005-0000-0000-000031A00000}"/>
    <cellStyle name="Note 3 5 5 4" xfId="41004" xr:uid="{00000000-0005-0000-0000-000032A00000}"/>
    <cellStyle name="Note 3 5 5 5" xfId="41005" xr:uid="{00000000-0005-0000-0000-000033A00000}"/>
    <cellStyle name="Note 3 5 6" xfId="41006" xr:uid="{00000000-0005-0000-0000-000034A00000}"/>
    <cellStyle name="Note 3 5 6 2" xfId="41007" xr:uid="{00000000-0005-0000-0000-000035A00000}"/>
    <cellStyle name="Note 3 5 7" xfId="41008" xr:uid="{00000000-0005-0000-0000-000036A00000}"/>
    <cellStyle name="Note 3 5 8" xfId="41009" xr:uid="{00000000-0005-0000-0000-000037A00000}"/>
    <cellStyle name="Note 3 5 9" xfId="41010" xr:uid="{00000000-0005-0000-0000-000038A00000}"/>
    <cellStyle name="Note 3 6" xfId="41011" xr:uid="{00000000-0005-0000-0000-000039A00000}"/>
    <cellStyle name="Note 3 6 10" xfId="41012" xr:uid="{00000000-0005-0000-0000-00003AA00000}"/>
    <cellStyle name="Note 3 6 2" xfId="41013" xr:uid="{00000000-0005-0000-0000-00003BA00000}"/>
    <cellStyle name="Note 3 6 2 2" xfId="41014" xr:uid="{00000000-0005-0000-0000-00003CA00000}"/>
    <cellStyle name="Note 3 6 2 2 2" xfId="41015" xr:uid="{00000000-0005-0000-0000-00003DA00000}"/>
    <cellStyle name="Note 3 6 2 2 2 2" xfId="41016" xr:uid="{00000000-0005-0000-0000-00003EA00000}"/>
    <cellStyle name="Note 3 6 2 2 2 3" xfId="41017" xr:uid="{00000000-0005-0000-0000-00003FA00000}"/>
    <cellStyle name="Note 3 6 2 2 3" xfId="41018" xr:uid="{00000000-0005-0000-0000-000040A00000}"/>
    <cellStyle name="Note 3 6 2 2 4" xfId="41019" xr:uid="{00000000-0005-0000-0000-000041A00000}"/>
    <cellStyle name="Note 3 6 2 2 5" xfId="41020" xr:uid="{00000000-0005-0000-0000-000042A00000}"/>
    <cellStyle name="Note 3 6 2 2 6" xfId="41021" xr:uid="{00000000-0005-0000-0000-000043A00000}"/>
    <cellStyle name="Note 3 6 2 3" xfId="41022" xr:uid="{00000000-0005-0000-0000-000044A00000}"/>
    <cellStyle name="Note 3 6 2 3 2" xfId="41023" xr:uid="{00000000-0005-0000-0000-000045A00000}"/>
    <cellStyle name="Note 3 6 2 3 2 2" xfId="41024" xr:uid="{00000000-0005-0000-0000-000046A00000}"/>
    <cellStyle name="Note 3 6 2 3 3" xfId="41025" xr:uid="{00000000-0005-0000-0000-000047A00000}"/>
    <cellStyle name="Note 3 6 2 3 4" xfId="41026" xr:uid="{00000000-0005-0000-0000-000048A00000}"/>
    <cellStyle name="Note 3 6 2 3 5" xfId="41027" xr:uid="{00000000-0005-0000-0000-000049A00000}"/>
    <cellStyle name="Note 3 6 2 4" xfId="41028" xr:uid="{00000000-0005-0000-0000-00004AA00000}"/>
    <cellStyle name="Note 3 6 2 4 2" xfId="41029" xr:uid="{00000000-0005-0000-0000-00004BA00000}"/>
    <cellStyle name="Note 3 6 2 4 3" xfId="41030" xr:uid="{00000000-0005-0000-0000-00004CA00000}"/>
    <cellStyle name="Note 3 6 2 4 4" xfId="41031" xr:uid="{00000000-0005-0000-0000-00004DA00000}"/>
    <cellStyle name="Note 3 6 2 5" xfId="41032" xr:uid="{00000000-0005-0000-0000-00004EA00000}"/>
    <cellStyle name="Note 3 6 2 5 2" xfId="41033" xr:uid="{00000000-0005-0000-0000-00004FA00000}"/>
    <cellStyle name="Note 3 6 2 6" xfId="41034" xr:uid="{00000000-0005-0000-0000-000050A00000}"/>
    <cellStyle name="Note 3 6 2 7" xfId="41035" xr:uid="{00000000-0005-0000-0000-000051A00000}"/>
    <cellStyle name="Note 3 6 2 8" xfId="41036" xr:uid="{00000000-0005-0000-0000-000052A00000}"/>
    <cellStyle name="Note 3 6 2 9" xfId="41037" xr:uid="{00000000-0005-0000-0000-000053A00000}"/>
    <cellStyle name="Note 3 6 3" xfId="41038" xr:uid="{00000000-0005-0000-0000-000054A00000}"/>
    <cellStyle name="Note 3 6 3 2" xfId="41039" xr:uid="{00000000-0005-0000-0000-000055A00000}"/>
    <cellStyle name="Note 3 6 3 2 2" xfId="41040" xr:uid="{00000000-0005-0000-0000-000056A00000}"/>
    <cellStyle name="Note 3 6 3 2 3" xfId="41041" xr:uid="{00000000-0005-0000-0000-000057A00000}"/>
    <cellStyle name="Note 3 6 3 3" xfId="41042" xr:uid="{00000000-0005-0000-0000-000058A00000}"/>
    <cellStyle name="Note 3 6 3 4" xfId="41043" xr:uid="{00000000-0005-0000-0000-000059A00000}"/>
    <cellStyle name="Note 3 6 3 5" xfId="41044" xr:uid="{00000000-0005-0000-0000-00005AA00000}"/>
    <cellStyle name="Note 3 6 3 6" xfId="41045" xr:uid="{00000000-0005-0000-0000-00005BA00000}"/>
    <cellStyle name="Note 3 6 4" xfId="41046" xr:uid="{00000000-0005-0000-0000-00005CA00000}"/>
    <cellStyle name="Note 3 6 4 2" xfId="41047" xr:uid="{00000000-0005-0000-0000-00005DA00000}"/>
    <cellStyle name="Note 3 6 4 2 2" xfId="41048" xr:uid="{00000000-0005-0000-0000-00005EA00000}"/>
    <cellStyle name="Note 3 6 4 3" xfId="41049" xr:uid="{00000000-0005-0000-0000-00005FA00000}"/>
    <cellStyle name="Note 3 6 4 4" xfId="41050" xr:uid="{00000000-0005-0000-0000-000060A00000}"/>
    <cellStyle name="Note 3 6 4 5" xfId="41051" xr:uid="{00000000-0005-0000-0000-000061A00000}"/>
    <cellStyle name="Note 3 6 5" xfId="41052" xr:uid="{00000000-0005-0000-0000-000062A00000}"/>
    <cellStyle name="Note 3 6 5 2" xfId="41053" xr:uid="{00000000-0005-0000-0000-000063A00000}"/>
    <cellStyle name="Note 3 6 5 2 2" xfId="41054" xr:uid="{00000000-0005-0000-0000-000064A00000}"/>
    <cellStyle name="Note 3 6 5 3" xfId="41055" xr:uid="{00000000-0005-0000-0000-000065A00000}"/>
    <cellStyle name="Note 3 6 5 4" xfId="41056" xr:uid="{00000000-0005-0000-0000-000066A00000}"/>
    <cellStyle name="Note 3 6 5 5" xfId="41057" xr:uid="{00000000-0005-0000-0000-000067A00000}"/>
    <cellStyle name="Note 3 6 6" xfId="41058" xr:uid="{00000000-0005-0000-0000-000068A00000}"/>
    <cellStyle name="Note 3 6 6 2" xfId="41059" xr:uid="{00000000-0005-0000-0000-000069A00000}"/>
    <cellStyle name="Note 3 6 7" xfId="41060" xr:uid="{00000000-0005-0000-0000-00006AA00000}"/>
    <cellStyle name="Note 3 6 8" xfId="41061" xr:uid="{00000000-0005-0000-0000-00006BA00000}"/>
    <cellStyle name="Note 3 6 9" xfId="41062" xr:uid="{00000000-0005-0000-0000-00006CA00000}"/>
    <cellStyle name="Note 3 7" xfId="41063" xr:uid="{00000000-0005-0000-0000-00006DA00000}"/>
    <cellStyle name="Note 3 7 10" xfId="41064" xr:uid="{00000000-0005-0000-0000-00006EA00000}"/>
    <cellStyle name="Note 3 7 2" xfId="41065" xr:uid="{00000000-0005-0000-0000-00006FA00000}"/>
    <cellStyle name="Note 3 7 2 2" xfId="41066" xr:uid="{00000000-0005-0000-0000-000070A00000}"/>
    <cellStyle name="Note 3 7 2 2 2" xfId="41067" xr:uid="{00000000-0005-0000-0000-000071A00000}"/>
    <cellStyle name="Note 3 7 2 2 2 2" xfId="41068" xr:uid="{00000000-0005-0000-0000-000072A00000}"/>
    <cellStyle name="Note 3 7 2 2 2 3" xfId="41069" xr:uid="{00000000-0005-0000-0000-000073A00000}"/>
    <cellStyle name="Note 3 7 2 2 3" xfId="41070" xr:uid="{00000000-0005-0000-0000-000074A00000}"/>
    <cellStyle name="Note 3 7 2 2 4" xfId="41071" xr:uid="{00000000-0005-0000-0000-000075A00000}"/>
    <cellStyle name="Note 3 7 2 2 5" xfId="41072" xr:uid="{00000000-0005-0000-0000-000076A00000}"/>
    <cellStyle name="Note 3 7 2 2 6" xfId="41073" xr:uid="{00000000-0005-0000-0000-000077A00000}"/>
    <cellStyle name="Note 3 7 2 3" xfId="41074" xr:uid="{00000000-0005-0000-0000-000078A00000}"/>
    <cellStyle name="Note 3 7 2 3 2" xfId="41075" xr:uid="{00000000-0005-0000-0000-000079A00000}"/>
    <cellStyle name="Note 3 7 2 3 2 2" xfId="41076" xr:uid="{00000000-0005-0000-0000-00007AA00000}"/>
    <cellStyle name="Note 3 7 2 3 3" xfId="41077" xr:uid="{00000000-0005-0000-0000-00007BA00000}"/>
    <cellStyle name="Note 3 7 2 3 4" xfId="41078" xr:uid="{00000000-0005-0000-0000-00007CA00000}"/>
    <cellStyle name="Note 3 7 2 3 5" xfId="41079" xr:uid="{00000000-0005-0000-0000-00007DA00000}"/>
    <cellStyle name="Note 3 7 2 4" xfId="41080" xr:uid="{00000000-0005-0000-0000-00007EA00000}"/>
    <cellStyle name="Note 3 7 2 4 2" xfId="41081" xr:uid="{00000000-0005-0000-0000-00007FA00000}"/>
    <cellStyle name="Note 3 7 2 4 3" xfId="41082" xr:uid="{00000000-0005-0000-0000-000080A00000}"/>
    <cellStyle name="Note 3 7 2 4 4" xfId="41083" xr:uid="{00000000-0005-0000-0000-000081A00000}"/>
    <cellStyle name="Note 3 7 2 5" xfId="41084" xr:uid="{00000000-0005-0000-0000-000082A00000}"/>
    <cellStyle name="Note 3 7 2 5 2" xfId="41085" xr:uid="{00000000-0005-0000-0000-000083A00000}"/>
    <cellStyle name="Note 3 7 2 6" xfId="41086" xr:uid="{00000000-0005-0000-0000-000084A00000}"/>
    <cellStyle name="Note 3 7 2 7" xfId="41087" xr:uid="{00000000-0005-0000-0000-000085A00000}"/>
    <cellStyle name="Note 3 7 2 8" xfId="41088" xr:uid="{00000000-0005-0000-0000-000086A00000}"/>
    <cellStyle name="Note 3 7 2 9" xfId="41089" xr:uid="{00000000-0005-0000-0000-000087A00000}"/>
    <cellStyle name="Note 3 7 3" xfId="41090" xr:uid="{00000000-0005-0000-0000-000088A00000}"/>
    <cellStyle name="Note 3 7 3 2" xfId="41091" xr:uid="{00000000-0005-0000-0000-000089A00000}"/>
    <cellStyle name="Note 3 7 3 2 2" xfId="41092" xr:uid="{00000000-0005-0000-0000-00008AA00000}"/>
    <cellStyle name="Note 3 7 3 2 3" xfId="41093" xr:uid="{00000000-0005-0000-0000-00008BA00000}"/>
    <cellStyle name="Note 3 7 3 3" xfId="41094" xr:uid="{00000000-0005-0000-0000-00008CA00000}"/>
    <cellStyle name="Note 3 7 3 4" xfId="41095" xr:uid="{00000000-0005-0000-0000-00008DA00000}"/>
    <cellStyle name="Note 3 7 3 5" xfId="41096" xr:uid="{00000000-0005-0000-0000-00008EA00000}"/>
    <cellStyle name="Note 3 7 3 6" xfId="41097" xr:uid="{00000000-0005-0000-0000-00008FA00000}"/>
    <cellStyle name="Note 3 7 4" xfId="41098" xr:uid="{00000000-0005-0000-0000-000090A00000}"/>
    <cellStyle name="Note 3 7 4 2" xfId="41099" xr:uid="{00000000-0005-0000-0000-000091A00000}"/>
    <cellStyle name="Note 3 7 4 2 2" xfId="41100" xr:uid="{00000000-0005-0000-0000-000092A00000}"/>
    <cellStyle name="Note 3 7 4 3" xfId="41101" xr:uid="{00000000-0005-0000-0000-000093A00000}"/>
    <cellStyle name="Note 3 7 4 4" xfId="41102" xr:uid="{00000000-0005-0000-0000-000094A00000}"/>
    <cellStyle name="Note 3 7 4 5" xfId="41103" xr:uid="{00000000-0005-0000-0000-000095A00000}"/>
    <cellStyle name="Note 3 7 5" xfId="41104" xr:uid="{00000000-0005-0000-0000-000096A00000}"/>
    <cellStyle name="Note 3 7 5 2" xfId="41105" xr:uid="{00000000-0005-0000-0000-000097A00000}"/>
    <cellStyle name="Note 3 7 5 2 2" xfId="41106" xr:uid="{00000000-0005-0000-0000-000098A00000}"/>
    <cellStyle name="Note 3 7 5 3" xfId="41107" xr:uid="{00000000-0005-0000-0000-000099A00000}"/>
    <cellStyle name="Note 3 7 5 4" xfId="41108" xr:uid="{00000000-0005-0000-0000-00009AA00000}"/>
    <cellStyle name="Note 3 7 5 5" xfId="41109" xr:uid="{00000000-0005-0000-0000-00009BA00000}"/>
    <cellStyle name="Note 3 7 6" xfId="41110" xr:uid="{00000000-0005-0000-0000-00009CA00000}"/>
    <cellStyle name="Note 3 7 6 2" xfId="41111" xr:uid="{00000000-0005-0000-0000-00009DA00000}"/>
    <cellStyle name="Note 3 7 7" xfId="41112" xr:uid="{00000000-0005-0000-0000-00009EA00000}"/>
    <cellStyle name="Note 3 7 8" xfId="41113" xr:uid="{00000000-0005-0000-0000-00009FA00000}"/>
    <cellStyle name="Note 3 7 9" xfId="41114" xr:uid="{00000000-0005-0000-0000-0000A0A00000}"/>
    <cellStyle name="Note 3 8" xfId="41115" xr:uid="{00000000-0005-0000-0000-0000A1A00000}"/>
    <cellStyle name="Note 3 8 10" xfId="41116" xr:uid="{00000000-0005-0000-0000-0000A2A00000}"/>
    <cellStyle name="Note 3 8 2" xfId="41117" xr:uid="{00000000-0005-0000-0000-0000A3A00000}"/>
    <cellStyle name="Note 3 8 2 2" xfId="41118" xr:uid="{00000000-0005-0000-0000-0000A4A00000}"/>
    <cellStyle name="Note 3 8 2 2 2" xfId="41119" xr:uid="{00000000-0005-0000-0000-0000A5A00000}"/>
    <cellStyle name="Note 3 8 2 2 2 2" xfId="41120" xr:uid="{00000000-0005-0000-0000-0000A6A00000}"/>
    <cellStyle name="Note 3 8 2 2 2 3" xfId="41121" xr:uid="{00000000-0005-0000-0000-0000A7A00000}"/>
    <cellStyle name="Note 3 8 2 2 3" xfId="41122" xr:uid="{00000000-0005-0000-0000-0000A8A00000}"/>
    <cellStyle name="Note 3 8 2 2 4" xfId="41123" xr:uid="{00000000-0005-0000-0000-0000A9A00000}"/>
    <cellStyle name="Note 3 8 2 2 5" xfId="41124" xr:uid="{00000000-0005-0000-0000-0000AAA00000}"/>
    <cellStyle name="Note 3 8 2 2 6" xfId="41125" xr:uid="{00000000-0005-0000-0000-0000ABA00000}"/>
    <cellStyle name="Note 3 8 2 3" xfId="41126" xr:uid="{00000000-0005-0000-0000-0000ACA00000}"/>
    <cellStyle name="Note 3 8 2 3 2" xfId="41127" xr:uid="{00000000-0005-0000-0000-0000ADA00000}"/>
    <cellStyle name="Note 3 8 2 3 2 2" xfId="41128" xr:uid="{00000000-0005-0000-0000-0000AEA00000}"/>
    <cellStyle name="Note 3 8 2 3 3" xfId="41129" xr:uid="{00000000-0005-0000-0000-0000AFA00000}"/>
    <cellStyle name="Note 3 8 2 3 4" xfId="41130" xr:uid="{00000000-0005-0000-0000-0000B0A00000}"/>
    <cellStyle name="Note 3 8 2 3 5" xfId="41131" xr:uid="{00000000-0005-0000-0000-0000B1A00000}"/>
    <cellStyle name="Note 3 8 2 4" xfId="41132" xr:uid="{00000000-0005-0000-0000-0000B2A00000}"/>
    <cellStyle name="Note 3 8 2 4 2" xfId="41133" xr:uid="{00000000-0005-0000-0000-0000B3A00000}"/>
    <cellStyle name="Note 3 8 2 4 3" xfId="41134" xr:uid="{00000000-0005-0000-0000-0000B4A00000}"/>
    <cellStyle name="Note 3 8 2 4 4" xfId="41135" xr:uid="{00000000-0005-0000-0000-0000B5A00000}"/>
    <cellStyle name="Note 3 8 2 5" xfId="41136" xr:uid="{00000000-0005-0000-0000-0000B6A00000}"/>
    <cellStyle name="Note 3 8 2 5 2" xfId="41137" xr:uid="{00000000-0005-0000-0000-0000B7A00000}"/>
    <cellStyle name="Note 3 8 2 6" xfId="41138" xr:uid="{00000000-0005-0000-0000-0000B8A00000}"/>
    <cellStyle name="Note 3 8 2 7" xfId="41139" xr:uid="{00000000-0005-0000-0000-0000B9A00000}"/>
    <cellStyle name="Note 3 8 2 8" xfId="41140" xr:uid="{00000000-0005-0000-0000-0000BAA00000}"/>
    <cellStyle name="Note 3 8 2 9" xfId="41141" xr:uid="{00000000-0005-0000-0000-0000BBA00000}"/>
    <cellStyle name="Note 3 8 3" xfId="41142" xr:uid="{00000000-0005-0000-0000-0000BCA00000}"/>
    <cellStyle name="Note 3 8 3 2" xfId="41143" xr:uid="{00000000-0005-0000-0000-0000BDA00000}"/>
    <cellStyle name="Note 3 8 3 2 2" xfId="41144" xr:uid="{00000000-0005-0000-0000-0000BEA00000}"/>
    <cellStyle name="Note 3 8 3 2 3" xfId="41145" xr:uid="{00000000-0005-0000-0000-0000BFA00000}"/>
    <cellStyle name="Note 3 8 3 3" xfId="41146" xr:uid="{00000000-0005-0000-0000-0000C0A00000}"/>
    <cellStyle name="Note 3 8 3 4" xfId="41147" xr:uid="{00000000-0005-0000-0000-0000C1A00000}"/>
    <cellStyle name="Note 3 8 3 5" xfId="41148" xr:uid="{00000000-0005-0000-0000-0000C2A00000}"/>
    <cellStyle name="Note 3 8 3 6" xfId="41149" xr:uid="{00000000-0005-0000-0000-0000C3A00000}"/>
    <cellStyle name="Note 3 8 4" xfId="41150" xr:uid="{00000000-0005-0000-0000-0000C4A00000}"/>
    <cellStyle name="Note 3 8 4 2" xfId="41151" xr:uid="{00000000-0005-0000-0000-0000C5A00000}"/>
    <cellStyle name="Note 3 8 4 2 2" xfId="41152" xr:uid="{00000000-0005-0000-0000-0000C6A00000}"/>
    <cellStyle name="Note 3 8 4 3" xfId="41153" xr:uid="{00000000-0005-0000-0000-0000C7A00000}"/>
    <cellStyle name="Note 3 8 4 4" xfId="41154" xr:uid="{00000000-0005-0000-0000-0000C8A00000}"/>
    <cellStyle name="Note 3 8 4 5" xfId="41155" xr:uid="{00000000-0005-0000-0000-0000C9A00000}"/>
    <cellStyle name="Note 3 8 5" xfId="41156" xr:uid="{00000000-0005-0000-0000-0000CAA00000}"/>
    <cellStyle name="Note 3 8 5 2" xfId="41157" xr:uid="{00000000-0005-0000-0000-0000CBA00000}"/>
    <cellStyle name="Note 3 8 5 2 2" xfId="41158" xr:uid="{00000000-0005-0000-0000-0000CCA00000}"/>
    <cellStyle name="Note 3 8 5 3" xfId="41159" xr:uid="{00000000-0005-0000-0000-0000CDA00000}"/>
    <cellStyle name="Note 3 8 5 4" xfId="41160" xr:uid="{00000000-0005-0000-0000-0000CEA00000}"/>
    <cellStyle name="Note 3 8 5 5" xfId="41161" xr:uid="{00000000-0005-0000-0000-0000CFA00000}"/>
    <cellStyle name="Note 3 8 6" xfId="41162" xr:uid="{00000000-0005-0000-0000-0000D0A00000}"/>
    <cellStyle name="Note 3 8 6 2" xfId="41163" xr:uid="{00000000-0005-0000-0000-0000D1A00000}"/>
    <cellStyle name="Note 3 8 7" xfId="41164" xr:uid="{00000000-0005-0000-0000-0000D2A00000}"/>
    <cellStyle name="Note 3 8 8" xfId="41165" xr:uid="{00000000-0005-0000-0000-0000D3A00000}"/>
    <cellStyle name="Note 3 8 9" xfId="41166" xr:uid="{00000000-0005-0000-0000-0000D4A00000}"/>
    <cellStyle name="Note 3 9" xfId="41167" xr:uid="{00000000-0005-0000-0000-0000D5A00000}"/>
    <cellStyle name="Note 3 9 10" xfId="41168" xr:uid="{00000000-0005-0000-0000-0000D6A00000}"/>
    <cellStyle name="Note 3 9 2" xfId="41169" xr:uid="{00000000-0005-0000-0000-0000D7A00000}"/>
    <cellStyle name="Note 3 9 2 2" xfId="41170" xr:uid="{00000000-0005-0000-0000-0000D8A00000}"/>
    <cellStyle name="Note 3 9 2 2 2" xfId="41171" xr:uid="{00000000-0005-0000-0000-0000D9A00000}"/>
    <cellStyle name="Note 3 9 2 2 2 2" xfId="41172" xr:uid="{00000000-0005-0000-0000-0000DAA00000}"/>
    <cellStyle name="Note 3 9 2 2 2 3" xfId="41173" xr:uid="{00000000-0005-0000-0000-0000DBA00000}"/>
    <cellStyle name="Note 3 9 2 2 3" xfId="41174" xr:uid="{00000000-0005-0000-0000-0000DCA00000}"/>
    <cellStyle name="Note 3 9 2 2 4" xfId="41175" xr:uid="{00000000-0005-0000-0000-0000DDA00000}"/>
    <cellStyle name="Note 3 9 2 2 5" xfId="41176" xr:uid="{00000000-0005-0000-0000-0000DEA00000}"/>
    <cellStyle name="Note 3 9 2 2 6" xfId="41177" xr:uid="{00000000-0005-0000-0000-0000DFA00000}"/>
    <cellStyle name="Note 3 9 2 3" xfId="41178" xr:uid="{00000000-0005-0000-0000-0000E0A00000}"/>
    <cellStyle name="Note 3 9 2 3 2" xfId="41179" xr:uid="{00000000-0005-0000-0000-0000E1A00000}"/>
    <cellStyle name="Note 3 9 2 3 2 2" xfId="41180" xr:uid="{00000000-0005-0000-0000-0000E2A00000}"/>
    <cellStyle name="Note 3 9 2 3 3" xfId="41181" xr:uid="{00000000-0005-0000-0000-0000E3A00000}"/>
    <cellStyle name="Note 3 9 2 3 4" xfId="41182" xr:uid="{00000000-0005-0000-0000-0000E4A00000}"/>
    <cellStyle name="Note 3 9 2 3 5" xfId="41183" xr:uid="{00000000-0005-0000-0000-0000E5A00000}"/>
    <cellStyle name="Note 3 9 2 4" xfId="41184" xr:uid="{00000000-0005-0000-0000-0000E6A00000}"/>
    <cellStyle name="Note 3 9 2 4 2" xfId="41185" xr:uid="{00000000-0005-0000-0000-0000E7A00000}"/>
    <cellStyle name="Note 3 9 2 4 3" xfId="41186" xr:uid="{00000000-0005-0000-0000-0000E8A00000}"/>
    <cellStyle name="Note 3 9 2 4 4" xfId="41187" xr:uid="{00000000-0005-0000-0000-0000E9A00000}"/>
    <cellStyle name="Note 3 9 2 5" xfId="41188" xr:uid="{00000000-0005-0000-0000-0000EAA00000}"/>
    <cellStyle name="Note 3 9 2 5 2" xfId="41189" xr:uid="{00000000-0005-0000-0000-0000EBA00000}"/>
    <cellStyle name="Note 3 9 2 6" xfId="41190" xr:uid="{00000000-0005-0000-0000-0000ECA00000}"/>
    <cellStyle name="Note 3 9 2 7" xfId="41191" xr:uid="{00000000-0005-0000-0000-0000EDA00000}"/>
    <cellStyle name="Note 3 9 2 8" xfId="41192" xr:uid="{00000000-0005-0000-0000-0000EEA00000}"/>
    <cellStyle name="Note 3 9 2 9" xfId="41193" xr:uid="{00000000-0005-0000-0000-0000EFA00000}"/>
    <cellStyle name="Note 3 9 3" xfId="41194" xr:uid="{00000000-0005-0000-0000-0000F0A00000}"/>
    <cellStyle name="Note 3 9 3 2" xfId="41195" xr:uid="{00000000-0005-0000-0000-0000F1A00000}"/>
    <cellStyle name="Note 3 9 3 2 2" xfId="41196" xr:uid="{00000000-0005-0000-0000-0000F2A00000}"/>
    <cellStyle name="Note 3 9 3 2 3" xfId="41197" xr:uid="{00000000-0005-0000-0000-0000F3A00000}"/>
    <cellStyle name="Note 3 9 3 3" xfId="41198" xr:uid="{00000000-0005-0000-0000-0000F4A00000}"/>
    <cellStyle name="Note 3 9 3 4" xfId="41199" xr:uid="{00000000-0005-0000-0000-0000F5A00000}"/>
    <cellStyle name="Note 3 9 3 5" xfId="41200" xr:uid="{00000000-0005-0000-0000-0000F6A00000}"/>
    <cellStyle name="Note 3 9 3 6" xfId="41201" xr:uid="{00000000-0005-0000-0000-0000F7A00000}"/>
    <cellStyle name="Note 3 9 4" xfId="41202" xr:uid="{00000000-0005-0000-0000-0000F8A00000}"/>
    <cellStyle name="Note 3 9 4 2" xfId="41203" xr:uid="{00000000-0005-0000-0000-0000F9A00000}"/>
    <cellStyle name="Note 3 9 4 2 2" xfId="41204" xr:uid="{00000000-0005-0000-0000-0000FAA00000}"/>
    <cellStyle name="Note 3 9 4 3" xfId="41205" xr:uid="{00000000-0005-0000-0000-0000FBA00000}"/>
    <cellStyle name="Note 3 9 4 4" xfId="41206" xr:uid="{00000000-0005-0000-0000-0000FCA00000}"/>
    <cellStyle name="Note 3 9 4 5" xfId="41207" xr:uid="{00000000-0005-0000-0000-0000FDA00000}"/>
    <cellStyle name="Note 3 9 5" xfId="41208" xr:uid="{00000000-0005-0000-0000-0000FEA00000}"/>
    <cellStyle name="Note 3 9 5 2" xfId="41209" xr:uid="{00000000-0005-0000-0000-0000FFA00000}"/>
    <cellStyle name="Note 3 9 5 3" xfId="41210" xr:uid="{00000000-0005-0000-0000-000000A10000}"/>
    <cellStyle name="Note 3 9 5 4" xfId="41211" xr:uid="{00000000-0005-0000-0000-000001A10000}"/>
    <cellStyle name="Note 3 9 6" xfId="41212" xr:uid="{00000000-0005-0000-0000-000002A10000}"/>
    <cellStyle name="Note 3 9 6 2" xfId="41213" xr:uid="{00000000-0005-0000-0000-000003A10000}"/>
    <cellStyle name="Note 3 9 7" xfId="41214" xr:uid="{00000000-0005-0000-0000-000004A10000}"/>
    <cellStyle name="Note 3 9 8" xfId="41215" xr:uid="{00000000-0005-0000-0000-000005A10000}"/>
    <cellStyle name="Note 3 9 9" xfId="41216" xr:uid="{00000000-0005-0000-0000-000006A10000}"/>
    <cellStyle name="Note 4" xfId="41217" xr:uid="{00000000-0005-0000-0000-000007A10000}"/>
    <cellStyle name="Note 4 10" xfId="41218" xr:uid="{00000000-0005-0000-0000-000008A10000}"/>
    <cellStyle name="Note 4 10 2" xfId="41219" xr:uid="{00000000-0005-0000-0000-000009A10000}"/>
    <cellStyle name="Note 4 10 2 2" xfId="41220" xr:uid="{00000000-0005-0000-0000-00000AA10000}"/>
    <cellStyle name="Note 4 10 2 2 2" xfId="41221" xr:uid="{00000000-0005-0000-0000-00000BA10000}"/>
    <cellStyle name="Note 4 10 2 2 3" xfId="41222" xr:uid="{00000000-0005-0000-0000-00000CA10000}"/>
    <cellStyle name="Note 4 10 2 3" xfId="41223" xr:uid="{00000000-0005-0000-0000-00000DA10000}"/>
    <cellStyle name="Note 4 10 2 4" xfId="41224" xr:uid="{00000000-0005-0000-0000-00000EA10000}"/>
    <cellStyle name="Note 4 10 2 5" xfId="41225" xr:uid="{00000000-0005-0000-0000-00000FA10000}"/>
    <cellStyle name="Note 4 10 2 6" xfId="41226" xr:uid="{00000000-0005-0000-0000-000010A10000}"/>
    <cellStyle name="Note 4 10 3" xfId="41227" xr:uid="{00000000-0005-0000-0000-000011A10000}"/>
    <cellStyle name="Note 4 10 3 2" xfId="41228" xr:uid="{00000000-0005-0000-0000-000012A10000}"/>
    <cellStyle name="Note 4 10 3 2 2" xfId="41229" xr:uid="{00000000-0005-0000-0000-000013A10000}"/>
    <cellStyle name="Note 4 10 3 3" xfId="41230" xr:uid="{00000000-0005-0000-0000-000014A10000}"/>
    <cellStyle name="Note 4 10 3 4" xfId="41231" xr:uid="{00000000-0005-0000-0000-000015A10000}"/>
    <cellStyle name="Note 4 10 3 5" xfId="41232" xr:uid="{00000000-0005-0000-0000-000016A10000}"/>
    <cellStyle name="Note 4 10 4" xfId="41233" xr:uid="{00000000-0005-0000-0000-000017A10000}"/>
    <cellStyle name="Note 4 10 4 2" xfId="41234" xr:uid="{00000000-0005-0000-0000-000018A10000}"/>
    <cellStyle name="Note 4 10 4 3" xfId="41235" xr:uid="{00000000-0005-0000-0000-000019A10000}"/>
    <cellStyle name="Note 4 10 4 4" xfId="41236" xr:uid="{00000000-0005-0000-0000-00001AA10000}"/>
    <cellStyle name="Note 4 10 5" xfId="41237" xr:uid="{00000000-0005-0000-0000-00001BA10000}"/>
    <cellStyle name="Note 4 10 5 2" xfId="41238" xr:uid="{00000000-0005-0000-0000-00001CA10000}"/>
    <cellStyle name="Note 4 10 6" xfId="41239" xr:uid="{00000000-0005-0000-0000-00001DA10000}"/>
    <cellStyle name="Note 4 10 7" xfId="41240" xr:uid="{00000000-0005-0000-0000-00001EA10000}"/>
    <cellStyle name="Note 4 10 8" xfId="41241" xr:uid="{00000000-0005-0000-0000-00001FA10000}"/>
    <cellStyle name="Note 4 10 9" xfId="41242" xr:uid="{00000000-0005-0000-0000-000020A10000}"/>
    <cellStyle name="Note 4 11" xfId="41243" xr:uid="{00000000-0005-0000-0000-000021A10000}"/>
    <cellStyle name="Note 4 11 2" xfId="41244" xr:uid="{00000000-0005-0000-0000-000022A10000}"/>
    <cellStyle name="Note 4 11 2 2" xfId="41245" xr:uid="{00000000-0005-0000-0000-000023A10000}"/>
    <cellStyle name="Note 4 11 2 3" xfId="41246" xr:uid="{00000000-0005-0000-0000-000024A10000}"/>
    <cellStyle name="Note 4 11 3" xfId="41247" xr:uid="{00000000-0005-0000-0000-000025A10000}"/>
    <cellStyle name="Note 4 11 4" xfId="41248" xr:uid="{00000000-0005-0000-0000-000026A10000}"/>
    <cellStyle name="Note 4 11 5" xfId="41249" xr:uid="{00000000-0005-0000-0000-000027A10000}"/>
    <cellStyle name="Note 4 11 6" xfId="41250" xr:uid="{00000000-0005-0000-0000-000028A10000}"/>
    <cellStyle name="Note 4 12" xfId="41251" xr:uid="{00000000-0005-0000-0000-000029A10000}"/>
    <cellStyle name="Note 4 12 2" xfId="41252" xr:uid="{00000000-0005-0000-0000-00002AA10000}"/>
    <cellStyle name="Note 4 12 2 2" xfId="41253" xr:uid="{00000000-0005-0000-0000-00002BA10000}"/>
    <cellStyle name="Note 4 12 3" xfId="41254" xr:uid="{00000000-0005-0000-0000-00002CA10000}"/>
    <cellStyle name="Note 4 12 4" xfId="41255" xr:uid="{00000000-0005-0000-0000-00002DA10000}"/>
    <cellStyle name="Note 4 12 5" xfId="41256" xr:uid="{00000000-0005-0000-0000-00002EA10000}"/>
    <cellStyle name="Note 4 13" xfId="41257" xr:uid="{00000000-0005-0000-0000-00002FA10000}"/>
    <cellStyle name="Note 4 13 2" xfId="41258" xr:uid="{00000000-0005-0000-0000-000030A10000}"/>
    <cellStyle name="Note 4 13 2 2" xfId="41259" xr:uid="{00000000-0005-0000-0000-000031A10000}"/>
    <cellStyle name="Note 4 13 3" xfId="41260" xr:uid="{00000000-0005-0000-0000-000032A10000}"/>
    <cellStyle name="Note 4 13 4" xfId="41261" xr:uid="{00000000-0005-0000-0000-000033A10000}"/>
    <cellStyle name="Note 4 13 5" xfId="41262" xr:uid="{00000000-0005-0000-0000-000034A10000}"/>
    <cellStyle name="Note 4 14" xfId="41263" xr:uid="{00000000-0005-0000-0000-000035A10000}"/>
    <cellStyle name="Note 4 14 2" xfId="41264" xr:uid="{00000000-0005-0000-0000-000036A10000}"/>
    <cellStyle name="Note 4 15" xfId="41265" xr:uid="{00000000-0005-0000-0000-000037A10000}"/>
    <cellStyle name="Note 4 16" xfId="41266" xr:uid="{00000000-0005-0000-0000-000038A10000}"/>
    <cellStyle name="Note 4 17" xfId="41267" xr:uid="{00000000-0005-0000-0000-000039A10000}"/>
    <cellStyle name="Note 4 18" xfId="41268" xr:uid="{00000000-0005-0000-0000-00003AA10000}"/>
    <cellStyle name="Note 4 2" xfId="41269" xr:uid="{00000000-0005-0000-0000-00003BA10000}"/>
    <cellStyle name="Note 4 2 10" xfId="41270" xr:uid="{00000000-0005-0000-0000-00003CA10000}"/>
    <cellStyle name="Note 4 2 2" xfId="41271" xr:uid="{00000000-0005-0000-0000-00003DA10000}"/>
    <cellStyle name="Note 4 2 2 2" xfId="41272" xr:uid="{00000000-0005-0000-0000-00003EA10000}"/>
    <cellStyle name="Note 4 2 2 2 2" xfId="41273" xr:uid="{00000000-0005-0000-0000-00003FA10000}"/>
    <cellStyle name="Note 4 2 2 2 2 2" xfId="41274" xr:uid="{00000000-0005-0000-0000-000040A10000}"/>
    <cellStyle name="Note 4 2 2 2 2 3" xfId="41275" xr:uid="{00000000-0005-0000-0000-000041A10000}"/>
    <cellStyle name="Note 4 2 2 2 3" xfId="41276" xr:uid="{00000000-0005-0000-0000-000042A10000}"/>
    <cellStyle name="Note 4 2 2 2 4" xfId="41277" xr:uid="{00000000-0005-0000-0000-000043A10000}"/>
    <cellStyle name="Note 4 2 2 2 5" xfId="41278" xr:uid="{00000000-0005-0000-0000-000044A10000}"/>
    <cellStyle name="Note 4 2 2 2 6" xfId="41279" xr:uid="{00000000-0005-0000-0000-000045A10000}"/>
    <cellStyle name="Note 4 2 2 3" xfId="41280" xr:uid="{00000000-0005-0000-0000-000046A10000}"/>
    <cellStyle name="Note 4 2 2 3 2" xfId="41281" xr:uid="{00000000-0005-0000-0000-000047A10000}"/>
    <cellStyle name="Note 4 2 2 3 2 2" xfId="41282" xr:uid="{00000000-0005-0000-0000-000048A10000}"/>
    <cellStyle name="Note 4 2 2 3 3" xfId="41283" xr:uid="{00000000-0005-0000-0000-000049A10000}"/>
    <cellStyle name="Note 4 2 2 3 4" xfId="41284" xr:uid="{00000000-0005-0000-0000-00004AA10000}"/>
    <cellStyle name="Note 4 2 2 3 5" xfId="41285" xr:uid="{00000000-0005-0000-0000-00004BA10000}"/>
    <cellStyle name="Note 4 2 2 4" xfId="41286" xr:uid="{00000000-0005-0000-0000-00004CA10000}"/>
    <cellStyle name="Note 4 2 2 4 2" xfId="41287" xr:uid="{00000000-0005-0000-0000-00004DA10000}"/>
    <cellStyle name="Note 4 2 2 4 3" xfId="41288" xr:uid="{00000000-0005-0000-0000-00004EA10000}"/>
    <cellStyle name="Note 4 2 2 4 4" xfId="41289" xr:uid="{00000000-0005-0000-0000-00004FA10000}"/>
    <cellStyle name="Note 4 2 2 5" xfId="41290" xr:uid="{00000000-0005-0000-0000-000050A10000}"/>
    <cellStyle name="Note 4 2 2 5 2" xfId="41291" xr:uid="{00000000-0005-0000-0000-000051A10000}"/>
    <cellStyle name="Note 4 2 2 6" xfId="41292" xr:uid="{00000000-0005-0000-0000-000052A10000}"/>
    <cellStyle name="Note 4 2 2 7" xfId="41293" xr:uid="{00000000-0005-0000-0000-000053A10000}"/>
    <cellStyle name="Note 4 2 2 8" xfId="41294" xr:uid="{00000000-0005-0000-0000-000054A10000}"/>
    <cellStyle name="Note 4 2 2 9" xfId="41295" xr:uid="{00000000-0005-0000-0000-000055A10000}"/>
    <cellStyle name="Note 4 2 3" xfId="41296" xr:uid="{00000000-0005-0000-0000-000056A10000}"/>
    <cellStyle name="Note 4 2 3 2" xfId="41297" xr:uid="{00000000-0005-0000-0000-000057A10000}"/>
    <cellStyle name="Note 4 2 3 2 2" xfId="41298" xr:uid="{00000000-0005-0000-0000-000058A10000}"/>
    <cellStyle name="Note 4 2 3 2 3" xfId="41299" xr:uid="{00000000-0005-0000-0000-000059A10000}"/>
    <cellStyle name="Note 4 2 3 3" xfId="41300" xr:uid="{00000000-0005-0000-0000-00005AA10000}"/>
    <cellStyle name="Note 4 2 3 4" xfId="41301" xr:uid="{00000000-0005-0000-0000-00005BA10000}"/>
    <cellStyle name="Note 4 2 3 5" xfId="41302" xr:uid="{00000000-0005-0000-0000-00005CA10000}"/>
    <cellStyle name="Note 4 2 3 6" xfId="41303" xr:uid="{00000000-0005-0000-0000-00005DA10000}"/>
    <cellStyle name="Note 4 2 4" xfId="41304" xr:uid="{00000000-0005-0000-0000-00005EA10000}"/>
    <cellStyle name="Note 4 2 4 2" xfId="41305" xr:uid="{00000000-0005-0000-0000-00005FA10000}"/>
    <cellStyle name="Note 4 2 4 2 2" xfId="41306" xr:uid="{00000000-0005-0000-0000-000060A10000}"/>
    <cellStyle name="Note 4 2 4 3" xfId="41307" xr:uid="{00000000-0005-0000-0000-000061A10000}"/>
    <cellStyle name="Note 4 2 4 4" xfId="41308" xr:uid="{00000000-0005-0000-0000-000062A10000}"/>
    <cellStyle name="Note 4 2 4 5" xfId="41309" xr:uid="{00000000-0005-0000-0000-000063A10000}"/>
    <cellStyle name="Note 4 2 5" xfId="41310" xr:uid="{00000000-0005-0000-0000-000064A10000}"/>
    <cellStyle name="Note 4 2 5 2" xfId="41311" xr:uid="{00000000-0005-0000-0000-000065A10000}"/>
    <cellStyle name="Note 4 2 5 2 2" xfId="41312" xr:uid="{00000000-0005-0000-0000-000066A10000}"/>
    <cellStyle name="Note 4 2 5 3" xfId="41313" xr:uid="{00000000-0005-0000-0000-000067A10000}"/>
    <cellStyle name="Note 4 2 5 4" xfId="41314" xr:uid="{00000000-0005-0000-0000-000068A10000}"/>
    <cellStyle name="Note 4 2 5 5" xfId="41315" xr:uid="{00000000-0005-0000-0000-000069A10000}"/>
    <cellStyle name="Note 4 2 6" xfId="41316" xr:uid="{00000000-0005-0000-0000-00006AA10000}"/>
    <cellStyle name="Note 4 2 6 2" xfId="41317" xr:uid="{00000000-0005-0000-0000-00006BA10000}"/>
    <cellStyle name="Note 4 2 7" xfId="41318" xr:uid="{00000000-0005-0000-0000-00006CA10000}"/>
    <cellStyle name="Note 4 2 8" xfId="41319" xr:uid="{00000000-0005-0000-0000-00006DA10000}"/>
    <cellStyle name="Note 4 2 9" xfId="41320" xr:uid="{00000000-0005-0000-0000-00006EA10000}"/>
    <cellStyle name="Note 4 3" xfId="41321" xr:uid="{00000000-0005-0000-0000-00006FA10000}"/>
    <cellStyle name="Note 4 3 10" xfId="41322" xr:uid="{00000000-0005-0000-0000-000070A10000}"/>
    <cellStyle name="Note 4 3 2" xfId="41323" xr:uid="{00000000-0005-0000-0000-000071A10000}"/>
    <cellStyle name="Note 4 3 2 2" xfId="41324" xr:uid="{00000000-0005-0000-0000-000072A10000}"/>
    <cellStyle name="Note 4 3 2 2 2" xfId="41325" xr:uid="{00000000-0005-0000-0000-000073A10000}"/>
    <cellStyle name="Note 4 3 2 2 2 2" xfId="41326" xr:uid="{00000000-0005-0000-0000-000074A10000}"/>
    <cellStyle name="Note 4 3 2 2 2 3" xfId="41327" xr:uid="{00000000-0005-0000-0000-000075A10000}"/>
    <cellStyle name="Note 4 3 2 2 3" xfId="41328" xr:uid="{00000000-0005-0000-0000-000076A10000}"/>
    <cellStyle name="Note 4 3 2 2 4" xfId="41329" xr:uid="{00000000-0005-0000-0000-000077A10000}"/>
    <cellStyle name="Note 4 3 2 2 5" xfId="41330" xr:uid="{00000000-0005-0000-0000-000078A10000}"/>
    <cellStyle name="Note 4 3 2 2 6" xfId="41331" xr:uid="{00000000-0005-0000-0000-000079A10000}"/>
    <cellStyle name="Note 4 3 2 3" xfId="41332" xr:uid="{00000000-0005-0000-0000-00007AA10000}"/>
    <cellStyle name="Note 4 3 2 3 2" xfId="41333" xr:uid="{00000000-0005-0000-0000-00007BA10000}"/>
    <cellStyle name="Note 4 3 2 3 2 2" xfId="41334" xr:uid="{00000000-0005-0000-0000-00007CA10000}"/>
    <cellStyle name="Note 4 3 2 3 3" xfId="41335" xr:uid="{00000000-0005-0000-0000-00007DA10000}"/>
    <cellStyle name="Note 4 3 2 3 4" xfId="41336" xr:uid="{00000000-0005-0000-0000-00007EA10000}"/>
    <cellStyle name="Note 4 3 2 3 5" xfId="41337" xr:uid="{00000000-0005-0000-0000-00007FA10000}"/>
    <cellStyle name="Note 4 3 2 4" xfId="41338" xr:uid="{00000000-0005-0000-0000-000080A10000}"/>
    <cellStyle name="Note 4 3 2 4 2" xfId="41339" xr:uid="{00000000-0005-0000-0000-000081A10000}"/>
    <cellStyle name="Note 4 3 2 4 3" xfId="41340" xr:uid="{00000000-0005-0000-0000-000082A10000}"/>
    <cellStyle name="Note 4 3 2 4 4" xfId="41341" xr:uid="{00000000-0005-0000-0000-000083A10000}"/>
    <cellStyle name="Note 4 3 2 5" xfId="41342" xr:uid="{00000000-0005-0000-0000-000084A10000}"/>
    <cellStyle name="Note 4 3 2 5 2" xfId="41343" xr:uid="{00000000-0005-0000-0000-000085A10000}"/>
    <cellStyle name="Note 4 3 2 6" xfId="41344" xr:uid="{00000000-0005-0000-0000-000086A10000}"/>
    <cellStyle name="Note 4 3 2 7" xfId="41345" xr:uid="{00000000-0005-0000-0000-000087A10000}"/>
    <cellStyle name="Note 4 3 2 8" xfId="41346" xr:uid="{00000000-0005-0000-0000-000088A10000}"/>
    <cellStyle name="Note 4 3 2 9" xfId="41347" xr:uid="{00000000-0005-0000-0000-000089A10000}"/>
    <cellStyle name="Note 4 3 3" xfId="41348" xr:uid="{00000000-0005-0000-0000-00008AA10000}"/>
    <cellStyle name="Note 4 3 3 2" xfId="41349" xr:uid="{00000000-0005-0000-0000-00008BA10000}"/>
    <cellStyle name="Note 4 3 3 2 2" xfId="41350" xr:uid="{00000000-0005-0000-0000-00008CA10000}"/>
    <cellStyle name="Note 4 3 3 2 3" xfId="41351" xr:uid="{00000000-0005-0000-0000-00008DA10000}"/>
    <cellStyle name="Note 4 3 3 3" xfId="41352" xr:uid="{00000000-0005-0000-0000-00008EA10000}"/>
    <cellStyle name="Note 4 3 3 4" xfId="41353" xr:uid="{00000000-0005-0000-0000-00008FA10000}"/>
    <cellStyle name="Note 4 3 3 5" xfId="41354" xr:uid="{00000000-0005-0000-0000-000090A10000}"/>
    <cellStyle name="Note 4 3 3 6" xfId="41355" xr:uid="{00000000-0005-0000-0000-000091A10000}"/>
    <cellStyle name="Note 4 3 4" xfId="41356" xr:uid="{00000000-0005-0000-0000-000092A10000}"/>
    <cellStyle name="Note 4 3 4 2" xfId="41357" xr:uid="{00000000-0005-0000-0000-000093A10000}"/>
    <cellStyle name="Note 4 3 4 2 2" xfId="41358" xr:uid="{00000000-0005-0000-0000-000094A10000}"/>
    <cellStyle name="Note 4 3 4 3" xfId="41359" xr:uid="{00000000-0005-0000-0000-000095A10000}"/>
    <cellStyle name="Note 4 3 4 4" xfId="41360" xr:uid="{00000000-0005-0000-0000-000096A10000}"/>
    <cellStyle name="Note 4 3 4 5" xfId="41361" xr:uid="{00000000-0005-0000-0000-000097A10000}"/>
    <cellStyle name="Note 4 3 5" xfId="41362" xr:uid="{00000000-0005-0000-0000-000098A10000}"/>
    <cellStyle name="Note 4 3 5 2" xfId="41363" xr:uid="{00000000-0005-0000-0000-000099A10000}"/>
    <cellStyle name="Note 4 3 5 2 2" xfId="41364" xr:uid="{00000000-0005-0000-0000-00009AA10000}"/>
    <cellStyle name="Note 4 3 5 3" xfId="41365" xr:uid="{00000000-0005-0000-0000-00009BA10000}"/>
    <cellStyle name="Note 4 3 5 4" xfId="41366" xr:uid="{00000000-0005-0000-0000-00009CA10000}"/>
    <cellStyle name="Note 4 3 5 5" xfId="41367" xr:uid="{00000000-0005-0000-0000-00009DA10000}"/>
    <cellStyle name="Note 4 3 6" xfId="41368" xr:uid="{00000000-0005-0000-0000-00009EA10000}"/>
    <cellStyle name="Note 4 3 6 2" xfId="41369" xr:uid="{00000000-0005-0000-0000-00009FA10000}"/>
    <cellStyle name="Note 4 3 7" xfId="41370" xr:uid="{00000000-0005-0000-0000-0000A0A10000}"/>
    <cellStyle name="Note 4 3 8" xfId="41371" xr:uid="{00000000-0005-0000-0000-0000A1A10000}"/>
    <cellStyle name="Note 4 3 9" xfId="41372" xr:uid="{00000000-0005-0000-0000-0000A2A10000}"/>
    <cellStyle name="Note 4 4" xfId="41373" xr:uid="{00000000-0005-0000-0000-0000A3A10000}"/>
    <cellStyle name="Note 4 4 10" xfId="41374" xr:uid="{00000000-0005-0000-0000-0000A4A10000}"/>
    <cellStyle name="Note 4 4 2" xfId="41375" xr:uid="{00000000-0005-0000-0000-0000A5A10000}"/>
    <cellStyle name="Note 4 4 2 2" xfId="41376" xr:uid="{00000000-0005-0000-0000-0000A6A10000}"/>
    <cellStyle name="Note 4 4 2 2 2" xfId="41377" xr:uid="{00000000-0005-0000-0000-0000A7A10000}"/>
    <cellStyle name="Note 4 4 2 2 2 2" xfId="41378" xr:uid="{00000000-0005-0000-0000-0000A8A10000}"/>
    <cellStyle name="Note 4 4 2 2 2 3" xfId="41379" xr:uid="{00000000-0005-0000-0000-0000A9A10000}"/>
    <cellStyle name="Note 4 4 2 2 3" xfId="41380" xr:uid="{00000000-0005-0000-0000-0000AAA10000}"/>
    <cellStyle name="Note 4 4 2 2 4" xfId="41381" xr:uid="{00000000-0005-0000-0000-0000ABA10000}"/>
    <cellStyle name="Note 4 4 2 2 5" xfId="41382" xr:uid="{00000000-0005-0000-0000-0000ACA10000}"/>
    <cellStyle name="Note 4 4 2 2 6" xfId="41383" xr:uid="{00000000-0005-0000-0000-0000ADA10000}"/>
    <cellStyle name="Note 4 4 2 3" xfId="41384" xr:uid="{00000000-0005-0000-0000-0000AEA10000}"/>
    <cellStyle name="Note 4 4 2 3 2" xfId="41385" xr:uid="{00000000-0005-0000-0000-0000AFA10000}"/>
    <cellStyle name="Note 4 4 2 3 2 2" xfId="41386" xr:uid="{00000000-0005-0000-0000-0000B0A10000}"/>
    <cellStyle name="Note 4 4 2 3 3" xfId="41387" xr:uid="{00000000-0005-0000-0000-0000B1A10000}"/>
    <cellStyle name="Note 4 4 2 3 4" xfId="41388" xr:uid="{00000000-0005-0000-0000-0000B2A10000}"/>
    <cellStyle name="Note 4 4 2 3 5" xfId="41389" xr:uid="{00000000-0005-0000-0000-0000B3A10000}"/>
    <cellStyle name="Note 4 4 2 4" xfId="41390" xr:uid="{00000000-0005-0000-0000-0000B4A10000}"/>
    <cellStyle name="Note 4 4 2 4 2" xfId="41391" xr:uid="{00000000-0005-0000-0000-0000B5A10000}"/>
    <cellStyle name="Note 4 4 2 4 3" xfId="41392" xr:uid="{00000000-0005-0000-0000-0000B6A10000}"/>
    <cellStyle name="Note 4 4 2 4 4" xfId="41393" xr:uid="{00000000-0005-0000-0000-0000B7A10000}"/>
    <cellStyle name="Note 4 4 2 5" xfId="41394" xr:uid="{00000000-0005-0000-0000-0000B8A10000}"/>
    <cellStyle name="Note 4 4 2 5 2" xfId="41395" xr:uid="{00000000-0005-0000-0000-0000B9A10000}"/>
    <cellStyle name="Note 4 4 2 6" xfId="41396" xr:uid="{00000000-0005-0000-0000-0000BAA10000}"/>
    <cellStyle name="Note 4 4 2 7" xfId="41397" xr:uid="{00000000-0005-0000-0000-0000BBA10000}"/>
    <cellStyle name="Note 4 4 2 8" xfId="41398" xr:uid="{00000000-0005-0000-0000-0000BCA10000}"/>
    <cellStyle name="Note 4 4 2 9" xfId="41399" xr:uid="{00000000-0005-0000-0000-0000BDA10000}"/>
    <cellStyle name="Note 4 4 3" xfId="41400" xr:uid="{00000000-0005-0000-0000-0000BEA10000}"/>
    <cellStyle name="Note 4 4 3 2" xfId="41401" xr:uid="{00000000-0005-0000-0000-0000BFA10000}"/>
    <cellStyle name="Note 4 4 3 2 2" xfId="41402" xr:uid="{00000000-0005-0000-0000-0000C0A10000}"/>
    <cellStyle name="Note 4 4 3 2 3" xfId="41403" xr:uid="{00000000-0005-0000-0000-0000C1A10000}"/>
    <cellStyle name="Note 4 4 3 3" xfId="41404" xr:uid="{00000000-0005-0000-0000-0000C2A10000}"/>
    <cellStyle name="Note 4 4 3 4" xfId="41405" xr:uid="{00000000-0005-0000-0000-0000C3A10000}"/>
    <cellStyle name="Note 4 4 3 5" xfId="41406" xr:uid="{00000000-0005-0000-0000-0000C4A10000}"/>
    <cellStyle name="Note 4 4 3 6" xfId="41407" xr:uid="{00000000-0005-0000-0000-0000C5A10000}"/>
    <cellStyle name="Note 4 4 4" xfId="41408" xr:uid="{00000000-0005-0000-0000-0000C6A10000}"/>
    <cellStyle name="Note 4 4 4 2" xfId="41409" xr:uid="{00000000-0005-0000-0000-0000C7A10000}"/>
    <cellStyle name="Note 4 4 4 2 2" xfId="41410" xr:uid="{00000000-0005-0000-0000-0000C8A10000}"/>
    <cellStyle name="Note 4 4 4 3" xfId="41411" xr:uid="{00000000-0005-0000-0000-0000C9A10000}"/>
    <cellStyle name="Note 4 4 4 4" xfId="41412" xr:uid="{00000000-0005-0000-0000-0000CAA10000}"/>
    <cellStyle name="Note 4 4 4 5" xfId="41413" xr:uid="{00000000-0005-0000-0000-0000CBA10000}"/>
    <cellStyle name="Note 4 4 5" xfId="41414" xr:uid="{00000000-0005-0000-0000-0000CCA10000}"/>
    <cellStyle name="Note 4 4 5 2" xfId="41415" xr:uid="{00000000-0005-0000-0000-0000CDA10000}"/>
    <cellStyle name="Note 4 4 5 2 2" xfId="41416" xr:uid="{00000000-0005-0000-0000-0000CEA10000}"/>
    <cellStyle name="Note 4 4 5 3" xfId="41417" xr:uid="{00000000-0005-0000-0000-0000CFA10000}"/>
    <cellStyle name="Note 4 4 5 4" xfId="41418" xr:uid="{00000000-0005-0000-0000-0000D0A10000}"/>
    <cellStyle name="Note 4 4 5 5" xfId="41419" xr:uid="{00000000-0005-0000-0000-0000D1A10000}"/>
    <cellStyle name="Note 4 4 6" xfId="41420" xr:uid="{00000000-0005-0000-0000-0000D2A10000}"/>
    <cellStyle name="Note 4 4 6 2" xfId="41421" xr:uid="{00000000-0005-0000-0000-0000D3A10000}"/>
    <cellStyle name="Note 4 4 7" xfId="41422" xr:uid="{00000000-0005-0000-0000-0000D4A10000}"/>
    <cellStyle name="Note 4 4 8" xfId="41423" xr:uid="{00000000-0005-0000-0000-0000D5A10000}"/>
    <cellStyle name="Note 4 4 9" xfId="41424" xr:uid="{00000000-0005-0000-0000-0000D6A10000}"/>
    <cellStyle name="Note 4 5" xfId="41425" xr:uid="{00000000-0005-0000-0000-0000D7A10000}"/>
    <cellStyle name="Note 4 5 10" xfId="41426" xr:uid="{00000000-0005-0000-0000-0000D8A10000}"/>
    <cellStyle name="Note 4 5 2" xfId="41427" xr:uid="{00000000-0005-0000-0000-0000D9A10000}"/>
    <cellStyle name="Note 4 5 2 2" xfId="41428" xr:uid="{00000000-0005-0000-0000-0000DAA10000}"/>
    <cellStyle name="Note 4 5 2 2 2" xfId="41429" xr:uid="{00000000-0005-0000-0000-0000DBA10000}"/>
    <cellStyle name="Note 4 5 2 2 2 2" xfId="41430" xr:uid="{00000000-0005-0000-0000-0000DCA10000}"/>
    <cellStyle name="Note 4 5 2 2 2 3" xfId="41431" xr:uid="{00000000-0005-0000-0000-0000DDA10000}"/>
    <cellStyle name="Note 4 5 2 2 3" xfId="41432" xr:uid="{00000000-0005-0000-0000-0000DEA10000}"/>
    <cellStyle name="Note 4 5 2 2 4" xfId="41433" xr:uid="{00000000-0005-0000-0000-0000DFA10000}"/>
    <cellStyle name="Note 4 5 2 2 5" xfId="41434" xr:uid="{00000000-0005-0000-0000-0000E0A10000}"/>
    <cellStyle name="Note 4 5 2 2 6" xfId="41435" xr:uid="{00000000-0005-0000-0000-0000E1A10000}"/>
    <cellStyle name="Note 4 5 2 3" xfId="41436" xr:uid="{00000000-0005-0000-0000-0000E2A10000}"/>
    <cellStyle name="Note 4 5 2 3 2" xfId="41437" xr:uid="{00000000-0005-0000-0000-0000E3A10000}"/>
    <cellStyle name="Note 4 5 2 3 2 2" xfId="41438" xr:uid="{00000000-0005-0000-0000-0000E4A10000}"/>
    <cellStyle name="Note 4 5 2 3 3" xfId="41439" xr:uid="{00000000-0005-0000-0000-0000E5A10000}"/>
    <cellStyle name="Note 4 5 2 3 4" xfId="41440" xr:uid="{00000000-0005-0000-0000-0000E6A10000}"/>
    <cellStyle name="Note 4 5 2 3 5" xfId="41441" xr:uid="{00000000-0005-0000-0000-0000E7A10000}"/>
    <cellStyle name="Note 4 5 2 4" xfId="41442" xr:uid="{00000000-0005-0000-0000-0000E8A10000}"/>
    <cellStyle name="Note 4 5 2 4 2" xfId="41443" xr:uid="{00000000-0005-0000-0000-0000E9A10000}"/>
    <cellStyle name="Note 4 5 2 4 3" xfId="41444" xr:uid="{00000000-0005-0000-0000-0000EAA10000}"/>
    <cellStyle name="Note 4 5 2 4 4" xfId="41445" xr:uid="{00000000-0005-0000-0000-0000EBA10000}"/>
    <cellStyle name="Note 4 5 2 5" xfId="41446" xr:uid="{00000000-0005-0000-0000-0000ECA10000}"/>
    <cellStyle name="Note 4 5 2 5 2" xfId="41447" xr:uid="{00000000-0005-0000-0000-0000EDA10000}"/>
    <cellStyle name="Note 4 5 2 6" xfId="41448" xr:uid="{00000000-0005-0000-0000-0000EEA10000}"/>
    <cellStyle name="Note 4 5 2 7" xfId="41449" xr:uid="{00000000-0005-0000-0000-0000EFA10000}"/>
    <cellStyle name="Note 4 5 2 8" xfId="41450" xr:uid="{00000000-0005-0000-0000-0000F0A10000}"/>
    <cellStyle name="Note 4 5 2 9" xfId="41451" xr:uid="{00000000-0005-0000-0000-0000F1A10000}"/>
    <cellStyle name="Note 4 5 3" xfId="41452" xr:uid="{00000000-0005-0000-0000-0000F2A10000}"/>
    <cellStyle name="Note 4 5 3 2" xfId="41453" xr:uid="{00000000-0005-0000-0000-0000F3A10000}"/>
    <cellStyle name="Note 4 5 3 2 2" xfId="41454" xr:uid="{00000000-0005-0000-0000-0000F4A10000}"/>
    <cellStyle name="Note 4 5 3 2 3" xfId="41455" xr:uid="{00000000-0005-0000-0000-0000F5A10000}"/>
    <cellStyle name="Note 4 5 3 3" xfId="41456" xr:uid="{00000000-0005-0000-0000-0000F6A10000}"/>
    <cellStyle name="Note 4 5 3 4" xfId="41457" xr:uid="{00000000-0005-0000-0000-0000F7A10000}"/>
    <cellStyle name="Note 4 5 3 5" xfId="41458" xr:uid="{00000000-0005-0000-0000-0000F8A10000}"/>
    <cellStyle name="Note 4 5 3 6" xfId="41459" xr:uid="{00000000-0005-0000-0000-0000F9A10000}"/>
    <cellStyle name="Note 4 5 4" xfId="41460" xr:uid="{00000000-0005-0000-0000-0000FAA10000}"/>
    <cellStyle name="Note 4 5 4 2" xfId="41461" xr:uid="{00000000-0005-0000-0000-0000FBA10000}"/>
    <cellStyle name="Note 4 5 4 2 2" xfId="41462" xr:uid="{00000000-0005-0000-0000-0000FCA10000}"/>
    <cellStyle name="Note 4 5 4 3" xfId="41463" xr:uid="{00000000-0005-0000-0000-0000FDA10000}"/>
    <cellStyle name="Note 4 5 4 4" xfId="41464" xr:uid="{00000000-0005-0000-0000-0000FEA10000}"/>
    <cellStyle name="Note 4 5 4 5" xfId="41465" xr:uid="{00000000-0005-0000-0000-0000FFA10000}"/>
    <cellStyle name="Note 4 5 5" xfId="41466" xr:uid="{00000000-0005-0000-0000-000000A20000}"/>
    <cellStyle name="Note 4 5 5 2" xfId="41467" xr:uid="{00000000-0005-0000-0000-000001A20000}"/>
    <cellStyle name="Note 4 5 5 2 2" xfId="41468" xr:uid="{00000000-0005-0000-0000-000002A20000}"/>
    <cellStyle name="Note 4 5 5 3" xfId="41469" xr:uid="{00000000-0005-0000-0000-000003A20000}"/>
    <cellStyle name="Note 4 5 5 4" xfId="41470" xr:uid="{00000000-0005-0000-0000-000004A20000}"/>
    <cellStyle name="Note 4 5 5 5" xfId="41471" xr:uid="{00000000-0005-0000-0000-000005A20000}"/>
    <cellStyle name="Note 4 5 6" xfId="41472" xr:uid="{00000000-0005-0000-0000-000006A20000}"/>
    <cellStyle name="Note 4 5 6 2" xfId="41473" xr:uid="{00000000-0005-0000-0000-000007A20000}"/>
    <cellStyle name="Note 4 5 7" xfId="41474" xr:uid="{00000000-0005-0000-0000-000008A20000}"/>
    <cellStyle name="Note 4 5 8" xfId="41475" xr:uid="{00000000-0005-0000-0000-000009A20000}"/>
    <cellStyle name="Note 4 5 9" xfId="41476" xr:uid="{00000000-0005-0000-0000-00000AA20000}"/>
    <cellStyle name="Note 4 6" xfId="41477" xr:uid="{00000000-0005-0000-0000-00000BA20000}"/>
    <cellStyle name="Note 4 6 10" xfId="41478" xr:uid="{00000000-0005-0000-0000-00000CA20000}"/>
    <cellStyle name="Note 4 6 2" xfId="41479" xr:uid="{00000000-0005-0000-0000-00000DA20000}"/>
    <cellStyle name="Note 4 6 2 2" xfId="41480" xr:uid="{00000000-0005-0000-0000-00000EA20000}"/>
    <cellStyle name="Note 4 6 2 2 2" xfId="41481" xr:uid="{00000000-0005-0000-0000-00000FA20000}"/>
    <cellStyle name="Note 4 6 2 2 2 2" xfId="41482" xr:uid="{00000000-0005-0000-0000-000010A20000}"/>
    <cellStyle name="Note 4 6 2 2 2 3" xfId="41483" xr:uid="{00000000-0005-0000-0000-000011A20000}"/>
    <cellStyle name="Note 4 6 2 2 3" xfId="41484" xr:uid="{00000000-0005-0000-0000-000012A20000}"/>
    <cellStyle name="Note 4 6 2 2 4" xfId="41485" xr:uid="{00000000-0005-0000-0000-000013A20000}"/>
    <cellStyle name="Note 4 6 2 2 5" xfId="41486" xr:uid="{00000000-0005-0000-0000-000014A20000}"/>
    <cellStyle name="Note 4 6 2 2 6" xfId="41487" xr:uid="{00000000-0005-0000-0000-000015A20000}"/>
    <cellStyle name="Note 4 6 2 3" xfId="41488" xr:uid="{00000000-0005-0000-0000-000016A20000}"/>
    <cellStyle name="Note 4 6 2 3 2" xfId="41489" xr:uid="{00000000-0005-0000-0000-000017A20000}"/>
    <cellStyle name="Note 4 6 2 3 2 2" xfId="41490" xr:uid="{00000000-0005-0000-0000-000018A20000}"/>
    <cellStyle name="Note 4 6 2 3 3" xfId="41491" xr:uid="{00000000-0005-0000-0000-000019A20000}"/>
    <cellStyle name="Note 4 6 2 3 4" xfId="41492" xr:uid="{00000000-0005-0000-0000-00001AA20000}"/>
    <cellStyle name="Note 4 6 2 3 5" xfId="41493" xr:uid="{00000000-0005-0000-0000-00001BA20000}"/>
    <cellStyle name="Note 4 6 2 4" xfId="41494" xr:uid="{00000000-0005-0000-0000-00001CA20000}"/>
    <cellStyle name="Note 4 6 2 4 2" xfId="41495" xr:uid="{00000000-0005-0000-0000-00001DA20000}"/>
    <cellStyle name="Note 4 6 2 4 3" xfId="41496" xr:uid="{00000000-0005-0000-0000-00001EA20000}"/>
    <cellStyle name="Note 4 6 2 4 4" xfId="41497" xr:uid="{00000000-0005-0000-0000-00001FA20000}"/>
    <cellStyle name="Note 4 6 2 5" xfId="41498" xr:uid="{00000000-0005-0000-0000-000020A20000}"/>
    <cellStyle name="Note 4 6 2 5 2" xfId="41499" xr:uid="{00000000-0005-0000-0000-000021A20000}"/>
    <cellStyle name="Note 4 6 2 6" xfId="41500" xr:uid="{00000000-0005-0000-0000-000022A20000}"/>
    <cellStyle name="Note 4 6 2 7" xfId="41501" xr:uid="{00000000-0005-0000-0000-000023A20000}"/>
    <cellStyle name="Note 4 6 2 8" xfId="41502" xr:uid="{00000000-0005-0000-0000-000024A20000}"/>
    <cellStyle name="Note 4 6 2 9" xfId="41503" xr:uid="{00000000-0005-0000-0000-000025A20000}"/>
    <cellStyle name="Note 4 6 3" xfId="41504" xr:uid="{00000000-0005-0000-0000-000026A20000}"/>
    <cellStyle name="Note 4 6 3 2" xfId="41505" xr:uid="{00000000-0005-0000-0000-000027A20000}"/>
    <cellStyle name="Note 4 6 3 2 2" xfId="41506" xr:uid="{00000000-0005-0000-0000-000028A20000}"/>
    <cellStyle name="Note 4 6 3 2 3" xfId="41507" xr:uid="{00000000-0005-0000-0000-000029A20000}"/>
    <cellStyle name="Note 4 6 3 3" xfId="41508" xr:uid="{00000000-0005-0000-0000-00002AA20000}"/>
    <cellStyle name="Note 4 6 3 4" xfId="41509" xr:uid="{00000000-0005-0000-0000-00002BA20000}"/>
    <cellStyle name="Note 4 6 3 5" xfId="41510" xr:uid="{00000000-0005-0000-0000-00002CA20000}"/>
    <cellStyle name="Note 4 6 3 6" xfId="41511" xr:uid="{00000000-0005-0000-0000-00002DA20000}"/>
    <cellStyle name="Note 4 6 4" xfId="41512" xr:uid="{00000000-0005-0000-0000-00002EA20000}"/>
    <cellStyle name="Note 4 6 4 2" xfId="41513" xr:uid="{00000000-0005-0000-0000-00002FA20000}"/>
    <cellStyle name="Note 4 6 4 2 2" xfId="41514" xr:uid="{00000000-0005-0000-0000-000030A20000}"/>
    <cellStyle name="Note 4 6 4 3" xfId="41515" xr:uid="{00000000-0005-0000-0000-000031A20000}"/>
    <cellStyle name="Note 4 6 4 4" xfId="41516" xr:uid="{00000000-0005-0000-0000-000032A20000}"/>
    <cellStyle name="Note 4 6 4 5" xfId="41517" xr:uid="{00000000-0005-0000-0000-000033A20000}"/>
    <cellStyle name="Note 4 6 5" xfId="41518" xr:uid="{00000000-0005-0000-0000-000034A20000}"/>
    <cellStyle name="Note 4 6 5 2" xfId="41519" xr:uid="{00000000-0005-0000-0000-000035A20000}"/>
    <cellStyle name="Note 4 6 5 2 2" xfId="41520" xr:uid="{00000000-0005-0000-0000-000036A20000}"/>
    <cellStyle name="Note 4 6 5 3" xfId="41521" xr:uid="{00000000-0005-0000-0000-000037A20000}"/>
    <cellStyle name="Note 4 6 5 4" xfId="41522" xr:uid="{00000000-0005-0000-0000-000038A20000}"/>
    <cellStyle name="Note 4 6 5 5" xfId="41523" xr:uid="{00000000-0005-0000-0000-000039A20000}"/>
    <cellStyle name="Note 4 6 6" xfId="41524" xr:uid="{00000000-0005-0000-0000-00003AA20000}"/>
    <cellStyle name="Note 4 6 6 2" xfId="41525" xr:uid="{00000000-0005-0000-0000-00003BA20000}"/>
    <cellStyle name="Note 4 6 7" xfId="41526" xr:uid="{00000000-0005-0000-0000-00003CA20000}"/>
    <cellStyle name="Note 4 6 8" xfId="41527" xr:uid="{00000000-0005-0000-0000-00003DA20000}"/>
    <cellStyle name="Note 4 6 9" xfId="41528" xr:uid="{00000000-0005-0000-0000-00003EA20000}"/>
    <cellStyle name="Note 4 7" xfId="41529" xr:uid="{00000000-0005-0000-0000-00003FA20000}"/>
    <cellStyle name="Note 4 7 10" xfId="41530" xr:uid="{00000000-0005-0000-0000-000040A20000}"/>
    <cellStyle name="Note 4 7 2" xfId="41531" xr:uid="{00000000-0005-0000-0000-000041A20000}"/>
    <cellStyle name="Note 4 7 2 2" xfId="41532" xr:uid="{00000000-0005-0000-0000-000042A20000}"/>
    <cellStyle name="Note 4 7 2 2 2" xfId="41533" xr:uid="{00000000-0005-0000-0000-000043A20000}"/>
    <cellStyle name="Note 4 7 2 2 2 2" xfId="41534" xr:uid="{00000000-0005-0000-0000-000044A20000}"/>
    <cellStyle name="Note 4 7 2 2 2 3" xfId="41535" xr:uid="{00000000-0005-0000-0000-000045A20000}"/>
    <cellStyle name="Note 4 7 2 2 3" xfId="41536" xr:uid="{00000000-0005-0000-0000-000046A20000}"/>
    <cellStyle name="Note 4 7 2 2 4" xfId="41537" xr:uid="{00000000-0005-0000-0000-000047A20000}"/>
    <cellStyle name="Note 4 7 2 2 5" xfId="41538" xr:uid="{00000000-0005-0000-0000-000048A20000}"/>
    <cellStyle name="Note 4 7 2 2 6" xfId="41539" xr:uid="{00000000-0005-0000-0000-000049A20000}"/>
    <cellStyle name="Note 4 7 2 3" xfId="41540" xr:uid="{00000000-0005-0000-0000-00004AA20000}"/>
    <cellStyle name="Note 4 7 2 3 2" xfId="41541" xr:uid="{00000000-0005-0000-0000-00004BA20000}"/>
    <cellStyle name="Note 4 7 2 3 2 2" xfId="41542" xr:uid="{00000000-0005-0000-0000-00004CA20000}"/>
    <cellStyle name="Note 4 7 2 3 3" xfId="41543" xr:uid="{00000000-0005-0000-0000-00004DA20000}"/>
    <cellStyle name="Note 4 7 2 3 4" xfId="41544" xr:uid="{00000000-0005-0000-0000-00004EA20000}"/>
    <cellStyle name="Note 4 7 2 3 5" xfId="41545" xr:uid="{00000000-0005-0000-0000-00004FA20000}"/>
    <cellStyle name="Note 4 7 2 4" xfId="41546" xr:uid="{00000000-0005-0000-0000-000050A20000}"/>
    <cellStyle name="Note 4 7 2 4 2" xfId="41547" xr:uid="{00000000-0005-0000-0000-000051A20000}"/>
    <cellStyle name="Note 4 7 2 4 3" xfId="41548" xr:uid="{00000000-0005-0000-0000-000052A20000}"/>
    <cellStyle name="Note 4 7 2 4 4" xfId="41549" xr:uid="{00000000-0005-0000-0000-000053A20000}"/>
    <cellStyle name="Note 4 7 2 5" xfId="41550" xr:uid="{00000000-0005-0000-0000-000054A20000}"/>
    <cellStyle name="Note 4 7 2 5 2" xfId="41551" xr:uid="{00000000-0005-0000-0000-000055A20000}"/>
    <cellStyle name="Note 4 7 2 6" xfId="41552" xr:uid="{00000000-0005-0000-0000-000056A20000}"/>
    <cellStyle name="Note 4 7 2 7" xfId="41553" xr:uid="{00000000-0005-0000-0000-000057A20000}"/>
    <cellStyle name="Note 4 7 2 8" xfId="41554" xr:uid="{00000000-0005-0000-0000-000058A20000}"/>
    <cellStyle name="Note 4 7 2 9" xfId="41555" xr:uid="{00000000-0005-0000-0000-000059A20000}"/>
    <cellStyle name="Note 4 7 3" xfId="41556" xr:uid="{00000000-0005-0000-0000-00005AA20000}"/>
    <cellStyle name="Note 4 7 3 2" xfId="41557" xr:uid="{00000000-0005-0000-0000-00005BA20000}"/>
    <cellStyle name="Note 4 7 3 2 2" xfId="41558" xr:uid="{00000000-0005-0000-0000-00005CA20000}"/>
    <cellStyle name="Note 4 7 3 2 3" xfId="41559" xr:uid="{00000000-0005-0000-0000-00005DA20000}"/>
    <cellStyle name="Note 4 7 3 3" xfId="41560" xr:uid="{00000000-0005-0000-0000-00005EA20000}"/>
    <cellStyle name="Note 4 7 3 4" xfId="41561" xr:uid="{00000000-0005-0000-0000-00005FA20000}"/>
    <cellStyle name="Note 4 7 3 5" xfId="41562" xr:uid="{00000000-0005-0000-0000-000060A20000}"/>
    <cellStyle name="Note 4 7 3 6" xfId="41563" xr:uid="{00000000-0005-0000-0000-000061A20000}"/>
    <cellStyle name="Note 4 7 4" xfId="41564" xr:uid="{00000000-0005-0000-0000-000062A20000}"/>
    <cellStyle name="Note 4 7 4 2" xfId="41565" xr:uid="{00000000-0005-0000-0000-000063A20000}"/>
    <cellStyle name="Note 4 7 4 2 2" xfId="41566" xr:uid="{00000000-0005-0000-0000-000064A20000}"/>
    <cellStyle name="Note 4 7 4 3" xfId="41567" xr:uid="{00000000-0005-0000-0000-000065A20000}"/>
    <cellStyle name="Note 4 7 4 4" xfId="41568" xr:uid="{00000000-0005-0000-0000-000066A20000}"/>
    <cellStyle name="Note 4 7 4 5" xfId="41569" xr:uid="{00000000-0005-0000-0000-000067A20000}"/>
    <cellStyle name="Note 4 7 5" xfId="41570" xr:uid="{00000000-0005-0000-0000-000068A20000}"/>
    <cellStyle name="Note 4 7 5 2" xfId="41571" xr:uid="{00000000-0005-0000-0000-000069A20000}"/>
    <cellStyle name="Note 4 7 5 2 2" xfId="41572" xr:uid="{00000000-0005-0000-0000-00006AA20000}"/>
    <cellStyle name="Note 4 7 5 3" xfId="41573" xr:uid="{00000000-0005-0000-0000-00006BA20000}"/>
    <cellStyle name="Note 4 7 5 4" xfId="41574" xr:uid="{00000000-0005-0000-0000-00006CA20000}"/>
    <cellStyle name="Note 4 7 5 5" xfId="41575" xr:uid="{00000000-0005-0000-0000-00006DA20000}"/>
    <cellStyle name="Note 4 7 6" xfId="41576" xr:uid="{00000000-0005-0000-0000-00006EA20000}"/>
    <cellStyle name="Note 4 7 6 2" xfId="41577" xr:uid="{00000000-0005-0000-0000-00006FA20000}"/>
    <cellStyle name="Note 4 7 7" xfId="41578" xr:uid="{00000000-0005-0000-0000-000070A20000}"/>
    <cellStyle name="Note 4 7 8" xfId="41579" xr:uid="{00000000-0005-0000-0000-000071A20000}"/>
    <cellStyle name="Note 4 7 9" xfId="41580" xr:uid="{00000000-0005-0000-0000-000072A20000}"/>
    <cellStyle name="Note 4 8" xfId="41581" xr:uid="{00000000-0005-0000-0000-000073A20000}"/>
    <cellStyle name="Note 4 8 10" xfId="41582" xr:uid="{00000000-0005-0000-0000-000074A20000}"/>
    <cellStyle name="Note 4 8 2" xfId="41583" xr:uid="{00000000-0005-0000-0000-000075A20000}"/>
    <cellStyle name="Note 4 8 2 2" xfId="41584" xr:uid="{00000000-0005-0000-0000-000076A20000}"/>
    <cellStyle name="Note 4 8 2 2 2" xfId="41585" xr:uid="{00000000-0005-0000-0000-000077A20000}"/>
    <cellStyle name="Note 4 8 2 2 2 2" xfId="41586" xr:uid="{00000000-0005-0000-0000-000078A20000}"/>
    <cellStyle name="Note 4 8 2 2 2 3" xfId="41587" xr:uid="{00000000-0005-0000-0000-000079A20000}"/>
    <cellStyle name="Note 4 8 2 2 3" xfId="41588" xr:uid="{00000000-0005-0000-0000-00007AA20000}"/>
    <cellStyle name="Note 4 8 2 2 4" xfId="41589" xr:uid="{00000000-0005-0000-0000-00007BA20000}"/>
    <cellStyle name="Note 4 8 2 2 5" xfId="41590" xr:uid="{00000000-0005-0000-0000-00007CA20000}"/>
    <cellStyle name="Note 4 8 2 2 6" xfId="41591" xr:uid="{00000000-0005-0000-0000-00007DA20000}"/>
    <cellStyle name="Note 4 8 2 3" xfId="41592" xr:uid="{00000000-0005-0000-0000-00007EA20000}"/>
    <cellStyle name="Note 4 8 2 3 2" xfId="41593" xr:uid="{00000000-0005-0000-0000-00007FA20000}"/>
    <cellStyle name="Note 4 8 2 3 2 2" xfId="41594" xr:uid="{00000000-0005-0000-0000-000080A20000}"/>
    <cellStyle name="Note 4 8 2 3 3" xfId="41595" xr:uid="{00000000-0005-0000-0000-000081A20000}"/>
    <cellStyle name="Note 4 8 2 3 4" xfId="41596" xr:uid="{00000000-0005-0000-0000-000082A20000}"/>
    <cellStyle name="Note 4 8 2 3 5" xfId="41597" xr:uid="{00000000-0005-0000-0000-000083A20000}"/>
    <cellStyle name="Note 4 8 2 4" xfId="41598" xr:uid="{00000000-0005-0000-0000-000084A20000}"/>
    <cellStyle name="Note 4 8 2 4 2" xfId="41599" xr:uid="{00000000-0005-0000-0000-000085A20000}"/>
    <cellStyle name="Note 4 8 2 4 3" xfId="41600" xr:uid="{00000000-0005-0000-0000-000086A20000}"/>
    <cellStyle name="Note 4 8 2 4 4" xfId="41601" xr:uid="{00000000-0005-0000-0000-000087A20000}"/>
    <cellStyle name="Note 4 8 2 5" xfId="41602" xr:uid="{00000000-0005-0000-0000-000088A20000}"/>
    <cellStyle name="Note 4 8 2 5 2" xfId="41603" xr:uid="{00000000-0005-0000-0000-000089A20000}"/>
    <cellStyle name="Note 4 8 2 6" xfId="41604" xr:uid="{00000000-0005-0000-0000-00008AA20000}"/>
    <cellStyle name="Note 4 8 2 7" xfId="41605" xr:uid="{00000000-0005-0000-0000-00008BA20000}"/>
    <cellStyle name="Note 4 8 2 8" xfId="41606" xr:uid="{00000000-0005-0000-0000-00008CA20000}"/>
    <cellStyle name="Note 4 8 2 9" xfId="41607" xr:uid="{00000000-0005-0000-0000-00008DA20000}"/>
    <cellStyle name="Note 4 8 3" xfId="41608" xr:uid="{00000000-0005-0000-0000-00008EA20000}"/>
    <cellStyle name="Note 4 8 3 2" xfId="41609" xr:uid="{00000000-0005-0000-0000-00008FA20000}"/>
    <cellStyle name="Note 4 8 3 2 2" xfId="41610" xr:uid="{00000000-0005-0000-0000-000090A20000}"/>
    <cellStyle name="Note 4 8 3 2 3" xfId="41611" xr:uid="{00000000-0005-0000-0000-000091A20000}"/>
    <cellStyle name="Note 4 8 3 3" xfId="41612" xr:uid="{00000000-0005-0000-0000-000092A20000}"/>
    <cellStyle name="Note 4 8 3 4" xfId="41613" xr:uid="{00000000-0005-0000-0000-000093A20000}"/>
    <cellStyle name="Note 4 8 3 5" xfId="41614" xr:uid="{00000000-0005-0000-0000-000094A20000}"/>
    <cellStyle name="Note 4 8 3 6" xfId="41615" xr:uid="{00000000-0005-0000-0000-000095A20000}"/>
    <cellStyle name="Note 4 8 4" xfId="41616" xr:uid="{00000000-0005-0000-0000-000096A20000}"/>
    <cellStyle name="Note 4 8 4 2" xfId="41617" xr:uid="{00000000-0005-0000-0000-000097A20000}"/>
    <cellStyle name="Note 4 8 4 2 2" xfId="41618" xr:uid="{00000000-0005-0000-0000-000098A20000}"/>
    <cellStyle name="Note 4 8 4 3" xfId="41619" xr:uid="{00000000-0005-0000-0000-000099A20000}"/>
    <cellStyle name="Note 4 8 4 4" xfId="41620" xr:uid="{00000000-0005-0000-0000-00009AA20000}"/>
    <cellStyle name="Note 4 8 4 5" xfId="41621" xr:uid="{00000000-0005-0000-0000-00009BA20000}"/>
    <cellStyle name="Note 4 8 5" xfId="41622" xr:uid="{00000000-0005-0000-0000-00009CA20000}"/>
    <cellStyle name="Note 4 8 5 2" xfId="41623" xr:uid="{00000000-0005-0000-0000-00009DA20000}"/>
    <cellStyle name="Note 4 8 5 2 2" xfId="41624" xr:uid="{00000000-0005-0000-0000-00009EA20000}"/>
    <cellStyle name="Note 4 8 5 3" xfId="41625" xr:uid="{00000000-0005-0000-0000-00009FA20000}"/>
    <cellStyle name="Note 4 8 5 4" xfId="41626" xr:uid="{00000000-0005-0000-0000-0000A0A20000}"/>
    <cellStyle name="Note 4 8 5 5" xfId="41627" xr:uid="{00000000-0005-0000-0000-0000A1A20000}"/>
    <cellStyle name="Note 4 8 6" xfId="41628" xr:uid="{00000000-0005-0000-0000-0000A2A20000}"/>
    <cellStyle name="Note 4 8 6 2" xfId="41629" xr:uid="{00000000-0005-0000-0000-0000A3A20000}"/>
    <cellStyle name="Note 4 8 7" xfId="41630" xr:uid="{00000000-0005-0000-0000-0000A4A20000}"/>
    <cellStyle name="Note 4 8 8" xfId="41631" xr:uid="{00000000-0005-0000-0000-0000A5A20000}"/>
    <cellStyle name="Note 4 8 9" xfId="41632" xr:uid="{00000000-0005-0000-0000-0000A6A20000}"/>
    <cellStyle name="Note 4 9" xfId="41633" xr:uid="{00000000-0005-0000-0000-0000A7A20000}"/>
    <cellStyle name="Note 4 9 10" xfId="41634" xr:uid="{00000000-0005-0000-0000-0000A8A20000}"/>
    <cellStyle name="Note 4 9 2" xfId="41635" xr:uid="{00000000-0005-0000-0000-0000A9A20000}"/>
    <cellStyle name="Note 4 9 2 2" xfId="41636" xr:uid="{00000000-0005-0000-0000-0000AAA20000}"/>
    <cellStyle name="Note 4 9 2 2 2" xfId="41637" xr:uid="{00000000-0005-0000-0000-0000ABA20000}"/>
    <cellStyle name="Note 4 9 2 2 2 2" xfId="41638" xr:uid="{00000000-0005-0000-0000-0000ACA20000}"/>
    <cellStyle name="Note 4 9 2 2 2 3" xfId="41639" xr:uid="{00000000-0005-0000-0000-0000ADA20000}"/>
    <cellStyle name="Note 4 9 2 2 3" xfId="41640" xr:uid="{00000000-0005-0000-0000-0000AEA20000}"/>
    <cellStyle name="Note 4 9 2 2 4" xfId="41641" xr:uid="{00000000-0005-0000-0000-0000AFA20000}"/>
    <cellStyle name="Note 4 9 2 2 5" xfId="41642" xr:uid="{00000000-0005-0000-0000-0000B0A20000}"/>
    <cellStyle name="Note 4 9 2 2 6" xfId="41643" xr:uid="{00000000-0005-0000-0000-0000B1A20000}"/>
    <cellStyle name="Note 4 9 2 3" xfId="41644" xr:uid="{00000000-0005-0000-0000-0000B2A20000}"/>
    <cellStyle name="Note 4 9 2 3 2" xfId="41645" xr:uid="{00000000-0005-0000-0000-0000B3A20000}"/>
    <cellStyle name="Note 4 9 2 3 2 2" xfId="41646" xr:uid="{00000000-0005-0000-0000-0000B4A20000}"/>
    <cellStyle name="Note 4 9 2 3 3" xfId="41647" xr:uid="{00000000-0005-0000-0000-0000B5A20000}"/>
    <cellStyle name="Note 4 9 2 3 4" xfId="41648" xr:uid="{00000000-0005-0000-0000-0000B6A20000}"/>
    <cellStyle name="Note 4 9 2 3 5" xfId="41649" xr:uid="{00000000-0005-0000-0000-0000B7A20000}"/>
    <cellStyle name="Note 4 9 2 4" xfId="41650" xr:uid="{00000000-0005-0000-0000-0000B8A20000}"/>
    <cellStyle name="Note 4 9 2 4 2" xfId="41651" xr:uid="{00000000-0005-0000-0000-0000B9A20000}"/>
    <cellStyle name="Note 4 9 2 4 3" xfId="41652" xr:uid="{00000000-0005-0000-0000-0000BAA20000}"/>
    <cellStyle name="Note 4 9 2 4 4" xfId="41653" xr:uid="{00000000-0005-0000-0000-0000BBA20000}"/>
    <cellStyle name="Note 4 9 2 5" xfId="41654" xr:uid="{00000000-0005-0000-0000-0000BCA20000}"/>
    <cellStyle name="Note 4 9 2 5 2" xfId="41655" xr:uid="{00000000-0005-0000-0000-0000BDA20000}"/>
    <cellStyle name="Note 4 9 2 6" xfId="41656" xr:uid="{00000000-0005-0000-0000-0000BEA20000}"/>
    <cellStyle name="Note 4 9 2 7" xfId="41657" xr:uid="{00000000-0005-0000-0000-0000BFA20000}"/>
    <cellStyle name="Note 4 9 2 8" xfId="41658" xr:uid="{00000000-0005-0000-0000-0000C0A20000}"/>
    <cellStyle name="Note 4 9 2 9" xfId="41659" xr:uid="{00000000-0005-0000-0000-0000C1A20000}"/>
    <cellStyle name="Note 4 9 3" xfId="41660" xr:uid="{00000000-0005-0000-0000-0000C2A20000}"/>
    <cellStyle name="Note 4 9 3 2" xfId="41661" xr:uid="{00000000-0005-0000-0000-0000C3A20000}"/>
    <cellStyle name="Note 4 9 3 2 2" xfId="41662" xr:uid="{00000000-0005-0000-0000-0000C4A20000}"/>
    <cellStyle name="Note 4 9 3 2 3" xfId="41663" xr:uid="{00000000-0005-0000-0000-0000C5A20000}"/>
    <cellStyle name="Note 4 9 3 3" xfId="41664" xr:uid="{00000000-0005-0000-0000-0000C6A20000}"/>
    <cellStyle name="Note 4 9 3 4" xfId="41665" xr:uid="{00000000-0005-0000-0000-0000C7A20000}"/>
    <cellStyle name="Note 4 9 3 5" xfId="41666" xr:uid="{00000000-0005-0000-0000-0000C8A20000}"/>
    <cellStyle name="Note 4 9 3 6" xfId="41667" xr:uid="{00000000-0005-0000-0000-0000C9A20000}"/>
    <cellStyle name="Note 4 9 4" xfId="41668" xr:uid="{00000000-0005-0000-0000-0000CAA20000}"/>
    <cellStyle name="Note 4 9 4 2" xfId="41669" xr:uid="{00000000-0005-0000-0000-0000CBA20000}"/>
    <cellStyle name="Note 4 9 4 2 2" xfId="41670" xr:uid="{00000000-0005-0000-0000-0000CCA20000}"/>
    <cellStyle name="Note 4 9 4 3" xfId="41671" xr:uid="{00000000-0005-0000-0000-0000CDA20000}"/>
    <cellStyle name="Note 4 9 4 4" xfId="41672" xr:uid="{00000000-0005-0000-0000-0000CEA20000}"/>
    <cellStyle name="Note 4 9 4 5" xfId="41673" xr:uid="{00000000-0005-0000-0000-0000CFA20000}"/>
    <cellStyle name="Note 4 9 5" xfId="41674" xr:uid="{00000000-0005-0000-0000-0000D0A20000}"/>
    <cellStyle name="Note 4 9 5 2" xfId="41675" xr:uid="{00000000-0005-0000-0000-0000D1A20000}"/>
    <cellStyle name="Note 4 9 5 3" xfId="41676" xr:uid="{00000000-0005-0000-0000-0000D2A20000}"/>
    <cellStyle name="Note 4 9 5 4" xfId="41677" xr:uid="{00000000-0005-0000-0000-0000D3A20000}"/>
    <cellStyle name="Note 4 9 6" xfId="41678" xr:uid="{00000000-0005-0000-0000-0000D4A20000}"/>
    <cellStyle name="Note 4 9 6 2" xfId="41679" xr:uid="{00000000-0005-0000-0000-0000D5A20000}"/>
    <cellStyle name="Note 4 9 7" xfId="41680" xr:uid="{00000000-0005-0000-0000-0000D6A20000}"/>
    <cellStyle name="Note 4 9 8" xfId="41681" xr:uid="{00000000-0005-0000-0000-0000D7A20000}"/>
    <cellStyle name="Note 4 9 9" xfId="41682" xr:uid="{00000000-0005-0000-0000-0000D8A20000}"/>
    <cellStyle name="Note 5" xfId="41683" xr:uid="{00000000-0005-0000-0000-0000D9A20000}"/>
    <cellStyle name="Note 5 10" xfId="41684" xr:uid="{00000000-0005-0000-0000-0000DAA20000}"/>
    <cellStyle name="Note 5 11" xfId="41685" xr:uid="{00000000-0005-0000-0000-0000DBA20000}"/>
    <cellStyle name="Note 5 2" xfId="41686" xr:uid="{00000000-0005-0000-0000-0000DCA20000}"/>
    <cellStyle name="Note 5 2 10" xfId="41687" xr:uid="{00000000-0005-0000-0000-0000DDA20000}"/>
    <cellStyle name="Note 5 2 2" xfId="41688" xr:uid="{00000000-0005-0000-0000-0000DEA20000}"/>
    <cellStyle name="Note 5 2 2 2" xfId="41689" xr:uid="{00000000-0005-0000-0000-0000DFA20000}"/>
    <cellStyle name="Note 5 2 2 2 2" xfId="41690" xr:uid="{00000000-0005-0000-0000-0000E0A20000}"/>
    <cellStyle name="Note 5 2 2 2 2 2" xfId="41691" xr:uid="{00000000-0005-0000-0000-0000E1A20000}"/>
    <cellStyle name="Note 5 2 2 2 2 3" xfId="41692" xr:uid="{00000000-0005-0000-0000-0000E2A20000}"/>
    <cellStyle name="Note 5 2 2 2 3" xfId="41693" xr:uid="{00000000-0005-0000-0000-0000E3A20000}"/>
    <cellStyle name="Note 5 2 2 2 4" xfId="41694" xr:uid="{00000000-0005-0000-0000-0000E4A20000}"/>
    <cellStyle name="Note 5 2 2 2 5" xfId="41695" xr:uid="{00000000-0005-0000-0000-0000E5A20000}"/>
    <cellStyle name="Note 5 2 2 2 6" xfId="41696" xr:uid="{00000000-0005-0000-0000-0000E6A20000}"/>
    <cellStyle name="Note 5 2 2 3" xfId="41697" xr:uid="{00000000-0005-0000-0000-0000E7A20000}"/>
    <cellStyle name="Note 5 2 2 3 2" xfId="41698" xr:uid="{00000000-0005-0000-0000-0000E8A20000}"/>
    <cellStyle name="Note 5 2 2 3 2 2" xfId="41699" xr:uid="{00000000-0005-0000-0000-0000E9A20000}"/>
    <cellStyle name="Note 5 2 2 3 3" xfId="41700" xr:uid="{00000000-0005-0000-0000-0000EAA20000}"/>
    <cellStyle name="Note 5 2 2 3 4" xfId="41701" xr:uid="{00000000-0005-0000-0000-0000EBA20000}"/>
    <cellStyle name="Note 5 2 2 3 5" xfId="41702" xr:uid="{00000000-0005-0000-0000-0000ECA20000}"/>
    <cellStyle name="Note 5 2 2 4" xfId="41703" xr:uid="{00000000-0005-0000-0000-0000EDA20000}"/>
    <cellStyle name="Note 5 2 2 4 2" xfId="41704" xr:uid="{00000000-0005-0000-0000-0000EEA20000}"/>
    <cellStyle name="Note 5 2 2 4 3" xfId="41705" xr:uid="{00000000-0005-0000-0000-0000EFA20000}"/>
    <cellStyle name="Note 5 2 2 4 4" xfId="41706" xr:uid="{00000000-0005-0000-0000-0000F0A20000}"/>
    <cellStyle name="Note 5 2 2 5" xfId="41707" xr:uid="{00000000-0005-0000-0000-0000F1A20000}"/>
    <cellStyle name="Note 5 2 2 5 2" xfId="41708" xr:uid="{00000000-0005-0000-0000-0000F2A20000}"/>
    <cellStyle name="Note 5 2 2 6" xfId="41709" xr:uid="{00000000-0005-0000-0000-0000F3A20000}"/>
    <cellStyle name="Note 5 2 2 7" xfId="41710" xr:uid="{00000000-0005-0000-0000-0000F4A20000}"/>
    <cellStyle name="Note 5 2 2 8" xfId="41711" xr:uid="{00000000-0005-0000-0000-0000F5A20000}"/>
    <cellStyle name="Note 5 2 2 9" xfId="41712" xr:uid="{00000000-0005-0000-0000-0000F6A20000}"/>
    <cellStyle name="Note 5 2 3" xfId="41713" xr:uid="{00000000-0005-0000-0000-0000F7A20000}"/>
    <cellStyle name="Note 5 2 3 2" xfId="41714" xr:uid="{00000000-0005-0000-0000-0000F8A20000}"/>
    <cellStyle name="Note 5 2 3 2 2" xfId="41715" xr:uid="{00000000-0005-0000-0000-0000F9A20000}"/>
    <cellStyle name="Note 5 2 3 2 3" xfId="41716" xr:uid="{00000000-0005-0000-0000-0000FAA20000}"/>
    <cellStyle name="Note 5 2 3 3" xfId="41717" xr:uid="{00000000-0005-0000-0000-0000FBA20000}"/>
    <cellStyle name="Note 5 2 3 4" xfId="41718" xr:uid="{00000000-0005-0000-0000-0000FCA20000}"/>
    <cellStyle name="Note 5 2 3 5" xfId="41719" xr:uid="{00000000-0005-0000-0000-0000FDA20000}"/>
    <cellStyle name="Note 5 2 3 6" xfId="41720" xr:uid="{00000000-0005-0000-0000-0000FEA20000}"/>
    <cellStyle name="Note 5 2 4" xfId="41721" xr:uid="{00000000-0005-0000-0000-0000FFA20000}"/>
    <cellStyle name="Note 5 2 4 2" xfId="41722" xr:uid="{00000000-0005-0000-0000-000000A30000}"/>
    <cellStyle name="Note 5 2 4 2 2" xfId="41723" xr:uid="{00000000-0005-0000-0000-000001A30000}"/>
    <cellStyle name="Note 5 2 4 3" xfId="41724" xr:uid="{00000000-0005-0000-0000-000002A30000}"/>
    <cellStyle name="Note 5 2 4 4" xfId="41725" xr:uid="{00000000-0005-0000-0000-000003A30000}"/>
    <cellStyle name="Note 5 2 4 5" xfId="41726" xr:uid="{00000000-0005-0000-0000-000004A30000}"/>
    <cellStyle name="Note 5 2 5" xfId="41727" xr:uid="{00000000-0005-0000-0000-000005A30000}"/>
    <cellStyle name="Note 5 2 5 2" xfId="41728" xr:uid="{00000000-0005-0000-0000-000006A30000}"/>
    <cellStyle name="Note 5 2 5 3" xfId="41729" xr:uid="{00000000-0005-0000-0000-000007A30000}"/>
    <cellStyle name="Note 5 2 5 4" xfId="41730" xr:uid="{00000000-0005-0000-0000-000008A30000}"/>
    <cellStyle name="Note 5 2 6" xfId="41731" xr:uid="{00000000-0005-0000-0000-000009A30000}"/>
    <cellStyle name="Note 5 2 6 2" xfId="41732" xr:uid="{00000000-0005-0000-0000-00000AA30000}"/>
    <cellStyle name="Note 5 2 7" xfId="41733" xr:uid="{00000000-0005-0000-0000-00000BA30000}"/>
    <cellStyle name="Note 5 2 8" xfId="41734" xr:uid="{00000000-0005-0000-0000-00000CA30000}"/>
    <cellStyle name="Note 5 2 9" xfId="41735" xr:uid="{00000000-0005-0000-0000-00000DA30000}"/>
    <cellStyle name="Note 5 3" xfId="41736" xr:uid="{00000000-0005-0000-0000-00000EA30000}"/>
    <cellStyle name="Note 5 3 2" xfId="41737" xr:uid="{00000000-0005-0000-0000-00000FA30000}"/>
    <cellStyle name="Note 5 3 2 2" xfId="41738" xr:uid="{00000000-0005-0000-0000-000010A30000}"/>
    <cellStyle name="Note 5 3 2 2 2" xfId="41739" xr:uid="{00000000-0005-0000-0000-000011A30000}"/>
    <cellStyle name="Note 5 3 2 2 3" xfId="41740" xr:uid="{00000000-0005-0000-0000-000012A30000}"/>
    <cellStyle name="Note 5 3 2 3" xfId="41741" xr:uid="{00000000-0005-0000-0000-000013A30000}"/>
    <cellStyle name="Note 5 3 2 4" xfId="41742" xr:uid="{00000000-0005-0000-0000-000014A30000}"/>
    <cellStyle name="Note 5 3 2 5" xfId="41743" xr:uid="{00000000-0005-0000-0000-000015A30000}"/>
    <cellStyle name="Note 5 3 2 6" xfId="41744" xr:uid="{00000000-0005-0000-0000-000016A30000}"/>
    <cellStyle name="Note 5 3 3" xfId="41745" xr:uid="{00000000-0005-0000-0000-000017A30000}"/>
    <cellStyle name="Note 5 3 3 2" xfId="41746" xr:uid="{00000000-0005-0000-0000-000018A30000}"/>
    <cellStyle name="Note 5 3 3 2 2" xfId="41747" xr:uid="{00000000-0005-0000-0000-000019A30000}"/>
    <cellStyle name="Note 5 3 3 3" xfId="41748" xr:uid="{00000000-0005-0000-0000-00001AA30000}"/>
    <cellStyle name="Note 5 3 3 4" xfId="41749" xr:uid="{00000000-0005-0000-0000-00001BA30000}"/>
    <cellStyle name="Note 5 3 3 5" xfId="41750" xr:uid="{00000000-0005-0000-0000-00001CA30000}"/>
    <cellStyle name="Note 5 3 4" xfId="41751" xr:uid="{00000000-0005-0000-0000-00001DA30000}"/>
    <cellStyle name="Note 5 3 4 2" xfId="41752" xr:uid="{00000000-0005-0000-0000-00001EA30000}"/>
    <cellStyle name="Note 5 3 4 3" xfId="41753" xr:uid="{00000000-0005-0000-0000-00001FA30000}"/>
    <cellStyle name="Note 5 3 4 4" xfId="41754" xr:uid="{00000000-0005-0000-0000-000020A30000}"/>
    <cellStyle name="Note 5 3 5" xfId="41755" xr:uid="{00000000-0005-0000-0000-000021A30000}"/>
    <cellStyle name="Note 5 3 5 2" xfId="41756" xr:uid="{00000000-0005-0000-0000-000022A30000}"/>
    <cellStyle name="Note 5 3 6" xfId="41757" xr:uid="{00000000-0005-0000-0000-000023A30000}"/>
    <cellStyle name="Note 5 3 7" xfId="41758" xr:uid="{00000000-0005-0000-0000-000024A30000}"/>
    <cellStyle name="Note 5 3 8" xfId="41759" xr:uid="{00000000-0005-0000-0000-000025A30000}"/>
    <cellStyle name="Note 5 3 9" xfId="41760" xr:uid="{00000000-0005-0000-0000-000026A30000}"/>
    <cellStyle name="Note 5 4" xfId="41761" xr:uid="{00000000-0005-0000-0000-000027A30000}"/>
    <cellStyle name="Note 5 4 2" xfId="41762" xr:uid="{00000000-0005-0000-0000-000028A30000}"/>
    <cellStyle name="Note 5 4 2 2" xfId="41763" xr:uid="{00000000-0005-0000-0000-000029A30000}"/>
    <cellStyle name="Note 5 4 2 3" xfId="41764" xr:uid="{00000000-0005-0000-0000-00002AA30000}"/>
    <cellStyle name="Note 5 4 3" xfId="41765" xr:uid="{00000000-0005-0000-0000-00002BA30000}"/>
    <cellStyle name="Note 5 4 4" xfId="41766" xr:uid="{00000000-0005-0000-0000-00002CA30000}"/>
    <cellStyle name="Note 5 4 5" xfId="41767" xr:uid="{00000000-0005-0000-0000-00002DA30000}"/>
    <cellStyle name="Note 5 4 6" xfId="41768" xr:uid="{00000000-0005-0000-0000-00002EA30000}"/>
    <cellStyle name="Note 5 5" xfId="41769" xr:uid="{00000000-0005-0000-0000-00002FA30000}"/>
    <cellStyle name="Note 5 5 2" xfId="41770" xr:uid="{00000000-0005-0000-0000-000030A30000}"/>
    <cellStyle name="Note 5 5 2 2" xfId="41771" xr:uid="{00000000-0005-0000-0000-000031A30000}"/>
    <cellStyle name="Note 5 5 3" xfId="41772" xr:uid="{00000000-0005-0000-0000-000032A30000}"/>
    <cellStyle name="Note 5 5 4" xfId="41773" xr:uid="{00000000-0005-0000-0000-000033A30000}"/>
    <cellStyle name="Note 5 5 5" xfId="41774" xr:uid="{00000000-0005-0000-0000-000034A30000}"/>
    <cellStyle name="Note 5 6" xfId="41775" xr:uid="{00000000-0005-0000-0000-000035A30000}"/>
    <cellStyle name="Note 5 6 2" xfId="41776" xr:uid="{00000000-0005-0000-0000-000036A30000}"/>
    <cellStyle name="Note 5 6 2 2" xfId="41777" xr:uid="{00000000-0005-0000-0000-000037A30000}"/>
    <cellStyle name="Note 5 6 3" xfId="41778" xr:uid="{00000000-0005-0000-0000-000038A30000}"/>
    <cellStyle name="Note 5 6 4" xfId="41779" xr:uid="{00000000-0005-0000-0000-000039A30000}"/>
    <cellStyle name="Note 5 6 5" xfId="41780" xr:uid="{00000000-0005-0000-0000-00003AA30000}"/>
    <cellStyle name="Note 5 7" xfId="41781" xr:uid="{00000000-0005-0000-0000-00003BA30000}"/>
    <cellStyle name="Note 5 7 2" xfId="41782" xr:uid="{00000000-0005-0000-0000-00003CA30000}"/>
    <cellStyle name="Note 5 8" xfId="41783" xr:uid="{00000000-0005-0000-0000-00003DA30000}"/>
    <cellStyle name="Note 5 9" xfId="41784" xr:uid="{00000000-0005-0000-0000-00003EA30000}"/>
    <cellStyle name="Note 6" xfId="41785" xr:uid="{00000000-0005-0000-0000-00003FA30000}"/>
    <cellStyle name="Note 6 10" xfId="41786" xr:uid="{00000000-0005-0000-0000-000040A30000}"/>
    <cellStyle name="Note 6 11" xfId="41787" xr:uid="{00000000-0005-0000-0000-000041A30000}"/>
    <cellStyle name="Note 6 2" xfId="41788" xr:uid="{00000000-0005-0000-0000-000042A30000}"/>
    <cellStyle name="Note 6 2 10" xfId="41789" xr:uid="{00000000-0005-0000-0000-000043A30000}"/>
    <cellStyle name="Note 6 2 2" xfId="41790" xr:uid="{00000000-0005-0000-0000-000044A30000}"/>
    <cellStyle name="Note 6 2 2 2" xfId="41791" xr:uid="{00000000-0005-0000-0000-000045A30000}"/>
    <cellStyle name="Note 6 2 2 2 2" xfId="41792" xr:uid="{00000000-0005-0000-0000-000046A30000}"/>
    <cellStyle name="Note 6 2 2 2 2 2" xfId="41793" xr:uid="{00000000-0005-0000-0000-000047A30000}"/>
    <cellStyle name="Note 6 2 2 2 2 3" xfId="41794" xr:uid="{00000000-0005-0000-0000-000048A30000}"/>
    <cellStyle name="Note 6 2 2 2 3" xfId="41795" xr:uid="{00000000-0005-0000-0000-000049A30000}"/>
    <cellStyle name="Note 6 2 2 2 4" xfId="41796" xr:uid="{00000000-0005-0000-0000-00004AA30000}"/>
    <cellStyle name="Note 6 2 2 2 5" xfId="41797" xr:uid="{00000000-0005-0000-0000-00004BA30000}"/>
    <cellStyle name="Note 6 2 2 2 6" xfId="41798" xr:uid="{00000000-0005-0000-0000-00004CA30000}"/>
    <cellStyle name="Note 6 2 2 3" xfId="41799" xr:uid="{00000000-0005-0000-0000-00004DA30000}"/>
    <cellStyle name="Note 6 2 2 3 2" xfId="41800" xr:uid="{00000000-0005-0000-0000-00004EA30000}"/>
    <cellStyle name="Note 6 2 2 3 2 2" xfId="41801" xr:uid="{00000000-0005-0000-0000-00004FA30000}"/>
    <cellStyle name="Note 6 2 2 3 3" xfId="41802" xr:uid="{00000000-0005-0000-0000-000050A30000}"/>
    <cellStyle name="Note 6 2 2 3 4" xfId="41803" xr:uid="{00000000-0005-0000-0000-000051A30000}"/>
    <cellStyle name="Note 6 2 2 3 5" xfId="41804" xr:uid="{00000000-0005-0000-0000-000052A30000}"/>
    <cellStyle name="Note 6 2 2 4" xfId="41805" xr:uid="{00000000-0005-0000-0000-000053A30000}"/>
    <cellStyle name="Note 6 2 2 4 2" xfId="41806" xr:uid="{00000000-0005-0000-0000-000054A30000}"/>
    <cellStyle name="Note 6 2 2 4 3" xfId="41807" xr:uid="{00000000-0005-0000-0000-000055A30000}"/>
    <cellStyle name="Note 6 2 2 4 4" xfId="41808" xr:uid="{00000000-0005-0000-0000-000056A30000}"/>
    <cellStyle name="Note 6 2 2 5" xfId="41809" xr:uid="{00000000-0005-0000-0000-000057A30000}"/>
    <cellStyle name="Note 6 2 2 5 2" xfId="41810" xr:uid="{00000000-0005-0000-0000-000058A30000}"/>
    <cellStyle name="Note 6 2 2 6" xfId="41811" xr:uid="{00000000-0005-0000-0000-000059A30000}"/>
    <cellStyle name="Note 6 2 2 7" xfId="41812" xr:uid="{00000000-0005-0000-0000-00005AA30000}"/>
    <cellStyle name="Note 6 2 2 8" xfId="41813" xr:uid="{00000000-0005-0000-0000-00005BA30000}"/>
    <cellStyle name="Note 6 2 2 9" xfId="41814" xr:uid="{00000000-0005-0000-0000-00005CA30000}"/>
    <cellStyle name="Note 6 2 3" xfId="41815" xr:uid="{00000000-0005-0000-0000-00005DA30000}"/>
    <cellStyle name="Note 6 2 3 2" xfId="41816" xr:uid="{00000000-0005-0000-0000-00005EA30000}"/>
    <cellStyle name="Note 6 2 3 2 2" xfId="41817" xr:uid="{00000000-0005-0000-0000-00005FA30000}"/>
    <cellStyle name="Note 6 2 3 2 3" xfId="41818" xr:uid="{00000000-0005-0000-0000-000060A30000}"/>
    <cellStyle name="Note 6 2 3 3" xfId="41819" xr:uid="{00000000-0005-0000-0000-000061A30000}"/>
    <cellStyle name="Note 6 2 3 4" xfId="41820" xr:uid="{00000000-0005-0000-0000-000062A30000}"/>
    <cellStyle name="Note 6 2 3 5" xfId="41821" xr:uid="{00000000-0005-0000-0000-000063A30000}"/>
    <cellStyle name="Note 6 2 3 6" xfId="41822" xr:uid="{00000000-0005-0000-0000-000064A30000}"/>
    <cellStyle name="Note 6 2 4" xfId="41823" xr:uid="{00000000-0005-0000-0000-000065A30000}"/>
    <cellStyle name="Note 6 2 4 2" xfId="41824" xr:uid="{00000000-0005-0000-0000-000066A30000}"/>
    <cellStyle name="Note 6 2 4 2 2" xfId="41825" xr:uid="{00000000-0005-0000-0000-000067A30000}"/>
    <cellStyle name="Note 6 2 4 3" xfId="41826" xr:uid="{00000000-0005-0000-0000-000068A30000}"/>
    <cellStyle name="Note 6 2 4 4" xfId="41827" xr:uid="{00000000-0005-0000-0000-000069A30000}"/>
    <cellStyle name="Note 6 2 4 5" xfId="41828" xr:uid="{00000000-0005-0000-0000-00006AA30000}"/>
    <cellStyle name="Note 6 2 5" xfId="41829" xr:uid="{00000000-0005-0000-0000-00006BA30000}"/>
    <cellStyle name="Note 6 2 5 2" xfId="41830" xr:uid="{00000000-0005-0000-0000-00006CA30000}"/>
    <cellStyle name="Note 6 2 5 3" xfId="41831" xr:uid="{00000000-0005-0000-0000-00006DA30000}"/>
    <cellStyle name="Note 6 2 5 4" xfId="41832" xr:uid="{00000000-0005-0000-0000-00006EA30000}"/>
    <cellStyle name="Note 6 2 6" xfId="41833" xr:uid="{00000000-0005-0000-0000-00006FA30000}"/>
    <cellStyle name="Note 6 2 6 2" xfId="41834" xr:uid="{00000000-0005-0000-0000-000070A30000}"/>
    <cellStyle name="Note 6 2 7" xfId="41835" xr:uid="{00000000-0005-0000-0000-000071A30000}"/>
    <cellStyle name="Note 6 2 8" xfId="41836" xr:uid="{00000000-0005-0000-0000-000072A30000}"/>
    <cellStyle name="Note 6 2 9" xfId="41837" xr:uid="{00000000-0005-0000-0000-000073A30000}"/>
    <cellStyle name="Note 6 3" xfId="41838" xr:uid="{00000000-0005-0000-0000-000074A30000}"/>
    <cellStyle name="Note 6 3 2" xfId="41839" xr:uid="{00000000-0005-0000-0000-000075A30000}"/>
    <cellStyle name="Note 6 3 2 2" xfId="41840" xr:uid="{00000000-0005-0000-0000-000076A30000}"/>
    <cellStyle name="Note 6 3 2 2 2" xfId="41841" xr:uid="{00000000-0005-0000-0000-000077A30000}"/>
    <cellStyle name="Note 6 3 2 2 3" xfId="41842" xr:uid="{00000000-0005-0000-0000-000078A30000}"/>
    <cellStyle name="Note 6 3 2 3" xfId="41843" xr:uid="{00000000-0005-0000-0000-000079A30000}"/>
    <cellStyle name="Note 6 3 2 4" xfId="41844" xr:uid="{00000000-0005-0000-0000-00007AA30000}"/>
    <cellStyle name="Note 6 3 2 5" xfId="41845" xr:uid="{00000000-0005-0000-0000-00007BA30000}"/>
    <cellStyle name="Note 6 3 2 6" xfId="41846" xr:uid="{00000000-0005-0000-0000-00007CA30000}"/>
    <cellStyle name="Note 6 3 3" xfId="41847" xr:uid="{00000000-0005-0000-0000-00007DA30000}"/>
    <cellStyle name="Note 6 3 3 2" xfId="41848" xr:uid="{00000000-0005-0000-0000-00007EA30000}"/>
    <cellStyle name="Note 6 3 3 2 2" xfId="41849" xr:uid="{00000000-0005-0000-0000-00007FA30000}"/>
    <cellStyle name="Note 6 3 3 3" xfId="41850" xr:uid="{00000000-0005-0000-0000-000080A30000}"/>
    <cellStyle name="Note 6 3 3 4" xfId="41851" xr:uid="{00000000-0005-0000-0000-000081A30000}"/>
    <cellStyle name="Note 6 3 3 5" xfId="41852" xr:uid="{00000000-0005-0000-0000-000082A30000}"/>
    <cellStyle name="Note 6 3 4" xfId="41853" xr:uid="{00000000-0005-0000-0000-000083A30000}"/>
    <cellStyle name="Note 6 3 4 2" xfId="41854" xr:uid="{00000000-0005-0000-0000-000084A30000}"/>
    <cellStyle name="Note 6 3 4 3" xfId="41855" xr:uid="{00000000-0005-0000-0000-000085A30000}"/>
    <cellStyle name="Note 6 3 4 4" xfId="41856" xr:uid="{00000000-0005-0000-0000-000086A30000}"/>
    <cellStyle name="Note 6 3 5" xfId="41857" xr:uid="{00000000-0005-0000-0000-000087A30000}"/>
    <cellStyle name="Note 6 3 5 2" xfId="41858" xr:uid="{00000000-0005-0000-0000-000088A30000}"/>
    <cellStyle name="Note 6 3 6" xfId="41859" xr:uid="{00000000-0005-0000-0000-000089A30000}"/>
    <cellStyle name="Note 6 3 7" xfId="41860" xr:uid="{00000000-0005-0000-0000-00008AA30000}"/>
    <cellStyle name="Note 6 3 8" xfId="41861" xr:uid="{00000000-0005-0000-0000-00008BA30000}"/>
    <cellStyle name="Note 6 3 9" xfId="41862" xr:uid="{00000000-0005-0000-0000-00008CA30000}"/>
    <cellStyle name="Note 6 4" xfId="41863" xr:uid="{00000000-0005-0000-0000-00008DA30000}"/>
    <cellStyle name="Note 6 4 2" xfId="41864" xr:uid="{00000000-0005-0000-0000-00008EA30000}"/>
    <cellStyle name="Note 6 4 2 2" xfId="41865" xr:uid="{00000000-0005-0000-0000-00008FA30000}"/>
    <cellStyle name="Note 6 4 2 3" xfId="41866" xr:uid="{00000000-0005-0000-0000-000090A30000}"/>
    <cellStyle name="Note 6 4 3" xfId="41867" xr:uid="{00000000-0005-0000-0000-000091A30000}"/>
    <cellStyle name="Note 6 4 4" xfId="41868" xr:uid="{00000000-0005-0000-0000-000092A30000}"/>
    <cellStyle name="Note 6 4 5" xfId="41869" xr:uid="{00000000-0005-0000-0000-000093A30000}"/>
    <cellStyle name="Note 6 4 6" xfId="41870" xr:uid="{00000000-0005-0000-0000-000094A30000}"/>
    <cellStyle name="Note 6 5" xfId="41871" xr:uid="{00000000-0005-0000-0000-000095A30000}"/>
    <cellStyle name="Note 6 5 2" xfId="41872" xr:uid="{00000000-0005-0000-0000-000096A30000}"/>
    <cellStyle name="Note 6 5 2 2" xfId="41873" xr:uid="{00000000-0005-0000-0000-000097A30000}"/>
    <cellStyle name="Note 6 5 3" xfId="41874" xr:uid="{00000000-0005-0000-0000-000098A30000}"/>
    <cellStyle name="Note 6 5 4" xfId="41875" xr:uid="{00000000-0005-0000-0000-000099A30000}"/>
    <cellStyle name="Note 6 5 5" xfId="41876" xr:uid="{00000000-0005-0000-0000-00009AA30000}"/>
    <cellStyle name="Note 6 6" xfId="41877" xr:uid="{00000000-0005-0000-0000-00009BA30000}"/>
    <cellStyle name="Note 6 6 2" xfId="41878" xr:uid="{00000000-0005-0000-0000-00009CA30000}"/>
    <cellStyle name="Note 6 6 2 2" xfId="41879" xr:uid="{00000000-0005-0000-0000-00009DA30000}"/>
    <cellStyle name="Note 6 6 3" xfId="41880" xr:uid="{00000000-0005-0000-0000-00009EA30000}"/>
    <cellStyle name="Note 6 6 4" xfId="41881" xr:uid="{00000000-0005-0000-0000-00009FA30000}"/>
    <cellStyle name="Note 6 6 5" xfId="41882" xr:uid="{00000000-0005-0000-0000-0000A0A30000}"/>
    <cellStyle name="Note 6 7" xfId="41883" xr:uid="{00000000-0005-0000-0000-0000A1A30000}"/>
    <cellStyle name="Note 6 7 2" xfId="41884" xr:uid="{00000000-0005-0000-0000-0000A2A30000}"/>
    <cellStyle name="Note 6 8" xfId="41885" xr:uid="{00000000-0005-0000-0000-0000A3A30000}"/>
    <cellStyle name="Note 6 9" xfId="41886" xr:uid="{00000000-0005-0000-0000-0000A4A30000}"/>
    <cellStyle name="Note 7" xfId="41887" xr:uid="{00000000-0005-0000-0000-0000A5A30000}"/>
    <cellStyle name="Note 7 10" xfId="41888" xr:uid="{00000000-0005-0000-0000-0000A6A30000}"/>
    <cellStyle name="Note 7 11" xfId="41889" xr:uid="{00000000-0005-0000-0000-0000A7A30000}"/>
    <cellStyle name="Note 7 2" xfId="41890" xr:uid="{00000000-0005-0000-0000-0000A8A30000}"/>
    <cellStyle name="Note 7 3" xfId="41891" xr:uid="{00000000-0005-0000-0000-0000A9A30000}"/>
    <cellStyle name="Note 7 3 2" xfId="41892" xr:uid="{00000000-0005-0000-0000-0000AAA30000}"/>
    <cellStyle name="Note 7 3 2 2" xfId="41893" xr:uid="{00000000-0005-0000-0000-0000ABA30000}"/>
    <cellStyle name="Note 7 3 2 2 2" xfId="41894" xr:uid="{00000000-0005-0000-0000-0000ACA30000}"/>
    <cellStyle name="Note 7 3 2 2 3" xfId="41895" xr:uid="{00000000-0005-0000-0000-0000ADA30000}"/>
    <cellStyle name="Note 7 3 2 3" xfId="41896" xr:uid="{00000000-0005-0000-0000-0000AEA30000}"/>
    <cellStyle name="Note 7 3 2 4" xfId="41897" xr:uid="{00000000-0005-0000-0000-0000AFA30000}"/>
    <cellStyle name="Note 7 3 2 5" xfId="41898" xr:uid="{00000000-0005-0000-0000-0000B0A30000}"/>
    <cellStyle name="Note 7 3 2 6" xfId="41899" xr:uid="{00000000-0005-0000-0000-0000B1A30000}"/>
    <cellStyle name="Note 7 3 3" xfId="41900" xr:uid="{00000000-0005-0000-0000-0000B2A30000}"/>
    <cellStyle name="Note 7 3 3 2" xfId="41901" xr:uid="{00000000-0005-0000-0000-0000B3A30000}"/>
    <cellStyle name="Note 7 3 3 2 2" xfId="41902" xr:uid="{00000000-0005-0000-0000-0000B4A30000}"/>
    <cellStyle name="Note 7 3 3 3" xfId="41903" xr:uid="{00000000-0005-0000-0000-0000B5A30000}"/>
    <cellStyle name="Note 7 3 3 4" xfId="41904" xr:uid="{00000000-0005-0000-0000-0000B6A30000}"/>
    <cellStyle name="Note 7 3 3 5" xfId="41905" xr:uid="{00000000-0005-0000-0000-0000B7A30000}"/>
    <cellStyle name="Note 7 3 4" xfId="41906" xr:uid="{00000000-0005-0000-0000-0000B8A30000}"/>
    <cellStyle name="Note 7 3 4 2" xfId="41907" xr:uid="{00000000-0005-0000-0000-0000B9A30000}"/>
    <cellStyle name="Note 7 3 4 3" xfId="41908" xr:uid="{00000000-0005-0000-0000-0000BAA30000}"/>
    <cellStyle name="Note 7 3 4 4" xfId="41909" xr:uid="{00000000-0005-0000-0000-0000BBA30000}"/>
    <cellStyle name="Note 7 3 5" xfId="41910" xr:uid="{00000000-0005-0000-0000-0000BCA30000}"/>
    <cellStyle name="Note 7 3 5 2" xfId="41911" xr:uid="{00000000-0005-0000-0000-0000BDA30000}"/>
    <cellStyle name="Note 7 3 6" xfId="41912" xr:uid="{00000000-0005-0000-0000-0000BEA30000}"/>
    <cellStyle name="Note 7 3 7" xfId="41913" xr:uid="{00000000-0005-0000-0000-0000BFA30000}"/>
    <cellStyle name="Note 7 3 8" xfId="41914" xr:uid="{00000000-0005-0000-0000-0000C0A30000}"/>
    <cellStyle name="Note 7 3 9" xfId="41915" xr:uid="{00000000-0005-0000-0000-0000C1A30000}"/>
    <cellStyle name="Note 7 4" xfId="41916" xr:uid="{00000000-0005-0000-0000-0000C2A30000}"/>
    <cellStyle name="Note 7 4 2" xfId="41917" xr:uid="{00000000-0005-0000-0000-0000C3A30000}"/>
    <cellStyle name="Note 7 4 2 2" xfId="41918" xr:uid="{00000000-0005-0000-0000-0000C4A30000}"/>
    <cellStyle name="Note 7 4 2 3" xfId="41919" xr:uid="{00000000-0005-0000-0000-0000C5A30000}"/>
    <cellStyle name="Note 7 4 3" xfId="41920" xr:uid="{00000000-0005-0000-0000-0000C6A30000}"/>
    <cellStyle name="Note 7 4 4" xfId="41921" xr:uid="{00000000-0005-0000-0000-0000C7A30000}"/>
    <cellStyle name="Note 7 4 5" xfId="41922" xr:uid="{00000000-0005-0000-0000-0000C8A30000}"/>
    <cellStyle name="Note 7 4 6" xfId="41923" xr:uid="{00000000-0005-0000-0000-0000C9A30000}"/>
    <cellStyle name="Note 7 5" xfId="41924" xr:uid="{00000000-0005-0000-0000-0000CAA30000}"/>
    <cellStyle name="Note 7 5 2" xfId="41925" xr:uid="{00000000-0005-0000-0000-0000CBA30000}"/>
    <cellStyle name="Note 7 5 2 2" xfId="41926" xr:uid="{00000000-0005-0000-0000-0000CCA30000}"/>
    <cellStyle name="Note 7 5 3" xfId="41927" xr:uid="{00000000-0005-0000-0000-0000CDA30000}"/>
    <cellStyle name="Note 7 5 4" xfId="41928" xr:uid="{00000000-0005-0000-0000-0000CEA30000}"/>
    <cellStyle name="Note 7 5 5" xfId="41929" xr:uid="{00000000-0005-0000-0000-0000CFA30000}"/>
    <cellStyle name="Note 7 6" xfId="41930" xr:uid="{00000000-0005-0000-0000-0000D0A30000}"/>
    <cellStyle name="Note 7 6 2" xfId="41931" xr:uid="{00000000-0005-0000-0000-0000D1A30000}"/>
    <cellStyle name="Note 7 6 3" xfId="41932" xr:uid="{00000000-0005-0000-0000-0000D2A30000}"/>
    <cellStyle name="Note 7 6 4" xfId="41933" xr:uid="{00000000-0005-0000-0000-0000D3A30000}"/>
    <cellStyle name="Note 7 7" xfId="41934" xr:uid="{00000000-0005-0000-0000-0000D4A30000}"/>
    <cellStyle name="Note 7 7 2" xfId="41935" xr:uid="{00000000-0005-0000-0000-0000D5A30000}"/>
    <cellStyle name="Note 7 8" xfId="41936" xr:uid="{00000000-0005-0000-0000-0000D6A30000}"/>
    <cellStyle name="Note 7 9" xfId="41937" xr:uid="{00000000-0005-0000-0000-0000D7A30000}"/>
    <cellStyle name="Note 8" xfId="41938" xr:uid="{00000000-0005-0000-0000-0000D8A30000}"/>
    <cellStyle name="Note 9" xfId="41939" xr:uid="{00000000-0005-0000-0000-0000D9A30000}"/>
    <cellStyle name="Percent" xfId="3" builtinId="5"/>
    <cellStyle name="Percent [2]" xfId="41940" xr:uid="{00000000-0005-0000-0000-0000DBA30000}"/>
    <cellStyle name="Percent 10" xfId="41941" xr:uid="{00000000-0005-0000-0000-0000DCA30000}"/>
    <cellStyle name="Percent 11" xfId="41942" xr:uid="{00000000-0005-0000-0000-0000DDA30000}"/>
    <cellStyle name="Percent 11 2" xfId="41943" xr:uid="{00000000-0005-0000-0000-0000DEA30000}"/>
    <cellStyle name="Percent 12" xfId="41944" xr:uid="{00000000-0005-0000-0000-0000DFA30000}"/>
    <cellStyle name="Percent 13" xfId="41945" xr:uid="{00000000-0005-0000-0000-0000E0A30000}"/>
    <cellStyle name="Percent 14" xfId="41946" xr:uid="{00000000-0005-0000-0000-0000E1A30000}"/>
    <cellStyle name="Percent 15" xfId="41947" xr:uid="{00000000-0005-0000-0000-0000E2A30000}"/>
    <cellStyle name="Percent 16" xfId="41948" xr:uid="{00000000-0005-0000-0000-0000E3A30000}"/>
    <cellStyle name="Percent 17" xfId="41949" xr:uid="{00000000-0005-0000-0000-0000E4A30000}"/>
    <cellStyle name="Percent 18" xfId="41950" xr:uid="{00000000-0005-0000-0000-0000E5A30000}"/>
    <cellStyle name="Percent 19" xfId="41951" xr:uid="{00000000-0005-0000-0000-0000E6A30000}"/>
    <cellStyle name="Percent 2" xfId="41952" xr:uid="{00000000-0005-0000-0000-0000E7A30000}"/>
    <cellStyle name="Percent 2 10" xfId="41953" xr:uid="{00000000-0005-0000-0000-0000E8A30000}"/>
    <cellStyle name="Percent 2 10 2" xfId="41954" xr:uid="{00000000-0005-0000-0000-0000E9A30000}"/>
    <cellStyle name="Percent 2 10 3" xfId="41955" xr:uid="{00000000-0005-0000-0000-0000EAA30000}"/>
    <cellStyle name="Percent 2 10 4" xfId="41956" xr:uid="{00000000-0005-0000-0000-0000EBA30000}"/>
    <cellStyle name="Percent 2 10 5" xfId="41957" xr:uid="{00000000-0005-0000-0000-0000ECA30000}"/>
    <cellStyle name="Percent 2 10 6" xfId="41958" xr:uid="{00000000-0005-0000-0000-0000EDA30000}"/>
    <cellStyle name="Percent 2 11" xfId="41959" xr:uid="{00000000-0005-0000-0000-0000EEA30000}"/>
    <cellStyle name="Percent 2 11 2" xfId="41960" xr:uid="{00000000-0005-0000-0000-0000EFA30000}"/>
    <cellStyle name="Percent 2 11 3" xfId="41961" xr:uid="{00000000-0005-0000-0000-0000F0A30000}"/>
    <cellStyle name="Percent 2 11 4" xfId="41962" xr:uid="{00000000-0005-0000-0000-0000F1A30000}"/>
    <cellStyle name="Percent 2 11 5" xfId="41963" xr:uid="{00000000-0005-0000-0000-0000F2A30000}"/>
    <cellStyle name="Percent 2 11 6" xfId="41964" xr:uid="{00000000-0005-0000-0000-0000F3A30000}"/>
    <cellStyle name="Percent 2 12" xfId="41965" xr:uid="{00000000-0005-0000-0000-0000F4A30000}"/>
    <cellStyle name="Percent 2 12 2" xfId="41966" xr:uid="{00000000-0005-0000-0000-0000F5A30000}"/>
    <cellStyle name="Percent 2 12 3" xfId="41967" xr:uid="{00000000-0005-0000-0000-0000F6A30000}"/>
    <cellStyle name="Percent 2 12 4" xfId="41968" xr:uid="{00000000-0005-0000-0000-0000F7A30000}"/>
    <cellStyle name="Percent 2 12 5" xfId="41969" xr:uid="{00000000-0005-0000-0000-0000F8A30000}"/>
    <cellStyle name="Percent 2 12 6" xfId="41970" xr:uid="{00000000-0005-0000-0000-0000F9A30000}"/>
    <cellStyle name="Percent 2 13" xfId="41971" xr:uid="{00000000-0005-0000-0000-0000FAA30000}"/>
    <cellStyle name="Percent 2 13 2" xfId="41972" xr:uid="{00000000-0005-0000-0000-0000FBA30000}"/>
    <cellStyle name="Percent 2 13 3" xfId="41973" xr:uid="{00000000-0005-0000-0000-0000FCA30000}"/>
    <cellStyle name="Percent 2 13 4" xfId="41974" xr:uid="{00000000-0005-0000-0000-0000FDA30000}"/>
    <cellStyle name="Percent 2 13 5" xfId="41975" xr:uid="{00000000-0005-0000-0000-0000FEA30000}"/>
    <cellStyle name="Percent 2 13 6" xfId="41976" xr:uid="{00000000-0005-0000-0000-0000FFA30000}"/>
    <cellStyle name="Percent 2 14" xfId="41977" xr:uid="{00000000-0005-0000-0000-000000A40000}"/>
    <cellStyle name="Percent 2 14 2" xfId="41978" xr:uid="{00000000-0005-0000-0000-000001A40000}"/>
    <cellStyle name="Percent 2 14 3" xfId="41979" xr:uid="{00000000-0005-0000-0000-000002A40000}"/>
    <cellStyle name="Percent 2 14 4" xfId="41980" xr:uid="{00000000-0005-0000-0000-000003A40000}"/>
    <cellStyle name="Percent 2 14 5" xfId="41981" xr:uid="{00000000-0005-0000-0000-000004A40000}"/>
    <cellStyle name="Percent 2 14 6" xfId="41982" xr:uid="{00000000-0005-0000-0000-000005A40000}"/>
    <cellStyle name="Percent 2 15" xfId="41983" xr:uid="{00000000-0005-0000-0000-000006A40000}"/>
    <cellStyle name="Percent 2 15 2" xfId="41984" xr:uid="{00000000-0005-0000-0000-000007A40000}"/>
    <cellStyle name="Percent 2 15 3" xfId="41985" xr:uid="{00000000-0005-0000-0000-000008A40000}"/>
    <cellStyle name="Percent 2 15 4" xfId="41986" xr:uid="{00000000-0005-0000-0000-000009A40000}"/>
    <cellStyle name="Percent 2 15 5" xfId="41987" xr:uid="{00000000-0005-0000-0000-00000AA40000}"/>
    <cellStyle name="Percent 2 15 6" xfId="41988" xr:uid="{00000000-0005-0000-0000-00000BA40000}"/>
    <cellStyle name="Percent 2 16" xfId="41989" xr:uid="{00000000-0005-0000-0000-00000CA40000}"/>
    <cellStyle name="Percent 2 16 2" xfId="41990" xr:uid="{00000000-0005-0000-0000-00000DA40000}"/>
    <cellStyle name="Percent 2 16 3" xfId="41991" xr:uid="{00000000-0005-0000-0000-00000EA40000}"/>
    <cellStyle name="Percent 2 16 4" xfId="41992" xr:uid="{00000000-0005-0000-0000-00000FA40000}"/>
    <cellStyle name="Percent 2 16 5" xfId="41993" xr:uid="{00000000-0005-0000-0000-000010A40000}"/>
    <cellStyle name="Percent 2 16 6" xfId="41994" xr:uid="{00000000-0005-0000-0000-000011A40000}"/>
    <cellStyle name="Percent 2 17" xfId="41995" xr:uid="{00000000-0005-0000-0000-000012A40000}"/>
    <cellStyle name="Percent 2 17 2" xfId="41996" xr:uid="{00000000-0005-0000-0000-000013A40000}"/>
    <cellStyle name="Percent 2 17 3" xfId="41997" xr:uid="{00000000-0005-0000-0000-000014A40000}"/>
    <cellStyle name="Percent 2 17 4" xfId="41998" xr:uid="{00000000-0005-0000-0000-000015A40000}"/>
    <cellStyle name="Percent 2 17 5" xfId="41999" xr:uid="{00000000-0005-0000-0000-000016A40000}"/>
    <cellStyle name="Percent 2 17 6" xfId="42000" xr:uid="{00000000-0005-0000-0000-000017A40000}"/>
    <cellStyle name="Percent 2 18" xfId="42001" xr:uid="{00000000-0005-0000-0000-000018A40000}"/>
    <cellStyle name="Percent 2 18 2" xfId="42002" xr:uid="{00000000-0005-0000-0000-000019A40000}"/>
    <cellStyle name="Percent 2 18 3" xfId="42003" xr:uid="{00000000-0005-0000-0000-00001AA40000}"/>
    <cellStyle name="Percent 2 18 4" xfId="42004" xr:uid="{00000000-0005-0000-0000-00001BA40000}"/>
    <cellStyle name="Percent 2 18 5" xfId="42005" xr:uid="{00000000-0005-0000-0000-00001CA40000}"/>
    <cellStyle name="Percent 2 18 6" xfId="42006" xr:uid="{00000000-0005-0000-0000-00001DA40000}"/>
    <cellStyle name="Percent 2 19" xfId="42007" xr:uid="{00000000-0005-0000-0000-00001EA40000}"/>
    <cellStyle name="Percent 2 19 2" xfId="42008" xr:uid="{00000000-0005-0000-0000-00001FA40000}"/>
    <cellStyle name="Percent 2 19 3" xfId="42009" xr:uid="{00000000-0005-0000-0000-000020A40000}"/>
    <cellStyle name="Percent 2 19 4" xfId="42010" xr:uid="{00000000-0005-0000-0000-000021A40000}"/>
    <cellStyle name="Percent 2 19 5" xfId="42011" xr:uid="{00000000-0005-0000-0000-000022A40000}"/>
    <cellStyle name="Percent 2 19 6" xfId="42012" xr:uid="{00000000-0005-0000-0000-000023A40000}"/>
    <cellStyle name="Percent 2 2" xfId="42013" xr:uid="{00000000-0005-0000-0000-000024A40000}"/>
    <cellStyle name="Percent 2 2 10" xfId="42014" xr:uid="{00000000-0005-0000-0000-000025A40000}"/>
    <cellStyle name="Percent 2 2 11" xfId="42015" xr:uid="{00000000-0005-0000-0000-000026A40000}"/>
    <cellStyle name="Percent 2 2 12" xfId="42016" xr:uid="{00000000-0005-0000-0000-000027A40000}"/>
    <cellStyle name="Percent 2 2 13" xfId="42017" xr:uid="{00000000-0005-0000-0000-000028A40000}"/>
    <cellStyle name="Percent 2 2 14" xfId="42018" xr:uid="{00000000-0005-0000-0000-000029A40000}"/>
    <cellStyle name="Percent 2 2 15" xfId="42019" xr:uid="{00000000-0005-0000-0000-00002AA40000}"/>
    <cellStyle name="Percent 2 2 16" xfId="42020" xr:uid="{00000000-0005-0000-0000-00002BA40000}"/>
    <cellStyle name="Percent 2 2 17" xfId="42021" xr:uid="{00000000-0005-0000-0000-00002CA40000}"/>
    <cellStyle name="Percent 2 2 18" xfId="42022" xr:uid="{00000000-0005-0000-0000-00002DA40000}"/>
    <cellStyle name="Percent 2 2 19" xfId="42023" xr:uid="{00000000-0005-0000-0000-00002EA40000}"/>
    <cellStyle name="Percent 2 2 2" xfId="42024" xr:uid="{00000000-0005-0000-0000-00002FA40000}"/>
    <cellStyle name="Percent 2 2 20" xfId="42025" xr:uid="{00000000-0005-0000-0000-000030A40000}"/>
    <cellStyle name="Percent 2 2 21" xfId="42026" xr:uid="{00000000-0005-0000-0000-000031A40000}"/>
    <cellStyle name="Percent 2 2 22" xfId="42027" xr:uid="{00000000-0005-0000-0000-000032A40000}"/>
    <cellStyle name="Percent 2 2 23" xfId="42028" xr:uid="{00000000-0005-0000-0000-000033A40000}"/>
    <cellStyle name="Percent 2 2 24" xfId="42029" xr:uid="{00000000-0005-0000-0000-000034A40000}"/>
    <cellStyle name="Percent 2 2 25" xfId="42030" xr:uid="{00000000-0005-0000-0000-000035A40000}"/>
    <cellStyle name="Percent 2 2 26" xfId="42031" xr:uid="{00000000-0005-0000-0000-000036A40000}"/>
    <cellStyle name="Percent 2 2 27" xfId="42032" xr:uid="{00000000-0005-0000-0000-000037A40000}"/>
    <cellStyle name="Percent 2 2 28" xfId="42033" xr:uid="{00000000-0005-0000-0000-000038A40000}"/>
    <cellStyle name="Percent 2 2 29" xfId="42034" xr:uid="{00000000-0005-0000-0000-000039A40000}"/>
    <cellStyle name="Percent 2 2 3" xfId="42035" xr:uid="{00000000-0005-0000-0000-00003AA40000}"/>
    <cellStyle name="Percent 2 2 3 2" xfId="42036" xr:uid="{00000000-0005-0000-0000-00003BA40000}"/>
    <cellStyle name="Percent 2 2 30" xfId="42037" xr:uid="{00000000-0005-0000-0000-00003CA40000}"/>
    <cellStyle name="Percent 2 2 31" xfId="42038" xr:uid="{00000000-0005-0000-0000-00003DA40000}"/>
    <cellStyle name="Percent 2 2 32" xfId="42039" xr:uid="{00000000-0005-0000-0000-00003EA40000}"/>
    <cellStyle name="Percent 2 2 33" xfId="42040" xr:uid="{00000000-0005-0000-0000-00003FA40000}"/>
    <cellStyle name="Percent 2 2 34" xfId="42041" xr:uid="{00000000-0005-0000-0000-000040A40000}"/>
    <cellStyle name="Percent 2 2 35" xfId="42042" xr:uid="{00000000-0005-0000-0000-000041A40000}"/>
    <cellStyle name="Percent 2 2 36" xfId="42043" xr:uid="{00000000-0005-0000-0000-000042A40000}"/>
    <cellStyle name="Percent 2 2 4" xfId="42044" xr:uid="{00000000-0005-0000-0000-000043A40000}"/>
    <cellStyle name="Percent 2 2 4 2" xfId="42045" xr:uid="{00000000-0005-0000-0000-000044A40000}"/>
    <cellStyle name="Percent 2 2 5" xfId="42046" xr:uid="{00000000-0005-0000-0000-000045A40000}"/>
    <cellStyle name="Percent 2 2 5 2" xfId="42047" xr:uid="{00000000-0005-0000-0000-000046A40000}"/>
    <cellStyle name="Percent 2 2 6" xfId="42048" xr:uid="{00000000-0005-0000-0000-000047A40000}"/>
    <cellStyle name="Percent 2 2 6 2" xfId="42049" xr:uid="{00000000-0005-0000-0000-000048A40000}"/>
    <cellStyle name="Percent 2 2 7" xfId="42050" xr:uid="{00000000-0005-0000-0000-000049A40000}"/>
    <cellStyle name="Percent 2 2 7 2" xfId="42051" xr:uid="{00000000-0005-0000-0000-00004AA40000}"/>
    <cellStyle name="Percent 2 2 8" xfId="42052" xr:uid="{00000000-0005-0000-0000-00004BA40000}"/>
    <cellStyle name="Percent 2 2 8 2" xfId="42053" xr:uid="{00000000-0005-0000-0000-00004CA40000}"/>
    <cellStyle name="Percent 2 2 9" xfId="42054" xr:uid="{00000000-0005-0000-0000-00004DA40000}"/>
    <cellStyle name="Percent 2 20" xfId="42055" xr:uid="{00000000-0005-0000-0000-00004EA40000}"/>
    <cellStyle name="Percent 2 21" xfId="42056" xr:uid="{00000000-0005-0000-0000-00004FA40000}"/>
    <cellStyle name="Percent 2 22" xfId="42057" xr:uid="{00000000-0005-0000-0000-000050A40000}"/>
    <cellStyle name="Percent 2 23" xfId="42058" xr:uid="{00000000-0005-0000-0000-000051A40000}"/>
    <cellStyle name="Percent 2 24" xfId="42059" xr:uid="{00000000-0005-0000-0000-000052A40000}"/>
    <cellStyle name="Percent 2 25" xfId="42060" xr:uid="{00000000-0005-0000-0000-000053A40000}"/>
    <cellStyle name="Percent 2 3" xfId="42061" xr:uid="{00000000-0005-0000-0000-000054A40000}"/>
    <cellStyle name="Percent 2 3 2" xfId="42062" xr:uid="{00000000-0005-0000-0000-000055A40000}"/>
    <cellStyle name="Percent 2 3 3" xfId="42063" xr:uid="{00000000-0005-0000-0000-000056A40000}"/>
    <cellStyle name="Percent 2 3 4" xfId="42064" xr:uid="{00000000-0005-0000-0000-000057A40000}"/>
    <cellStyle name="Percent 2 3 5" xfId="42065" xr:uid="{00000000-0005-0000-0000-000058A40000}"/>
    <cellStyle name="Percent 2 3 6" xfId="42066" xr:uid="{00000000-0005-0000-0000-000059A40000}"/>
    <cellStyle name="Percent 2 4" xfId="42067" xr:uid="{00000000-0005-0000-0000-00005AA40000}"/>
    <cellStyle name="Percent 2 4 2" xfId="42068" xr:uid="{00000000-0005-0000-0000-00005BA40000}"/>
    <cellStyle name="Percent 2 4 3" xfId="42069" xr:uid="{00000000-0005-0000-0000-00005CA40000}"/>
    <cellStyle name="Percent 2 4 4" xfId="42070" xr:uid="{00000000-0005-0000-0000-00005DA40000}"/>
    <cellStyle name="Percent 2 4 5" xfId="42071" xr:uid="{00000000-0005-0000-0000-00005EA40000}"/>
    <cellStyle name="Percent 2 4 6" xfId="42072" xr:uid="{00000000-0005-0000-0000-00005FA40000}"/>
    <cellStyle name="Percent 2 4 7" xfId="42073" xr:uid="{00000000-0005-0000-0000-000060A40000}"/>
    <cellStyle name="Percent 2 5" xfId="42074" xr:uid="{00000000-0005-0000-0000-000061A40000}"/>
    <cellStyle name="Percent 2 5 2" xfId="42075" xr:uid="{00000000-0005-0000-0000-000062A40000}"/>
    <cellStyle name="Percent 2 5 3" xfId="42076" xr:uid="{00000000-0005-0000-0000-000063A40000}"/>
    <cellStyle name="Percent 2 5 4" xfId="42077" xr:uid="{00000000-0005-0000-0000-000064A40000}"/>
    <cellStyle name="Percent 2 5 5" xfId="42078" xr:uid="{00000000-0005-0000-0000-000065A40000}"/>
    <cellStyle name="Percent 2 5 6" xfId="42079" xr:uid="{00000000-0005-0000-0000-000066A40000}"/>
    <cellStyle name="Percent 2 5 7" xfId="42080" xr:uid="{00000000-0005-0000-0000-000067A40000}"/>
    <cellStyle name="Percent 2 6" xfId="42081" xr:uid="{00000000-0005-0000-0000-000068A40000}"/>
    <cellStyle name="Percent 2 6 2" xfId="42082" xr:uid="{00000000-0005-0000-0000-000069A40000}"/>
    <cellStyle name="Percent 2 6 3" xfId="42083" xr:uid="{00000000-0005-0000-0000-00006AA40000}"/>
    <cellStyle name="Percent 2 6 4" xfId="42084" xr:uid="{00000000-0005-0000-0000-00006BA40000}"/>
    <cellStyle name="Percent 2 6 5" xfId="42085" xr:uid="{00000000-0005-0000-0000-00006CA40000}"/>
    <cellStyle name="Percent 2 6 6" xfId="42086" xr:uid="{00000000-0005-0000-0000-00006DA40000}"/>
    <cellStyle name="Percent 2 6 7" xfId="42087" xr:uid="{00000000-0005-0000-0000-00006EA40000}"/>
    <cellStyle name="Percent 2 7" xfId="42088" xr:uid="{00000000-0005-0000-0000-00006FA40000}"/>
    <cellStyle name="Percent 2 7 2" xfId="42089" xr:uid="{00000000-0005-0000-0000-000070A40000}"/>
    <cellStyle name="Percent 2 7 3" xfId="42090" xr:uid="{00000000-0005-0000-0000-000071A40000}"/>
    <cellStyle name="Percent 2 7 4" xfId="42091" xr:uid="{00000000-0005-0000-0000-000072A40000}"/>
    <cellStyle name="Percent 2 7 5" xfId="42092" xr:uid="{00000000-0005-0000-0000-000073A40000}"/>
    <cellStyle name="Percent 2 7 6" xfId="42093" xr:uid="{00000000-0005-0000-0000-000074A40000}"/>
    <cellStyle name="Percent 2 7 7" xfId="42094" xr:uid="{00000000-0005-0000-0000-000075A40000}"/>
    <cellStyle name="Percent 2 8" xfId="42095" xr:uid="{00000000-0005-0000-0000-000076A40000}"/>
    <cellStyle name="Percent 2 8 2" xfId="42096" xr:uid="{00000000-0005-0000-0000-000077A40000}"/>
    <cellStyle name="Percent 2 8 3" xfId="42097" xr:uid="{00000000-0005-0000-0000-000078A40000}"/>
    <cellStyle name="Percent 2 8 4" xfId="42098" xr:uid="{00000000-0005-0000-0000-000079A40000}"/>
    <cellStyle name="Percent 2 8 5" xfId="42099" xr:uid="{00000000-0005-0000-0000-00007AA40000}"/>
    <cellStyle name="Percent 2 8 6" xfId="42100" xr:uid="{00000000-0005-0000-0000-00007BA40000}"/>
    <cellStyle name="Percent 2 8 7" xfId="42101" xr:uid="{00000000-0005-0000-0000-00007CA40000}"/>
    <cellStyle name="Percent 2 9" xfId="42102" xr:uid="{00000000-0005-0000-0000-00007DA40000}"/>
    <cellStyle name="Percent 2 9 2" xfId="42103" xr:uid="{00000000-0005-0000-0000-00007EA40000}"/>
    <cellStyle name="Percent 2 9 3" xfId="42104" xr:uid="{00000000-0005-0000-0000-00007FA40000}"/>
    <cellStyle name="Percent 2 9 4" xfId="42105" xr:uid="{00000000-0005-0000-0000-000080A40000}"/>
    <cellStyle name="Percent 2 9 5" xfId="42106" xr:uid="{00000000-0005-0000-0000-000081A40000}"/>
    <cellStyle name="Percent 2 9 6" xfId="42107" xr:uid="{00000000-0005-0000-0000-000082A40000}"/>
    <cellStyle name="Percent 20" xfId="42108" xr:uid="{00000000-0005-0000-0000-000083A40000}"/>
    <cellStyle name="Percent 21" xfId="42109" xr:uid="{00000000-0005-0000-0000-000084A40000}"/>
    <cellStyle name="Percent 22" xfId="42110" xr:uid="{00000000-0005-0000-0000-000085A40000}"/>
    <cellStyle name="Percent 23" xfId="42111" xr:uid="{00000000-0005-0000-0000-000086A40000}"/>
    <cellStyle name="Percent 24" xfId="42112" xr:uid="{00000000-0005-0000-0000-000087A40000}"/>
    <cellStyle name="Percent 25" xfId="42113" xr:uid="{00000000-0005-0000-0000-000088A40000}"/>
    <cellStyle name="Percent 26" xfId="42114" xr:uid="{00000000-0005-0000-0000-000089A40000}"/>
    <cellStyle name="Percent 27" xfId="42115" xr:uid="{00000000-0005-0000-0000-00008AA40000}"/>
    <cellStyle name="Percent 28" xfId="42116" xr:uid="{00000000-0005-0000-0000-00008BA40000}"/>
    <cellStyle name="Percent 29" xfId="42117" xr:uid="{00000000-0005-0000-0000-00008CA40000}"/>
    <cellStyle name="Percent 3" xfId="42118" xr:uid="{00000000-0005-0000-0000-00008DA40000}"/>
    <cellStyle name="Percent 3 2" xfId="42119" xr:uid="{00000000-0005-0000-0000-00008EA40000}"/>
    <cellStyle name="Percent 3 2 2" xfId="42120" xr:uid="{00000000-0005-0000-0000-00008FA40000}"/>
    <cellStyle name="Percent 3 3" xfId="42121" xr:uid="{00000000-0005-0000-0000-000090A40000}"/>
    <cellStyle name="Percent 30" xfId="42122" xr:uid="{00000000-0005-0000-0000-000091A40000}"/>
    <cellStyle name="Percent 31" xfId="42123" xr:uid="{00000000-0005-0000-0000-000092A40000}"/>
    <cellStyle name="Percent 32" xfId="42124" xr:uid="{00000000-0005-0000-0000-000093A40000}"/>
    <cellStyle name="Percent 33" xfId="42125" xr:uid="{00000000-0005-0000-0000-000094A40000}"/>
    <cellStyle name="Percent 34" xfId="42126" xr:uid="{00000000-0005-0000-0000-000095A40000}"/>
    <cellStyle name="Percent 35" xfId="42127" xr:uid="{00000000-0005-0000-0000-000096A40000}"/>
    <cellStyle name="Percent 36" xfId="42128" xr:uid="{00000000-0005-0000-0000-000097A40000}"/>
    <cellStyle name="Percent 37" xfId="42129" xr:uid="{00000000-0005-0000-0000-000098A40000}"/>
    <cellStyle name="Percent 38" xfId="42130" xr:uid="{00000000-0005-0000-0000-000099A40000}"/>
    <cellStyle name="Percent 39" xfId="42131" xr:uid="{00000000-0005-0000-0000-00009AA40000}"/>
    <cellStyle name="Percent 4" xfId="42132" xr:uid="{00000000-0005-0000-0000-00009BA40000}"/>
    <cellStyle name="Percent 4 10" xfId="42133" xr:uid="{00000000-0005-0000-0000-00009CA40000}"/>
    <cellStyle name="Percent 4 2" xfId="42134" xr:uid="{00000000-0005-0000-0000-00009DA40000}"/>
    <cellStyle name="Percent 4 2 2" xfId="42135" xr:uid="{00000000-0005-0000-0000-00009EA40000}"/>
    <cellStyle name="Percent 4 2 2 2" xfId="42136" xr:uid="{00000000-0005-0000-0000-00009FA40000}"/>
    <cellStyle name="Percent 4 2 2 2 2" xfId="42137" xr:uid="{00000000-0005-0000-0000-0000A0A40000}"/>
    <cellStyle name="Percent 4 2 2 2 3" xfId="42138" xr:uid="{00000000-0005-0000-0000-0000A1A40000}"/>
    <cellStyle name="Percent 4 2 2 3" xfId="42139" xr:uid="{00000000-0005-0000-0000-0000A2A40000}"/>
    <cellStyle name="Percent 4 2 2 4" xfId="42140" xr:uid="{00000000-0005-0000-0000-0000A3A40000}"/>
    <cellStyle name="Percent 4 2 2 5" xfId="42141" xr:uid="{00000000-0005-0000-0000-0000A4A40000}"/>
    <cellStyle name="Percent 4 2 2 6" xfId="42142" xr:uid="{00000000-0005-0000-0000-0000A5A40000}"/>
    <cellStyle name="Percent 4 2 3" xfId="42143" xr:uid="{00000000-0005-0000-0000-0000A6A40000}"/>
    <cellStyle name="Percent 4 2 3 2" xfId="42144" xr:uid="{00000000-0005-0000-0000-0000A7A40000}"/>
    <cellStyle name="Percent 4 2 3 2 2" xfId="42145" xr:uid="{00000000-0005-0000-0000-0000A8A40000}"/>
    <cellStyle name="Percent 4 2 3 3" xfId="42146" xr:uid="{00000000-0005-0000-0000-0000A9A40000}"/>
    <cellStyle name="Percent 4 2 3 4" xfId="42147" xr:uid="{00000000-0005-0000-0000-0000AAA40000}"/>
    <cellStyle name="Percent 4 2 3 5" xfId="42148" xr:uid="{00000000-0005-0000-0000-0000ABA40000}"/>
    <cellStyle name="Percent 4 2 4" xfId="42149" xr:uid="{00000000-0005-0000-0000-0000ACA40000}"/>
    <cellStyle name="Percent 4 2 4 2" xfId="42150" xr:uid="{00000000-0005-0000-0000-0000ADA40000}"/>
    <cellStyle name="Percent 4 2 4 3" xfId="42151" xr:uid="{00000000-0005-0000-0000-0000AEA40000}"/>
    <cellStyle name="Percent 4 2 4 4" xfId="42152" xr:uid="{00000000-0005-0000-0000-0000AFA40000}"/>
    <cellStyle name="Percent 4 2 5" xfId="42153" xr:uid="{00000000-0005-0000-0000-0000B0A40000}"/>
    <cellStyle name="Percent 4 2 5 2" xfId="42154" xr:uid="{00000000-0005-0000-0000-0000B1A40000}"/>
    <cellStyle name="Percent 4 2 6" xfId="42155" xr:uid="{00000000-0005-0000-0000-0000B2A40000}"/>
    <cellStyle name="Percent 4 2 7" xfId="42156" xr:uid="{00000000-0005-0000-0000-0000B3A40000}"/>
    <cellStyle name="Percent 4 2 8" xfId="42157" xr:uid="{00000000-0005-0000-0000-0000B4A40000}"/>
    <cellStyle name="Percent 4 2 9" xfId="42158" xr:uid="{00000000-0005-0000-0000-0000B5A40000}"/>
    <cellStyle name="Percent 4 3" xfId="42159" xr:uid="{00000000-0005-0000-0000-0000B6A40000}"/>
    <cellStyle name="Percent 4 3 2" xfId="42160" xr:uid="{00000000-0005-0000-0000-0000B7A40000}"/>
    <cellStyle name="Percent 4 3 2 2" xfId="42161" xr:uid="{00000000-0005-0000-0000-0000B8A40000}"/>
    <cellStyle name="Percent 4 3 2 3" xfId="42162" xr:uid="{00000000-0005-0000-0000-0000B9A40000}"/>
    <cellStyle name="Percent 4 3 3" xfId="42163" xr:uid="{00000000-0005-0000-0000-0000BAA40000}"/>
    <cellStyle name="Percent 4 3 4" xfId="42164" xr:uid="{00000000-0005-0000-0000-0000BBA40000}"/>
    <cellStyle name="Percent 4 3 5" xfId="42165" xr:uid="{00000000-0005-0000-0000-0000BCA40000}"/>
    <cellStyle name="Percent 4 3 6" xfId="42166" xr:uid="{00000000-0005-0000-0000-0000BDA40000}"/>
    <cellStyle name="Percent 4 4" xfId="42167" xr:uid="{00000000-0005-0000-0000-0000BEA40000}"/>
    <cellStyle name="Percent 4 4 2" xfId="42168" xr:uid="{00000000-0005-0000-0000-0000BFA40000}"/>
    <cellStyle name="Percent 4 4 2 2" xfId="42169" xr:uid="{00000000-0005-0000-0000-0000C0A40000}"/>
    <cellStyle name="Percent 4 4 3" xfId="42170" xr:uid="{00000000-0005-0000-0000-0000C1A40000}"/>
    <cellStyle name="Percent 4 4 4" xfId="42171" xr:uid="{00000000-0005-0000-0000-0000C2A40000}"/>
    <cellStyle name="Percent 4 4 5" xfId="42172" xr:uid="{00000000-0005-0000-0000-0000C3A40000}"/>
    <cellStyle name="Percent 4 4 6" xfId="42173" xr:uid="{00000000-0005-0000-0000-0000C4A40000}"/>
    <cellStyle name="Percent 4 5" xfId="42174" xr:uid="{00000000-0005-0000-0000-0000C5A40000}"/>
    <cellStyle name="Percent 4 5 2" xfId="42175" xr:uid="{00000000-0005-0000-0000-0000C6A40000}"/>
    <cellStyle name="Percent 4 5 3" xfId="42176" xr:uid="{00000000-0005-0000-0000-0000C7A40000}"/>
    <cellStyle name="Percent 4 5 4" xfId="42177" xr:uid="{00000000-0005-0000-0000-0000C8A40000}"/>
    <cellStyle name="Percent 4 5 5" xfId="42178" xr:uid="{00000000-0005-0000-0000-0000C9A40000}"/>
    <cellStyle name="Percent 4 6" xfId="42179" xr:uid="{00000000-0005-0000-0000-0000CAA40000}"/>
    <cellStyle name="Percent 4 6 2" xfId="42180" xr:uid="{00000000-0005-0000-0000-0000CBA40000}"/>
    <cellStyle name="Percent 4 7" xfId="42181" xr:uid="{00000000-0005-0000-0000-0000CCA40000}"/>
    <cellStyle name="Percent 4 7 2" xfId="42182" xr:uid="{00000000-0005-0000-0000-0000CDA40000}"/>
    <cellStyle name="Percent 4 8" xfId="42183" xr:uid="{00000000-0005-0000-0000-0000CEA40000}"/>
    <cellStyle name="Percent 4 9" xfId="42184" xr:uid="{00000000-0005-0000-0000-0000CFA40000}"/>
    <cellStyle name="Percent 40" xfId="42185" xr:uid="{00000000-0005-0000-0000-0000D0A40000}"/>
    <cellStyle name="Percent 41" xfId="42186" xr:uid="{00000000-0005-0000-0000-0000D1A40000}"/>
    <cellStyle name="Percent 42" xfId="42187" xr:uid="{00000000-0005-0000-0000-0000D2A40000}"/>
    <cellStyle name="Percent 43" xfId="42188" xr:uid="{00000000-0005-0000-0000-0000D3A40000}"/>
    <cellStyle name="Percent 44" xfId="42189" xr:uid="{00000000-0005-0000-0000-0000D4A40000}"/>
    <cellStyle name="Percent 45" xfId="42190" xr:uid="{00000000-0005-0000-0000-0000D5A40000}"/>
    <cellStyle name="Percent 46" xfId="42191" xr:uid="{00000000-0005-0000-0000-0000D6A40000}"/>
    <cellStyle name="Percent 47" xfId="42192" xr:uid="{00000000-0005-0000-0000-0000D7A40000}"/>
    <cellStyle name="Percent 48" xfId="42193" xr:uid="{00000000-0005-0000-0000-0000D8A40000}"/>
    <cellStyle name="Percent 49" xfId="42194" xr:uid="{00000000-0005-0000-0000-0000D9A40000}"/>
    <cellStyle name="Percent 5" xfId="42195" xr:uid="{00000000-0005-0000-0000-0000DAA40000}"/>
    <cellStyle name="Percent 5 2" xfId="42196" xr:uid="{00000000-0005-0000-0000-0000DBA40000}"/>
    <cellStyle name="Percent 5 2 2" xfId="42197" xr:uid="{00000000-0005-0000-0000-0000DCA40000}"/>
    <cellStyle name="Percent 5 2 2 2" xfId="42198" xr:uid="{00000000-0005-0000-0000-0000DDA40000}"/>
    <cellStyle name="Percent 5 2 2 3" xfId="42199" xr:uid="{00000000-0005-0000-0000-0000DEA40000}"/>
    <cellStyle name="Percent 5 2 3" xfId="42200" xr:uid="{00000000-0005-0000-0000-0000DFA40000}"/>
    <cellStyle name="Percent 5 2 4" xfId="42201" xr:uid="{00000000-0005-0000-0000-0000E0A40000}"/>
    <cellStyle name="Percent 5 2 5" xfId="42202" xr:uid="{00000000-0005-0000-0000-0000E1A40000}"/>
    <cellStyle name="Percent 5 2 6" xfId="42203" xr:uid="{00000000-0005-0000-0000-0000E2A40000}"/>
    <cellStyle name="Percent 5 3" xfId="42204" xr:uid="{00000000-0005-0000-0000-0000E3A40000}"/>
    <cellStyle name="Percent 5 3 2" xfId="42205" xr:uid="{00000000-0005-0000-0000-0000E4A40000}"/>
    <cellStyle name="Percent 5 3 2 2" xfId="42206" xr:uid="{00000000-0005-0000-0000-0000E5A40000}"/>
    <cellStyle name="Percent 5 3 3" xfId="42207" xr:uid="{00000000-0005-0000-0000-0000E6A40000}"/>
    <cellStyle name="Percent 5 3 4" xfId="42208" xr:uid="{00000000-0005-0000-0000-0000E7A40000}"/>
    <cellStyle name="Percent 5 3 5" xfId="42209" xr:uid="{00000000-0005-0000-0000-0000E8A40000}"/>
    <cellStyle name="Percent 5 4" xfId="42210" xr:uid="{00000000-0005-0000-0000-0000E9A40000}"/>
    <cellStyle name="Percent 5 4 2" xfId="42211" xr:uid="{00000000-0005-0000-0000-0000EAA40000}"/>
    <cellStyle name="Percent 5 4 3" xfId="42212" xr:uid="{00000000-0005-0000-0000-0000EBA40000}"/>
    <cellStyle name="Percent 5 4 4" xfId="42213" xr:uid="{00000000-0005-0000-0000-0000ECA40000}"/>
    <cellStyle name="Percent 5 5" xfId="42214" xr:uid="{00000000-0005-0000-0000-0000EDA40000}"/>
    <cellStyle name="Percent 5 5 2" xfId="42215" xr:uid="{00000000-0005-0000-0000-0000EEA40000}"/>
    <cellStyle name="Percent 5 6" xfId="42216" xr:uid="{00000000-0005-0000-0000-0000EFA40000}"/>
    <cellStyle name="Percent 5 7" xfId="42217" xr:uid="{00000000-0005-0000-0000-0000F0A40000}"/>
    <cellStyle name="Percent 5 8" xfId="42218" xr:uid="{00000000-0005-0000-0000-0000F1A40000}"/>
    <cellStyle name="Percent 5 9" xfId="42219" xr:uid="{00000000-0005-0000-0000-0000F2A40000}"/>
    <cellStyle name="Percent 50" xfId="42220" xr:uid="{00000000-0005-0000-0000-0000F3A40000}"/>
    <cellStyle name="Percent 51" xfId="42221" xr:uid="{00000000-0005-0000-0000-0000F4A40000}"/>
    <cellStyle name="Percent 52" xfId="42325" xr:uid="{00000000-0005-0000-0000-0000F5A40000}"/>
    <cellStyle name="Percent 53" xfId="42326" xr:uid="{00000000-0005-0000-0000-0000F6A40000}"/>
    <cellStyle name="Percent 6" xfId="42222" xr:uid="{00000000-0005-0000-0000-0000F7A40000}"/>
    <cellStyle name="Percent 6 2" xfId="42223" xr:uid="{00000000-0005-0000-0000-0000F8A40000}"/>
    <cellStyle name="Percent 6 2 2" xfId="42224" xr:uid="{00000000-0005-0000-0000-0000F9A40000}"/>
    <cellStyle name="Percent 6 2 2 2" xfId="42225" xr:uid="{00000000-0005-0000-0000-0000FAA40000}"/>
    <cellStyle name="Percent 6 2 3" xfId="42226" xr:uid="{00000000-0005-0000-0000-0000FBA40000}"/>
    <cellStyle name="Percent 6 2 4" xfId="42227" xr:uid="{00000000-0005-0000-0000-0000FCA40000}"/>
    <cellStyle name="Percent 6 2 5" xfId="42228" xr:uid="{00000000-0005-0000-0000-0000FDA40000}"/>
    <cellStyle name="Percent 6 3" xfId="42229" xr:uid="{00000000-0005-0000-0000-0000FEA40000}"/>
    <cellStyle name="Percent 6 3 2" xfId="42230" xr:uid="{00000000-0005-0000-0000-0000FFA40000}"/>
    <cellStyle name="Percent 6 3 3" xfId="42231" xr:uid="{00000000-0005-0000-0000-000000A50000}"/>
    <cellStyle name="Percent 6 3 4" xfId="42232" xr:uid="{00000000-0005-0000-0000-000001A50000}"/>
    <cellStyle name="Percent 6 4" xfId="42233" xr:uid="{00000000-0005-0000-0000-000002A50000}"/>
    <cellStyle name="Percent 6 4 2" xfId="42234" xr:uid="{00000000-0005-0000-0000-000003A50000}"/>
    <cellStyle name="Percent 6 5" xfId="42235" xr:uid="{00000000-0005-0000-0000-000004A50000}"/>
    <cellStyle name="Percent 6 6" xfId="42236" xr:uid="{00000000-0005-0000-0000-000005A50000}"/>
    <cellStyle name="Percent 6 7" xfId="42237" xr:uid="{00000000-0005-0000-0000-000006A50000}"/>
    <cellStyle name="Percent 6 8" xfId="42238" xr:uid="{00000000-0005-0000-0000-000007A50000}"/>
    <cellStyle name="Percent 7" xfId="42239" xr:uid="{00000000-0005-0000-0000-000008A50000}"/>
    <cellStyle name="Percent 7 2" xfId="42240" xr:uid="{00000000-0005-0000-0000-000009A50000}"/>
    <cellStyle name="Percent 7 2 2" xfId="42241" xr:uid="{00000000-0005-0000-0000-00000AA50000}"/>
    <cellStyle name="Percent 7 2 2 2" xfId="42242" xr:uid="{00000000-0005-0000-0000-00000BA50000}"/>
    <cellStyle name="Percent 7 2 3" xfId="42243" xr:uid="{00000000-0005-0000-0000-00000CA50000}"/>
    <cellStyle name="Percent 7 2 4" xfId="42244" xr:uid="{00000000-0005-0000-0000-00000DA50000}"/>
    <cellStyle name="Percent 7 2 5" xfId="42245" xr:uid="{00000000-0005-0000-0000-00000EA50000}"/>
    <cellStyle name="Percent 7 3" xfId="42246" xr:uid="{00000000-0005-0000-0000-00000FA50000}"/>
    <cellStyle name="Percent 7 3 2" xfId="42247" xr:uid="{00000000-0005-0000-0000-000010A50000}"/>
    <cellStyle name="Percent 7 3 3" xfId="42248" xr:uid="{00000000-0005-0000-0000-000011A50000}"/>
    <cellStyle name="Percent 7 3 4" xfId="42249" xr:uid="{00000000-0005-0000-0000-000012A50000}"/>
    <cellStyle name="Percent 7 4" xfId="42250" xr:uid="{00000000-0005-0000-0000-000013A50000}"/>
    <cellStyle name="Percent 7 4 2" xfId="42251" xr:uid="{00000000-0005-0000-0000-000014A50000}"/>
    <cellStyle name="Percent 7 5" xfId="42252" xr:uid="{00000000-0005-0000-0000-000015A50000}"/>
    <cellStyle name="Percent 7 6" xfId="42253" xr:uid="{00000000-0005-0000-0000-000016A50000}"/>
    <cellStyle name="Percent 7 7" xfId="42254" xr:uid="{00000000-0005-0000-0000-000017A50000}"/>
    <cellStyle name="Percent 7 8" xfId="42255" xr:uid="{00000000-0005-0000-0000-000018A50000}"/>
    <cellStyle name="Percent 8" xfId="42256" xr:uid="{00000000-0005-0000-0000-000019A50000}"/>
    <cellStyle name="Percent 8 2" xfId="42257" xr:uid="{00000000-0005-0000-0000-00001AA50000}"/>
    <cellStyle name="Percent 8 2 2" xfId="42258" xr:uid="{00000000-0005-0000-0000-00001BA50000}"/>
    <cellStyle name="Percent 8 2 3" xfId="42259" xr:uid="{00000000-0005-0000-0000-00001CA50000}"/>
    <cellStyle name="Percent 8 2 4" xfId="42260" xr:uid="{00000000-0005-0000-0000-00001DA50000}"/>
    <cellStyle name="Percent 8 3" xfId="42261" xr:uid="{00000000-0005-0000-0000-00001EA50000}"/>
    <cellStyle name="Percent 8 3 2" xfId="42262" xr:uid="{00000000-0005-0000-0000-00001FA50000}"/>
    <cellStyle name="Percent 8 4" xfId="42263" xr:uid="{00000000-0005-0000-0000-000020A50000}"/>
    <cellStyle name="Percent 8 5" xfId="42264" xr:uid="{00000000-0005-0000-0000-000021A50000}"/>
    <cellStyle name="Percent 8 6" xfId="42265" xr:uid="{00000000-0005-0000-0000-000022A50000}"/>
    <cellStyle name="Percent 8 7" xfId="42266" xr:uid="{00000000-0005-0000-0000-000023A50000}"/>
    <cellStyle name="Percent 9" xfId="42267" xr:uid="{00000000-0005-0000-0000-000024A50000}"/>
    <cellStyle name="Percent 9 2" xfId="42268" xr:uid="{00000000-0005-0000-0000-000025A50000}"/>
    <cellStyle name="Percent 9 2 2" xfId="42269" xr:uid="{00000000-0005-0000-0000-000026A50000}"/>
    <cellStyle name="Percent 9 2 3" xfId="42270" xr:uid="{00000000-0005-0000-0000-000027A50000}"/>
    <cellStyle name="Percent 9 2 4" xfId="42271" xr:uid="{00000000-0005-0000-0000-000028A50000}"/>
    <cellStyle name="Percent 9 3" xfId="42272" xr:uid="{00000000-0005-0000-0000-000029A50000}"/>
    <cellStyle name="Percent 9 3 2" xfId="42273" xr:uid="{00000000-0005-0000-0000-00002AA50000}"/>
    <cellStyle name="Percent 9 4" xfId="42274" xr:uid="{00000000-0005-0000-0000-00002BA50000}"/>
    <cellStyle name="Percent 9 5" xfId="42275" xr:uid="{00000000-0005-0000-0000-00002CA50000}"/>
    <cellStyle name="Percent 9 6" xfId="42276" xr:uid="{00000000-0005-0000-0000-00002DA50000}"/>
    <cellStyle name="PSChar" xfId="42277" xr:uid="{00000000-0005-0000-0000-00002EA50000}"/>
    <cellStyle name="PSDate" xfId="42278" xr:uid="{00000000-0005-0000-0000-00002FA50000}"/>
    <cellStyle name="PSDec" xfId="42279" xr:uid="{00000000-0005-0000-0000-000030A50000}"/>
    <cellStyle name="PSdesc" xfId="42280" xr:uid="{00000000-0005-0000-0000-000031A50000}"/>
    <cellStyle name="PSHeading" xfId="42281" xr:uid="{00000000-0005-0000-0000-000032A50000}"/>
    <cellStyle name="PSInt" xfId="42282" xr:uid="{00000000-0005-0000-0000-000033A50000}"/>
    <cellStyle name="PSSpacer" xfId="42283" xr:uid="{00000000-0005-0000-0000-000034A50000}"/>
    <cellStyle name="PStest" xfId="42284" xr:uid="{00000000-0005-0000-0000-000035A50000}"/>
    <cellStyle name="R00A" xfId="42285" xr:uid="{00000000-0005-0000-0000-000036A50000}"/>
    <cellStyle name="R00B" xfId="42286" xr:uid="{00000000-0005-0000-0000-000037A50000}"/>
    <cellStyle name="R00L" xfId="42287" xr:uid="{00000000-0005-0000-0000-000038A50000}"/>
    <cellStyle name="R01A" xfId="42288" xr:uid="{00000000-0005-0000-0000-000039A50000}"/>
    <cellStyle name="R01B" xfId="42289" xr:uid="{00000000-0005-0000-0000-00003AA50000}"/>
    <cellStyle name="R01H" xfId="42290" xr:uid="{00000000-0005-0000-0000-00003BA50000}"/>
    <cellStyle name="R01L" xfId="42291" xr:uid="{00000000-0005-0000-0000-00003CA50000}"/>
    <cellStyle name="R02A" xfId="42292" xr:uid="{00000000-0005-0000-0000-00003DA50000}"/>
    <cellStyle name="R02B" xfId="42293" xr:uid="{00000000-0005-0000-0000-00003EA50000}"/>
    <cellStyle name="R02H" xfId="42294" xr:uid="{00000000-0005-0000-0000-00003FA50000}"/>
    <cellStyle name="R02L" xfId="42295" xr:uid="{00000000-0005-0000-0000-000040A50000}"/>
    <cellStyle name="R03A" xfId="42296" xr:uid="{00000000-0005-0000-0000-000041A50000}"/>
    <cellStyle name="R03B" xfId="42297" xr:uid="{00000000-0005-0000-0000-000042A50000}"/>
    <cellStyle name="R03H" xfId="42298" xr:uid="{00000000-0005-0000-0000-000043A50000}"/>
    <cellStyle name="R03L" xfId="42299" xr:uid="{00000000-0005-0000-0000-000044A50000}"/>
    <cellStyle name="R04A" xfId="42300" xr:uid="{00000000-0005-0000-0000-000045A50000}"/>
    <cellStyle name="R04B" xfId="42301" xr:uid="{00000000-0005-0000-0000-000046A50000}"/>
    <cellStyle name="R04H" xfId="42302" xr:uid="{00000000-0005-0000-0000-000047A50000}"/>
    <cellStyle name="R04L" xfId="42303" xr:uid="{00000000-0005-0000-0000-000048A50000}"/>
    <cellStyle name="R05A" xfId="42304" xr:uid="{00000000-0005-0000-0000-000049A50000}"/>
    <cellStyle name="R05B" xfId="42305" xr:uid="{00000000-0005-0000-0000-00004AA50000}"/>
    <cellStyle name="R05H" xfId="42306" xr:uid="{00000000-0005-0000-0000-00004BA50000}"/>
    <cellStyle name="R05L" xfId="42307" xr:uid="{00000000-0005-0000-0000-00004CA50000}"/>
    <cellStyle name="R06A" xfId="42308" xr:uid="{00000000-0005-0000-0000-00004DA50000}"/>
    <cellStyle name="R06B" xfId="42309" xr:uid="{00000000-0005-0000-0000-00004EA50000}"/>
    <cellStyle name="R06H" xfId="42310" xr:uid="{00000000-0005-0000-0000-00004FA50000}"/>
    <cellStyle name="R06L" xfId="42311" xr:uid="{00000000-0005-0000-0000-000050A50000}"/>
    <cellStyle name="R07A" xfId="42312" xr:uid="{00000000-0005-0000-0000-000051A50000}"/>
    <cellStyle name="R07B" xfId="42313" xr:uid="{00000000-0005-0000-0000-000052A50000}"/>
    <cellStyle name="R07H" xfId="42314" xr:uid="{00000000-0005-0000-0000-000053A50000}"/>
    <cellStyle name="R07L" xfId="42315" xr:uid="{00000000-0005-0000-0000-000054A50000}"/>
    <cellStyle name="Staff_Days" xfId="42316" xr:uid="{00000000-0005-0000-0000-000055A50000}"/>
    <cellStyle name="STYL1 - Style1" xfId="42317" xr:uid="{00000000-0005-0000-0000-000056A50000}"/>
    <cellStyle name="Total 2" xfId="42318" xr:uid="{00000000-0005-0000-0000-000057A50000}"/>
  </cellStyles>
  <dxfs count="50">
    <dxf>
      <font>
        <strike val="0"/>
        <outline val="0"/>
        <shadow val="0"/>
        <u val="none"/>
        <vertAlign val="baseline"/>
        <sz val="10"/>
        <color auto="1"/>
        <name val="Calibri"/>
        <scheme val="none"/>
      </font>
    </dxf>
    <dxf>
      <font>
        <strike val="0"/>
        <outline val="0"/>
        <shadow val="0"/>
        <u val="none"/>
        <vertAlign val="baseline"/>
        <sz val="10"/>
        <color auto="1"/>
        <name val="Calibri"/>
        <scheme val="none"/>
      </font>
      <fill>
        <patternFill patternType="none">
          <fgColor rgb="FF000000"/>
          <bgColor rgb="FFFFFFFF"/>
        </patternFill>
      </fill>
    </dxf>
    <dxf>
      <font>
        <strike val="0"/>
        <outline val="0"/>
        <shadow val="0"/>
        <u val="none"/>
        <vertAlign val="baseline"/>
        <sz val="10"/>
        <color auto="1"/>
        <name val="Calibri"/>
        <scheme val="none"/>
      </font>
      <alignment horizontal="left" vertical="top" textRotation="0" wrapText="0" indent="0" justifyLastLine="0" shrinkToFit="0" readingOrder="0"/>
    </dxf>
    <dxf>
      <font>
        <strike val="0"/>
        <outline val="0"/>
        <shadow val="0"/>
        <u val="none"/>
        <vertAlign val="baseline"/>
        <sz val="10"/>
        <color auto="1"/>
        <name val="Calibri"/>
        <scheme val="none"/>
      </font>
      <alignment horizontal="left" vertical="top" textRotation="0" wrapText="0" indent="0" justifyLastLine="0" shrinkToFit="0" readingOrder="0"/>
    </dxf>
    <dxf>
      <font>
        <strike val="0"/>
        <outline val="0"/>
        <shadow val="0"/>
        <u val="none"/>
        <vertAlign val="baseline"/>
        <sz val="10"/>
        <color auto="1"/>
        <name val="Calibri"/>
        <scheme val="none"/>
      </font>
    </dxf>
    <dxf>
      <font>
        <b/>
        <i val="0"/>
        <strike val="0"/>
        <condense val="0"/>
        <extend val="0"/>
        <outline val="0"/>
        <shadow val="0"/>
        <u val="none"/>
        <vertAlign val="baseline"/>
        <sz val="10"/>
        <color auto="1"/>
        <name val="Calibri"/>
        <scheme val="none"/>
      </font>
      <alignment horizontal="center" vertical="bottom" textRotation="0" indent="0" justifyLastLine="0" shrinkToFit="0" readingOrder="1"/>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left/>
        <right style="medium">
          <color indexed="64"/>
        </right>
        <top/>
        <bottom/>
      </border>
    </dxf>
    <dxf>
      <alignment horizontal="general" textRotation="0" wrapText="1" indent="0" justifyLastLine="0" shrinkToFit="0" readingOrder="0"/>
      <border diagonalUp="0" diagonalDown="0">
        <left/>
        <right style="medium">
          <color rgb="FF000000"/>
        </right>
        <top style="thin">
          <color auto="1"/>
        </top>
        <bottom style="thin">
          <color auto="1"/>
        </bottom>
        <vertical/>
        <horizontal style="thin">
          <color auto="1"/>
        </horizontal>
      </border>
    </dxf>
    <dxf>
      <font>
        <b val="0"/>
        <i val="0"/>
        <strike val="0"/>
        <condense val="0"/>
        <extend val="0"/>
        <outline val="0"/>
        <shadow val="0"/>
        <u val="none"/>
        <vertAlign val="baseline"/>
        <sz val="11"/>
        <color rgb="FF000000"/>
        <name val="Calibri"/>
        <family val="2"/>
        <scheme val="none"/>
      </font>
      <numFmt numFmtId="167" formatCode="_(&quot;$&quot;* #,##0_);_(&quot;$&quot;* \(#,##0\);_(&quot;$&quot;* &quot;-&quot;??_);_(@_)"/>
      <fill>
        <patternFill patternType="solid">
          <fgColor indexed="64"/>
          <bgColor theme="0"/>
        </patternFill>
      </fill>
    </dxf>
    <dxf>
      <font>
        <b val="0"/>
        <i val="0"/>
        <strike val="0"/>
        <condense val="0"/>
        <extend val="0"/>
        <outline val="0"/>
        <shadow val="0"/>
        <u val="none"/>
        <vertAlign val="baseline"/>
        <sz val="11"/>
        <color rgb="FF000000"/>
        <name val="Calibri"/>
        <scheme val="none"/>
      </font>
      <numFmt numFmtId="167" formatCode="_(&quot;$&quot;* #,##0_);_(&quot;$&quot;* \(#,##0\);_(&quot;$&quot;* &quot;-&quot;??_);_(@_)"/>
      <fill>
        <patternFill patternType="none">
          <fgColor rgb="FF000000"/>
          <bgColor rgb="FFFFFFFF"/>
        </patternFill>
      </fill>
      <alignment vertical="top" textRotation="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center" vertical="top" textRotation="0" wrapText="0" indent="0" justifyLastLine="0" shrinkToFit="0" readingOrder="0"/>
    </dxf>
    <dxf>
      <fill>
        <patternFill patternType="none">
          <fgColor rgb="FF000000"/>
          <bgColor rgb="FFFFFFFF"/>
        </patternFill>
      </fill>
      <alignment horizontal="center" vertical="top"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fill>
        <patternFill patternType="none">
          <fgColor rgb="FF000000"/>
          <bgColor rgb="FFFFFFFF"/>
        </patternFill>
      </fill>
      <alignment vertical="top" textRotation="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dxf>
    <dxf>
      <alignment horizontal="left" vertical="top"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dxf>
    <dxf>
      <fill>
        <patternFill patternType="none">
          <fgColor rgb="FF000000"/>
          <bgColor rgb="FFFFFFFF"/>
        </patternFill>
      </fill>
      <alignment horizontal="left" vertical="top"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alignment vertical="top" textRotation="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alignment vertical="top" textRotation="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rgb="FF000000"/>
        <name val="Calibri"/>
        <family val="2"/>
        <scheme val="none"/>
      </font>
      <numFmt numFmtId="167" formatCode="_(&quot;$&quot;* #,##0_);_(&quot;$&quot;* \(#,##0\);_(&quot;$&quot;* &quot;-&quot;??_);_(@_)"/>
      <fill>
        <patternFill patternType="solid">
          <fgColor indexed="64"/>
          <bgColor theme="0"/>
        </patternFill>
      </fill>
    </dxf>
    <dxf>
      <font>
        <b val="0"/>
        <i val="0"/>
        <strike val="0"/>
        <condense val="0"/>
        <extend val="0"/>
        <outline val="0"/>
        <shadow val="0"/>
        <u val="none"/>
        <vertAlign val="baseline"/>
        <sz val="11"/>
        <color rgb="FF000000"/>
        <name val="Calibri"/>
        <scheme val="none"/>
      </font>
      <numFmt numFmtId="167" formatCode="_(&quot;$&quot;* #,##0_);_(&quot;$&quot;* \(#,##0\);_(&quot;$&quot;* &quot;-&quot;??_);_(@_)"/>
      <fill>
        <patternFill patternType="none">
          <fgColor rgb="FF000000"/>
          <bgColor rgb="FFFFFFFF"/>
        </patternFill>
      </fill>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center" vertical="top" textRotation="0" wrapText="0" indent="0" justifyLastLine="0" shrinkToFit="0" readingOrder="0"/>
    </dxf>
    <dxf>
      <alignment horizontal="center" vertical="top"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fill>
        <patternFill patternType="none">
          <fgColor rgb="FF000000"/>
          <bgColor rgb="FFFFFFFF"/>
        </patternFill>
      </fill>
      <alignment horizontal="general" vertical="top" textRotation="0" wrapText="1"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1" indent="0" justifyLastLine="0" shrinkToFit="0" readingOrder="0"/>
    </dxf>
    <dxf>
      <alignment horizontal="left" vertical="top" textRotation="0" wrapText="1"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dxf>
    <dxf>
      <fill>
        <patternFill patternType="none">
          <fgColor rgb="FF000000"/>
          <bgColor rgb="FFFFFFFF"/>
        </patternFill>
      </fill>
      <alignment horizontal="center" vertical="top" textRotation="0" wrapText="0" indent="0" justifyLastLine="0" shrinkToFit="0" readingOrder="1"/>
      <border diagonalUp="0" diagonalDown="0">
        <left style="medium">
          <color rgb="FF00000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border diagonalUp="0" diagonalDown="0">
        <left style="medium">
          <color indexed="64"/>
        </left>
        <right/>
        <top/>
        <bottom/>
      </border>
    </dxf>
    <dxf>
      <alignment horizontal="left" vertical="top" textRotation="0" wrapText="0" indent="0" justifyLastLine="0" shrinkToFit="0" readingOrder="0"/>
    </dxf>
    <dxf>
      <fill>
        <patternFill patternType="solid">
          <fgColor indexed="64"/>
          <bgColor theme="0"/>
        </patternFill>
      </fill>
    </dxf>
    <dxf>
      <font>
        <b/>
        <i val="0"/>
        <strike val="0"/>
        <condense val="0"/>
        <extend val="0"/>
        <outline val="0"/>
        <shadow val="0"/>
        <u val="none"/>
        <vertAlign val="baseline"/>
        <sz val="11"/>
        <color rgb="FF000000"/>
        <name val="Calibri"/>
        <scheme val="none"/>
      </font>
      <fill>
        <patternFill>
          <fgColor indexed="64"/>
          <bgColor theme="0"/>
        </patternFill>
      </fill>
      <alignment horizontal="center" vertical="center" textRotation="0" wrapText="1" indent="0" justifyLastLine="0" shrinkToFit="0" readingOrder="1"/>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s>
  <tableStyles count="2" defaultTableStyle="TableStyleMedium2" defaultPivotStyle="PivotStyleLight16">
    <tableStyle name="TableStyleLight1 2" pivot="0" count="7" xr9:uid="{00000000-0011-0000-FFFF-FFFF00000000}">
      <tableStyleElement type="wholeTable" dxfId="49"/>
      <tableStyleElement type="headerRow" dxfId="48"/>
      <tableStyleElement type="totalRow" dxfId="47"/>
      <tableStyleElement type="firstColumn" dxfId="46"/>
      <tableStyleElement type="lastColumn" dxfId="45"/>
      <tableStyleElement type="firstRowStripe" dxfId="44"/>
      <tableStyleElement type="firstColumnStripe" dxfId="43"/>
    </tableStyle>
    <tableStyle name="TableStyleLight1 3" pivot="0" count="7" xr9:uid="{00000000-0011-0000-FFFF-FFFF01000000}">
      <tableStyleElement type="wholeTable" dxfId="42"/>
      <tableStyleElement type="headerRow" dxfId="41"/>
      <tableStyleElement type="totalRow" dxfId="40"/>
      <tableStyleElement type="firstColumn" dxfId="39"/>
      <tableStyleElement type="lastColumn" dxfId="38"/>
      <tableStyleElement type="firstRowStripe" dxfId="37"/>
      <tableStyleElement type="firstColumnStripe" dxfId="36"/>
    </tableStyle>
  </tableStyles>
  <colors>
    <mruColors>
      <color rgb="FFF2F3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1391308</xdr:colOff>
      <xdr:row>1</xdr:row>
      <xdr:rowOff>283729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840965" cy="8562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apa-my.sharepoint.com/Rates/Transmission/Rate17/Draft%20Data/2017%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apa.sharepoint.com/Rates/Transmission/Rate17/Draft%20Data/2017%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s"/>
      <sheetName val="Input Sheet"/>
      <sheetName val="WAUGP-ATRR 2017 est"/>
      <sheetName val="WAUGP-ATRR 2016 est"/>
      <sheetName val="WAUGP-AS1 2016 est"/>
      <sheetName val="2017 EST COST DATA"/>
      <sheetName val="2016 EST COST DATA"/>
      <sheetName val="2017 est ANNUAL COSTS"/>
      <sheetName val="2016 est ANNUAL COSTS"/>
      <sheetName val="WAUW-AS3 2016 est"/>
      <sheetName val="WAUW-AS5&amp;6 2016 est"/>
      <sheetName val="WAUGP-ATRR 2014 trueup"/>
      <sheetName val="2014 COST DATA"/>
      <sheetName val="2014 ANNUAL COSTS"/>
    </sheetNames>
    <sheetDataSet>
      <sheetData sheetId="0"/>
      <sheetData sheetId="1">
        <row r="10">
          <cell r="B10">
            <v>36446</v>
          </cell>
          <cell r="C10">
            <v>36446</v>
          </cell>
          <cell r="H10">
            <v>19518</v>
          </cell>
        </row>
        <row r="11">
          <cell r="B11">
            <v>1477725</v>
          </cell>
          <cell r="C11">
            <v>1477725</v>
          </cell>
          <cell r="H11">
            <v>14045822</v>
          </cell>
        </row>
        <row r="12">
          <cell r="B12">
            <v>631106</v>
          </cell>
          <cell r="C12">
            <v>631106</v>
          </cell>
          <cell r="H12">
            <v>705389</v>
          </cell>
        </row>
        <row r="13">
          <cell r="B13">
            <v>12218939.656750757</v>
          </cell>
          <cell r="H13">
            <v>78665</v>
          </cell>
        </row>
        <row r="14">
          <cell r="B14">
            <v>54722</v>
          </cell>
          <cell r="C14">
            <v>54722</v>
          </cell>
          <cell r="H14">
            <v>54722</v>
          </cell>
        </row>
        <row r="16">
          <cell r="B16">
            <v>1320408389</v>
          </cell>
          <cell r="C16">
            <v>1271619754.5999999</v>
          </cell>
          <cell r="E16">
            <v>1259335245.5699999</v>
          </cell>
          <cell r="H16">
            <v>1208578728.3</v>
          </cell>
        </row>
        <row r="17">
          <cell r="B17">
            <v>1261843814</v>
          </cell>
          <cell r="C17">
            <v>1216615343</v>
          </cell>
          <cell r="H17">
            <v>1155400813</v>
          </cell>
        </row>
        <row r="19">
          <cell r="B19">
            <v>17420758</v>
          </cell>
          <cell r="C19">
            <v>15837128</v>
          </cell>
          <cell r="H19">
            <v>19462856</v>
          </cell>
        </row>
        <row r="21">
          <cell r="C21">
            <v>12032491</v>
          </cell>
          <cell r="H21">
            <v>0</v>
          </cell>
        </row>
        <row r="22">
          <cell r="C22">
            <v>9.462334126591903E-3</v>
          </cell>
        </row>
        <row r="23">
          <cell r="B23">
            <v>731311606.12</v>
          </cell>
          <cell r="C23">
            <v>731311606.12</v>
          </cell>
          <cell r="E23">
            <v>769708740.99000001</v>
          </cell>
          <cell r="H23">
            <v>731311606.12</v>
          </cell>
        </row>
        <row r="24">
          <cell r="B24">
            <v>6787727</v>
          </cell>
          <cell r="C24">
            <v>6787727</v>
          </cell>
          <cell r="H24">
            <v>6787727</v>
          </cell>
        </row>
        <row r="26">
          <cell r="B26">
            <v>1076325959</v>
          </cell>
          <cell r="C26">
            <v>1076325959</v>
          </cell>
          <cell r="H26">
            <v>1051321559</v>
          </cell>
        </row>
        <row r="27">
          <cell r="B27">
            <v>77728064</v>
          </cell>
          <cell r="C27">
            <v>77728064</v>
          </cell>
          <cell r="H27">
            <v>75922344</v>
          </cell>
        </row>
        <row r="29">
          <cell r="B29">
            <v>998597895</v>
          </cell>
          <cell r="C29">
            <v>998597895</v>
          </cell>
          <cell r="H29">
            <v>975399215</v>
          </cell>
        </row>
        <row r="31">
          <cell r="C31">
            <v>491725677.06</v>
          </cell>
          <cell r="H31">
            <v>486857106</v>
          </cell>
        </row>
        <row r="34">
          <cell r="B34">
            <v>620615508.12180007</v>
          </cell>
          <cell r="C34">
            <v>596018441.56920004</v>
          </cell>
          <cell r="H34">
            <v>584331805.46000004</v>
          </cell>
        </row>
        <row r="35">
          <cell r="B35">
            <v>593089112.6714586</v>
          </cell>
          <cell r="C35">
            <v>570237429.94000018</v>
          </cell>
          <cell r="H35">
            <v>558620987.84404182</v>
          </cell>
        </row>
        <row r="36">
          <cell r="B36">
            <v>8188067.1677835826</v>
          </cell>
          <cell r="C36">
            <v>7422989.7069042772</v>
          </cell>
          <cell r="H36">
            <v>9410033.0574947745</v>
          </cell>
        </row>
        <row r="37">
          <cell r="C37">
            <v>348904431.75</v>
          </cell>
          <cell r="H37">
            <v>332289935</v>
          </cell>
        </row>
        <row r="38">
          <cell r="B38">
            <v>3238384.3111338862</v>
          </cell>
          <cell r="C38">
            <v>3238384.3111338862</v>
          </cell>
          <cell r="H38">
            <v>3084175.534413225</v>
          </cell>
        </row>
        <row r="39">
          <cell r="C39">
            <v>576882670.61000001</v>
          </cell>
          <cell r="H39">
            <v>571170961</v>
          </cell>
        </row>
        <row r="40">
          <cell r="B40">
            <v>41660217.11798647</v>
          </cell>
          <cell r="C40">
            <v>41660217.11798647</v>
          </cell>
          <cell r="H40">
            <v>41247739.868571058</v>
          </cell>
        </row>
        <row r="41">
          <cell r="B41">
            <v>535222453.49201357</v>
          </cell>
          <cell r="C41">
            <v>535222453.49201357</v>
          </cell>
          <cell r="H41">
            <v>529923221.13142896</v>
          </cell>
        </row>
        <row r="42">
          <cell r="C42">
            <v>284079389.22000003</v>
          </cell>
          <cell r="H42">
            <v>281266722</v>
          </cell>
        </row>
        <row r="45">
          <cell r="E45">
            <v>13806658.880000001</v>
          </cell>
          <cell r="H45">
            <v>16325050.879999999</v>
          </cell>
        </row>
        <row r="46">
          <cell r="E46">
            <v>43855008.659999996</v>
          </cell>
          <cell r="H46">
            <v>28647597.799999997</v>
          </cell>
        </row>
        <row r="47">
          <cell r="E47">
            <v>407652.33000000007</v>
          </cell>
          <cell r="H47">
            <v>-3678423.6999999997</v>
          </cell>
        </row>
        <row r="48">
          <cell r="E48">
            <v>-7312802.5499999998</v>
          </cell>
          <cell r="H48">
            <v>-6812692.6100000003</v>
          </cell>
        </row>
        <row r="62">
          <cell r="E62">
            <v>162400988.81</v>
          </cell>
          <cell r="H62">
            <v>225876455.60000002</v>
          </cell>
        </row>
        <row r="63">
          <cell r="B63">
            <v>74400847</v>
          </cell>
          <cell r="C63">
            <v>74400847</v>
          </cell>
        </row>
        <row r="64">
          <cell r="E64">
            <v>79813714.99000001</v>
          </cell>
          <cell r="H64">
            <v>148036053.61999997</v>
          </cell>
        </row>
        <row r="65">
          <cell r="B65">
            <v>21354718</v>
          </cell>
          <cell r="C65">
            <v>21354718</v>
          </cell>
          <cell r="E65">
            <v>18484518.189999998</v>
          </cell>
          <cell r="H65">
            <v>17827991.390000001</v>
          </cell>
        </row>
        <row r="66">
          <cell r="E66">
            <v>108958.7</v>
          </cell>
          <cell r="H66">
            <v>62878.86</v>
          </cell>
        </row>
        <row r="67">
          <cell r="B67">
            <v>3055493.0595000004</v>
          </cell>
          <cell r="C67">
            <v>3055493.0595000004</v>
          </cell>
          <cell r="H67">
            <v>2909993.39</v>
          </cell>
        </row>
        <row r="68">
          <cell r="B68">
            <v>1617763.4760000003</v>
          </cell>
          <cell r="C68">
            <v>1617763.4760000003</v>
          </cell>
          <cell r="H68">
            <v>1540727.12</v>
          </cell>
        </row>
        <row r="69">
          <cell r="B69">
            <v>745224.9</v>
          </cell>
          <cell r="C69">
            <v>745224.9</v>
          </cell>
          <cell r="E69">
            <v>853246</v>
          </cell>
          <cell r="H69">
            <v>709738</v>
          </cell>
        </row>
        <row r="70">
          <cell r="B70">
            <v>112918.05</v>
          </cell>
          <cell r="C70">
            <v>112918.05</v>
          </cell>
          <cell r="E70">
            <v>127283</v>
          </cell>
          <cell r="H70">
            <v>107541</v>
          </cell>
        </row>
        <row r="71">
          <cell r="C71">
            <v>11144767.15</v>
          </cell>
          <cell r="H71">
            <v>0</v>
          </cell>
        </row>
        <row r="72">
          <cell r="E72">
            <v>81712242.549999997</v>
          </cell>
          <cell r="H72">
            <v>81373593.269999996</v>
          </cell>
        </row>
        <row r="73">
          <cell r="B73">
            <v>41561328.826499991</v>
          </cell>
          <cell r="C73">
            <v>41561328.826499991</v>
          </cell>
          <cell r="H73">
            <v>39582217.929999992</v>
          </cell>
        </row>
        <row r="74">
          <cell r="E74">
            <v>30937673.59</v>
          </cell>
          <cell r="H74">
            <v>33030357.559999999</v>
          </cell>
        </row>
        <row r="75">
          <cell r="B75">
            <v>9568082.7690000013</v>
          </cell>
          <cell r="C75">
            <v>9568082.7690000013</v>
          </cell>
          <cell r="E75">
            <v>10413957.180000002</v>
          </cell>
          <cell r="H75">
            <v>9112459.7800000012</v>
          </cell>
        </row>
        <row r="76">
          <cell r="H76">
            <v>985351.34</v>
          </cell>
        </row>
        <row r="77">
          <cell r="H77">
            <v>779447.25</v>
          </cell>
        </row>
        <row r="78">
          <cell r="B78">
            <v>302979.60000000003</v>
          </cell>
          <cell r="C78">
            <v>302979.60000000003</v>
          </cell>
          <cell r="E78">
            <v>370056</v>
          </cell>
          <cell r="H78">
            <v>288552</v>
          </cell>
        </row>
        <row r="79">
          <cell r="B79">
            <v>66034.5</v>
          </cell>
          <cell r="C79">
            <v>66034.5</v>
          </cell>
          <cell r="E79">
            <v>81763</v>
          </cell>
          <cell r="H79">
            <v>62890</v>
          </cell>
        </row>
        <row r="80">
          <cell r="B80">
            <v>60797463.300000004</v>
          </cell>
          <cell r="C80">
            <v>60797463.300000004</v>
          </cell>
          <cell r="H80">
            <v>57902346</v>
          </cell>
        </row>
        <row r="81">
          <cell r="B81">
            <v>37470002.314500004</v>
          </cell>
          <cell r="C81">
            <v>37470002.314500004</v>
          </cell>
          <cell r="H81">
            <v>35685716.490000002</v>
          </cell>
        </row>
        <row r="84">
          <cell r="B84">
            <v>31616079.600000001</v>
          </cell>
          <cell r="C84">
            <v>29969158.338</v>
          </cell>
          <cell r="H84">
            <v>28542055.559999999</v>
          </cell>
        </row>
        <row r="85">
          <cell r="B85">
            <v>19144594.9485</v>
          </cell>
          <cell r="C85">
            <v>17512941.673500001</v>
          </cell>
          <cell r="H85">
            <v>16678992.07</v>
          </cell>
        </row>
        <row r="86">
          <cell r="B86">
            <v>14613452.700000001</v>
          </cell>
          <cell r="C86">
            <v>12464665.5</v>
          </cell>
          <cell r="H86">
            <v>11871110</v>
          </cell>
        </row>
        <row r="87">
          <cell r="C87">
            <v>3681278.7795000002</v>
          </cell>
          <cell r="H87">
            <v>3505979.79</v>
          </cell>
        </row>
        <row r="90">
          <cell r="C90">
            <v>849651714.45000005</v>
          </cell>
          <cell r="H90">
            <v>809192109</v>
          </cell>
        </row>
        <row r="91">
          <cell r="C91">
            <v>42367706.850000001</v>
          </cell>
          <cell r="H91">
            <v>40350197</v>
          </cell>
        </row>
        <row r="92">
          <cell r="C92">
            <v>472276837.20000005</v>
          </cell>
          <cell r="H92">
            <v>449787464</v>
          </cell>
        </row>
        <row r="93">
          <cell r="C93">
            <v>29185244.550000001</v>
          </cell>
          <cell r="H93">
            <v>27795471</v>
          </cell>
        </row>
        <row r="94">
          <cell r="C94">
            <v>591723840.75</v>
          </cell>
          <cell r="H94">
            <v>563546515</v>
          </cell>
        </row>
        <row r="95">
          <cell r="C95">
            <v>19448443.350000001</v>
          </cell>
          <cell r="H95">
            <v>18522327</v>
          </cell>
        </row>
        <row r="96">
          <cell r="C96">
            <v>166749706.20000002</v>
          </cell>
          <cell r="H96">
            <v>158809244</v>
          </cell>
        </row>
        <row r="97">
          <cell r="C97">
            <v>7655154.1500000004</v>
          </cell>
          <cell r="H97">
            <v>7290623</v>
          </cell>
        </row>
        <row r="100">
          <cell r="H100">
            <v>3058776.9099999997</v>
          </cell>
        </row>
        <row r="101">
          <cell r="H101">
            <v>1887481.04</v>
          </cell>
        </row>
        <row r="102">
          <cell r="H102">
            <v>17776.91</v>
          </cell>
        </row>
        <row r="103">
          <cell r="H103">
            <v>7204.07</v>
          </cell>
        </row>
        <row r="104">
          <cell r="H104">
            <v>1296291.46</v>
          </cell>
        </row>
        <row r="105">
          <cell r="H105">
            <v>1741479.84</v>
          </cell>
        </row>
        <row r="106">
          <cell r="H106">
            <v>4026.6899999999996</v>
          </cell>
        </row>
        <row r="107">
          <cell r="H107">
            <v>339.84000000000015</v>
          </cell>
        </row>
        <row r="108">
          <cell r="H108">
            <v>0</v>
          </cell>
        </row>
        <row r="109">
          <cell r="H109">
            <v>0</v>
          </cell>
        </row>
        <row r="110">
          <cell r="H110">
            <v>6070755.8500000006</v>
          </cell>
        </row>
        <row r="111">
          <cell r="H111">
            <v>3743858.78</v>
          </cell>
        </row>
        <row r="112">
          <cell r="H112">
            <v>1888471.94</v>
          </cell>
        </row>
        <row r="113">
          <cell r="H113">
            <v>2254280.9300000002</v>
          </cell>
        </row>
        <row r="114">
          <cell r="H114">
            <v>12562.09</v>
          </cell>
        </row>
        <row r="115">
          <cell r="H115">
            <v>873.97</v>
          </cell>
        </row>
        <row r="116">
          <cell r="H116">
            <v>793255.11</v>
          </cell>
        </row>
        <row r="117">
          <cell r="H117">
            <v>2786.83</v>
          </cell>
        </row>
        <row r="118">
          <cell r="H118">
            <v>2646.63</v>
          </cell>
        </row>
        <row r="119">
          <cell r="H119">
            <v>-71.8</v>
          </cell>
        </row>
        <row r="120">
          <cell r="H120">
            <v>0</v>
          </cell>
        </row>
        <row r="121">
          <cell r="H121">
            <v>0</v>
          </cell>
        </row>
        <row r="122">
          <cell r="H122">
            <v>3447340.26</v>
          </cell>
        </row>
        <row r="123">
          <cell r="H123">
            <v>710313.82</v>
          </cell>
        </row>
        <row r="125">
          <cell r="B125">
            <v>21354718</v>
          </cell>
          <cell r="C125">
            <v>21354718</v>
          </cell>
          <cell r="H125">
            <v>19887525.210000001</v>
          </cell>
        </row>
        <row r="142">
          <cell r="C142">
            <v>0</v>
          </cell>
        </row>
        <row r="143">
          <cell r="H143">
            <v>112080</v>
          </cell>
        </row>
        <row r="144">
          <cell r="H144">
            <v>134000</v>
          </cell>
        </row>
        <row r="145">
          <cell r="H145">
            <v>97500</v>
          </cell>
        </row>
        <row r="146">
          <cell r="H146">
            <v>3674000</v>
          </cell>
        </row>
        <row r="147">
          <cell r="H147">
            <v>3229000</v>
          </cell>
        </row>
        <row r="148">
          <cell r="C148">
            <v>2500000</v>
          </cell>
        </row>
        <row r="149">
          <cell r="C149">
            <v>8861</v>
          </cell>
        </row>
        <row r="150">
          <cell r="H150">
            <v>2099496</v>
          </cell>
        </row>
      </sheetData>
      <sheetData sheetId="2"/>
      <sheetData sheetId="3"/>
      <sheetData sheetId="4">
        <row r="17">
          <cell r="C17">
            <v>12218939.656750757</v>
          </cell>
        </row>
      </sheetData>
      <sheetData sheetId="5">
        <row r="119">
          <cell r="C119">
            <v>58577528.485499986</v>
          </cell>
          <cell r="E119">
            <v>32362260.157499991</v>
          </cell>
        </row>
      </sheetData>
      <sheetData sheetId="6">
        <row r="16">
          <cell r="K16">
            <v>685995102.63087952</v>
          </cell>
        </row>
        <row r="17">
          <cell r="G17">
            <v>463375441.50798643</v>
          </cell>
          <cell r="K17">
            <v>679435867.64108205</v>
          </cell>
        </row>
        <row r="37">
          <cell r="K37">
            <v>29735527.93681566</v>
          </cell>
        </row>
        <row r="38">
          <cell r="G38">
            <v>11564515.959220791</v>
          </cell>
          <cell r="K38">
            <v>15619039.488131335</v>
          </cell>
        </row>
        <row r="60">
          <cell r="K60">
            <v>4.8911637679073729E-2</v>
          </cell>
        </row>
        <row r="62">
          <cell r="K62">
            <v>3.7303610295157982E-2</v>
          </cell>
        </row>
        <row r="94">
          <cell r="K94">
            <v>20519818.214465227</v>
          </cell>
        </row>
        <row r="95">
          <cell r="G95">
            <v>0</v>
          </cell>
          <cell r="K95">
            <v>265957.96514366608</v>
          </cell>
        </row>
        <row r="119">
          <cell r="C119">
            <v>58577528.485499986</v>
          </cell>
          <cell r="E119">
            <v>32362260.157499991</v>
          </cell>
        </row>
        <row r="120">
          <cell r="K120">
            <v>60734663.138737746</v>
          </cell>
        </row>
        <row r="121">
          <cell r="G121">
            <v>56406907.559050858</v>
          </cell>
          <cell r="K121">
            <v>94606451.714335114</v>
          </cell>
        </row>
      </sheetData>
      <sheetData sheetId="7"/>
      <sheetData sheetId="8">
        <row r="34">
          <cell r="E34">
            <v>0.18399119325611241</v>
          </cell>
        </row>
        <row r="35">
          <cell r="E35">
            <v>463375441.50798643</v>
          </cell>
        </row>
      </sheetData>
      <sheetData sheetId="9"/>
      <sheetData sheetId="10"/>
      <sheetData sheetId="11"/>
      <sheetData sheetId="12">
        <row r="6">
          <cell r="K6">
            <v>1238110884</v>
          </cell>
        </row>
        <row r="16">
          <cell r="K16">
            <v>635157980.75297391</v>
          </cell>
        </row>
        <row r="17">
          <cell r="G17">
            <v>445475993.86857104</v>
          </cell>
          <cell r="K17">
            <v>661119200.81107628</v>
          </cell>
        </row>
        <row r="37">
          <cell r="K37">
            <v>28298287.133610964</v>
          </cell>
        </row>
        <row r="38">
          <cell r="G38">
            <v>11013824.719995731</v>
          </cell>
          <cell r="K38">
            <v>14979443.509343062</v>
          </cell>
        </row>
        <row r="60">
          <cell r="K60">
            <v>4.8887911523275901E-2</v>
          </cell>
        </row>
        <row r="62">
          <cell r="K62">
            <v>3.7375530514170807E-2</v>
          </cell>
        </row>
        <row r="94">
          <cell r="K94">
            <v>17128131.134526104</v>
          </cell>
        </row>
        <row r="95">
          <cell r="G95">
            <v>0</v>
          </cell>
          <cell r="K95">
            <v>287100.55958115432</v>
          </cell>
        </row>
        <row r="120">
          <cell r="C120">
            <v>60766810.730000049</v>
          </cell>
          <cell r="E120">
            <v>39582217.929999992</v>
          </cell>
        </row>
        <row r="121">
          <cell r="K121">
            <v>62641915.55472248</v>
          </cell>
        </row>
        <row r="122">
          <cell r="G122">
            <v>53720864.326970764</v>
          </cell>
          <cell r="K122">
            <v>90385164.718146026</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s"/>
      <sheetName val="Input Sheet"/>
      <sheetName val="WAUGP-ATRR 2017 est"/>
      <sheetName val="WAUGP-ATRR 2016 est"/>
      <sheetName val="WAUGP-AS1 2016 est"/>
      <sheetName val="2017 EST COST DATA"/>
      <sheetName val="2016 EST COST DATA"/>
      <sheetName val="2017 est ANNUAL COSTS"/>
      <sheetName val="2016 est ANNUAL COSTS"/>
      <sheetName val="WAUW-AS3 2016 est"/>
      <sheetName val="WAUW-AS5&amp;6 2016 est"/>
      <sheetName val="WAUGP-ATRR 2014 trueup"/>
      <sheetName val="2014 COST DATA"/>
      <sheetName val="2014 ANNUAL COSTS"/>
    </sheetNames>
    <sheetDataSet>
      <sheetData sheetId="0"/>
      <sheetData sheetId="1">
        <row r="10">
          <cell r="B10">
            <v>36446</v>
          </cell>
          <cell r="C10">
            <v>36446</v>
          </cell>
          <cell r="H10">
            <v>19518</v>
          </cell>
        </row>
        <row r="11">
          <cell r="B11">
            <v>1477725</v>
          </cell>
          <cell r="C11">
            <v>1477725</v>
          </cell>
          <cell r="H11">
            <v>14045822</v>
          </cell>
        </row>
        <row r="12">
          <cell r="B12">
            <v>631106</v>
          </cell>
          <cell r="C12">
            <v>631106</v>
          </cell>
          <cell r="H12">
            <v>705389</v>
          </cell>
        </row>
        <row r="13">
          <cell r="B13">
            <v>12218939.656750757</v>
          </cell>
          <cell r="H13">
            <v>78665</v>
          </cell>
        </row>
        <row r="14">
          <cell r="B14">
            <v>54722</v>
          </cell>
          <cell r="C14">
            <v>54722</v>
          </cell>
          <cell r="H14">
            <v>54722</v>
          </cell>
        </row>
        <row r="16">
          <cell r="B16">
            <v>1320408389</v>
          </cell>
          <cell r="C16">
            <v>1271619754.5999999</v>
          </cell>
          <cell r="E16">
            <v>1259335245.5699999</v>
          </cell>
          <cell r="H16">
            <v>1208578728.3</v>
          </cell>
        </row>
        <row r="17">
          <cell r="B17">
            <v>1261843814</v>
          </cell>
          <cell r="C17">
            <v>1216615343</v>
          </cell>
          <cell r="H17">
            <v>1155400813</v>
          </cell>
        </row>
        <row r="19">
          <cell r="B19">
            <v>17420758</v>
          </cell>
          <cell r="C19">
            <v>15837128</v>
          </cell>
          <cell r="H19">
            <v>19462856</v>
          </cell>
        </row>
        <row r="21">
          <cell r="C21">
            <v>12032491</v>
          </cell>
          <cell r="H21">
            <v>0</v>
          </cell>
        </row>
        <row r="22">
          <cell r="C22">
            <v>9.462334126591903E-3</v>
          </cell>
        </row>
        <row r="23">
          <cell r="B23">
            <v>731311606.12</v>
          </cell>
          <cell r="C23">
            <v>731311606.12</v>
          </cell>
          <cell r="E23">
            <v>769708740.99000001</v>
          </cell>
          <cell r="H23">
            <v>731311606.12</v>
          </cell>
        </row>
        <row r="24">
          <cell r="B24">
            <v>6787727</v>
          </cell>
          <cell r="C24">
            <v>6787727</v>
          </cell>
          <cell r="H24">
            <v>6787727</v>
          </cell>
        </row>
        <row r="26">
          <cell r="B26">
            <v>1076325959</v>
          </cell>
          <cell r="C26">
            <v>1076325959</v>
          </cell>
          <cell r="H26">
            <v>1051321559</v>
          </cell>
        </row>
        <row r="27">
          <cell r="B27">
            <v>77728064</v>
          </cell>
          <cell r="C27">
            <v>77728064</v>
          </cell>
          <cell r="H27">
            <v>75922344</v>
          </cell>
        </row>
        <row r="29">
          <cell r="B29">
            <v>998597895</v>
          </cell>
          <cell r="C29">
            <v>998597895</v>
          </cell>
          <cell r="H29">
            <v>975399215</v>
          </cell>
        </row>
        <row r="31">
          <cell r="C31">
            <v>491725677.06</v>
          </cell>
          <cell r="H31">
            <v>486857106</v>
          </cell>
        </row>
        <row r="34">
          <cell r="B34">
            <v>620615508.12180007</v>
          </cell>
          <cell r="C34">
            <v>596018441.56920004</v>
          </cell>
          <cell r="H34">
            <v>584331805.46000004</v>
          </cell>
        </row>
        <row r="35">
          <cell r="B35">
            <v>593089112.6714586</v>
          </cell>
          <cell r="C35">
            <v>570237429.94000018</v>
          </cell>
          <cell r="H35">
            <v>558620987.84404182</v>
          </cell>
        </row>
        <row r="36">
          <cell r="B36">
            <v>8188067.1677835826</v>
          </cell>
          <cell r="C36">
            <v>7422989.7069042772</v>
          </cell>
          <cell r="H36">
            <v>9410033.0574947745</v>
          </cell>
        </row>
        <row r="37">
          <cell r="C37">
            <v>348904431.75</v>
          </cell>
          <cell r="H37">
            <v>332289935</v>
          </cell>
        </row>
        <row r="38">
          <cell r="B38">
            <v>3238384.3111338862</v>
          </cell>
          <cell r="C38">
            <v>3238384.3111338862</v>
          </cell>
          <cell r="H38">
            <v>3084175.534413225</v>
          </cell>
        </row>
        <row r="39">
          <cell r="C39">
            <v>576882670.61000001</v>
          </cell>
          <cell r="H39">
            <v>571170961</v>
          </cell>
        </row>
        <row r="40">
          <cell r="B40">
            <v>41660217.11798647</v>
          </cell>
          <cell r="C40">
            <v>41660217.11798647</v>
          </cell>
          <cell r="H40">
            <v>41247739.868571058</v>
          </cell>
        </row>
        <row r="41">
          <cell r="B41">
            <v>535222453.49201357</v>
          </cell>
          <cell r="C41">
            <v>535222453.49201357</v>
          </cell>
          <cell r="H41">
            <v>529923221.13142896</v>
          </cell>
        </row>
        <row r="42">
          <cell r="C42">
            <v>284079389.22000003</v>
          </cell>
          <cell r="H42">
            <v>281266722</v>
          </cell>
        </row>
        <row r="45">
          <cell r="E45">
            <v>13806658.880000001</v>
          </cell>
          <cell r="H45">
            <v>16325050.879999999</v>
          </cell>
        </row>
        <row r="46">
          <cell r="E46">
            <v>43855008.659999996</v>
          </cell>
          <cell r="H46">
            <v>28647597.799999997</v>
          </cell>
        </row>
        <row r="47">
          <cell r="E47">
            <v>407652.33000000007</v>
          </cell>
          <cell r="H47">
            <v>-3678423.6999999997</v>
          </cell>
        </row>
        <row r="48">
          <cell r="E48">
            <v>-7312802.5499999998</v>
          </cell>
          <cell r="H48">
            <v>-6812692.6100000003</v>
          </cell>
        </row>
        <row r="62">
          <cell r="E62">
            <v>162400988.81</v>
          </cell>
          <cell r="H62">
            <v>225876455.60000002</v>
          </cell>
        </row>
        <row r="63">
          <cell r="B63">
            <v>74400847</v>
          </cell>
          <cell r="C63">
            <v>74400847</v>
          </cell>
        </row>
        <row r="64">
          <cell r="E64">
            <v>79813714.99000001</v>
          </cell>
          <cell r="H64">
            <v>148036053.61999997</v>
          </cell>
        </row>
        <row r="65">
          <cell r="B65">
            <v>21354718</v>
          </cell>
          <cell r="C65">
            <v>21354718</v>
          </cell>
          <cell r="E65">
            <v>18484518.189999998</v>
          </cell>
          <cell r="H65">
            <v>17827991.390000001</v>
          </cell>
        </row>
        <row r="66">
          <cell r="E66">
            <v>108958.7</v>
          </cell>
          <cell r="H66">
            <v>62878.86</v>
          </cell>
        </row>
        <row r="67">
          <cell r="B67">
            <v>3055493.0595000004</v>
          </cell>
          <cell r="C67">
            <v>3055493.0595000004</v>
          </cell>
          <cell r="H67">
            <v>2909993.39</v>
          </cell>
        </row>
        <row r="68">
          <cell r="B68">
            <v>1617763.4760000003</v>
          </cell>
          <cell r="C68">
            <v>1617763.4760000003</v>
          </cell>
          <cell r="H68">
            <v>1540727.12</v>
          </cell>
        </row>
        <row r="69">
          <cell r="B69">
            <v>745224.9</v>
          </cell>
          <cell r="C69">
            <v>745224.9</v>
          </cell>
          <cell r="E69">
            <v>853246</v>
          </cell>
          <cell r="H69">
            <v>709738</v>
          </cell>
        </row>
        <row r="70">
          <cell r="B70">
            <v>112918.05</v>
          </cell>
          <cell r="C70">
            <v>112918.05</v>
          </cell>
          <cell r="E70">
            <v>127283</v>
          </cell>
          <cell r="H70">
            <v>107541</v>
          </cell>
        </row>
        <row r="71">
          <cell r="C71">
            <v>11144767.15</v>
          </cell>
          <cell r="H71">
            <v>0</v>
          </cell>
        </row>
        <row r="72">
          <cell r="E72">
            <v>81712242.549999997</v>
          </cell>
          <cell r="H72">
            <v>81373593.269999996</v>
          </cell>
        </row>
        <row r="73">
          <cell r="B73">
            <v>41561328.826499991</v>
          </cell>
          <cell r="C73">
            <v>41561328.826499991</v>
          </cell>
          <cell r="H73">
            <v>39582217.929999992</v>
          </cell>
        </row>
        <row r="74">
          <cell r="E74">
            <v>30937673.59</v>
          </cell>
          <cell r="H74">
            <v>33030357.559999999</v>
          </cell>
        </row>
        <row r="75">
          <cell r="B75">
            <v>9568082.7690000013</v>
          </cell>
          <cell r="C75">
            <v>9568082.7690000013</v>
          </cell>
          <cell r="E75">
            <v>10413957.180000002</v>
          </cell>
          <cell r="H75">
            <v>9112459.7800000012</v>
          </cell>
        </row>
        <row r="76">
          <cell r="H76">
            <v>985351.34</v>
          </cell>
        </row>
        <row r="77">
          <cell r="H77">
            <v>779447.25</v>
          </cell>
        </row>
        <row r="78">
          <cell r="B78">
            <v>302979.60000000003</v>
          </cell>
          <cell r="C78">
            <v>302979.60000000003</v>
          </cell>
          <cell r="E78">
            <v>370056</v>
          </cell>
          <cell r="H78">
            <v>288552</v>
          </cell>
        </row>
        <row r="79">
          <cell r="B79">
            <v>66034.5</v>
          </cell>
          <cell r="C79">
            <v>66034.5</v>
          </cell>
          <cell r="E79">
            <v>81763</v>
          </cell>
          <cell r="H79">
            <v>62890</v>
          </cell>
        </row>
        <row r="80">
          <cell r="B80">
            <v>60797463.300000004</v>
          </cell>
          <cell r="C80">
            <v>60797463.300000004</v>
          </cell>
          <cell r="H80">
            <v>57902346</v>
          </cell>
        </row>
        <row r="81">
          <cell r="B81">
            <v>37470002.314500004</v>
          </cell>
          <cell r="C81">
            <v>37470002.314500004</v>
          </cell>
          <cell r="H81">
            <v>35685716.490000002</v>
          </cell>
        </row>
        <row r="84">
          <cell r="B84">
            <v>31616079.600000001</v>
          </cell>
          <cell r="C84">
            <v>29969158.338</v>
          </cell>
          <cell r="H84">
            <v>28542055.559999999</v>
          </cell>
        </row>
        <row r="85">
          <cell r="B85">
            <v>19144594.9485</v>
          </cell>
          <cell r="C85">
            <v>17512941.673500001</v>
          </cell>
          <cell r="H85">
            <v>16678992.07</v>
          </cell>
        </row>
        <row r="86">
          <cell r="B86">
            <v>14613452.700000001</v>
          </cell>
          <cell r="C86">
            <v>12464665.5</v>
          </cell>
          <cell r="H86">
            <v>11871110</v>
          </cell>
        </row>
        <row r="87">
          <cell r="C87">
            <v>3681278.7795000002</v>
          </cell>
          <cell r="H87">
            <v>3505979.79</v>
          </cell>
        </row>
        <row r="90">
          <cell r="C90">
            <v>849651714.45000005</v>
          </cell>
          <cell r="H90">
            <v>809192109</v>
          </cell>
        </row>
        <row r="91">
          <cell r="C91">
            <v>42367706.850000001</v>
          </cell>
          <cell r="H91">
            <v>40350197</v>
          </cell>
        </row>
        <row r="92">
          <cell r="C92">
            <v>472276837.20000005</v>
          </cell>
          <cell r="H92">
            <v>449787464</v>
          </cell>
        </row>
        <row r="93">
          <cell r="C93">
            <v>29185244.550000001</v>
          </cell>
          <cell r="H93">
            <v>27795471</v>
          </cell>
        </row>
        <row r="94">
          <cell r="C94">
            <v>591723840.75</v>
          </cell>
          <cell r="H94">
            <v>563546515</v>
          </cell>
        </row>
        <row r="95">
          <cell r="C95">
            <v>19448443.350000001</v>
          </cell>
          <cell r="H95">
            <v>18522327</v>
          </cell>
        </row>
        <row r="96">
          <cell r="C96">
            <v>166749706.20000002</v>
          </cell>
          <cell r="H96">
            <v>158809244</v>
          </cell>
        </row>
        <row r="97">
          <cell r="C97">
            <v>7655154.1500000004</v>
          </cell>
          <cell r="H97">
            <v>7290623</v>
          </cell>
        </row>
        <row r="100">
          <cell r="H100">
            <v>3058776.9099999997</v>
          </cell>
        </row>
        <row r="101">
          <cell r="H101">
            <v>1887481.04</v>
          </cell>
        </row>
        <row r="102">
          <cell r="H102">
            <v>17776.91</v>
          </cell>
        </row>
        <row r="103">
          <cell r="H103">
            <v>7204.07</v>
          </cell>
        </row>
        <row r="104">
          <cell r="H104">
            <v>1296291.46</v>
          </cell>
        </row>
        <row r="105">
          <cell r="H105">
            <v>1741479.84</v>
          </cell>
        </row>
        <row r="106">
          <cell r="H106">
            <v>4026.6899999999996</v>
          </cell>
        </row>
        <row r="107">
          <cell r="H107">
            <v>339.84000000000015</v>
          </cell>
        </row>
        <row r="108">
          <cell r="H108">
            <v>0</v>
          </cell>
        </row>
        <row r="109">
          <cell r="H109">
            <v>0</v>
          </cell>
        </row>
        <row r="110">
          <cell r="H110">
            <v>6070755.8500000006</v>
          </cell>
        </row>
        <row r="111">
          <cell r="H111">
            <v>3743858.78</v>
          </cell>
        </row>
        <row r="112">
          <cell r="H112">
            <v>1888471.94</v>
          </cell>
        </row>
        <row r="113">
          <cell r="H113">
            <v>2254280.9300000002</v>
          </cell>
        </row>
        <row r="114">
          <cell r="H114">
            <v>12562.09</v>
          </cell>
        </row>
        <row r="115">
          <cell r="H115">
            <v>873.97</v>
          </cell>
        </row>
        <row r="116">
          <cell r="H116">
            <v>793255.11</v>
          </cell>
        </row>
        <row r="117">
          <cell r="H117">
            <v>2786.83</v>
          </cell>
        </row>
        <row r="118">
          <cell r="H118">
            <v>2646.63</v>
          </cell>
        </row>
        <row r="119">
          <cell r="H119">
            <v>-71.8</v>
          </cell>
        </row>
        <row r="120">
          <cell r="H120">
            <v>0</v>
          </cell>
        </row>
        <row r="121">
          <cell r="H121">
            <v>0</v>
          </cell>
        </row>
        <row r="122">
          <cell r="H122">
            <v>3447340.26</v>
          </cell>
        </row>
        <row r="123">
          <cell r="H123">
            <v>710313.82</v>
          </cell>
        </row>
        <row r="125">
          <cell r="B125">
            <v>21354718</v>
          </cell>
          <cell r="C125">
            <v>21354718</v>
          </cell>
          <cell r="H125">
            <v>19887525.210000001</v>
          </cell>
        </row>
        <row r="142">
          <cell r="C142">
            <v>0</v>
          </cell>
        </row>
        <row r="143">
          <cell r="H143">
            <v>112080</v>
          </cell>
        </row>
        <row r="144">
          <cell r="H144">
            <v>134000</v>
          </cell>
        </row>
        <row r="145">
          <cell r="H145">
            <v>97500</v>
          </cell>
        </row>
        <row r="146">
          <cell r="H146">
            <v>3674000</v>
          </cell>
        </row>
        <row r="147">
          <cell r="H147">
            <v>3229000</v>
          </cell>
        </row>
        <row r="148">
          <cell r="C148">
            <v>2500000</v>
          </cell>
        </row>
        <row r="149">
          <cell r="C149">
            <v>8861</v>
          </cell>
        </row>
        <row r="150">
          <cell r="H150">
            <v>2099496</v>
          </cell>
        </row>
      </sheetData>
      <sheetData sheetId="2"/>
      <sheetData sheetId="3"/>
      <sheetData sheetId="4">
        <row r="17">
          <cell r="C17">
            <v>12218939.656750757</v>
          </cell>
        </row>
      </sheetData>
      <sheetData sheetId="5">
        <row r="119">
          <cell r="C119">
            <v>58577528.485499986</v>
          </cell>
          <cell r="E119">
            <v>32362260.157499991</v>
          </cell>
        </row>
      </sheetData>
      <sheetData sheetId="6">
        <row r="16">
          <cell r="K16">
            <v>685995102.63087952</v>
          </cell>
        </row>
        <row r="17">
          <cell r="G17">
            <v>463375441.50798643</v>
          </cell>
          <cell r="K17">
            <v>679435867.64108205</v>
          </cell>
        </row>
        <row r="37">
          <cell r="K37">
            <v>29735527.93681566</v>
          </cell>
        </row>
        <row r="38">
          <cell r="G38">
            <v>11564515.959220791</v>
          </cell>
          <cell r="K38">
            <v>15619039.488131335</v>
          </cell>
        </row>
        <row r="60">
          <cell r="K60">
            <v>4.8911637679073729E-2</v>
          </cell>
        </row>
        <row r="62">
          <cell r="K62">
            <v>3.7303610295157982E-2</v>
          </cell>
        </row>
        <row r="94">
          <cell r="K94">
            <v>20519818.214465227</v>
          </cell>
        </row>
        <row r="95">
          <cell r="G95">
            <v>0</v>
          </cell>
          <cell r="K95">
            <v>265957.96514366608</v>
          </cell>
        </row>
        <row r="119">
          <cell r="C119">
            <v>58577528.485499986</v>
          </cell>
          <cell r="E119">
            <v>32362260.157499991</v>
          </cell>
        </row>
        <row r="120">
          <cell r="K120">
            <v>60734663.138737746</v>
          </cell>
        </row>
        <row r="121">
          <cell r="G121">
            <v>56406907.559050858</v>
          </cell>
          <cell r="K121">
            <v>94606451.714335114</v>
          </cell>
        </row>
      </sheetData>
      <sheetData sheetId="7"/>
      <sheetData sheetId="8">
        <row r="34">
          <cell r="E34">
            <v>0.18399119325611241</v>
          </cell>
        </row>
        <row r="35">
          <cell r="E35">
            <v>463375441.50798643</v>
          </cell>
        </row>
      </sheetData>
      <sheetData sheetId="9"/>
      <sheetData sheetId="10"/>
      <sheetData sheetId="11"/>
      <sheetData sheetId="12">
        <row r="6">
          <cell r="K6">
            <v>1238110884</v>
          </cell>
        </row>
        <row r="16">
          <cell r="K16">
            <v>635157980.75297391</v>
          </cell>
        </row>
        <row r="17">
          <cell r="G17">
            <v>445475993.86857104</v>
          </cell>
          <cell r="K17">
            <v>661119200.81107628</v>
          </cell>
        </row>
        <row r="37">
          <cell r="K37">
            <v>28298287.133610964</v>
          </cell>
        </row>
        <row r="38">
          <cell r="G38">
            <v>11013824.719995731</v>
          </cell>
          <cell r="K38">
            <v>14979443.509343062</v>
          </cell>
        </row>
        <row r="60">
          <cell r="K60">
            <v>4.8887911523275901E-2</v>
          </cell>
        </row>
        <row r="62">
          <cell r="K62">
            <v>3.7375530514170807E-2</v>
          </cell>
        </row>
        <row r="94">
          <cell r="K94">
            <v>17128131.134526104</v>
          </cell>
        </row>
        <row r="95">
          <cell r="G95">
            <v>0</v>
          </cell>
          <cell r="K95">
            <v>287100.55958115432</v>
          </cell>
        </row>
        <row r="120">
          <cell r="C120">
            <v>60766810.730000049</v>
          </cell>
          <cell r="E120">
            <v>39582217.929999992</v>
          </cell>
        </row>
        <row r="121">
          <cell r="K121">
            <v>62641915.55472248</v>
          </cell>
        </row>
        <row r="122">
          <cell r="G122">
            <v>53720864.326970764</v>
          </cell>
          <cell r="K122">
            <v>90385164.718146026</v>
          </cell>
        </row>
      </sheetData>
      <sheetData sheetId="13"/>
    </sheetDataSet>
  </externalBook>
</externalLink>
</file>

<file path=xl/persons/person.xml><?xml version="1.0" encoding="utf-8"?>
<personList xmlns="http://schemas.microsoft.com/office/spreadsheetml/2018/threadedcomments" xmlns:x="http://schemas.openxmlformats.org/spreadsheetml/2006/main">
  <person displayName="Cady-Hoffman, Linda" id="{976660AA-8E17-4139-B9F1-F0950AB684B9}" userId="S::cady@wapa.gov::c3f9f4cf-75a6-473f-aa67-a1c30d525232"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424243" displayName="Table1424243" ref="A5:N793" totalsRowCount="1" headerRowDxfId="35" totalsRowDxfId="34">
  <tableColumns count="14">
    <tableColumn id="1" xr3:uid="{00000000-0010-0000-0000-000001000000}" name="Line No." dataDxfId="33" totalsRowDxfId="32"/>
    <tableColumn id="14" xr3:uid="{00000000-0010-0000-0000-00000E000000}" name="FID" dataDxfId="31" totalsRowDxfId="30"/>
    <tableColumn id="2" xr3:uid="{00000000-0010-0000-0000-000002000000}" name="Facility" dataDxfId="29" totalsRowDxfId="28"/>
    <tableColumn id="3" xr3:uid="{00000000-0010-0000-0000-000003000000}" name="Specific Plant Included" dataDxfId="27" totalsRowDxfId="26"/>
    <tableColumn id="4" xr3:uid="{00000000-0010-0000-0000-000004000000}" name="East or West" dataDxfId="25" totalsRowDxfId="24"/>
    <tableColumn id="5" xr3:uid="{00000000-0010-0000-0000-000005000000}" name="Costs" dataDxfId="23" totalsRowDxfId="22" dataCellStyle="Currency"/>
    <tableColumn id="6" xr3:uid="{00000000-0010-0000-0000-000006000000}" name="1" dataDxfId="21" totalsRowDxfId="20"/>
    <tableColumn id="7" xr3:uid="{00000000-0010-0000-0000-000007000000}" name="1(b)" dataDxfId="19" totalsRowDxfId="18"/>
    <tableColumn id="8" xr3:uid="{00000000-0010-0000-0000-000008000000}" name="2" dataDxfId="17" totalsRowDxfId="16"/>
    <tableColumn id="9" xr3:uid="{00000000-0010-0000-0000-000009000000}" name="3" dataDxfId="15" totalsRowDxfId="14"/>
    <tableColumn id="10" xr3:uid="{00000000-0010-0000-0000-00000A000000}" name="4" dataDxfId="13" totalsRowDxfId="12"/>
    <tableColumn id="11" xr3:uid="{00000000-0010-0000-0000-00000B000000}" name="5" dataDxfId="11" totalsRowDxfId="10"/>
    <tableColumn id="12" xr3:uid="{00000000-0010-0000-0000-00000C000000}" name="6" dataDxfId="9" totalsRowDxfId="8" dataCellStyle="Currency"/>
    <tableColumn id="13" xr3:uid="{00000000-0010-0000-0000-00000D000000}" name="Further Description" dataDxfId="7" totalsRowDxfId="6"/>
  </tableColumns>
  <tableStyleInfo name="TableStyleLight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3535" displayName="Table13535" ref="B4:E185" totalsRowShown="0" headerRowDxfId="5" dataDxfId="4">
  <tableColumns count="4">
    <tableColumn id="1" xr3:uid="{00000000-0010-0000-0100-000001000000}" name="FID" dataDxfId="3"/>
    <tableColumn id="2" xr3:uid="{00000000-0010-0000-0100-000002000000}" name="Facility" dataDxfId="2"/>
    <tableColumn id="3" xr3:uid="{00000000-0010-0000-0100-000003000000}" name="Specific Plant NOT Included" dataDxfId="1"/>
    <tableColumn id="13" xr3:uid="{00000000-0010-0000-0100-00000D000000}" name="Further Description" dataDxfId="0"/>
  </tableColumns>
  <tableStyleInfo name="TableStyleLight1 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5" dT="2021-09-01T14:06:40.41" personId="{976660AA-8E17-4139-B9F1-F0950AB684B9}" id="{F975745C-BB75-4996-A5D5-C1938015BB14}">
    <text>placement of $ sign is odd.  can we add to the title or move it in closure to the number associated?  comment relevant for all columns with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CD84A-BA21-4C4B-A418-E75050EB3D13}">
  <sheetPr>
    <pageSetUpPr fitToPage="1"/>
  </sheetPr>
  <dimension ref="A1:I34"/>
  <sheetViews>
    <sheetView workbookViewId="0">
      <selection activeCell="A2" sqref="A2"/>
    </sheetView>
  </sheetViews>
  <sheetFormatPr defaultRowHeight="14.5"/>
  <cols>
    <col min="1" max="1" width="10.7265625" bestFit="1" customWidth="1"/>
    <col min="2" max="2" width="13.54296875" bestFit="1" customWidth="1"/>
    <col min="3" max="3" width="16.54296875" customWidth="1"/>
    <col min="4" max="5" width="18" bestFit="1" customWidth="1"/>
    <col min="6" max="6" width="44.7265625" bestFit="1" customWidth="1"/>
  </cols>
  <sheetData>
    <row r="1" spans="1:9">
      <c r="A1" s="803" t="s">
        <v>2693</v>
      </c>
      <c r="B1" s="803" t="s">
        <v>2694</v>
      </c>
      <c r="C1" s="804" t="s">
        <v>2695</v>
      </c>
      <c r="D1" s="805" t="s">
        <v>2696</v>
      </c>
      <c r="E1" s="805" t="s">
        <v>2697</v>
      </c>
      <c r="F1" s="803" t="s">
        <v>2698</v>
      </c>
    </row>
    <row r="2" spans="1:9">
      <c r="A2" s="806">
        <v>44440</v>
      </c>
      <c r="C2" s="807"/>
      <c r="D2" s="808"/>
      <c r="E2" s="808"/>
    </row>
    <row r="3" spans="1:9" ht="15" thickBot="1">
      <c r="C3" s="807"/>
      <c r="D3" s="808"/>
      <c r="E3" s="808"/>
    </row>
    <row r="4" spans="1:9" ht="14.5" customHeight="1">
      <c r="A4" s="840" t="s">
        <v>2699</v>
      </c>
      <c r="B4" s="841"/>
      <c r="C4" s="841"/>
      <c r="D4" s="841"/>
      <c r="E4" s="841"/>
      <c r="F4" s="841"/>
      <c r="G4" s="841"/>
      <c r="H4" s="841"/>
      <c r="I4" s="842"/>
    </row>
    <row r="5" spans="1:9">
      <c r="A5" s="843"/>
      <c r="B5" s="844"/>
      <c r="C5" s="844"/>
      <c r="D5" s="844"/>
      <c r="E5" s="844"/>
      <c r="F5" s="844"/>
      <c r="G5" s="844"/>
      <c r="H5" s="844"/>
      <c r="I5" s="845"/>
    </row>
    <row r="6" spans="1:9" ht="15" thickBot="1">
      <c r="A6" s="846"/>
      <c r="B6" s="847"/>
      <c r="C6" s="847"/>
      <c r="D6" s="847"/>
      <c r="E6" s="847"/>
      <c r="F6" s="847"/>
      <c r="G6" s="847"/>
      <c r="H6" s="847"/>
      <c r="I6" s="848"/>
    </row>
    <row r="7" spans="1:9">
      <c r="C7" s="807"/>
      <c r="D7" s="808"/>
      <c r="E7" s="808"/>
    </row>
    <row r="8" spans="1:9">
      <c r="A8" s="806"/>
      <c r="C8" s="807"/>
      <c r="D8" s="808"/>
      <c r="E8" s="808"/>
    </row>
    <row r="9" spans="1:9">
      <c r="A9" s="806"/>
      <c r="C9" s="807"/>
      <c r="D9" s="808"/>
      <c r="E9" s="808"/>
    </row>
    <row r="10" spans="1:9">
      <c r="A10" s="806"/>
      <c r="C10" s="807"/>
    </row>
    <row r="11" spans="1:9">
      <c r="A11" s="806"/>
      <c r="C11" s="807"/>
      <c r="D11" s="809"/>
      <c r="E11" s="809"/>
    </row>
    <row r="12" spans="1:9">
      <c r="A12" s="806"/>
      <c r="C12" s="807"/>
      <c r="D12" s="809"/>
      <c r="E12" s="809"/>
    </row>
    <row r="13" spans="1:9">
      <c r="A13" s="806"/>
      <c r="C13" s="807"/>
      <c r="D13" s="809"/>
      <c r="E13" s="809"/>
    </row>
    <row r="14" spans="1:9">
      <c r="A14" s="806"/>
      <c r="C14" s="807"/>
      <c r="D14" s="809"/>
    </row>
    <row r="15" spans="1:9">
      <c r="A15" s="806"/>
      <c r="C15" s="807"/>
    </row>
    <row r="16" spans="1:9">
      <c r="A16" s="806"/>
      <c r="C16" s="807"/>
    </row>
    <row r="17" spans="1:5">
      <c r="A17" s="806"/>
      <c r="C17" s="807"/>
    </row>
    <row r="18" spans="1:5">
      <c r="A18" s="806"/>
      <c r="C18" s="807"/>
    </row>
    <row r="19" spans="1:5">
      <c r="A19" s="806"/>
      <c r="C19" s="807"/>
    </row>
    <row r="20" spans="1:5">
      <c r="A20" s="806"/>
      <c r="C20" s="807"/>
    </row>
    <row r="21" spans="1:5">
      <c r="A21" s="806"/>
      <c r="C21" s="807"/>
    </row>
    <row r="22" spans="1:5">
      <c r="A22" s="806"/>
      <c r="C22" s="807"/>
    </row>
    <row r="23" spans="1:5">
      <c r="A23" s="806"/>
      <c r="C23" s="807"/>
      <c r="D23" s="810"/>
      <c r="E23" s="810"/>
    </row>
    <row r="24" spans="1:5">
      <c r="A24" s="806"/>
      <c r="C24" s="807"/>
      <c r="D24" s="809"/>
      <c r="E24" s="809"/>
    </row>
    <row r="25" spans="1:5">
      <c r="A25" s="806"/>
      <c r="C25" s="807"/>
      <c r="D25" s="809"/>
      <c r="E25" s="809"/>
    </row>
    <row r="26" spans="1:5">
      <c r="A26" s="806"/>
      <c r="C26" s="807"/>
      <c r="D26" s="809"/>
      <c r="E26" s="809"/>
    </row>
    <row r="27" spans="1:5">
      <c r="A27" s="806"/>
      <c r="C27" s="807"/>
      <c r="D27" s="809"/>
      <c r="E27" s="809"/>
    </row>
    <row r="28" spans="1:5">
      <c r="A28" s="806"/>
      <c r="C28" s="807"/>
      <c r="D28" s="809"/>
      <c r="E28" s="809"/>
    </row>
    <row r="29" spans="1:5">
      <c r="A29" s="806"/>
      <c r="C29" s="807"/>
      <c r="D29" s="809"/>
      <c r="E29" s="809"/>
    </row>
    <row r="30" spans="1:5">
      <c r="A30" s="806"/>
      <c r="C30" s="807"/>
      <c r="D30" s="809"/>
      <c r="E30" s="809"/>
    </row>
    <row r="31" spans="1:5">
      <c r="A31" s="806"/>
      <c r="C31" s="807"/>
      <c r="D31" s="809"/>
      <c r="E31" s="809"/>
    </row>
    <row r="32" spans="1:5">
      <c r="A32" s="806"/>
      <c r="C32" s="807"/>
      <c r="D32" s="809"/>
      <c r="E32" s="809"/>
    </row>
    <row r="33" spans="1:5">
      <c r="A33" s="806"/>
      <c r="C33" s="807"/>
      <c r="D33" s="809"/>
      <c r="E33" s="809"/>
    </row>
    <row r="34" spans="1:5">
      <c r="A34" s="806"/>
      <c r="C34" s="807"/>
      <c r="D34" s="809"/>
      <c r="E34" s="809"/>
    </row>
  </sheetData>
  <mergeCells count="1">
    <mergeCell ref="A4:I6"/>
  </mergeCells>
  <pageMargins left="0.7" right="0.7" top="0.75" bottom="0.75" header="0.3" footer="0.3"/>
  <pageSetup scale="6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56"/>
  <sheetViews>
    <sheetView view="pageBreakPreview" zoomScale="80" zoomScaleNormal="100" zoomScaleSheetLayoutView="80" workbookViewId="0"/>
  </sheetViews>
  <sheetFormatPr defaultColWidth="9.453125" defaultRowHeight="13"/>
  <cols>
    <col min="1" max="1" width="22.453125" style="228" customWidth="1"/>
    <col min="2" max="2" width="19.453125" style="228" bestFit="1" customWidth="1"/>
    <col min="3" max="3" width="82.1796875" style="228" customWidth="1"/>
    <col min="4" max="4" width="9.81640625" style="228" hidden="1" customWidth="1"/>
    <col min="5" max="5" width="22" style="400" customWidth="1"/>
    <col min="6" max="6" width="16.54296875" style="228" customWidth="1"/>
    <col min="7" max="7" width="15" style="401" customWidth="1"/>
    <col min="8" max="8" width="17.453125" style="228" customWidth="1"/>
    <col min="9" max="9" width="16.453125" style="402" customWidth="1"/>
    <col min="10" max="10" width="22.54296875" style="228" customWidth="1"/>
    <col min="11" max="11" width="11.54296875" style="228" bestFit="1" customWidth="1"/>
    <col min="12" max="16384" width="9.453125" style="228"/>
  </cols>
  <sheetData>
    <row r="1" spans="1:14" ht="14.5">
      <c r="A1" s="793" t="str">
        <f>'Cover Sheets'!A10:B10</f>
        <v>WAPA-UGP 2022 Rate Estimate Calculation</v>
      </c>
      <c r="B1" s="558"/>
      <c r="C1" s="719" t="s">
        <v>43</v>
      </c>
      <c r="D1" s="229"/>
      <c r="E1" s="408"/>
      <c r="F1" s="229"/>
      <c r="G1" s="391"/>
      <c r="H1" s="229"/>
      <c r="I1" s="392"/>
    </row>
    <row r="2" spans="1:14">
      <c r="A2" s="795" t="s">
        <v>590</v>
      </c>
      <c r="B2" s="559"/>
      <c r="C2" s="230"/>
      <c r="D2" s="230"/>
      <c r="E2" s="406"/>
      <c r="F2" s="230"/>
      <c r="G2" s="379"/>
      <c r="H2" s="230"/>
      <c r="I2" s="380"/>
    </row>
    <row r="3" spans="1:14">
      <c r="A3" s="231" t="str">
        <f>'Summary-ATRR'!A3</f>
        <v>12 Months Ending 09/30/2022 ESTIMATE</v>
      </c>
      <c r="B3" s="560"/>
      <c r="C3" s="230"/>
      <c r="D3" s="230"/>
      <c r="E3" s="406"/>
      <c r="F3" s="230"/>
      <c r="G3" s="379"/>
      <c r="H3" s="230"/>
      <c r="I3" s="380"/>
    </row>
    <row r="4" spans="1:14" s="3" customFormat="1" ht="52">
      <c r="A4" s="573" t="s">
        <v>591</v>
      </c>
      <c r="B4" s="824" t="s">
        <v>592</v>
      </c>
      <c r="C4" s="574" t="s">
        <v>321</v>
      </c>
      <c r="D4" s="575" t="s">
        <v>593</v>
      </c>
      <c r="E4" s="658" t="s">
        <v>594</v>
      </c>
      <c r="F4" s="576" t="s">
        <v>595</v>
      </c>
      <c r="G4" s="577" t="s">
        <v>324</v>
      </c>
      <c r="H4" s="577" t="s">
        <v>325</v>
      </c>
      <c r="I4" s="578" t="s">
        <v>596</v>
      </c>
      <c r="J4" s="6"/>
      <c r="N4" s="6"/>
    </row>
    <row r="5" spans="1:14">
      <c r="A5" s="542"/>
      <c r="B5" s="410" t="s">
        <v>597</v>
      </c>
      <c r="C5" s="355" t="s">
        <v>598</v>
      </c>
      <c r="D5" s="355"/>
      <c r="E5" s="12">
        <v>0</v>
      </c>
      <c r="F5" s="211">
        <v>136000</v>
      </c>
      <c r="G5" s="313">
        <f>G13</f>
        <v>44880</v>
      </c>
      <c r="H5" s="313">
        <f>I13</f>
        <v>91120</v>
      </c>
      <c r="I5" s="359">
        <f t="shared" ref="I5:I8" si="0">G5+H5</f>
        <v>136000</v>
      </c>
      <c r="J5" s="797"/>
      <c r="L5" s="9"/>
      <c r="M5" s="9"/>
      <c r="N5" s="13"/>
    </row>
    <row r="6" spans="1:14">
      <c r="A6" s="542"/>
      <c r="B6" s="410" t="s">
        <v>599</v>
      </c>
      <c r="C6" s="355" t="s">
        <v>600</v>
      </c>
      <c r="D6" s="355"/>
      <c r="E6" s="211">
        <v>3302626</v>
      </c>
      <c r="F6" s="211">
        <v>0</v>
      </c>
      <c r="G6" s="313">
        <f>G26</f>
        <v>1089866.4414000001</v>
      </c>
      <c r="H6" s="313">
        <f>I26</f>
        <v>2212759.1386000002</v>
      </c>
      <c r="I6" s="359">
        <f t="shared" si="0"/>
        <v>3302625.58</v>
      </c>
      <c r="J6" s="797"/>
      <c r="L6" s="9"/>
      <c r="M6" s="9"/>
      <c r="N6" s="13"/>
    </row>
    <row r="7" spans="1:14">
      <c r="A7" s="364"/>
      <c r="B7" s="410" t="s">
        <v>599</v>
      </c>
      <c r="C7" s="355" t="s">
        <v>601</v>
      </c>
      <c r="D7" s="355"/>
      <c r="E7" s="211">
        <v>5073024</v>
      </c>
      <c r="F7" s="468">
        <v>0</v>
      </c>
      <c r="G7" s="313">
        <f>G48</f>
        <v>0</v>
      </c>
      <c r="H7" s="651">
        <f>I48</f>
        <v>5073024.1400000006</v>
      </c>
      <c r="I7" s="359">
        <f t="shared" si="0"/>
        <v>5073024.1400000006</v>
      </c>
      <c r="J7" s="12"/>
      <c r="K7" s="797"/>
      <c r="L7" s="9"/>
      <c r="M7" s="9"/>
      <c r="N7" s="13"/>
    </row>
    <row r="8" spans="1:14">
      <c r="A8" s="364"/>
      <c r="B8" s="410" t="s">
        <v>602</v>
      </c>
      <c r="C8" s="652" t="s">
        <v>603</v>
      </c>
      <c r="D8" s="498"/>
      <c r="E8" s="499">
        <v>403</v>
      </c>
      <c r="F8" s="633">
        <v>0</v>
      </c>
      <c r="G8" s="310">
        <f>G50</f>
        <v>132.99</v>
      </c>
      <c r="H8" s="629">
        <f>I50</f>
        <v>270.01</v>
      </c>
      <c r="I8" s="501">
        <f t="shared" si="0"/>
        <v>403</v>
      </c>
      <c r="J8" s="12"/>
      <c r="K8" s="797"/>
      <c r="L8" s="9"/>
      <c r="M8" s="9"/>
      <c r="N8" s="13"/>
    </row>
    <row r="9" spans="1:14">
      <c r="A9" s="364"/>
      <c r="B9" s="410"/>
      <c r="C9" s="355" t="s">
        <v>407</v>
      </c>
      <c r="D9" s="355" t="s">
        <v>378</v>
      </c>
      <c r="E9" s="211">
        <f>SUM(E5:E8)</f>
        <v>8376053</v>
      </c>
      <c r="F9" s="468">
        <f>SUM(F5:F8)</f>
        <v>136000</v>
      </c>
      <c r="G9" s="313">
        <f>SUM(G5:G8)</f>
        <v>1134879.4314000001</v>
      </c>
      <c r="H9" s="313">
        <f>SUM(H5:H8)</f>
        <v>7377173.2886000006</v>
      </c>
      <c r="I9" s="497">
        <f>SUM(I5:I8)</f>
        <v>8512052.7200000007</v>
      </c>
      <c r="J9" s="12"/>
      <c r="K9" s="797"/>
      <c r="L9" s="9"/>
      <c r="M9" s="9"/>
      <c r="N9" s="13"/>
    </row>
    <row r="10" spans="1:14" ht="14.25" customHeight="1">
      <c r="A10" s="370" t="s">
        <v>604</v>
      </c>
      <c r="B10" s="825" t="s">
        <v>592</v>
      </c>
      <c r="C10" s="536" t="s">
        <v>321</v>
      </c>
      <c r="D10" s="536" t="s">
        <v>605</v>
      </c>
      <c r="E10" s="537" t="s">
        <v>606</v>
      </c>
      <c r="F10" s="538" t="s">
        <v>607</v>
      </c>
      <c r="G10" s="539" t="s">
        <v>608</v>
      </c>
      <c r="H10" s="540" t="s">
        <v>609</v>
      </c>
      <c r="I10" s="541" t="s">
        <v>610</v>
      </c>
    </row>
    <row r="11" spans="1:14" ht="12.75" customHeight="1">
      <c r="A11" s="370"/>
      <c r="B11" s="410" t="s">
        <v>597</v>
      </c>
      <c r="C11" s="407" t="s">
        <v>611</v>
      </c>
      <c r="D11" s="372"/>
      <c r="E11" s="500">
        <v>20000</v>
      </c>
      <c r="F11" s="526">
        <v>0.33</v>
      </c>
      <c r="G11" s="379">
        <f>F11*E11</f>
        <v>6600</v>
      </c>
      <c r="H11" s="526">
        <v>0.67</v>
      </c>
      <c r="I11" s="380">
        <f>E11*H11</f>
        <v>13400</v>
      </c>
    </row>
    <row r="12" spans="1:14" ht="12.75" customHeight="1">
      <c r="A12" s="370"/>
      <c r="B12" s="410" t="s">
        <v>597</v>
      </c>
      <c r="C12" s="407" t="s">
        <v>612</v>
      </c>
      <c r="D12" s="372"/>
      <c r="E12" s="500">
        <v>116000</v>
      </c>
      <c r="F12" s="526">
        <v>0.33</v>
      </c>
      <c r="G12" s="379">
        <f t="shared" ref="G12:G47" si="1">F12*E12</f>
        <v>38280</v>
      </c>
      <c r="H12" s="526">
        <v>0.67</v>
      </c>
      <c r="I12" s="380">
        <f>E12*H12</f>
        <v>77720</v>
      </c>
    </row>
    <row r="13" spans="1:14" ht="13.5" thickBot="1">
      <c r="A13" s="377"/>
      <c r="B13" s="664"/>
      <c r="C13" s="557" t="s">
        <v>613</v>
      </c>
      <c r="D13" s="381"/>
      <c r="E13" s="382">
        <f>SUM(E11:E12)</f>
        <v>136000</v>
      </c>
      <c r="F13" s="634"/>
      <c r="G13" s="384">
        <f>SUM(G11:G12)</f>
        <v>44880</v>
      </c>
      <c r="H13" s="634"/>
      <c r="I13" s="385">
        <f>SUM(I11:I12)</f>
        <v>91120</v>
      </c>
    </row>
    <row r="14" spans="1:14" ht="13.5" thickTop="1">
      <c r="A14" s="377"/>
      <c r="B14" s="665" t="s">
        <v>599</v>
      </c>
      <c r="C14" s="377" t="s">
        <v>614</v>
      </c>
      <c r="D14" s="355"/>
      <c r="E14" s="211">
        <v>181965.21</v>
      </c>
      <c r="F14" s="526">
        <v>0.33</v>
      </c>
      <c r="G14" s="379">
        <f t="shared" si="1"/>
        <v>60048.5193</v>
      </c>
      <c r="H14" s="526">
        <v>0.67</v>
      </c>
      <c r="I14" s="380">
        <f>E14*H14</f>
        <v>121916.69070000001</v>
      </c>
    </row>
    <row r="15" spans="1:14">
      <c r="A15" s="377"/>
      <c r="B15" s="665" t="s">
        <v>599</v>
      </c>
      <c r="C15" s="377" t="s">
        <v>614</v>
      </c>
      <c r="D15" s="355"/>
      <c r="E15" s="211">
        <v>131277.21</v>
      </c>
      <c r="F15" s="526">
        <v>0.33</v>
      </c>
      <c r="G15" s="379">
        <f t="shared" si="1"/>
        <v>43321.479299999999</v>
      </c>
      <c r="H15" s="526">
        <v>0.67</v>
      </c>
      <c r="I15" s="380">
        <f t="shared" ref="I15:I47" si="2">E15*H15</f>
        <v>87955.7307</v>
      </c>
    </row>
    <row r="16" spans="1:14">
      <c r="A16" s="377"/>
      <c r="B16" s="665" t="s">
        <v>599</v>
      </c>
      <c r="C16" s="377" t="s">
        <v>614</v>
      </c>
      <c r="D16" s="355"/>
      <c r="E16" s="211">
        <v>265373.44</v>
      </c>
      <c r="F16" s="526">
        <v>0.33</v>
      </c>
      <c r="G16" s="379">
        <f t="shared" si="1"/>
        <v>87573.23520000001</v>
      </c>
      <c r="H16" s="526">
        <v>0.67</v>
      </c>
      <c r="I16" s="380">
        <f t="shared" si="2"/>
        <v>177800.20480000001</v>
      </c>
    </row>
    <row r="17" spans="1:9">
      <c r="A17" s="377"/>
      <c r="B17" s="665" t="s">
        <v>599</v>
      </c>
      <c r="C17" s="377" t="s">
        <v>615</v>
      </c>
      <c r="D17" s="355"/>
      <c r="E17" s="211">
        <v>73711.679999999993</v>
      </c>
      <c r="F17" s="526">
        <v>0.33</v>
      </c>
      <c r="G17" s="379">
        <f t="shared" si="1"/>
        <v>24324.8544</v>
      </c>
      <c r="H17" s="526">
        <v>0.67</v>
      </c>
      <c r="I17" s="380">
        <f t="shared" si="2"/>
        <v>49386.825599999996</v>
      </c>
    </row>
    <row r="18" spans="1:9">
      <c r="A18" s="377"/>
      <c r="B18" s="665" t="s">
        <v>599</v>
      </c>
      <c r="C18" s="377" t="s">
        <v>615</v>
      </c>
      <c r="D18" s="355"/>
      <c r="E18" s="211">
        <v>141931.21</v>
      </c>
      <c r="F18" s="526">
        <v>0.33</v>
      </c>
      <c r="G18" s="379">
        <f t="shared" si="1"/>
        <v>46837.299299999999</v>
      </c>
      <c r="H18" s="526">
        <v>0.67</v>
      </c>
      <c r="I18" s="380">
        <f t="shared" si="2"/>
        <v>95093.910699999993</v>
      </c>
    </row>
    <row r="19" spans="1:9">
      <c r="A19" s="377"/>
      <c r="B19" s="665" t="s">
        <v>599</v>
      </c>
      <c r="C19" s="377" t="s">
        <v>615</v>
      </c>
      <c r="D19" s="355"/>
      <c r="E19" s="211">
        <v>179995.67</v>
      </c>
      <c r="F19" s="526">
        <v>0.33</v>
      </c>
      <c r="G19" s="379">
        <f t="shared" si="1"/>
        <v>59398.571100000008</v>
      </c>
      <c r="H19" s="526">
        <v>0.67</v>
      </c>
      <c r="I19" s="380">
        <f t="shared" si="2"/>
        <v>120597.09890000001</v>
      </c>
    </row>
    <row r="20" spans="1:9">
      <c r="A20" s="377"/>
      <c r="B20" s="665" t="s">
        <v>599</v>
      </c>
      <c r="C20" s="377" t="s">
        <v>616</v>
      </c>
      <c r="D20" s="355"/>
      <c r="E20" s="211">
        <v>39217.440000000002</v>
      </c>
      <c r="F20" s="526">
        <v>0.33</v>
      </c>
      <c r="G20" s="379">
        <f t="shared" si="1"/>
        <v>12941.755200000001</v>
      </c>
      <c r="H20" s="526">
        <v>0.67</v>
      </c>
      <c r="I20" s="380">
        <f t="shared" si="2"/>
        <v>26275.684800000003</v>
      </c>
    </row>
    <row r="21" spans="1:9">
      <c r="A21" s="377"/>
      <c r="B21" s="665" t="s">
        <v>599</v>
      </c>
      <c r="C21" s="377" t="s">
        <v>616</v>
      </c>
      <c r="D21" s="355"/>
      <c r="E21" s="211">
        <v>89700.9</v>
      </c>
      <c r="F21" s="526">
        <v>0.33</v>
      </c>
      <c r="G21" s="379">
        <f t="shared" si="1"/>
        <v>29601.296999999999</v>
      </c>
      <c r="H21" s="526">
        <v>0.67</v>
      </c>
      <c r="I21" s="380">
        <f t="shared" si="2"/>
        <v>60099.603000000003</v>
      </c>
    </row>
    <row r="22" spans="1:9">
      <c r="A22" s="377"/>
      <c r="B22" s="665" t="s">
        <v>599</v>
      </c>
      <c r="C22" s="377" t="s">
        <v>617</v>
      </c>
      <c r="D22" s="355"/>
      <c r="E22" s="211">
        <v>22459.3</v>
      </c>
      <c r="F22" s="526">
        <v>0.33</v>
      </c>
      <c r="G22" s="379">
        <f t="shared" si="1"/>
        <v>7411.5690000000004</v>
      </c>
      <c r="H22" s="526">
        <v>0.67</v>
      </c>
      <c r="I22" s="380">
        <f t="shared" si="2"/>
        <v>15047.731</v>
      </c>
    </row>
    <row r="23" spans="1:9">
      <c r="A23" s="377"/>
      <c r="B23" s="665" t="s">
        <v>599</v>
      </c>
      <c r="C23" s="377" t="s">
        <v>617</v>
      </c>
      <c r="D23" s="355"/>
      <c r="E23" s="211">
        <v>410893.11</v>
      </c>
      <c r="F23" s="526">
        <v>0.33</v>
      </c>
      <c r="G23" s="379">
        <f t="shared" si="1"/>
        <v>135594.72630000001</v>
      </c>
      <c r="H23" s="526">
        <v>0.67</v>
      </c>
      <c r="I23" s="380">
        <f t="shared" si="2"/>
        <v>275298.38370000001</v>
      </c>
    </row>
    <row r="24" spans="1:9">
      <c r="A24" s="377"/>
      <c r="B24" s="665" t="s">
        <v>599</v>
      </c>
      <c r="C24" s="377" t="s">
        <v>614</v>
      </c>
      <c r="D24" s="355"/>
      <c r="E24" s="211">
        <v>304124.40999999997</v>
      </c>
      <c r="F24" s="526">
        <v>0.33</v>
      </c>
      <c r="G24" s="379">
        <f t="shared" si="1"/>
        <v>100361.05529999999</v>
      </c>
      <c r="H24" s="526">
        <v>0.67</v>
      </c>
      <c r="I24" s="380">
        <f t="shared" si="2"/>
        <v>203763.3547</v>
      </c>
    </row>
    <row r="25" spans="1:9">
      <c r="A25" s="377"/>
      <c r="B25" s="665" t="s">
        <v>599</v>
      </c>
      <c r="C25" s="377" t="s">
        <v>618</v>
      </c>
      <c r="D25" s="355"/>
      <c r="E25" s="211">
        <v>1461976</v>
      </c>
      <c r="F25" s="526">
        <v>0.33</v>
      </c>
      <c r="G25" s="379">
        <f t="shared" si="1"/>
        <v>482452.08</v>
      </c>
      <c r="H25" s="526">
        <v>0.67</v>
      </c>
      <c r="I25" s="380">
        <f t="shared" si="2"/>
        <v>979523.92</v>
      </c>
    </row>
    <row r="26" spans="1:9" ht="13.5" thickBot="1">
      <c r="A26" s="377"/>
      <c r="B26" s="664"/>
      <c r="C26" s="557" t="s">
        <v>619</v>
      </c>
      <c r="D26" s="381"/>
      <c r="E26" s="382">
        <f>SUM(E14:E25)</f>
        <v>3302625.58</v>
      </c>
      <c r="F26" s="383"/>
      <c r="G26" s="384">
        <f>SUM(G14:G25)</f>
        <v>1089866.4414000001</v>
      </c>
      <c r="H26" s="383"/>
      <c r="I26" s="385">
        <f>SUM(I14:I25)</f>
        <v>2212759.1386000002</v>
      </c>
    </row>
    <row r="27" spans="1:9" ht="13.5" thickTop="1">
      <c r="A27" s="377"/>
      <c r="B27" s="665" t="s">
        <v>599</v>
      </c>
      <c r="C27" s="377" t="s">
        <v>620</v>
      </c>
      <c r="D27" s="355"/>
      <c r="E27" s="211">
        <v>20892.87</v>
      </c>
      <c r="F27" s="526">
        <v>0</v>
      </c>
      <c r="G27" s="379">
        <f t="shared" si="1"/>
        <v>0</v>
      </c>
      <c r="H27" s="526">
        <v>1</v>
      </c>
      <c r="I27" s="380">
        <f t="shared" si="2"/>
        <v>20892.87</v>
      </c>
    </row>
    <row r="28" spans="1:9">
      <c r="A28" s="377"/>
      <c r="B28" s="665" t="s">
        <v>599</v>
      </c>
      <c r="C28" s="377" t="s">
        <v>620</v>
      </c>
      <c r="D28" s="355"/>
      <c r="E28" s="211">
        <v>461395.39</v>
      </c>
      <c r="F28" s="526">
        <v>0</v>
      </c>
      <c r="G28" s="379">
        <f t="shared" si="1"/>
        <v>0</v>
      </c>
      <c r="H28" s="526">
        <v>1</v>
      </c>
      <c r="I28" s="380">
        <f t="shared" si="2"/>
        <v>461395.39</v>
      </c>
    </row>
    <row r="29" spans="1:9">
      <c r="A29" s="377"/>
      <c r="B29" s="665" t="s">
        <v>599</v>
      </c>
      <c r="C29" s="377" t="s">
        <v>620</v>
      </c>
      <c r="D29" s="355"/>
      <c r="E29" s="211">
        <v>481328.61</v>
      </c>
      <c r="F29" s="526">
        <v>0</v>
      </c>
      <c r="G29" s="379">
        <f t="shared" si="1"/>
        <v>0</v>
      </c>
      <c r="H29" s="526">
        <v>1</v>
      </c>
      <c r="I29" s="380">
        <f t="shared" si="2"/>
        <v>481328.61</v>
      </c>
    </row>
    <row r="30" spans="1:9">
      <c r="A30" s="377"/>
      <c r="B30" s="665" t="s">
        <v>599</v>
      </c>
      <c r="C30" s="377" t="s">
        <v>615</v>
      </c>
      <c r="D30" s="355"/>
      <c r="E30" s="211">
        <v>158422.32</v>
      </c>
      <c r="F30" s="526">
        <v>0</v>
      </c>
      <c r="G30" s="379">
        <f t="shared" si="1"/>
        <v>0</v>
      </c>
      <c r="H30" s="526">
        <v>1</v>
      </c>
      <c r="I30" s="380">
        <f t="shared" si="2"/>
        <v>158422.32</v>
      </c>
    </row>
    <row r="31" spans="1:9">
      <c r="A31" s="377"/>
      <c r="B31" s="665" t="s">
        <v>599</v>
      </c>
      <c r="C31" s="377" t="s">
        <v>615</v>
      </c>
      <c r="D31" s="355"/>
      <c r="E31" s="211">
        <v>61693.3</v>
      </c>
      <c r="F31" s="526">
        <v>0</v>
      </c>
      <c r="G31" s="379">
        <f t="shared" si="1"/>
        <v>0</v>
      </c>
      <c r="H31" s="526">
        <v>1</v>
      </c>
      <c r="I31" s="380">
        <f t="shared" si="2"/>
        <v>61693.3</v>
      </c>
    </row>
    <row r="32" spans="1:9">
      <c r="A32" s="377"/>
      <c r="B32" s="665" t="s">
        <v>599</v>
      </c>
      <c r="C32" s="377" t="s">
        <v>615</v>
      </c>
      <c r="D32" s="355"/>
      <c r="E32" s="211">
        <v>161497.85</v>
      </c>
      <c r="F32" s="526">
        <v>0</v>
      </c>
      <c r="G32" s="379">
        <f t="shared" si="1"/>
        <v>0</v>
      </c>
      <c r="H32" s="526">
        <v>1</v>
      </c>
      <c r="I32" s="380">
        <f t="shared" si="2"/>
        <v>161497.85</v>
      </c>
    </row>
    <row r="33" spans="1:9">
      <c r="A33" s="377"/>
      <c r="B33" s="665" t="s">
        <v>599</v>
      </c>
      <c r="C33" s="377" t="s">
        <v>616</v>
      </c>
      <c r="D33" s="355"/>
      <c r="E33" s="211">
        <v>13072.48</v>
      </c>
      <c r="F33" s="526">
        <v>0</v>
      </c>
      <c r="G33" s="379">
        <f t="shared" si="1"/>
        <v>0</v>
      </c>
      <c r="H33" s="526">
        <v>1</v>
      </c>
      <c r="I33" s="380">
        <f t="shared" si="2"/>
        <v>13072.48</v>
      </c>
    </row>
    <row r="34" spans="1:9">
      <c r="A34" s="377"/>
      <c r="B34" s="665" t="s">
        <v>599</v>
      </c>
      <c r="C34" s="377" t="s">
        <v>616</v>
      </c>
      <c r="D34" s="355"/>
      <c r="E34" s="211">
        <v>28804.65</v>
      </c>
      <c r="F34" s="526">
        <v>0</v>
      </c>
      <c r="G34" s="379">
        <f t="shared" si="1"/>
        <v>0</v>
      </c>
      <c r="H34" s="526">
        <v>1</v>
      </c>
      <c r="I34" s="380">
        <f t="shared" si="2"/>
        <v>28804.65</v>
      </c>
    </row>
    <row r="35" spans="1:9">
      <c r="A35" s="377"/>
      <c r="B35" s="665" t="s">
        <v>599</v>
      </c>
      <c r="C35" s="377" t="s">
        <v>621</v>
      </c>
      <c r="D35" s="355"/>
      <c r="E35" s="211">
        <v>13891.04</v>
      </c>
      <c r="F35" s="526">
        <v>0</v>
      </c>
      <c r="G35" s="379">
        <f t="shared" si="1"/>
        <v>0</v>
      </c>
      <c r="H35" s="526">
        <v>1</v>
      </c>
      <c r="I35" s="380">
        <f t="shared" si="2"/>
        <v>13891.04</v>
      </c>
    </row>
    <row r="36" spans="1:9">
      <c r="A36" s="377"/>
      <c r="B36" s="665" t="s">
        <v>599</v>
      </c>
      <c r="C36" s="377" t="s">
        <v>621</v>
      </c>
      <c r="D36" s="355"/>
      <c r="E36" s="211">
        <v>32368.12</v>
      </c>
      <c r="F36" s="526">
        <v>0</v>
      </c>
      <c r="G36" s="379">
        <f t="shared" si="1"/>
        <v>0</v>
      </c>
      <c r="H36" s="526">
        <v>1</v>
      </c>
      <c r="I36" s="380">
        <f t="shared" si="2"/>
        <v>32368.12</v>
      </c>
    </row>
    <row r="37" spans="1:9">
      <c r="A37" s="377"/>
      <c r="B37" s="665" t="s">
        <v>599</v>
      </c>
      <c r="C37" s="377" t="s">
        <v>621</v>
      </c>
      <c r="D37" s="355"/>
      <c r="E37" s="211">
        <v>14101.03</v>
      </c>
      <c r="F37" s="526">
        <v>0</v>
      </c>
      <c r="G37" s="379">
        <f t="shared" si="1"/>
        <v>0</v>
      </c>
      <c r="H37" s="526">
        <v>1</v>
      </c>
      <c r="I37" s="380">
        <f t="shared" si="2"/>
        <v>14101.03</v>
      </c>
    </row>
    <row r="38" spans="1:9">
      <c r="A38" s="377"/>
      <c r="B38" s="665" t="s">
        <v>599</v>
      </c>
      <c r="C38" s="377" t="s">
        <v>622</v>
      </c>
      <c r="D38" s="355"/>
      <c r="E38" s="211">
        <v>13036.52</v>
      </c>
      <c r="F38" s="526">
        <v>0</v>
      </c>
      <c r="G38" s="379">
        <f t="shared" si="1"/>
        <v>0</v>
      </c>
      <c r="H38" s="526">
        <v>1</v>
      </c>
      <c r="I38" s="380">
        <f t="shared" si="2"/>
        <v>13036.52</v>
      </c>
    </row>
    <row r="39" spans="1:9">
      <c r="A39" s="377"/>
      <c r="B39" s="665" t="s">
        <v>599</v>
      </c>
      <c r="C39" s="377" t="s">
        <v>622</v>
      </c>
      <c r="D39" s="355"/>
      <c r="E39" s="211">
        <v>35655.07</v>
      </c>
      <c r="F39" s="526">
        <v>0</v>
      </c>
      <c r="G39" s="379">
        <f t="shared" si="1"/>
        <v>0</v>
      </c>
      <c r="H39" s="526">
        <v>1</v>
      </c>
      <c r="I39" s="380">
        <f t="shared" si="2"/>
        <v>35655.07</v>
      </c>
    </row>
    <row r="40" spans="1:9">
      <c r="A40" s="377"/>
      <c r="B40" s="665" t="s">
        <v>599</v>
      </c>
      <c r="C40" s="377" t="s">
        <v>617</v>
      </c>
      <c r="D40" s="355"/>
      <c r="E40" s="211">
        <v>25489.5</v>
      </c>
      <c r="F40" s="526">
        <v>0</v>
      </c>
      <c r="G40" s="379">
        <f t="shared" si="1"/>
        <v>0</v>
      </c>
      <c r="H40" s="526">
        <v>1</v>
      </c>
      <c r="I40" s="380">
        <f t="shared" si="2"/>
        <v>25489.5</v>
      </c>
    </row>
    <row r="41" spans="1:9">
      <c r="A41" s="377"/>
      <c r="B41" s="665" t="s">
        <v>599</v>
      </c>
      <c r="C41" s="377" t="s">
        <v>617</v>
      </c>
      <c r="D41" s="355"/>
      <c r="E41" s="211">
        <v>397859.06</v>
      </c>
      <c r="F41" s="526">
        <v>0</v>
      </c>
      <c r="G41" s="379">
        <f t="shared" si="1"/>
        <v>0</v>
      </c>
      <c r="H41" s="526">
        <v>1</v>
      </c>
      <c r="I41" s="380">
        <f t="shared" si="2"/>
        <v>397859.06</v>
      </c>
    </row>
    <row r="42" spans="1:9">
      <c r="A42" s="377"/>
      <c r="B42" s="665" t="s">
        <v>599</v>
      </c>
      <c r="C42" s="377" t="s">
        <v>614</v>
      </c>
      <c r="D42" s="355"/>
      <c r="E42" s="211">
        <v>229082.5</v>
      </c>
      <c r="F42" s="526">
        <v>0</v>
      </c>
      <c r="G42" s="379">
        <f t="shared" si="1"/>
        <v>0</v>
      </c>
      <c r="H42" s="526">
        <v>1</v>
      </c>
      <c r="I42" s="380">
        <f t="shared" si="2"/>
        <v>229082.5</v>
      </c>
    </row>
    <row r="43" spans="1:9">
      <c r="A43" s="377"/>
      <c r="B43" s="665" t="s">
        <v>599</v>
      </c>
      <c r="C43" s="377" t="s">
        <v>620</v>
      </c>
      <c r="D43" s="355"/>
      <c r="E43" s="211">
        <v>138324.81</v>
      </c>
      <c r="F43" s="526">
        <v>0</v>
      </c>
      <c r="G43" s="379">
        <f t="shared" si="1"/>
        <v>0</v>
      </c>
      <c r="H43" s="526">
        <v>1</v>
      </c>
      <c r="I43" s="380">
        <f t="shared" si="2"/>
        <v>138324.81</v>
      </c>
    </row>
    <row r="44" spans="1:9">
      <c r="A44" s="377"/>
      <c r="B44" s="665" t="s">
        <v>599</v>
      </c>
      <c r="C44" s="377" t="s">
        <v>614</v>
      </c>
      <c r="D44" s="355"/>
      <c r="E44" s="211">
        <v>423875</v>
      </c>
      <c r="F44" s="526">
        <v>0</v>
      </c>
      <c r="G44" s="379">
        <f t="shared" si="1"/>
        <v>0</v>
      </c>
      <c r="H44" s="526">
        <v>1</v>
      </c>
      <c r="I44" s="380">
        <f t="shared" si="2"/>
        <v>423875</v>
      </c>
    </row>
    <row r="45" spans="1:9">
      <c r="A45" s="377"/>
      <c r="B45" s="665" t="s">
        <v>599</v>
      </c>
      <c r="C45" s="377" t="s">
        <v>623</v>
      </c>
      <c r="D45" s="355"/>
      <c r="E45" s="211">
        <v>13145.45</v>
      </c>
      <c r="F45" s="526">
        <v>0</v>
      </c>
      <c r="G45" s="379">
        <f t="shared" si="1"/>
        <v>0</v>
      </c>
      <c r="H45" s="526">
        <v>1</v>
      </c>
      <c r="I45" s="380">
        <f t="shared" si="2"/>
        <v>13145.45</v>
      </c>
    </row>
    <row r="46" spans="1:9">
      <c r="A46" s="377"/>
      <c r="B46" s="665" t="s">
        <v>599</v>
      </c>
      <c r="C46" s="377" t="s">
        <v>624</v>
      </c>
      <c r="D46" s="355"/>
      <c r="E46" s="211">
        <v>103407.57</v>
      </c>
      <c r="F46" s="526">
        <v>0</v>
      </c>
      <c r="G46" s="379">
        <f t="shared" si="1"/>
        <v>0</v>
      </c>
      <c r="H46" s="526">
        <v>1</v>
      </c>
      <c r="I46" s="380">
        <f t="shared" si="2"/>
        <v>103407.57</v>
      </c>
    </row>
    <row r="47" spans="1:9">
      <c r="A47" s="377"/>
      <c r="B47" s="665" t="s">
        <v>599</v>
      </c>
      <c r="C47" s="377" t="s">
        <v>618</v>
      </c>
      <c r="D47" s="355"/>
      <c r="E47" s="211">
        <v>2245681</v>
      </c>
      <c r="F47" s="526">
        <v>0</v>
      </c>
      <c r="G47" s="379">
        <f t="shared" si="1"/>
        <v>0</v>
      </c>
      <c r="H47" s="526">
        <v>1</v>
      </c>
      <c r="I47" s="380">
        <f t="shared" si="2"/>
        <v>2245681</v>
      </c>
    </row>
    <row r="48" spans="1:9" ht="13.5" thickBot="1">
      <c r="A48" s="377"/>
      <c r="B48" s="664"/>
      <c r="C48" s="653" t="s">
        <v>625</v>
      </c>
      <c r="D48" s="381"/>
      <c r="E48" s="382">
        <f>SUM(E27:E47)</f>
        <v>5073024.1400000006</v>
      </c>
      <c r="F48" s="634"/>
      <c r="G48" s="384">
        <f>SUM(G27:G47)</f>
        <v>0</v>
      </c>
      <c r="H48" s="383"/>
      <c r="I48" s="385">
        <f>SUM(I27:I47)</f>
        <v>5073024.1400000006</v>
      </c>
    </row>
    <row r="49" spans="1:9" ht="13.5" thickTop="1">
      <c r="A49" s="377"/>
      <c r="B49" s="665" t="s">
        <v>602</v>
      </c>
      <c r="C49" s="406" t="s">
        <v>626</v>
      </c>
      <c r="D49" s="355"/>
      <c r="E49" s="211">
        <v>403</v>
      </c>
      <c r="F49" s="526">
        <v>0.33</v>
      </c>
      <c r="G49" s="379">
        <f t="shared" ref="G49" si="3">F49*E49</f>
        <v>132.99</v>
      </c>
      <c r="H49" s="526">
        <v>0.67</v>
      </c>
      <c r="I49" s="380">
        <f t="shared" ref="I49" si="4">E49*H49</f>
        <v>270.01</v>
      </c>
    </row>
    <row r="50" spans="1:9" ht="13.5" thickBot="1">
      <c r="A50" s="377"/>
      <c r="B50" s="664"/>
      <c r="C50" s="653" t="s">
        <v>627</v>
      </c>
      <c r="D50" s="381"/>
      <c r="E50" s="382">
        <f>SUM(E49)</f>
        <v>403</v>
      </c>
      <c r="F50" s="634"/>
      <c r="G50" s="384">
        <f>SUM(G48:G49)</f>
        <v>132.99</v>
      </c>
      <c r="H50" s="383"/>
      <c r="I50" s="385">
        <f>SUM(I49)</f>
        <v>270.01</v>
      </c>
    </row>
    <row r="51" spans="1:9" ht="14" thickTop="1" thickBot="1">
      <c r="A51" s="532"/>
      <c r="B51" s="666"/>
      <c r="C51" s="654" t="s">
        <v>628</v>
      </c>
      <c r="D51" s="248"/>
      <c r="E51" s="655">
        <f>E13+E48+E26+E50</f>
        <v>8512052.7200000007</v>
      </c>
      <c r="F51" s="655">
        <f t="shared" ref="F51:I51" si="5">F13+F48+F26+F50</f>
        <v>0</v>
      </c>
      <c r="G51" s="655">
        <f t="shared" si="5"/>
        <v>1134879.4314000001</v>
      </c>
      <c r="H51" s="655">
        <f t="shared" si="5"/>
        <v>0</v>
      </c>
      <c r="I51" s="663">
        <f t="shared" si="5"/>
        <v>7377173.2886000006</v>
      </c>
    </row>
    <row r="52" spans="1:9">
      <c r="A52" s="230"/>
      <c r="B52" s="230"/>
      <c r="C52" s="230"/>
      <c r="D52" s="230"/>
      <c r="E52" s="406"/>
      <c r="F52" s="230"/>
      <c r="G52" s="379"/>
      <c r="H52" s="230"/>
      <c r="I52" s="531"/>
    </row>
    <row r="53" spans="1:9">
      <c r="A53" s="230"/>
      <c r="B53" s="230"/>
      <c r="C53" s="230"/>
      <c r="D53" s="230"/>
      <c r="E53" s="406"/>
      <c r="F53" s="230"/>
      <c r="G53" s="379"/>
      <c r="H53" s="230"/>
      <c r="I53" s="531"/>
    </row>
    <row r="54" spans="1:9">
      <c r="A54" s="230"/>
      <c r="B54" s="230"/>
      <c r="C54" s="230"/>
      <c r="D54" s="230"/>
      <c r="E54" s="406"/>
      <c r="F54" s="230"/>
      <c r="G54" s="379"/>
      <c r="H54" s="230"/>
      <c r="I54" s="531"/>
    </row>
    <row r="55" spans="1:9">
      <c r="A55" s="230"/>
      <c r="B55" s="230"/>
      <c r="C55" s="230"/>
      <c r="D55" s="230"/>
      <c r="E55" s="406"/>
      <c r="F55" s="230"/>
      <c r="G55" s="379"/>
      <c r="H55" s="230"/>
      <c r="I55" s="531"/>
    </row>
    <row r="56" spans="1:9">
      <c r="A56" s="230"/>
      <c r="B56" s="230"/>
      <c r="C56" s="230"/>
      <c r="D56" s="230"/>
      <c r="E56" s="406"/>
      <c r="F56" s="230"/>
      <c r="G56" s="379"/>
      <c r="H56" s="230"/>
      <c r="I56" s="531"/>
    </row>
  </sheetData>
  <hyperlinks>
    <hyperlink ref="C1" location="'Cover Sheets'!A16" display="(Back to Worksheet Links)" xr:uid="{00000000-0004-0000-0900-000000000000}"/>
  </hyperlinks>
  <pageMargins left="0.7" right="0.7" top="0.75" bottom="0.75" header="0.3" footer="0.3"/>
  <pageSetup scale="57" fitToHeight="0" orientation="landscape" r:id="rId1"/>
  <headerFooter>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R605"/>
  <sheetViews>
    <sheetView view="pageBreakPreview" zoomScaleNormal="90" zoomScaleSheetLayoutView="100" zoomScalePageLayoutView="90" workbookViewId="0">
      <pane ySplit="5" topLeftCell="A6" activePane="bottomLeft" state="frozen"/>
      <selection pane="bottomLeft"/>
    </sheetView>
  </sheetViews>
  <sheetFormatPr defaultColWidth="9.453125" defaultRowHeight="13" outlineLevelRow="2"/>
  <cols>
    <col min="1" max="1" width="9.453125" style="9"/>
    <col min="2" max="2" width="9.453125" style="9" customWidth="1"/>
    <col min="3" max="3" width="8" style="15" bestFit="1" customWidth="1"/>
    <col min="4" max="4" width="35.453125" style="10" customWidth="1"/>
    <col min="5" max="5" width="17" style="11" bestFit="1" customWidth="1"/>
    <col min="6" max="6" width="14.453125" style="11" customWidth="1"/>
    <col min="7" max="7" width="13.81640625" style="11" bestFit="1" customWidth="1"/>
    <col min="8" max="8" width="12.54296875" style="11" customWidth="1"/>
    <col min="9" max="9" width="13.453125" style="11" customWidth="1"/>
    <col min="10" max="10" width="12.54296875" style="11" customWidth="1"/>
    <col min="11" max="11" width="13.81640625" style="12" bestFit="1" customWidth="1"/>
    <col min="12" max="12" width="22.1796875" style="15" customWidth="1"/>
    <col min="13" max="13" width="10.54296875" style="10" customWidth="1"/>
    <col min="14" max="14" width="12.453125" style="9" customWidth="1"/>
    <col min="15" max="15" width="12" style="9" customWidth="1"/>
    <col min="16" max="17" width="9.453125" style="10" customWidth="1"/>
    <col min="18" max="18" width="10" style="10" bestFit="1" customWidth="1"/>
    <col min="19" max="16384" width="9.453125" style="10"/>
  </cols>
  <sheetData>
    <row r="1" spans="1:15" s="3" customFormat="1" ht="14.5">
      <c r="A1" s="720" t="str">
        <f>'Cover Sheets'!A10:B10</f>
        <v>WAPA-UGP 2022 Rate Estimate Calculation</v>
      </c>
      <c r="B1" s="721"/>
      <c r="C1" s="722"/>
      <c r="D1" s="723"/>
      <c r="E1" s="724" t="s">
        <v>43</v>
      </c>
      <c r="F1" s="725"/>
      <c r="G1" s="725"/>
      <c r="H1" s="725"/>
      <c r="I1" s="725"/>
      <c r="J1" s="725"/>
      <c r="K1" s="726"/>
    </row>
    <row r="2" spans="1:15" s="3" customFormat="1">
      <c r="A2" s="727" t="s">
        <v>629</v>
      </c>
      <c r="B2" s="1"/>
      <c r="C2" s="2"/>
      <c r="F2" s="4"/>
      <c r="G2" s="4"/>
      <c r="H2" s="4"/>
      <c r="I2" s="4"/>
      <c r="J2" s="4"/>
      <c r="K2" s="728"/>
    </row>
    <row r="3" spans="1:15" s="5" customFormat="1">
      <c r="A3" s="727" t="str">
        <f>'Summary-ATRR'!A3</f>
        <v>12 Months Ending 09/30/2022 ESTIMATE</v>
      </c>
      <c r="B3" s="1"/>
      <c r="C3" s="3"/>
      <c r="E3" s="3"/>
      <c r="F3" s="4"/>
      <c r="G3" s="4"/>
      <c r="H3" s="4"/>
      <c r="I3" s="4"/>
      <c r="J3" s="4"/>
      <c r="K3" s="729"/>
      <c r="M3" s="3"/>
      <c r="N3" s="3"/>
      <c r="O3" s="3"/>
    </row>
    <row r="4" spans="1:15" s="9" customFormat="1">
      <c r="A4" s="730"/>
      <c r="B4" s="550"/>
      <c r="C4" s="550"/>
      <c r="D4" s="550"/>
      <c r="E4" s="550">
        <v>-1</v>
      </c>
      <c r="F4" s="550">
        <v>-2</v>
      </c>
      <c r="G4" s="550">
        <v>-3</v>
      </c>
      <c r="H4" s="550">
        <v>-4</v>
      </c>
      <c r="I4" s="550">
        <v>-5</v>
      </c>
      <c r="J4" s="550">
        <v>-6</v>
      </c>
      <c r="K4" s="731">
        <v>-7</v>
      </c>
    </row>
    <row r="5" spans="1:15" s="3" customFormat="1" ht="54.75" customHeight="1">
      <c r="A5" s="732" t="s">
        <v>408</v>
      </c>
      <c r="C5" s="6" t="s">
        <v>592</v>
      </c>
      <c r="D5" s="7" t="s">
        <v>321</v>
      </c>
      <c r="E5" s="8" t="s">
        <v>594</v>
      </c>
      <c r="F5" s="8" t="s">
        <v>630</v>
      </c>
      <c r="G5" s="8" t="s">
        <v>631</v>
      </c>
      <c r="H5" s="8" t="s">
        <v>632</v>
      </c>
      <c r="I5" s="8" t="s">
        <v>633</v>
      </c>
      <c r="J5" s="8" t="s">
        <v>634</v>
      </c>
      <c r="K5" s="733" t="s">
        <v>596</v>
      </c>
      <c r="L5" s="6"/>
      <c r="O5" s="6"/>
    </row>
    <row r="6" spans="1:15" ht="13.5" customHeight="1" outlineLevel="2">
      <c r="A6" s="730">
        <v>1</v>
      </c>
      <c r="B6" s="9" t="s">
        <v>574</v>
      </c>
      <c r="C6" s="10" t="s">
        <v>635</v>
      </c>
      <c r="D6" s="10" t="s">
        <v>636</v>
      </c>
      <c r="E6" s="11">
        <v>133157.92000000001</v>
      </c>
      <c r="G6" s="11">
        <f>E6+F6</f>
        <v>133157.92000000001</v>
      </c>
      <c r="H6" s="12">
        <v>0</v>
      </c>
      <c r="I6" s="12">
        <v>0</v>
      </c>
      <c r="J6" s="12"/>
      <c r="K6" s="734">
        <f>SUM(G6:J6)</f>
        <v>133157.92000000001</v>
      </c>
      <c r="L6" s="10"/>
      <c r="M6" s="9"/>
      <c r="O6" s="13"/>
    </row>
    <row r="7" spans="1:15" outlineLevel="2">
      <c r="A7" s="730">
        <f t="shared" ref="A7:A71" si="0">A6+1</f>
        <v>2</v>
      </c>
      <c r="B7" s="9" t="s">
        <v>574</v>
      </c>
      <c r="C7" s="10" t="s">
        <v>637</v>
      </c>
      <c r="D7" s="10" t="s">
        <v>638</v>
      </c>
      <c r="E7" s="11">
        <v>96623.18</v>
      </c>
      <c r="G7" s="11">
        <f t="shared" ref="G7:G71" si="1">E7+F7</f>
        <v>96623.18</v>
      </c>
      <c r="H7" s="12">
        <v>0</v>
      </c>
      <c r="I7" s="12">
        <v>0</v>
      </c>
      <c r="J7" s="12"/>
      <c r="K7" s="734">
        <f t="shared" ref="K7:K71" si="2">SUM(G7:J7)</f>
        <v>96623.18</v>
      </c>
      <c r="L7" s="10"/>
      <c r="M7" s="9"/>
      <c r="O7" s="13"/>
    </row>
    <row r="8" spans="1:15" ht="12.75" customHeight="1" outlineLevel="2">
      <c r="A8" s="730">
        <f t="shared" si="0"/>
        <v>3</v>
      </c>
      <c r="B8" s="9" t="s">
        <v>574</v>
      </c>
      <c r="C8" s="10" t="s">
        <v>639</v>
      </c>
      <c r="D8" s="10" t="s">
        <v>640</v>
      </c>
      <c r="E8" s="11">
        <v>459778.46</v>
      </c>
      <c r="G8" s="11">
        <f t="shared" si="1"/>
        <v>459778.46</v>
      </c>
      <c r="H8" s="12">
        <v>0</v>
      </c>
      <c r="I8" s="12">
        <v>0</v>
      </c>
      <c r="J8" s="12"/>
      <c r="K8" s="734">
        <f t="shared" si="2"/>
        <v>459778.46</v>
      </c>
      <c r="L8" s="10"/>
      <c r="M8" s="9"/>
      <c r="O8" s="13"/>
    </row>
    <row r="9" spans="1:15" ht="13.5" customHeight="1" outlineLevel="2">
      <c r="A9" s="730">
        <f t="shared" si="0"/>
        <v>4</v>
      </c>
      <c r="B9" s="9" t="s">
        <v>574</v>
      </c>
      <c r="C9" s="14" t="s">
        <v>641</v>
      </c>
      <c r="D9" s="10" t="s">
        <v>642</v>
      </c>
      <c r="E9" s="11">
        <v>357312.09</v>
      </c>
      <c r="G9" s="11">
        <f t="shared" si="1"/>
        <v>357312.09</v>
      </c>
      <c r="H9" s="12">
        <v>0</v>
      </c>
      <c r="I9" s="12">
        <v>0</v>
      </c>
      <c r="J9" s="12"/>
      <c r="K9" s="734">
        <f t="shared" si="2"/>
        <v>357312.09</v>
      </c>
      <c r="L9" s="14"/>
      <c r="M9" s="9"/>
      <c r="O9" s="13"/>
    </row>
    <row r="10" spans="1:15" outlineLevel="2">
      <c r="A10" s="730">
        <f t="shared" si="0"/>
        <v>5</v>
      </c>
      <c r="B10" s="9" t="s">
        <v>574</v>
      </c>
      <c r="C10" s="15" t="s">
        <v>643</v>
      </c>
      <c r="D10" s="10" t="s">
        <v>644</v>
      </c>
      <c r="E10" s="11">
        <v>6319980</v>
      </c>
      <c r="G10" s="11">
        <f t="shared" si="1"/>
        <v>6319980</v>
      </c>
      <c r="H10" s="12">
        <v>0</v>
      </c>
      <c r="I10" s="12">
        <v>0</v>
      </c>
      <c r="J10" s="12"/>
      <c r="K10" s="734">
        <f t="shared" si="2"/>
        <v>6319980</v>
      </c>
      <c r="M10" s="9"/>
      <c r="O10" s="13"/>
    </row>
    <row r="11" spans="1:15" outlineLevel="2">
      <c r="A11" s="730">
        <f t="shared" si="0"/>
        <v>6</v>
      </c>
      <c r="B11" s="9" t="s">
        <v>574</v>
      </c>
      <c r="C11" s="15" t="s">
        <v>645</v>
      </c>
      <c r="D11" s="10" t="s">
        <v>646</v>
      </c>
      <c r="E11" s="11">
        <v>9317119.5999999996</v>
      </c>
      <c r="G11" s="11">
        <f t="shared" si="1"/>
        <v>9317119.5999999996</v>
      </c>
      <c r="H11" s="12">
        <v>0</v>
      </c>
      <c r="I11" s="12">
        <v>0</v>
      </c>
      <c r="J11" s="12"/>
      <c r="K11" s="734">
        <f t="shared" si="2"/>
        <v>9317119.5999999996</v>
      </c>
      <c r="M11" s="9"/>
    </row>
    <row r="12" spans="1:15" outlineLevel="2">
      <c r="A12" s="730">
        <f t="shared" si="0"/>
        <v>7</v>
      </c>
      <c r="B12" s="9" t="s">
        <v>574</v>
      </c>
      <c r="C12" s="15" t="s">
        <v>647</v>
      </c>
      <c r="D12" s="10" t="s">
        <v>648</v>
      </c>
      <c r="E12" s="11">
        <v>4229572.28</v>
      </c>
      <c r="G12" s="11">
        <f t="shared" si="1"/>
        <v>4229572.28</v>
      </c>
      <c r="H12" s="12">
        <v>0</v>
      </c>
      <c r="I12" s="12">
        <v>0</v>
      </c>
      <c r="J12" s="12"/>
      <c r="K12" s="734">
        <f t="shared" si="2"/>
        <v>4229572.28</v>
      </c>
      <c r="M12" s="9"/>
      <c r="O12" s="13"/>
    </row>
    <row r="13" spans="1:15" outlineLevel="2">
      <c r="A13" s="730">
        <f t="shared" si="0"/>
        <v>8</v>
      </c>
      <c r="B13" s="9" t="s">
        <v>574</v>
      </c>
      <c r="C13" s="15" t="s">
        <v>649</v>
      </c>
      <c r="D13" s="10" t="s">
        <v>650</v>
      </c>
      <c r="E13" s="11">
        <v>12764457.25</v>
      </c>
      <c r="G13" s="11">
        <f t="shared" si="1"/>
        <v>12764457.25</v>
      </c>
      <c r="H13" s="12">
        <v>0</v>
      </c>
      <c r="I13" s="12">
        <v>0</v>
      </c>
      <c r="J13" s="12"/>
      <c r="K13" s="734">
        <f t="shared" si="2"/>
        <v>12764457.25</v>
      </c>
      <c r="M13" s="9"/>
    </row>
    <row r="14" spans="1:15" outlineLevel="2">
      <c r="A14" s="730">
        <f t="shared" si="0"/>
        <v>9</v>
      </c>
      <c r="B14" s="9" t="s">
        <v>574</v>
      </c>
      <c r="C14" s="15" t="s">
        <v>651</v>
      </c>
      <c r="D14" s="10" t="s">
        <v>652</v>
      </c>
      <c r="E14" s="11">
        <v>2564428.87</v>
      </c>
      <c r="G14" s="11">
        <f t="shared" si="1"/>
        <v>2564428.87</v>
      </c>
      <c r="H14" s="12">
        <v>0</v>
      </c>
      <c r="I14" s="12">
        <v>0</v>
      </c>
      <c r="J14" s="12"/>
      <c r="K14" s="734">
        <f t="shared" si="2"/>
        <v>2564428.87</v>
      </c>
      <c r="M14" s="9"/>
      <c r="O14" s="13"/>
    </row>
    <row r="15" spans="1:15" outlineLevel="2">
      <c r="A15" s="730">
        <f t="shared" si="0"/>
        <v>10</v>
      </c>
      <c r="B15" s="9" t="s">
        <v>574</v>
      </c>
      <c r="C15" s="15" t="s">
        <v>653</v>
      </c>
      <c r="D15" s="10" t="s">
        <v>654</v>
      </c>
      <c r="E15" s="11">
        <v>1718240.27</v>
      </c>
      <c r="G15" s="11">
        <f t="shared" si="1"/>
        <v>1718240.27</v>
      </c>
      <c r="H15" s="12">
        <v>0</v>
      </c>
      <c r="I15" s="12">
        <v>0</v>
      </c>
      <c r="J15" s="12"/>
      <c r="K15" s="734">
        <f t="shared" si="2"/>
        <v>1718240.27</v>
      </c>
      <c r="M15" s="9"/>
      <c r="O15" s="13"/>
    </row>
    <row r="16" spans="1:15" outlineLevel="2">
      <c r="A16" s="730">
        <f t="shared" si="0"/>
        <v>11</v>
      </c>
      <c r="B16" s="9" t="s">
        <v>574</v>
      </c>
      <c r="C16" s="15" t="s">
        <v>655</v>
      </c>
      <c r="D16" s="10" t="s">
        <v>656</v>
      </c>
      <c r="E16" s="11">
        <v>3318557.94</v>
      </c>
      <c r="G16" s="11">
        <f t="shared" si="1"/>
        <v>3318557.94</v>
      </c>
      <c r="H16" s="12">
        <v>0</v>
      </c>
      <c r="I16" s="12">
        <v>0</v>
      </c>
      <c r="J16" s="12"/>
      <c r="K16" s="734">
        <f t="shared" si="2"/>
        <v>3318557.94</v>
      </c>
      <c r="M16" s="9"/>
      <c r="O16" s="13"/>
    </row>
    <row r="17" spans="1:15" outlineLevel="2">
      <c r="A17" s="730">
        <f>A16+1</f>
        <v>12</v>
      </c>
      <c r="B17" s="9" t="s">
        <v>574</v>
      </c>
      <c r="C17" s="15" t="s">
        <v>657</v>
      </c>
      <c r="D17" s="10" t="s">
        <v>658</v>
      </c>
      <c r="E17" s="11">
        <v>2952236.87</v>
      </c>
      <c r="G17" s="11">
        <f t="shared" si="1"/>
        <v>2952236.87</v>
      </c>
      <c r="H17" s="12">
        <v>0</v>
      </c>
      <c r="I17" s="12">
        <v>0</v>
      </c>
      <c r="J17" s="12"/>
      <c r="K17" s="734">
        <f t="shared" si="2"/>
        <v>2952236.87</v>
      </c>
      <c r="M17" s="9"/>
      <c r="O17" s="13"/>
    </row>
    <row r="18" spans="1:15" outlineLevel="2">
      <c r="A18" s="730">
        <v>13</v>
      </c>
      <c r="B18" s="9" t="s">
        <v>574</v>
      </c>
      <c r="C18" s="15" t="s">
        <v>2718</v>
      </c>
      <c r="D18" s="10" t="s">
        <v>2719</v>
      </c>
      <c r="E18" s="11">
        <v>337235.74</v>
      </c>
      <c r="G18" s="11">
        <f t="shared" si="1"/>
        <v>337235.74</v>
      </c>
      <c r="H18" s="12">
        <v>0</v>
      </c>
      <c r="I18" s="12">
        <v>0</v>
      </c>
      <c r="J18" s="12"/>
      <c r="K18" s="734">
        <f t="shared" si="2"/>
        <v>337235.74</v>
      </c>
      <c r="M18" s="9"/>
      <c r="O18" s="13"/>
    </row>
    <row r="19" spans="1:15" outlineLevel="2">
      <c r="A19" s="730">
        <f t="shared" si="0"/>
        <v>14</v>
      </c>
      <c r="B19" s="9" t="s">
        <v>574</v>
      </c>
      <c r="C19" s="15" t="s">
        <v>659</v>
      </c>
      <c r="D19" s="10" t="s">
        <v>660</v>
      </c>
      <c r="E19" s="11">
        <v>1259667.9099999999</v>
      </c>
      <c r="G19" s="11">
        <f t="shared" si="1"/>
        <v>1259667.9099999999</v>
      </c>
      <c r="H19" s="12">
        <v>0</v>
      </c>
      <c r="I19" s="12">
        <v>0</v>
      </c>
      <c r="J19" s="12"/>
      <c r="K19" s="734">
        <f t="shared" si="2"/>
        <v>1259667.9099999999</v>
      </c>
      <c r="M19" s="9"/>
      <c r="O19" s="13"/>
    </row>
    <row r="20" spans="1:15" outlineLevel="2">
      <c r="A20" s="730">
        <f t="shared" si="0"/>
        <v>15</v>
      </c>
      <c r="B20" s="9" t="s">
        <v>574</v>
      </c>
      <c r="C20" s="15" t="s">
        <v>661</v>
      </c>
      <c r="D20" s="10" t="s">
        <v>662</v>
      </c>
      <c r="E20" s="11">
        <f>17227021-3775575</f>
        <v>13451446</v>
      </c>
      <c r="G20" s="11">
        <f t="shared" si="1"/>
        <v>13451446</v>
      </c>
      <c r="H20" s="12">
        <v>0</v>
      </c>
      <c r="I20" s="12">
        <v>0</v>
      </c>
      <c r="J20" s="12"/>
      <c r="K20" s="734">
        <f t="shared" si="2"/>
        <v>13451446</v>
      </c>
      <c r="M20" s="9"/>
      <c r="O20" s="13"/>
    </row>
    <row r="21" spans="1:15" outlineLevel="2">
      <c r="A21" s="730">
        <f t="shared" si="0"/>
        <v>16</v>
      </c>
      <c r="B21" s="9" t="s">
        <v>574</v>
      </c>
      <c r="C21" s="15" t="s">
        <v>663</v>
      </c>
      <c r="D21" s="10" t="s">
        <v>664</v>
      </c>
      <c r="E21" s="11">
        <v>14513307.74</v>
      </c>
      <c r="G21" s="11">
        <f t="shared" si="1"/>
        <v>14513307.74</v>
      </c>
      <c r="H21" s="12">
        <v>0</v>
      </c>
      <c r="I21" s="12">
        <v>0</v>
      </c>
      <c r="J21" s="12"/>
      <c r="K21" s="734">
        <f t="shared" si="2"/>
        <v>14513307.74</v>
      </c>
      <c r="M21" s="9"/>
      <c r="O21" s="13"/>
    </row>
    <row r="22" spans="1:15" outlineLevel="2">
      <c r="A22" s="730">
        <v>14</v>
      </c>
      <c r="B22" s="9" t="s">
        <v>574</v>
      </c>
      <c r="C22" s="15" t="s">
        <v>665</v>
      </c>
      <c r="D22" s="10" t="s">
        <v>666</v>
      </c>
      <c r="E22" s="11">
        <v>3624968.17</v>
      </c>
      <c r="G22" s="11">
        <f t="shared" si="1"/>
        <v>3624968.17</v>
      </c>
      <c r="H22" s="12">
        <v>0</v>
      </c>
      <c r="I22" s="12">
        <v>0</v>
      </c>
      <c r="J22" s="12"/>
      <c r="K22" s="734">
        <f t="shared" si="2"/>
        <v>3624968.17</v>
      </c>
      <c r="M22" s="9"/>
      <c r="O22" s="13"/>
    </row>
    <row r="23" spans="1:15" outlineLevel="2">
      <c r="A23" s="730">
        <f t="shared" si="0"/>
        <v>15</v>
      </c>
      <c r="B23" s="9" t="s">
        <v>574</v>
      </c>
      <c r="C23" s="15" t="s">
        <v>667</v>
      </c>
      <c r="D23" s="10" t="s">
        <v>668</v>
      </c>
      <c r="E23" s="11">
        <v>6735889.54</v>
      </c>
      <c r="G23" s="11">
        <f t="shared" si="1"/>
        <v>6735889.54</v>
      </c>
      <c r="H23" s="12">
        <v>0</v>
      </c>
      <c r="I23" s="12">
        <v>0</v>
      </c>
      <c r="J23" s="12"/>
      <c r="K23" s="734">
        <f t="shared" si="2"/>
        <v>6735889.54</v>
      </c>
      <c r="M23" s="9"/>
      <c r="O23" s="13"/>
    </row>
    <row r="24" spans="1:15" outlineLevel="2">
      <c r="A24" s="730">
        <f t="shared" si="0"/>
        <v>16</v>
      </c>
      <c r="B24" s="9" t="s">
        <v>574</v>
      </c>
      <c r="C24" s="15" t="s">
        <v>669</v>
      </c>
      <c r="D24" s="10" t="s">
        <v>670</v>
      </c>
      <c r="E24" s="11">
        <v>1366481</v>
      </c>
      <c r="G24" s="11">
        <f t="shared" si="1"/>
        <v>1366481</v>
      </c>
      <c r="H24" s="12">
        <v>0</v>
      </c>
      <c r="I24" s="12">
        <v>0</v>
      </c>
      <c r="J24" s="12"/>
      <c r="K24" s="734">
        <f t="shared" si="2"/>
        <v>1366481</v>
      </c>
      <c r="M24" s="9"/>
      <c r="O24" s="13"/>
    </row>
    <row r="25" spans="1:15" outlineLevel="2">
      <c r="A25" s="730">
        <f t="shared" si="0"/>
        <v>17</v>
      </c>
      <c r="B25" s="9" t="s">
        <v>574</v>
      </c>
      <c r="C25" s="15" t="s">
        <v>671</v>
      </c>
      <c r="D25" s="10" t="s">
        <v>672</v>
      </c>
      <c r="E25" s="11">
        <v>2605678.14</v>
      </c>
      <c r="G25" s="11">
        <f t="shared" si="1"/>
        <v>2605678.14</v>
      </c>
      <c r="H25" s="12">
        <v>0</v>
      </c>
      <c r="I25" s="12">
        <v>0</v>
      </c>
      <c r="J25" s="12"/>
      <c r="K25" s="734">
        <f t="shared" si="2"/>
        <v>2605678.14</v>
      </c>
      <c r="M25" s="9"/>
      <c r="O25" s="13"/>
    </row>
    <row r="26" spans="1:15" outlineLevel="2">
      <c r="A26" s="730">
        <f t="shared" si="0"/>
        <v>18</v>
      </c>
      <c r="B26" s="9" t="s">
        <v>574</v>
      </c>
      <c r="C26" s="15" t="s">
        <v>673</v>
      </c>
      <c r="D26" s="10" t="s">
        <v>674</v>
      </c>
      <c r="E26" s="11">
        <v>553799.82999999996</v>
      </c>
      <c r="G26" s="11">
        <f t="shared" si="1"/>
        <v>553799.82999999996</v>
      </c>
      <c r="H26" s="12">
        <v>0</v>
      </c>
      <c r="I26" s="12">
        <v>0</v>
      </c>
      <c r="J26" s="12"/>
      <c r="K26" s="734">
        <f t="shared" si="2"/>
        <v>553799.82999999996</v>
      </c>
      <c r="M26" s="9"/>
      <c r="O26" s="13"/>
    </row>
    <row r="27" spans="1:15" outlineLevel="2">
      <c r="A27" s="730">
        <f t="shared" si="0"/>
        <v>19</v>
      </c>
      <c r="B27" s="9" t="s">
        <v>574</v>
      </c>
      <c r="C27" s="15" t="s">
        <v>675</v>
      </c>
      <c r="D27" s="10" t="s">
        <v>676</v>
      </c>
      <c r="E27" s="11">
        <v>3464063.5</v>
      </c>
      <c r="G27" s="11">
        <f t="shared" si="1"/>
        <v>3464063.5</v>
      </c>
      <c r="H27" s="12">
        <v>0</v>
      </c>
      <c r="I27" s="12">
        <v>0</v>
      </c>
      <c r="J27" s="12"/>
      <c r="K27" s="734">
        <f t="shared" si="2"/>
        <v>3464063.5</v>
      </c>
      <c r="M27" s="9"/>
      <c r="O27" s="13"/>
    </row>
    <row r="28" spans="1:15" outlineLevel="2">
      <c r="A28" s="730">
        <f t="shared" si="0"/>
        <v>20</v>
      </c>
      <c r="B28" s="9" t="s">
        <v>574</v>
      </c>
      <c r="C28" s="15" t="s">
        <v>677</v>
      </c>
      <c r="D28" s="10" t="s">
        <v>678</v>
      </c>
      <c r="E28" s="11">
        <v>918676</v>
      </c>
      <c r="G28" s="11">
        <f t="shared" si="1"/>
        <v>918676</v>
      </c>
      <c r="H28" s="12">
        <v>0</v>
      </c>
      <c r="I28" s="12">
        <v>0</v>
      </c>
      <c r="J28" s="12"/>
      <c r="K28" s="734">
        <f t="shared" si="2"/>
        <v>918676</v>
      </c>
      <c r="M28" s="9"/>
      <c r="O28" s="13"/>
    </row>
    <row r="29" spans="1:15" outlineLevel="2">
      <c r="A29" s="730">
        <f t="shared" si="0"/>
        <v>21</v>
      </c>
      <c r="B29" s="9" t="s">
        <v>574</v>
      </c>
      <c r="C29" s="15" t="s">
        <v>679</v>
      </c>
      <c r="D29" s="10" t="s">
        <v>680</v>
      </c>
      <c r="E29" s="11">
        <v>1258899.68</v>
      </c>
      <c r="G29" s="11">
        <f t="shared" si="1"/>
        <v>1258899.68</v>
      </c>
      <c r="H29" s="12">
        <v>0</v>
      </c>
      <c r="I29" s="12">
        <v>0</v>
      </c>
      <c r="J29" s="12"/>
      <c r="K29" s="734">
        <f t="shared" si="2"/>
        <v>1258899.68</v>
      </c>
      <c r="M29" s="9"/>
      <c r="O29" s="13"/>
    </row>
    <row r="30" spans="1:15" outlineLevel="2">
      <c r="A30" s="730">
        <f t="shared" si="0"/>
        <v>22</v>
      </c>
      <c r="B30" s="9" t="s">
        <v>574</v>
      </c>
      <c r="C30" s="15" t="s">
        <v>681</v>
      </c>
      <c r="D30" s="10" t="s">
        <v>682</v>
      </c>
      <c r="E30" s="11">
        <v>20977730.73</v>
      </c>
      <c r="G30" s="11">
        <f t="shared" si="1"/>
        <v>20977730.73</v>
      </c>
      <c r="H30" s="12">
        <v>0</v>
      </c>
      <c r="I30" s="12">
        <v>0</v>
      </c>
      <c r="J30" s="12"/>
      <c r="K30" s="734">
        <f t="shared" si="2"/>
        <v>20977730.73</v>
      </c>
      <c r="M30" s="9"/>
      <c r="O30" s="13"/>
    </row>
    <row r="31" spans="1:15" outlineLevel="2">
      <c r="A31" s="730">
        <f t="shared" si="0"/>
        <v>23</v>
      </c>
      <c r="B31" s="9" t="s">
        <v>574</v>
      </c>
      <c r="C31" s="15" t="s">
        <v>683</v>
      </c>
      <c r="D31" s="10" t="s">
        <v>684</v>
      </c>
      <c r="E31" s="11">
        <v>9154518.6699999999</v>
      </c>
      <c r="G31" s="11">
        <f t="shared" si="1"/>
        <v>9154518.6699999999</v>
      </c>
      <c r="H31" s="12">
        <v>0</v>
      </c>
      <c r="I31" s="12">
        <v>0</v>
      </c>
      <c r="J31" s="12"/>
      <c r="K31" s="734">
        <f t="shared" si="2"/>
        <v>9154518.6699999999</v>
      </c>
      <c r="M31" s="9"/>
      <c r="O31" s="13"/>
    </row>
    <row r="32" spans="1:15" outlineLevel="2">
      <c r="A32" s="730">
        <f t="shared" si="0"/>
        <v>24</v>
      </c>
      <c r="B32" s="9" t="s">
        <v>574</v>
      </c>
      <c r="C32" s="15" t="s">
        <v>685</v>
      </c>
      <c r="D32" s="10" t="s">
        <v>686</v>
      </c>
      <c r="E32" s="11">
        <v>1872141.8</v>
      </c>
      <c r="G32" s="11">
        <f t="shared" si="1"/>
        <v>1872141.8</v>
      </c>
      <c r="H32" s="12">
        <v>0</v>
      </c>
      <c r="I32" s="12">
        <v>0</v>
      </c>
      <c r="J32" s="12"/>
      <c r="K32" s="734">
        <f t="shared" si="2"/>
        <v>1872141.8</v>
      </c>
      <c r="M32" s="9"/>
      <c r="O32" s="13"/>
    </row>
    <row r="33" spans="1:15" outlineLevel="2">
      <c r="A33" s="730">
        <f t="shared" si="0"/>
        <v>25</v>
      </c>
      <c r="B33" s="9" t="s">
        <v>574</v>
      </c>
      <c r="C33" s="15" t="s">
        <v>687</v>
      </c>
      <c r="D33" s="10" t="s">
        <v>688</v>
      </c>
      <c r="E33" s="11">
        <v>375316.01</v>
      </c>
      <c r="G33" s="11">
        <f t="shared" si="1"/>
        <v>375316.01</v>
      </c>
      <c r="H33" s="12">
        <v>0</v>
      </c>
      <c r="I33" s="12">
        <v>0</v>
      </c>
      <c r="J33" s="12"/>
      <c r="K33" s="734">
        <f t="shared" si="2"/>
        <v>375316.01</v>
      </c>
      <c r="M33" s="9"/>
      <c r="O33" s="13"/>
    </row>
    <row r="34" spans="1:15" outlineLevel="2">
      <c r="A34" s="730">
        <f t="shared" si="0"/>
        <v>26</v>
      </c>
      <c r="B34" s="9" t="s">
        <v>574</v>
      </c>
      <c r="C34" s="15" t="s">
        <v>689</v>
      </c>
      <c r="D34" s="10" t="s">
        <v>690</v>
      </c>
      <c r="E34" s="11">
        <v>771572.37</v>
      </c>
      <c r="G34" s="11">
        <f t="shared" si="1"/>
        <v>771572.37</v>
      </c>
      <c r="H34" s="12">
        <v>0</v>
      </c>
      <c r="I34" s="12">
        <v>0</v>
      </c>
      <c r="J34" s="12"/>
      <c r="K34" s="734">
        <f t="shared" si="2"/>
        <v>771572.37</v>
      </c>
      <c r="M34" s="9"/>
      <c r="O34" s="13"/>
    </row>
    <row r="35" spans="1:15" outlineLevel="2">
      <c r="A35" s="730">
        <f t="shared" si="0"/>
        <v>27</v>
      </c>
      <c r="B35" s="9" t="s">
        <v>574</v>
      </c>
      <c r="C35" s="15" t="s">
        <v>691</v>
      </c>
      <c r="D35" s="10" t="s">
        <v>692</v>
      </c>
      <c r="E35" s="11">
        <v>60704.18</v>
      </c>
      <c r="G35" s="11">
        <f t="shared" si="1"/>
        <v>60704.18</v>
      </c>
      <c r="H35" s="12">
        <v>0</v>
      </c>
      <c r="I35" s="12">
        <v>0</v>
      </c>
      <c r="J35" s="12"/>
      <c r="K35" s="734">
        <f t="shared" si="2"/>
        <v>60704.18</v>
      </c>
      <c r="M35" s="9"/>
      <c r="O35" s="13"/>
    </row>
    <row r="36" spans="1:15" outlineLevel="2">
      <c r="A36" s="730">
        <f t="shared" si="0"/>
        <v>28</v>
      </c>
      <c r="B36" s="9" t="s">
        <v>574</v>
      </c>
      <c r="C36" s="15" t="s">
        <v>693</v>
      </c>
      <c r="D36" s="10" t="s">
        <v>694</v>
      </c>
      <c r="E36" s="11">
        <v>2369098.0699999998</v>
      </c>
      <c r="G36" s="11">
        <f t="shared" si="1"/>
        <v>2369098.0699999998</v>
      </c>
      <c r="H36" s="12">
        <v>0</v>
      </c>
      <c r="I36" s="12">
        <v>0</v>
      </c>
      <c r="J36" s="12"/>
      <c r="K36" s="734">
        <f t="shared" si="2"/>
        <v>2369098.0699999998</v>
      </c>
      <c r="M36" s="9"/>
      <c r="O36" s="13"/>
    </row>
    <row r="37" spans="1:15" outlineLevel="2">
      <c r="A37" s="730">
        <f t="shared" si="0"/>
        <v>29</v>
      </c>
      <c r="B37" s="9" t="s">
        <v>574</v>
      </c>
      <c r="C37" s="15" t="s">
        <v>695</v>
      </c>
      <c r="D37" s="10" t="s">
        <v>696</v>
      </c>
      <c r="E37" s="11">
        <v>8267213.3099999996</v>
      </c>
      <c r="G37" s="11">
        <f t="shared" si="1"/>
        <v>8267213.3099999996</v>
      </c>
      <c r="H37" s="12">
        <v>0</v>
      </c>
      <c r="I37" s="12">
        <v>0</v>
      </c>
      <c r="J37" s="12"/>
      <c r="K37" s="734">
        <f t="shared" si="2"/>
        <v>8267213.3099999996</v>
      </c>
      <c r="M37" s="9"/>
      <c r="O37" s="13"/>
    </row>
    <row r="38" spans="1:15" outlineLevel="2">
      <c r="A38" s="730">
        <f t="shared" si="0"/>
        <v>30</v>
      </c>
      <c r="B38" s="9" t="s">
        <v>574</v>
      </c>
      <c r="C38" s="15" t="s">
        <v>697</v>
      </c>
      <c r="D38" s="10" t="s">
        <v>698</v>
      </c>
      <c r="E38" s="11">
        <v>183484.72</v>
      </c>
      <c r="G38" s="11">
        <f t="shared" si="1"/>
        <v>183484.72</v>
      </c>
      <c r="H38" s="12">
        <v>0</v>
      </c>
      <c r="I38" s="12">
        <v>0</v>
      </c>
      <c r="J38" s="12"/>
      <c r="K38" s="734">
        <f t="shared" si="2"/>
        <v>183484.72</v>
      </c>
      <c r="M38" s="9"/>
      <c r="O38" s="13"/>
    </row>
    <row r="39" spans="1:15" outlineLevel="2">
      <c r="A39" s="730">
        <f t="shared" si="0"/>
        <v>31</v>
      </c>
      <c r="B39" s="9" t="s">
        <v>574</v>
      </c>
      <c r="C39" s="15" t="s">
        <v>699</v>
      </c>
      <c r="D39" s="10" t="s">
        <v>700</v>
      </c>
      <c r="E39" s="11">
        <v>922097.72</v>
      </c>
      <c r="G39" s="11">
        <f>E39+F39</f>
        <v>922097.72</v>
      </c>
      <c r="H39" s="12">
        <v>0</v>
      </c>
      <c r="I39" s="12">
        <v>0</v>
      </c>
      <c r="J39" s="12"/>
      <c r="K39" s="734">
        <f t="shared" si="2"/>
        <v>922097.72</v>
      </c>
      <c r="M39" s="9"/>
      <c r="O39" s="13"/>
    </row>
    <row r="40" spans="1:15" outlineLevel="2">
      <c r="A40" s="730">
        <f t="shared" si="0"/>
        <v>32</v>
      </c>
      <c r="B40" s="9" t="s">
        <v>574</v>
      </c>
      <c r="C40" s="15" t="s">
        <v>701</v>
      </c>
      <c r="D40" s="10" t="s">
        <v>702</v>
      </c>
      <c r="E40" s="11">
        <v>4465037.05</v>
      </c>
      <c r="G40" s="11">
        <f t="shared" si="1"/>
        <v>4465037.05</v>
      </c>
      <c r="H40" s="12">
        <v>0</v>
      </c>
      <c r="I40" s="12">
        <v>0</v>
      </c>
      <c r="J40" s="12"/>
      <c r="K40" s="734">
        <f t="shared" si="2"/>
        <v>4465037.05</v>
      </c>
      <c r="M40" s="9"/>
      <c r="O40" s="13"/>
    </row>
    <row r="41" spans="1:15" outlineLevel="2">
      <c r="A41" s="730">
        <f t="shared" si="0"/>
        <v>33</v>
      </c>
      <c r="B41" s="9" t="s">
        <v>574</v>
      </c>
      <c r="C41" s="15" t="s">
        <v>703</v>
      </c>
      <c r="D41" s="10" t="s">
        <v>704</v>
      </c>
      <c r="E41" s="11">
        <v>3908825.66</v>
      </c>
      <c r="G41" s="11">
        <f t="shared" si="1"/>
        <v>3908825.66</v>
      </c>
      <c r="H41" s="12">
        <v>0</v>
      </c>
      <c r="I41" s="12">
        <v>0</v>
      </c>
      <c r="J41" s="12"/>
      <c r="K41" s="734">
        <f t="shared" si="2"/>
        <v>3908825.66</v>
      </c>
      <c r="M41" s="9"/>
      <c r="O41" s="13"/>
    </row>
    <row r="42" spans="1:15" outlineLevel="2">
      <c r="A42" s="730">
        <f t="shared" si="0"/>
        <v>34</v>
      </c>
      <c r="B42" s="9" t="s">
        <v>574</v>
      </c>
      <c r="C42" s="15" t="s">
        <v>705</v>
      </c>
      <c r="D42" s="10" t="s">
        <v>706</v>
      </c>
      <c r="E42" s="11">
        <v>4627356.42</v>
      </c>
      <c r="G42" s="11">
        <f t="shared" si="1"/>
        <v>4627356.42</v>
      </c>
      <c r="H42" s="12">
        <v>0</v>
      </c>
      <c r="I42" s="12">
        <v>0</v>
      </c>
      <c r="J42" s="12"/>
      <c r="K42" s="734">
        <f t="shared" si="2"/>
        <v>4627356.42</v>
      </c>
      <c r="M42" s="9"/>
      <c r="O42" s="13"/>
    </row>
    <row r="43" spans="1:15" outlineLevel="2">
      <c r="A43" s="730">
        <f t="shared" si="0"/>
        <v>35</v>
      </c>
      <c r="B43" s="9" t="s">
        <v>574</v>
      </c>
      <c r="C43" s="15" t="s">
        <v>707</v>
      </c>
      <c r="D43" s="10" t="s">
        <v>708</v>
      </c>
      <c r="E43" s="11">
        <v>28806330.280000001</v>
      </c>
      <c r="G43" s="11">
        <f t="shared" si="1"/>
        <v>28806330.280000001</v>
      </c>
      <c r="H43" s="12">
        <v>0</v>
      </c>
      <c r="I43" s="12">
        <v>0</v>
      </c>
      <c r="J43" s="12"/>
      <c r="K43" s="734">
        <f t="shared" si="2"/>
        <v>28806330.280000001</v>
      </c>
      <c r="M43" s="9"/>
      <c r="O43" s="13"/>
    </row>
    <row r="44" spans="1:15" outlineLevel="2">
      <c r="A44" s="730">
        <f t="shared" si="0"/>
        <v>36</v>
      </c>
      <c r="B44" s="9" t="s">
        <v>574</v>
      </c>
      <c r="C44" s="15" t="s">
        <v>709</v>
      </c>
      <c r="D44" s="10" t="s">
        <v>710</v>
      </c>
      <c r="E44" s="11">
        <v>157876.32</v>
      </c>
      <c r="G44" s="11">
        <f t="shared" si="1"/>
        <v>157876.32</v>
      </c>
      <c r="H44" s="12">
        <v>0</v>
      </c>
      <c r="I44" s="12">
        <v>0</v>
      </c>
      <c r="J44" s="12"/>
      <c r="K44" s="734">
        <f t="shared" si="2"/>
        <v>157876.32</v>
      </c>
      <c r="M44" s="9"/>
      <c r="O44" s="13"/>
    </row>
    <row r="45" spans="1:15" outlineLevel="2">
      <c r="A45" s="730">
        <f t="shared" si="0"/>
        <v>37</v>
      </c>
      <c r="B45" s="9" t="s">
        <v>574</v>
      </c>
      <c r="C45" s="15" t="s">
        <v>711</v>
      </c>
      <c r="D45" s="10" t="s">
        <v>712</v>
      </c>
      <c r="E45" s="11">
        <v>13223859.539999999</v>
      </c>
      <c r="G45" s="11">
        <f t="shared" si="1"/>
        <v>13223859.539999999</v>
      </c>
      <c r="H45" s="12">
        <v>0</v>
      </c>
      <c r="I45" s="12">
        <v>0</v>
      </c>
      <c r="J45" s="12"/>
      <c r="K45" s="734">
        <f t="shared" si="2"/>
        <v>13223859.539999999</v>
      </c>
      <c r="M45" s="9"/>
      <c r="O45" s="13"/>
    </row>
    <row r="46" spans="1:15" outlineLevel="2">
      <c r="A46" s="730">
        <f t="shared" si="0"/>
        <v>38</v>
      </c>
      <c r="B46" s="9" t="s">
        <v>574</v>
      </c>
      <c r="C46" s="15" t="s">
        <v>713</v>
      </c>
      <c r="D46" s="10" t="s">
        <v>714</v>
      </c>
      <c r="E46" s="11">
        <v>7554491.9000000004</v>
      </c>
      <c r="G46" s="11">
        <f t="shared" si="1"/>
        <v>7554491.9000000004</v>
      </c>
      <c r="H46" s="12">
        <v>0</v>
      </c>
      <c r="I46" s="12">
        <v>0</v>
      </c>
      <c r="J46" s="12"/>
      <c r="K46" s="734">
        <f t="shared" si="2"/>
        <v>7554491.9000000004</v>
      </c>
      <c r="M46" s="9"/>
      <c r="O46" s="13"/>
    </row>
    <row r="47" spans="1:15" outlineLevel="2">
      <c r="A47" s="730">
        <f t="shared" si="0"/>
        <v>39</v>
      </c>
      <c r="B47" s="9" t="s">
        <v>574</v>
      </c>
      <c r="C47" s="15" t="s">
        <v>715</v>
      </c>
      <c r="D47" s="10" t="s">
        <v>716</v>
      </c>
      <c r="E47" s="11">
        <v>7782247.0099999998</v>
      </c>
      <c r="G47" s="11">
        <f t="shared" si="1"/>
        <v>7782247.0099999998</v>
      </c>
      <c r="H47" s="12">
        <v>0</v>
      </c>
      <c r="I47" s="12">
        <v>0</v>
      </c>
      <c r="J47" s="12"/>
      <c r="K47" s="734">
        <f t="shared" si="2"/>
        <v>7782247.0099999998</v>
      </c>
      <c r="M47" s="9"/>
      <c r="O47" s="13"/>
    </row>
    <row r="48" spans="1:15" outlineLevel="2">
      <c r="A48" s="730">
        <f t="shared" si="0"/>
        <v>40</v>
      </c>
      <c r="B48" s="9" t="s">
        <v>574</v>
      </c>
      <c r="C48" s="15" t="s">
        <v>717</v>
      </c>
      <c r="D48" s="10" t="s">
        <v>718</v>
      </c>
      <c r="E48" s="11">
        <v>2319938.7200000002</v>
      </c>
      <c r="G48" s="11">
        <f t="shared" si="1"/>
        <v>2319938.7200000002</v>
      </c>
      <c r="H48" s="12">
        <v>0</v>
      </c>
      <c r="I48" s="12">
        <v>0</v>
      </c>
      <c r="J48" s="12"/>
      <c r="K48" s="734">
        <f t="shared" si="2"/>
        <v>2319938.7200000002</v>
      </c>
      <c r="M48" s="9"/>
      <c r="O48" s="13"/>
    </row>
    <row r="49" spans="1:15" outlineLevel="2">
      <c r="A49" s="730">
        <f t="shared" si="0"/>
        <v>41</v>
      </c>
      <c r="B49" s="9" t="s">
        <v>574</v>
      </c>
      <c r="C49" s="15" t="s">
        <v>719</v>
      </c>
      <c r="D49" s="10" t="s">
        <v>720</v>
      </c>
      <c r="E49" s="11">
        <v>777326.71</v>
      </c>
      <c r="G49" s="11">
        <f t="shared" si="1"/>
        <v>777326.71</v>
      </c>
      <c r="H49" s="12">
        <v>0</v>
      </c>
      <c r="I49" s="12">
        <v>0</v>
      </c>
      <c r="J49" s="12"/>
      <c r="K49" s="734">
        <f t="shared" si="2"/>
        <v>777326.71</v>
      </c>
      <c r="M49" s="9"/>
      <c r="O49" s="13"/>
    </row>
    <row r="50" spans="1:15" outlineLevel="2">
      <c r="A50" s="730">
        <f t="shared" si="0"/>
        <v>42</v>
      </c>
      <c r="B50" s="9" t="s">
        <v>574</v>
      </c>
      <c r="C50" s="15" t="s">
        <v>721</v>
      </c>
      <c r="D50" s="10" t="s">
        <v>722</v>
      </c>
      <c r="E50" s="11">
        <v>1308561.8400000001</v>
      </c>
      <c r="G50" s="11">
        <f t="shared" si="1"/>
        <v>1308561.8400000001</v>
      </c>
      <c r="H50" s="12">
        <v>0</v>
      </c>
      <c r="I50" s="12">
        <v>0</v>
      </c>
      <c r="J50" s="12"/>
      <c r="K50" s="734">
        <f t="shared" si="2"/>
        <v>1308561.8400000001</v>
      </c>
      <c r="M50" s="9"/>
      <c r="O50" s="13"/>
    </row>
    <row r="51" spans="1:15" outlineLevel="2">
      <c r="A51" s="730">
        <f t="shared" si="0"/>
        <v>43</v>
      </c>
      <c r="B51" s="9" t="s">
        <v>574</v>
      </c>
      <c r="C51" s="15" t="s">
        <v>723</v>
      </c>
      <c r="D51" s="10" t="s">
        <v>724</v>
      </c>
      <c r="E51" s="11">
        <v>937082.17</v>
      </c>
      <c r="G51" s="11">
        <f t="shared" si="1"/>
        <v>937082.17</v>
      </c>
      <c r="H51" s="12">
        <v>0</v>
      </c>
      <c r="I51" s="12">
        <v>0</v>
      </c>
      <c r="J51" s="12"/>
      <c r="K51" s="734">
        <f t="shared" si="2"/>
        <v>937082.17</v>
      </c>
      <c r="M51" s="9"/>
      <c r="O51" s="13"/>
    </row>
    <row r="52" spans="1:15" outlineLevel="2">
      <c r="A52" s="730">
        <f t="shared" si="0"/>
        <v>44</v>
      </c>
      <c r="B52" s="9" t="s">
        <v>574</v>
      </c>
      <c r="C52" s="15" t="s">
        <v>725</v>
      </c>
      <c r="D52" s="10" t="s">
        <v>726</v>
      </c>
      <c r="E52" s="11">
        <v>11019006.33</v>
      </c>
      <c r="G52" s="11">
        <f t="shared" si="1"/>
        <v>11019006.33</v>
      </c>
      <c r="H52" s="12">
        <v>0</v>
      </c>
      <c r="I52" s="12">
        <v>0</v>
      </c>
      <c r="J52" s="12"/>
      <c r="K52" s="734">
        <f t="shared" si="2"/>
        <v>11019006.33</v>
      </c>
      <c r="M52" s="9"/>
      <c r="O52" s="13"/>
    </row>
    <row r="53" spans="1:15" outlineLevel="2">
      <c r="A53" s="730">
        <f t="shared" si="0"/>
        <v>45</v>
      </c>
      <c r="B53" s="9" t="s">
        <v>574</v>
      </c>
      <c r="C53" s="15" t="s">
        <v>727</v>
      </c>
      <c r="D53" s="10" t="s">
        <v>728</v>
      </c>
      <c r="E53" s="11">
        <v>17840940.789999999</v>
      </c>
      <c r="G53" s="11">
        <f t="shared" si="1"/>
        <v>17840940.789999999</v>
      </c>
      <c r="H53" s="12">
        <v>0</v>
      </c>
      <c r="I53" s="12">
        <v>0</v>
      </c>
      <c r="J53" s="12"/>
      <c r="K53" s="734">
        <f t="shared" si="2"/>
        <v>17840940.789999999</v>
      </c>
      <c r="M53" s="9"/>
      <c r="O53" s="13"/>
    </row>
    <row r="54" spans="1:15" outlineLevel="2">
      <c r="A54" s="730">
        <f t="shared" si="0"/>
        <v>46</v>
      </c>
      <c r="B54" s="9" t="s">
        <v>574</v>
      </c>
      <c r="C54" s="15" t="s">
        <v>729</v>
      </c>
      <c r="D54" s="10" t="s">
        <v>730</v>
      </c>
      <c r="E54" s="11">
        <v>6788950.71</v>
      </c>
      <c r="G54" s="11">
        <f t="shared" si="1"/>
        <v>6788950.71</v>
      </c>
      <c r="H54" s="12">
        <v>0</v>
      </c>
      <c r="I54" s="12">
        <v>0</v>
      </c>
      <c r="J54" s="12"/>
      <c r="K54" s="734">
        <f t="shared" si="2"/>
        <v>6788950.71</v>
      </c>
      <c r="M54" s="9"/>
      <c r="O54" s="13"/>
    </row>
    <row r="55" spans="1:15" outlineLevel="2">
      <c r="A55" s="730">
        <f t="shared" si="0"/>
        <v>47</v>
      </c>
      <c r="B55" s="9" t="s">
        <v>574</v>
      </c>
      <c r="C55" s="15" t="s">
        <v>731</v>
      </c>
      <c r="D55" s="10" t="s">
        <v>732</v>
      </c>
      <c r="E55" s="11">
        <v>10455917.060000001</v>
      </c>
      <c r="G55" s="11">
        <f t="shared" si="1"/>
        <v>10455917.060000001</v>
      </c>
      <c r="H55" s="12">
        <v>0</v>
      </c>
      <c r="I55" s="12">
        <v>0</v>
      </c>
      <c r="J55" s="12"/>
      <c r="K55" s="734">
        <f t="shared" si="2"/>
        <v>10455917.060000001</v>
      </c>
      <c r="M55" s="9"/>
      <c r="O55" s="13"/>
    </row>
    <row r="56" spans="1:15" outlineLevel="2">
      <c r="A56" s="730">
        <f t="shared" si="0"/>
        <v>48</v>
      </c>
      <c r="B56" s="9" t="s">
        <v>574</v>
      </c>
      <c r="C56" s="15" t="s">
        <v>733</v>
      </c>
      <c r="D56" s="10" t="s">
        <v>734</v>
      </c>
      <c r="E56" s="11">
        <v>10713977.23</v>
      </c>
      <c r="G56" s="11">
        <f t="shared" si="1"/>
        <v>10713977.23</v>
      </c>
      <c r="H56" s="12">
        <v>0</v>
      </c>
      <c r="I56" s="12">
        <v>0</v>
      </c>
      <c r="J56" s="12"/>
      <c r="K56" s="734">
        <f t="shared" si="2"/>
        <v>10713977.23</v>
      </c>
      <c r="M56" s="9"/>
      <c r="O56" s="13"/>
    </row>
    <row r="57" spans="1:15" outlineLevel="2">
      <c r="A57" s="730">
        <f t="shared" si="0"/>
        <v>49</v>
      </c>
      <c r="B57" s="9" t="s">
        <v>574</v>
      </c>
      <c r="C57" s="15" t="s">
        <v>735</v>
      </c>
      <c r="D57" s="10" t="s">
        <v>736</v>
      </c>
      <c r="E57" s="11">
        <v>5062687.71</v>
      </c>
      <c r="G57" s="11">
        <f t="shared" si="1"/>
        <v>5062687.71</v>
      </c>
      <c r="H57" s="12">
        <v>0</v>
      </c>
      <c r="I57" s="12">
        <v>0</v>
      </c>
      <c r="J57" s="12"/>
      <c r="K57" s="734">
        <f t="shared" si="2"/>
        <v>5062687.71</v>
      </c>
      <c r="M57" s="9"/>
      <c r="O57" s="13"/>
    </row>
    <row r="58" spans="1:15" outlineLevel="2">
      <c r="A58" s="730">
        <f t="shared" si="0"/>
        <v>50</v>
      </c>
      <c r="B58" s="9" t="s">
        <v>574</v>
      </c>
      <c r="C58" s="15" t="s">
        <v>737</v>
      </c>
      <c r="D58" s="10" t="s">
        <v>738</v>
      </c>
      <c r="E58" s="11">
        <v>1948078.5</v>
      </c>
      <c r="G58" s="11">
        <f t="shared" si="1"/>
        <v>1948078.5</v>
      </c>
      <c r="H58" s="12">
        <v>0</v>
      </c>
      <c r="I58" s="12">
        <v>0</v>
      </c>
      <c r="J58" s="12"/>
      <c r="K58" s="734">
        <f t="shared" si="2"/>
        <v>1948078.5</v>
      </c>
      <c r="M58" s="9"/>
      <c r="O58" s="13"/>
    </row>
    <row r="59" spans="1:15" outlineLevel="2">
      <c r="A59" s="730">
        <f t="shared" si="0"/>
        <v>51</v>
      </c>
      <c r="B59" s="9" t="s">
        <v>574</v>
      </c>
      <c r="C59" s="15" t="s">
        <v>739</v>
      </c>
      <c r="D59" s="10" t="s">
        <v>740</v>
      </c>
      <c r="E59" s="11">
        <v>1521173.69</v>
      </c>
      <c r="G59" s="11">
        <f t="shared" si="1"/>
        <v>1521173.69</v>
      </c>
      <c r="H59" s="12">
        <v>0</v>
      </c>
      <c r="I59" s="12">
        <v>0</v>
      </c>
      <c r="J59" s="12"/>
      <c r="K59" s="734">
        <f t="shared" si="2"/>
        <v>1521173.69</v>
      </c>
      <c r="M59" s="9"/>
      <c r="O59" s="13"/>
    </row>
    <row r="60" spans="1:15" outlineLevel="2">
      <c r="A60" s="730">
        <f t="shared" si="0"/>
        <v>52</v>
      </c>
      <c r="B60" s="9" t="s">
        <v>574</v>
      </c>
      <c r="C60" s="15" t="s">
        <v>741</v>
      </c>
      <c r="D60" s="10" t="s">
        <v>742</v>
      </c>
      <c r="E60" s="11">
        <v>455727</v>
      </c>
      <c r="G60" s="11">
        <f t="shared" si="1"/>
        <v>455727</v>
      </c>
      <c r="H60" s="12">
        <v>0</v>
      </c>
      <c r="I60" s="12">
        <v>0</v>
      </c>
      <c r="J60" s="12"/>
      <c r="K60" s="734">
        <f t="shared" si="2"/>
        <v>455727</v>
      </c>
      <c r="M60" s="9"/>
      <c r="O60" s="13"/>
    </row>
    <row r="61" spans="1:15" outlineLevel="2">
      <c r="A61" s="730">
        <f t="shared" si="0"/>
        <v>53</v>
      </c>
      <c r="B61" s="9" t="s">
        <v>574</v>
      </c>
      <c r="C61" s="15" t="s">
        <v>743</v>
      </c>
      <c r="D61" s="10" t="s">
        <v>744</v>
      </c>
      <c r="E61" s="11">
        <v>3361449.06</v>
      </c>
      <c r="G61" s="11">
        <f t="shared" si="1"/>
        <v>3361449.06</v>
      </c>
      <c r="H61" s="12">
        <v>0</v>
      </c>
      <c r="I61" s="12">
        <v>0</v>
      </c>
      <c r="J61" s="12"/>
      <c r="K61" s="734">
        <f t="shared" si="2"/>
        <v>3361449.06</v>
      </c>
      <c r="M61" s="9"/>
      <c r="O61" s="13"/>
    </row>
    <row r="62" spans="1:15" outlineLevel="2">
      <c r="A62" s="730">
        <f t="shared" si="0"/>
        <v>54</v>
      </c>
      <c r="B62" s="9" t="s">
        <v>574</v>
      </c>
      <c r="C62" s="15" t="s">
        <v>745</v>
      </c>
      <c r="D62" s="10" t="s">
        <v>746</v>
      </c>
      <c r="E62" s="11">
        <v>3279089.4</v>
      </c>
      <c r="G62" s="11">
        <f t="shared" si="1"/>
        <v>3279089.4</v>
      </c>
      <c r="H62" s="12">
        <v>0</v>
      </c>
      <c r="I62" s="12">
        <v>0</v>
      </c>
      <c r="J62" s="12"/>
      <c r="K62" s="734">
        <f t="shared" si="2"/>
        <v>3279089.4</v>
      </c>
      <c r="M62" s="9"/>
      <c r="O62" s="13"/>
    </row>
    <row r="63" spans="1:15" outlineLevel="2">
      <c r="A63" s="730">
        <f t="shared" si="0"/>
        <v>55</v>
      </c>
      <c r="B63" s="9" t="s">
        <v>574</v>
      </c>
      <c r="C63" s="15" t="s">
        <v>747</v>
      </c>
      <c r="D63" s="10" t="s">
        <v>748</v>
      </c>
      <c r="E63" s="11">
        <v>156778</v>
      </c>
      <c r="G63" s="11">
        <f>E63+F63</f>
        <v>156778</v>
      </c>
      <c r="H63" s="12">
        <v>0</v>
      </c>
      <c r="I63" s="12">
        <v>0</v>
      </c>
      <c r="J63" s="12"/>
      <c r="K63" s="734">
        <f t="shared" si="2"/>
        <v>156778</v>
      </c>
      <c r="M63" s="9"/>
      <c r="O63" s="13"/>
    </row>
    <row r="64" spans="1:15" outlineLevel="2">
      <c r="A64" s="730">
        <f t="shared" si="0"/>
        <v>56</v>
      </c>
      <c r="B64" s="9" t="s">
        <v>574</v>
      </c>
      <c r="C64" s="15" t="s">
        <v>749</v>
      </c>
      <c r="D64" s="10" t="s">
        <v>750</v>
      </c>
      <c r="E64" s="11">
        <v>12744944.75</v>
      </c>
      <c r="G64" s="11">
        <f t="shared" si="1"/>
        <v>12744944.75</v>
      </c>
      <c r="H64" s="12">
        <v>0</v>
      </c>
      <c r="I64" s="12">
        <v>0</v>
      </c>
      <c r="J64" s="12"/>
      <c r="K64" s="734">
        <f t="shared" si="2"/>
        <v>12744944.75</v>
      </c>
      <c r="M64" s="9"/>
      <c r="O64" s="13"/>
    </row>
    <row r="65" spans="1:15" outlineLevel="2">
      <c r="A65" s="730">
        <f t="shared" si="0"/>
        <v>57</v>
      </c>
      <c r="B65" s="9" t="s">
        <v>574</v>
      </c>
      <c r="C65" s="15" t="s">
        <v>751</v>
      </c>
      <c r="D65" s="10" t="s">
        <v>752</v>
      </c>
      <c r="E65" s="11">
        <v>10110752.16</v>
      </c>
      <c r="G65" s="11">
        <f t="shared" si="1"/>
        <v>10110752.16</v>
      </c>
      <c r="H65" s="12">
        <v>0</v>
      </c>
      <c r="I65" s="12">
        <v>0</v>
      </c>
      <c r="J65" s="12"/>
      <c r="K65" s="734">
        <f t="shared" si="2"/>
        <v>10110752.16</v>
      </c>
      <c r="M65" s="9"/>
      <c r="O65" s="13"/>
    </row>
    <row r="66" spans="1:15" outlineLevel="2">
      <c r="A66" s="730">
        <f t="shared" si="0"/>
        <v>58</v>
      </c>
      <c r="B66" s="9" t="s">
        <v>574</v>
      </c>
      <c r="C66" s="15" t="s">
        <v>753</v>
      </c>
      <c r="D66" s="10" t="s">
        <v>754</v>
      </c>
      <c r="E66" s="11">
        <v>1270645.42</v>
      </c>
      <c r="G66" s="11">
        <f t="shared" si="1"/>
        <v>1270645.42</v>
      </c>
      <c r="H66" s="12">
        <v>0</v>
      </c>
      <c r="I66" s="12">
        <v>0</v>
      </c>
      <c r="J66" s="12"/>
      <c r="K66" s="734">
        <f t="shared" si="2"/>
        <v>1270645.42</v>
      </c>
      <c r="M66" s="9"/>
      <c r="O66" s="13"/>
    </row>
    <row r="67" spans="1:15" outlineLevel="2">
      <c r="A67" s="730">
        <f t="shared" si="0"/>
        <v>59</v>
      </c>
      <c r="B67" s="9" t="s">
        <v>574</v>
      </c>
      <c r="C67" s="15" t="s">
        <v>755</v>
      </c>
      <c r="D67" s="10" t="s">
        <v>756</v>
      </c>
      <c r="E67" s="11">
        <v>3255847.1</v>
      </c>
      <c r="G67" s="11">
        <f t="shared" si="1"/>
        <v>3255847.1</v>
      </c>
      <c r="H67" s="12">
        <v>0</v>
      </c>
      <c r="I67" s="12">
        <v>0</v>
      </c>
      <c r="J67" s="12"/>
      <c r="K67" s="734">
        <f t="shared" si="2"/>
        <v>3255847.1</v>
      </c>
      <c r="M67" s="9"/>
      <c r="O67" s="13"/>
    </row>
    <row r="68" spans="1:15" outlineLevel="2">
      <c r="A68" s="730">
        <f t="shared" si="0"/>
        <v>60</v>
      </c>
      <c r="B68" s="9" t="s">
        <v>574</v>
      </c>
      <c r="C68" s="15" t="s">
        <v>757</v>
      </c>
      <c r="D68" s="10" t="s">
        <v>758</v>
      </c>
      <c r="E68" s="11">
        <v>8681331.6699999999</v>
      </c>
      <c r="G68" s="11">
        <f t="shared" si="1"/>
        <v>8681331.6699999999</v>
      </c>
      <c r="H68" s="12">
        <v>0</v>
      </c>
      <c r="I68" s="12">
        <v>0</v>
      </c>
      <c r="J68" s="12"/>
      <c r="K68" s="734">
        <f t="shared" si="2"/>
        <v>8681331.6699999999</v>
      </c>
      <c r="M68" s="9"/>
      <c r="O68" s="13"/>
    </row>
    <row r="69" spans="1:15" outlineLevel="2">
      <c r="A69" s="730">
        <f t="shared" si="0"/>
        <v>61</v>
      </c>
      <c r="B69" s="9" t="s">
        <v>574</v>
      </c>
      <c r="C69" s="15" t="s">
        <v>759</v>
      </c>
      <c r="D69" s="10" t="s">
        <v>760</v>
      </c>
      <c r="E69" s="11">
        <v>5561904.6399999997</v>
      </c>
      <c r="G69" s="11">
        <f t="shared" si="1"/>
        <v>5561904.6399999997</v>
      </c>
      <c r="H69" s="12">
        <v>0</v>
      </c>
      <c r="I69" s="12">
        <v>0</v>
      </c>
      <c r="J69" s="12"/>
      <c r="K69" s="734">
        <f t="shared" si="2"/>
        <v>5561904.6399999997</v>
      </c>
      <c r="M69" s="9"/>
      <c r="O69" s="13"/>
    </row>
    <row r="70" spans="1:15" outlineLevel="2">
      <c r="A70" s="730">
        <f t="shared" si="0"/>
        <v>62</v>
      </c>
      <c r="B70" s="9" t="s">
        <v>574</v>
      </c>
      <c r="C70" s="15" t="s">
        <v>761</v>
      </c>
      <c r="D70" s="10" t="s">
        <v>762</v>
      </c>
      <c r="E70" s="11">
        <v>6016436.0499999998</v>
      </c>
      <c r="G70" s="11">
        <f t="shared" si="1"/>
        <v>6016436.0499999998</v>
      </c>
      <c r="H70" s="12">
        <v>0</v>
      </c>
      <c r="I70" s="12">
        <v>0</v>
      </c>
      <c r="J70" s="12"/>
      <c r="K70" s="734">
        <f t="shared" si="2"/>
        <v>6016436.0499999998</v>
      </c>
      <c r="M70" s="9"/>
      <c r="O70" s="13"/>
    </row>
    <row r="71" spans="1:15" outlineLevel="2">
      <c r="A71" s="730">
        <f t="shared" si="0"/>
        <v>63</v>
      </c>
      <c r="B71" s="9" t="s">
        <v>574</v>
      </c>
      <c r="C71" s="15" t="s">
        <v>763</v>
      </c>
      <c r="D71" s="10" t="s">
        <v>764</v>
      </c>
      <c r="E71" s="11">
        <v>11263708.41</v>
      </c>
      <c r="G71" s="11">
        <f t="shared" si="1"/>
        <v>11263708.41</v>
      </c>
      <c r="H71" s="12">
        <v>0</v>
      </c>
      <c r="I71" s="12">
        <v>0</v>
      </c>
      <c r="J71" s="12"/>
      <c r="K71" s="734">
        <f t="shared" si="2"/>
        <v>11263708.41</v>
      </c>
      <c r="M71" s="9"/>
      <c r="O71" s="13"/>
    </row>
    <row r="72" spans="1:15" outlineLevel="2">
      <c r="A72" s="730">
        <f t="shared" ref="A72:A135" si="3">A71+1</f>
        <v>64</v>
      </c>
      <c r="B72" s="9" t="s">
        <v>574</v>
      </c>
      <c r="C72" s="15" t="s">
        <v>765</v>
      </c>
      <c r="D72" s="10" t="s">
        <v>766</v>
      </c>
      <c r="E72" s="11">
        <v>617622.68000000005</v>
      </c>
      <c r="G72" s="11">
        <f t="shared" ref="G72:G85" si="4">E72+F72</f>
        <v>617622.68000000005</v>
      </c>
      <c r="H72" s="12">
        <v>0</v>
      </c>
      <c r="I72" s="12">
        <v>0</v>
      </c>
      <c r="J72" s="12"/>
      <c r="K72" s="734">
        <f t="shared" ref="K72:K123" si="5">SUM(G72:J72)</f>
        <v>617622.68000000005</v>
      </c>
      <c r="M72" s="9"/>
      <c r="O72" s="13"/>
    </row>
    <row r="73" spans="1:15" outlineLevel="2">
      <c r="A73" s="730">
        <f t="shared" si="3"/>
        <v>65</v>
      </c>
      <c r="B73" s="9" t="s">
        <v>574</v>
      </c>
      <c r="C73" s="15" t="s">
        <v>767</v>
      </c>
      <c r="D73" s="10" t="s">
        <v>768</v>
      </c>
      <c r="E73" s="11">
        <v>6319621.6699999999</v>
      </c>
      <c r="G73" s="11">
        <f t="shared" si="4"/>
        <v>6319621.6699999999</v>
      </c>
      <c r="H73" s="12">
        <v>0</v>
      </c>
      <c r="I73" s="12">
        <v>0</v>
      </c>
      <c r="J73" s="12"/>
      <c r="K73" s="734">
        <f t="shared" si="5"/>
        <v>6319621.6699999999</v>
      </c>
      <c r="M73" s="9"/>
      <c r="O73" s="13"/>
    </row>
    <row r="74" spans="1:15" outlineLevel="2">
      <c r="A74" s="730">
        <f t="shared" si="3"/>
        <v>66</v>
      </c>
      <c r="B74" s="9" t="s">
        <v>574</v>
      </c>
      <c r="C74" s="15" t="s">
        <v>769</v>
      </c>
      <c r="D74" s="10" t="s">
        <v>770</v>
      </c>
      <c r="E74" s="11">
        <v>1189519.96</v>
      </c>
      <c r="G74" s="11">
        <f t="shared" si="4"/>
        <v>1189519.96</v>
      </c>
      <c r="H74" s="12">
        <v>0</v>
      </c>
      <c r="I74" s="12">
        <v>0</v>
      </c>
      <c r="J74" s="12"/>
      <c r="K74" s="734">
        <f t="shared" si="5"/>
        <v>1189519.96</v>
      </c>
      <c r="M74" s="9"/>
      <c r="O74" s="13"/>
    </row>
    <row r="75" spans="1:15" outlineLevel="2">
      <c r="A75" s="730">
        <f t="shared" si="3"/>
        <v>67</v>
      </c>
      <c r="B75" s="9" t="s">
        <v>574</v>
      </c>
      <c r="C75" s="15" t="s">
        <v>771</v>
      </c>
      <c r="D75" s="10" t="s">
        <v>772</v>
      </c>
      <c r="E75" s="11">
        <v>4941648.6100000003</v>
      </c>
      <c r="G75" s="11">
        <f t="shared" si="4"/>
        <v>4941648.6100000003</v>
      </c>
      <c r="H75" s="12">
        <v>0</v>
      </c>
      <c r="I75" s="12">
        <v>0</v>
      </c>
      <c r="J75" s="12"/>
      <c r="K75" s="734">
        <f t="shared" si="5"/>
        <v>4941648.6100000003</v>
      </c>
      <c r="M75" s="9"/>
      <c r="O75" s="13"/>
    </row>
    <row r="76" spans="1:15" outlineLevel="2">
      <c r="A76" s="730">
        <f t="shared" si="3"/>
        <v>68</v>
      </c>
      <c r="B76" s="9" t="s">
        <v>574</v>
      </c>
      <c r="C76" s="15" t="s">
        <v>773</v>
      </c>
      <c r="D76" s="10" t="s">
        <v>774</v>
      </c>
      <c r="E76" s="11">
        <v>3155849.87</v>
      </c>
      <c r="G76" s="11">
        <f t="shared" si="4"/>
        <v>3155849.87</v>
      </c>
      <c r="H76" s="12">
        <v>0</v>
      </c>
      <c r="I76" s="12">
        <v>0</v>
      </c>
      <c r="J76" s="12"/>
      <c r="K76" s="734">
        <f t="shared" si="5"/>
        <v>3155849.87</v>
      </c>
      <c r="M76" s="9"/>
      <c r="O76" s="13"/>
    </row>
    <row r="77" spans="1:15" outlineLevel="2">
      <c r="A77" s="730">
        <f t="shared" si="3"/>
        <v>69</v>
      </c>
      <c r="B77" s="9" t="s">
        <v>574</v>
      </c>
      <c r="C77" s="15" t="s">
        <v>775</v>
      </c>
      <c r="D77" s="10" t="s">
        <v>776</v>
      </c>
      <c r="E77" s="11">
        <v>28856299.199999999</v>
      </c>
      <c r="G77" s="11">
        <f t="shared" si="4"/>
        <v>28856299.199999999</v>
      </c>
      <c r="H77" s="12">
        <v>0</v>
      </c>
      <c r="I77" s="12">
        <v>0</v>
      </c>
      <c r="J77" s="12"/>
      <c r="K77" s="734">
        <f t="shared" si="5"/>
        <v>28856299.199999999</v>
      </c>
      <c r="M77" s="9"/>
      <c r="O77" s="13"/>
    </row>
    <row r="78" spans="1:15" outlineLevel="2">
      <c r="A78" s="730">
        <f t="shared" si="3"/>
        <v>70</v>
      </c>
      <c r="B78" s="9" t="s">
        <v>574</v>
      </c>
      <c r="C78" s="15" t="s">
        <v>777</v>
      </c>
      <c r="D78" s="10" t="s">
        <v>778</v>
      </c>
      <c r="E78" s="11">
        <v>1055414.43</v>
      </c>
      <c r="G78" s="11">
        <f t="shared" si="4"/>
        <v>1055414.43</v>
      </c>
      <c r="H78" s="12">
        <v>0</v>
      </c>
      <c r="I78" s="12">
        <v>0</v>
      </c>
      <c r="J78" s="12"/>
      <c r="K78" s="734">
        <f t="shared" si="5"/>
        <v>1055414.43</v>
      </c>
      <c r="M78" s="9"/>
      <c r="O78" s="13"/>
    </row>
    <row r="79" spans="1:15" outlineLevel="2">
      <c r="A79" s="730">
        <f t="shared" si="3"/>
        <v>71</v>
      </c>
      <c r="B79" s="9" t="s">
        <v>574</v>
      </c>
      <c r="C79" s="15" t="s">
        <v>779</v>
      </c>
      <c r="D79" s="10" t="s">
        <v>780</v>
      </c>
      <c r="E79" s="11">
        <v>0</v>
      </c>
      <c r="F79" s="11">
        <v>3715102</v>
      </c>
      <c r="G79" s="11">
        <f>E79+F79</f>
        <v>3715102</v>
      </c>
      <c r="H79" s="12">
        <v>0</v>
      </c>
      <c r="I79" s="12">
        <v>0</v>
      </c>
      <c r="J79" s="12"/>
      <c r="K79" s="734">
        <f>SUM(G79:J79)</f>
        <v>3715102</v>
      </c>
      <c r="M79" s="9"/>
      <c r="O79" s="13"/>
    </row>
    <row r="80" spans="1:15" outlineLevel="2">
      <c r="A80" s="730">
        <f>A79+1</f>
        <v>72</v>
      </c>
      <c r="B80" s="9" t="s">
        <v>574</v>
      </c>
      <c r="C80" s="15" t="s">
        <v>781</v>
      </c>
      <c r="D80" s="10" t="s">
        <v>782</v>
      </c>
      <c r="E80" s="11">
        <v>282088</v>
      </c>
      <c r="G80" s="11">
        <f t="shared" ref="G80" si="6">E80+F80</f>
        <v>282088</v>
      </c>
      <c r="H80" s="11">
        <v>0</v>
      </c>
      <c r="I80" s="11">
        <v>0</v>
      </c>
      <c r="K80" s="734">
        <f>SUM(G80:J80)</f>
        <v>282088</v>
      </c>
      <c r="L80" s="10"/>
      <c r="M80" s="9"/>
      <c r="O80" s="13"/>
    </row>
    <row r="81" spans="1:15" outlineLevel="2">
      <c r="A81" s="730">
        <f t="shared" si="3"/>
        <v>73</v>
      </c>
      <c r="B81" s="9" t="s">
        <v>574</v>
      </c>
      <c r="C81" s="15" t="s">
        <v>783</v>
      </c>
      <c r="D81" s="10" t="s">
        <v>784</v>
      </c>
      <c r="E81" s="11">
        <v>8987641.8000000007</v>
      </c>
      <c r="G81" s="11">
        <f t="shared" si="4"/>
        <v>8987641.8000000007</v>
      </c>
      <c r="H81" s="12">
        <v>0</v>
      </c>
      <c r="I81" s="12">
        <v>0</v>
      </c>
      <c r="J81" s="12"/>
      <c r="K81" s="734">
        <f t="shared" si="5"/>
        <v>8987641.8000000007</v>
      </c>
      <c r="M81" s="9"/>
      <c r="O81" s="13"/>
    </row>
    <row r="82" spans="1:15" outlineLevel="2">
      <c r="A82" s="730">
        <f t="shared" si="3"/>
        <v>74</v>
      </c>
      <c r="B82" s="9" t="s">
        <v>574</v>
      </c>
      <c r="C82" s="15" t="s">
        <v>785</v>
      </c>
      <c r="D82" s="10" t="s">
        <v>786</v>
      </c>
      <c r="E82" s="11">
        <v>6257785.9800000004</v>
      </c>
      <c r="G82" s="11">
        <f t="shared" si="4"/>
        <v>6257785.9800000004</v>
      </c>
      <c r="H82" s="12">
        <v>0</v>
      </c>
      <c r="I82" s="12">
        <v>0</v>
      </c>
      <c r="J82" s="12"/>
      <c r="K82" s="734">
        <f t="shared" si="5"/>
        <v>6257785.9800000004</v>
      </c>
      <c r="M82" s="9"/>
      <c r="O82" s="13"/>
    </row>
    <row r="83" spans="1:15" outlineLevel="2">
      <c r="A83" s="730">
        <f t="shared" si="3"/>
        <v>75</v>
      </c>
      <c r="B83" s="9" t="s">
        <v>574</v>
      </c>
      <c r="C83" s="15" t="s">
        <v>787</v>
      </c>
      <c r="D83" s="10" t="s">
        <v>788</v>
      </c>
      <c r="E83" s="11">
        <v>0</v>
      </c>
      <c r="F83" s="11">
        <v>136000</v>
      </c>
      <c r="G83" s="11">
        <f>E83+F83</f>
        <v>136000</v>
      </c>
      <c r="H83" s="12">
        <v>0</v>
      </c>
      <c r="I83" s="12">
        <v>0</v>
      </c>
      <c r="J83" s="12">
        <v>-136000</v>
      </c>
      <c r="K83" s="734">
        <f>SUM(G83:J83)</f>
        <v>0</v>
      </c>
      <c r="M83" s="9"/>
      <c r="O83" s="13"/>
    </row>
    <row r="84" spans="1:15" outlineLevel="2">
      <c r="A84" s="730">
        <f t="shared" si="3"/>
        <v>76</v>
      </c>
      <c r="B84" s="9" t="s">
        <v>574</v>
      </c>
      <c r="C84" s="15" t="s">
        <v>789</v>
      </c>
      <c r="D84" s="10" t="s">
        <v>790</v>
      </c>
      <c r="E84" s="11">
        <v>1089083.24</v>
      </c>
      <c r="G84" s="11">
        <f t="shared" si="4"/>
        <v>1089083.24</v>
      </c>
      <c r="H84" s="12">
        <v>0</v>
      </c>
      <c r="I84" s="12">
        <v>0</v>
      </c>
      <c r="J84" s="12"/>
      <c r="K84" s="734">
        <f t="shared" si="5"/>
        <v>1089083.24</v>
      </c>
      <c r="M84" s="9"/>
      <c r="O84" s="13"/>
    </row>
    <row r="85" spans="1:15" outlineLevel="2">
      <c r="A85" s="730">
        <f t="shared" si="3"/>
        <v>77</v>
      </c>
      <c r="B85" s="9" t="s">
        <v>574</v>
      </c>
      <c r="C85" s="15" t="s">
        <v>791</v>
      </c>
      <c r="D85" s="10" t="s">
        <v>792</v>
      </c>
      <c r="E85" s="11">
        <v>1816903.7</v>
      </c>
      <c r="G85" s="11">
        <f t="shared" si="4"/>
        <v>1816903.7</v>
      </c>
      <c r="H85" s="12">
        <v>0</v>
      </c>
      <c r="I85" s="12">
        <v>0</v>
      </c>
      <c r="J85" s="12"/>
      <c r="K85" s="734">
        <f t="shared" si="5"/>
        <v>1816903.7</v>
      </c>
      <c r="M85" s="9"/>
      <c r="O85" s="13"/>
    </row>
    <row r="86" spans="1:15" outlineLevel="2">
      <c r="A86" s="730">
        <f t="shared" si="3"/>
        <v>78</v>
      </c>
      <c r="B86" s="9" t="s">
        <v>574</v>
      </c>
      <c r="C86" s="15" t="s">
        <v>793</v>
      </c>
      <c r="D86" s="10" t="s">
        <v>794</v>
      </c>
      <c r="E86" s="11">
        <v>1790107.66</v>
      </c>
      <c r="G86" s="11">
        <f>E86+F86</f>
        <v>1790107.66</v>
      </c>
      <c r="H86" s="12">
        <v>0</v>
      </c>
      <c r="I86" s="12">
        <v>0</v>
      </c>
      <c r="J86" s="12"/>
      <c r="K86" s="734">
        <f t="shared" si="5"/>
        <v>1790107.66</v>
      </c>
      <c r="M86" s="9"/>
      <c r="O86" s="13"/>
    </row>
    <row r="87" spans="1:15" outlineLevel="2">
      <c r="A87" s="730">
        <f t="shared" si="3"/>
        <v>79</v>
      </c>
      <c r="B87" s="9" t="s">
        <v>574</v>
      </c>
      <c r="C87" s="15" t="s">
        <v>795</v>
      </c>
      <c r="D87" s="10" t="s">
        <v>796</v>
      </c>
      <c r="E87" s="11">
        <v>6346264.54</v>
      </c>
      <c r="G87" s="11">
        <f t="shared" ref="G87:G107" si="7">E87+F87</f>
        <v>6346264.54</v>
      </c>
      <c r="H87" s="12">
        <v>0</v>
      </c>
      <c r="I87" s="12">
        <v>0</v>
      </c>
      <c r="J87" s="12"/>
      <c r="K87" s="734">
        <f t="shared" si="5"/>
        <v>6346264.54</v>
      </c>
      <c r="M87" s="9"/>
      <c r="O87" s="13"/>
    </row>
    <row r="88" spans="1:15" outlineLevel="2">
      <c r="A88" s="730">
        <f t="shared" si="3"/>
        <v>80</v>
      </c>
      <c r="B88" s="9" t="s">
        <v>574</v>
      </c>
      <c r="C88" s="15" t="s">
        <v>797</v>
      </c>
      <c r="D88" s="10" t="s">
        <v>798</v>
      </c>
      <c r="E88" s="11">
        <v>10569337.84</v>
      </c>
      <c r="G88" s="11">
        <f t="shared" si="7"/>
        <v>10569337.84</v>
      </c>
      <c r="H88" s="12">
        <v>0</v>
      </c>
      <c r="I88" s="12">
        <v>0</v>
      </c>
      <c r="J88" s="12"/>
      <c r="K88" s="734">
        <f t="shared" si="5"/>
        <v>10569337.84</v>
      </c>
      <c r="M88" s="9"/>
      <c r="O88" s="13"/>
    </row>
    <row r="89" spans="1:15" outlineLevel="2">
      <c r="A89" s="730">
        <f t="shared" si="3"/>
        <v>81</v>
      </c>
      <c r="B89" s="9" t="s">
        <v>574</v>
      </c>
      <c r="C89" s="15" t="s">
        <v>799</v>
      </c>
      <c r="D89" s="10" t="s">
        <v>800</v>
      </c>
      <c r="E89" s="11">
        <v>3750704.04</v>
      </c>
      <c r="G89" s="11">
        <f t="shared" si="7"/>
        <v>3750704.04</v>
      </c>
      <c r="H89" s="12">
        <v>0</v>
      </c>
      <c r="I89" s="12">
        <v>0</v>
      </c>
      <c r="J89" s="12"/>
      <c r="K89" s="734">
        <f t="shared" si="5"/>
        <v>3750704.04</v>
      </c>
      <c r="M89" s="9"/>
      <c r="O89" s="13"/>
    </row>
    <row r="90" spans="1:15" outlineLevel="2">
      <c r="A90" s="730">
        <f t="shared" si="3"/>
        <v>82</v>
      </c>
      <c r="B90" s="9" t="s">
        <v>574</v>
      </c>
      <c r="C90" s="15" t="s">
        <v>801</v>
      </c>
      <c r="D90" s="10" t="s">
        <v>802</v>
      </c>
      <c r="E90" s="11">
        <v>2915316.01</v>
      </c>
      <c r="G90" s="11">
        <f t="shared" si="7"/>
        <v>2915316.01</v>
      </c>
      <c r="H90" s="12">
        <v>0</v>
      </c>
      <c r="I90" s="12">
        <v>0</v>
      </c>
      <c r="J90" s="12"/>
      <c r="K90" s="734">
        <f t="shared" si="5"/>
        <v>2915316.01</v>
      </c>
      <c r="M90" s="9"/>
      <c r="O90" s="13"/>
    </row>
    <row r="91" spans="1:15" outlineLevel="2">
      <c r="A91" s="730">
        <f t="shared" si="3"/>
        <v>83</v>
      </c>
      <c r="B91" s="9" t="s">
        <v>574</v>
      </c>
      <c r="C91" s="15" t="s">
        <v>803</v>
      </c>
      <c r="D91" s="10" t="s">
        <v>804</v>
      </c>
      <c r="E91" s="11">
        <v>1132485.8600000001</v>
      </c>
      <c r="G91" s="11">
        <f t="shared" si="7"/>
        <v>1132485.8600000001</v>
      </c>
      <c r="H91" s="12">
        <v>0</v>
      </c>
      <c r="I91" s="12">
        <v>0</v>
      </c>
      <c r="J91" s="12"/>
      <c r="K91" s="734">
        <f t="shared" si="5"/>
        <v>1132485.8600000001</v>
      </c>
      <c r="M91" s="9"/>
      <c r="O91" s="13"/>
    </row>
    <row r="92" spans="1:15" outlineLevel="2">
      <c r="A92" s="730">
        <f t="shared" si="3"/>
        <v>84</v>
      </c>
      <c r="B92" s="9" t="s">
        <v>574</v>
      </c>
      <c r="C92" s="15" t="s">
        <v>805</v>
      </c>
      <c r="D92" s="10" t="s">
        <v>806</v>
      </c>
      <c r="E92" s="11">
        <v>309991</v>
      </c>
      <c r="G92" s="11">
        <f t="shared" si="7"/>
        <v>309991</v>
      </c>
      <c r="H92" s="12">
        <v>0</v>
      </c>
      <c r="I92" s="12">
        <v>0</v>
      </c>
      <c r="J92" s="12"/>
      <c r="K92" s="734">
        <f t="shared" si="5"/>
        <v>309991</v>
      </c>
      <c r="M92" s="9"/>
      <c r="O92" s="13"/>
    </row>
    <row r="93" spans="1:15" outlineLevel="2">
      <c r="A93" s="730">
        <f t="shared" si="3"/>
        <v>85</v>
      </c>
      <c r="B93" s="9" t="s">
        <v>574</v>
      </c>
      <c r="C93" s="15" t="s">
        <v>807</v>
      </c>
      <c r="D93" s="10" t="s">
        <v>808</v>
      </c>
      <c r="E93" s="11">
        <v>2651859.84</v>
      </c>
      <c r="G93" s="11">
        <f t="shared" si="7"/>
        <v>2651859.84</v>
      </c>
      <c r="H93" s="12">
        <v>0</v>
      </c>
      <c r="I93" s="12">
        <v>0</v>
      </c>
      <c r="J93" s="12"/>
      <c r="K93" s="734">
        <f t="shared" si="5"/>
        <v>2651859.84</v>
      </c>
      <c r="M93" s="9"/>
      <c r="O93" s="13"/>
    </row>
    <row r="94" spans="1:15" ht="13.5" customHeight="1" outlineLevel="2">
      <c r="A94" s="730">
        <f t="shared" si="3"/>
        <v>86</v>
      </c>
      <c r="B94" s="9" t="s">
        <v>574</v>
      </c>
      <c r="C94" s="15" t="s">
        <v>809</v>
      </c>
      <c r="D94" s="10" t="s">
        <v>810</v>
      </c>
      <c r="E94" s="11">
        <v>3973415.92</v>
      </c>
      <c r="G94" s="11">
        <f t="shared" si="7"/>
        <v>3973415.92</v>
      </c>
      <c r="H94" s="12">
        <v>0</v>
      </c>
      <c r="I94" s="12">
        <v>0</v>
      </c>
      <c r="J94" s="12"/>
      <c r="K94" s="734">
        <f t="shared" si="5"/>
        <v>3973415.92</v>
      </c>
      <c r="M94" s="9"/>
      <c r="O94" s="13"/>
    </row>
    <row r="95" spans="1:15" outlineLevel="2">
      <c r="A95" s="730">
        <f t="shared" si="3"/>
        <v>87</v>
      </c>
      <c r="B95" s="9" t="s">
        <v>574</v>
      </c>
      <c r="C95" s="15" t="s">
        <v>811</v>
      </c>
      <c r="D95" s="10" t="s">
        <v>812</v>
      </c>
      <c r="E95" s="11">
        <v>5563295.5999999996</v>
      </c>
      <c r="G95" s="11">
        <f t="shared" si="7"/>
        <v>5563295.5999999996</v>
      </c>
      <c r="H95" s="12">
        <v>0</v>
      </c>
      <c r="I95" s="12">
        <v>0</v>
      </c>
      <c r="J95" s="12"/>
      <c r="K95" s="734">
        <f t="shared" si="5"/>
        <v>5563295.5999999996</v>
      </c>
      <c r="M95" s="9"/>
      <c r="O95" s="13"/>
    </row>
    <row r="96" spans="1:15" outlineLevel="2">
      <c r="A96" s="730">
        <f t="shared" si="3"/>
        <v>88</v>
      </c>
      <c r="B96" s="9" t="s">
        <v>574</v>
      </c>
      <c r="C96" s="15" t="s">
        <v>813</v>
      </c>
      <c r="D96" s="10" t="s">
        <v>814</v>
      </c>
      <c r="E96" s="11">
        <v>5949647.5099999998</v>
      </c>
      <c r="G96" s="11">
        <f t="shared" si="7"/>
        <v>5949647.5099999998</v>
      </c>
      <c r="H96" s="12">
        <v>0</v>
      </c>
      <c r="I96" s="12">
        <v>0</v>
      </c>
      <c r="J96" s="12"/>
      <c r="K96" s="734">
        <f t="shared" si="5"/>
        <v>5949647.5099999998</v>
      </c>
      <c r="M96" s="9"/>
      <c r="O96" s="13"/>
    </row>
    <row r="97" spans="1:15" outlineLevel="2">
      <c r="A97" s="730">
        <f t="shared" si="3"/>
        <v>89</v>
      </c>
      <c r="B97" s="9" t="s">
        <v>574</v>
      </c>
      <c r="C97" s="15" t="s">
        <v>815</v>
      </c>
      <c r="D97" s="10" t="s">
        <v>816</v>
      </c>
      <c r="E97" s="11">
        <v>1967901.35</v>
      </c>
      <c r="G97" s="11">
        <f t="shared" si="7"/>
        <v>1967901.35</v>
      </c>
      <c r="H97" s="12">
        <v>0</v>
      </c>
      <c r="I97" s="12">
        <v>0</v>
      </c>
      <c r="J97" s="12"/>
      <c r="K97" s="734">
        <f t="shared" si="5"/>
        <v>1967901.35</v>
      </c>
      <c r="M97" s="9"/>
      <c r="O97" s="13"/>
    </row>
    <row r="98" spans="1:15" outlineLevel="2">
      <c r="A98" s="730">
        <f t="shared" si="3"/>
        <v>90</v>
      </c>
      <c r="B98" s="9" t="s">
        <v>574</v>
      </c>
      <c r="C98" s="15" t="s">
        <v>817</v>
      </c>
      <c r="D98" s="10" t="s">
        <v>818</v>
      </c>
      <c r="E98" s="11">
        <v>6683770.3600000003</v>
      </c>
      <c r="G98" s="11">
        <f t="shared" si="7"/>
        <v>6683770.3600000003</v>
      </c>
      <c r="H98" s="12">
        <v>0</v>
      </c>
      <c r="I98" s="12">
        <v>0</v>
      </c>
      <c r="J98" s="12"/>
      <c r="K98" s="734">
        <f t="shared" si="5"/>
        <v>6683770.3600000003</v>
      </c>
      <c r="M98" s="9"/>
      <c r="O98" s="13"/>
    </row>
    <row r="99" spans="1:15" outlineLevel="2">
      <c r="A99" s="730">
        <f t="shared" si="3"/>
        <v>91</v>
      </c>
      <c r="B99" s="9" t="s">
        <v>574</v>
      </c>
      <c r="C99" s="15" t="s">
        <v>819</v>
      </c>
      <c r="D99" s="10" t="s">
        <v>820</v>
      </c>
      <c r="E99" s="11">
        <v>388816.19</v>
      </c>
      <c r="G99" s="11">
        <f t="shared" si="7"/>
        <v>388816.19</v>
      </c>
      <c r="H99" s="12">
        <v>0</v>
      </c>
      <c r="I99" s="12">
        <v>0</v>
      </c>
      <c r="J99" s="12"/>
      <c r="K99" s="734">
        <f t="shared" si="5"/>
        <v>388816.19</v>
      </c>
      <c r="M99" s="9"/>
      <c r="O99" s="13"/>
    </row>
    <row r="100" spans="1:15" outlineLevel="2">
      <c r="A100" s="730">
        <f t="shared" si="3"/>
        <v>92</v>
      </c>
      <c r="B100" s="9" t="s">
        <v>574</v>
      </c>
      <c r="C100" s="15" t="s">
        <v>821</v>
      </c>
      <c r="D100" s="10" t="s">
        <v>822</v>
      </c>
      <c r="E100" s="11">
        <v>2488318.48</v>
      </c>
      <c r="G100" s="11">
        <f t="shared" si="7"/>
        <v>2488318.48</v>
      </c>
      <c r="H100" s="12">
        <v>0</v>
      </c>
      <c r="I100" s="12">
        <v>0</v>
      </c>
      <c r="J100" s="12"/>
      <c r="K100" s="734">
        <f t="shared" si="5"/>
        <v>2488318.48</v>
      </c>
      <c r="M100" s="9"/>
      <c r="O100" s="13"/>
    </row>
    <row r="101" spans="1:15" outlineLevel="2">
      <c r="A101" s="730">
        <f t="shared" si="3"/>
        <v>93</v>
      </c>
      <c r="B101" s="9" t="s">
        <v>574</v>
      </c>
      <c r="C101" s="15" t="s">
        <v>823</v>
      </c>
      <c r="D101" s="10" t="s">
        <v>824</v>
      </c>
      <c r="E101" s="11">
        <v>2140435.5299999998</v>
      </c>
      <c r="G101" s="11">
        <f t="shared" si="7"/>
        <v>2140435.5299999998</v>
      </c>
      <c r="H101" s="12">
        <v>0</v>
      </c>
      <c r="I101" s="12">
        <v>0</v>
      </c>
      <c r="J101" s="12"/>
      <c r="K101" s="734">
        <f t="shared" si="5"/>
        <v>2140435.5299999998</v>
      </c>
      <c r="M101" s="9"/>
      <c r="O101" s="13"/>
    </row>
    <row r="102" spans="1:15" outlineLevel="2">
      <c r="A102" s="730">
        <f t="shared" si="3"/>
        <v>94</v>
      </c>
      <c r="B102" s="9" t="s">
        <v>574</v>
      </c>
      <c r="C102" s="15" t="s">
        <v>825</v>
      </c>
      <c r="D102" s="10" t="s">
        <v>826</v>
      </c>
      <c r="E102" s="11">
        <v>9269194.1600000001</v>
      </c>
      <c r="G102" s="11">
        <f t="shared" si="7"/>
        <v>9269194.1600000001</v>
      </c>
      <c r="H102" s="12">
        <v>0</v>
      </c>
      <c r="I102" s="12">
        <v>0</v>
      </c>
      <c r="J102" s="12"/>
      <c r="K102" s="734">
        <f t="shared" si="5"/>
        <v>9269194.1600000001</v>
      </c>
      <c r="M102" s="9"/>
      <c r="O102" s="13"/>
    </row>
    <row r="103" spans="1:15" outlineLevel="2">
      <c r="A103" s="730">
        <f t="shared" si="3"/>
        <v>95</v>
      </c>
      <c r="B103" s="9" t="s">
        <v>574</v>
      </c>
      <c r="C103" s="15" t="s">
        <v>827</v>
      </c>
      <c r="D103" s="10" t="s">
        <v>828</v>
      </c>
      <c r="E103" s="11">
        <v>52063.76</v>
      </c>
      <c r="G103" s="11">
        <f t="shared" si="7"/>
        <v>52063.76</v>
      </c>
      <c r="H103" s="12">
        <v>0</v>
      </c>
      <c r="I103" s="12">
        <v>0</v>
      </c>
      <c r="J103" s="12"/>
      <c r="K103" s="734">
        <f t="shared" si="5"/>
        <v>52063.76</v>
      </c>
      <c r="M103" s="9"/>
      <c r="O103" s="13"/>
    </row>
    <row r="104" spans="1:15" outlineLevel="2">
      <c r="A104" s="730">
        <f t="shared" si="3"/>
        <v>96</v>
      </c>
      <c r="B104" s="9" t="s">
        <v>574</v>
      </c>
      <c r="C104" s="15" t="s">
        <v>829</v>
      </c>
      <c r="D104" s="10" t="s">
        <v>830</v>
      </c>
      <c r="E104" s="11">
        <v>91742.49</v>
      </c>
      <c r="G104" s="11">
        <f t="shared" si="7"/>
        <v>91742.49</v>
      </c>
      <c r="H104" s="12">
        <v>0</v>
      </c>
      <c r="I104" s="12">
        <v>0</v>
      </c>
      <c r="J104" s="12"/>
      <c r="K104" s="734">
        <f t="shared" si="5"/>
        <v>91742.49</v>
      </c>
      <c r="M104" s="9"/>
      <c r="O104" s="13"/>
    </row>
    <row r="105" spans="1:15" outlineLevel="2">
      <c r="A105" s="730">
        <f t="shared" si="3"/>
        <v>97</v>
      </c>
      <c r="B105" s="9" t="s">
        <v>574</v>
      </c>
      <c r="C105" s="15" t="s">
        <v>831</v>
      </c>
      <c r="D105" s="10" t="s">
        <v>832</v>
      </c>
      <c r="E105" s="11">
        <v>2235654.88</v>
      </c>
      <c r="G105" s="11">
        <f t="shared" si="7"/>
        <v>2235654.88</v>
      </c>
      <c r="H105" s="12">
        <v>0</v>
      </c>
      <c r="I105" s="12">
        <v>0</v>
      </c>
      <c r="J105" s="12"/>
      <c r="K105" s="734">
        <f t="shared" si="5"/>
        <v>2235654.88</v>
      </c>
      <c r="M105" s="9"/>
      <c r="O105" s="13"/>
    </row>
    <row r="106" spans="1:15" outlineLevel="2">
      <c r="A106" s="730">
        <f t="shared" si="3"/>
        <v>98</v>
      </c>
      <c r="B106" s="9" t="s">
        <v>574</v>
      </c>
      <c r="C106" s="15" t="s">
        <v>833</v>
      </c>
      <c r="D106" s="10" t="s">
        <v>834</v>
      </c>
      <c r="E106" s="11">
        <v>576089.67000000004</v>
      </c>
      <c r="G106" s="11">
        <f t="shared" si="7"/>
        <v>576089.67000000004</v>
      </c>
      <c r="H106" s="12">
        <v>-576090</v>
      </c>
      <c r="I106" s="12">
        <v>0</v>
      </c>
      <c r="J106" s="12"/>
      <c r="K106" s="734">
        <f t="shared" si="5"/>
        <v>-0.32999999995809048</v>
      </c>
      <c r="M106" s="9"/>
      <c r="O106" s="13"/>
    </row>
    <row r="107" spans="1:15" outlineLevel="2">
      <c r="A107" s="730">
        <f t="shared" si="3"/>
        <v>99</v>
      </c>
      <c r="B107" s="9" t="s">
        <v>574</v>
      </c>
      <c r="C107" s="15" t="s">
        <v>835</v>
      </c>
      <c r="D107" s="10" t="s">
        <v>836</v>
      </c>
      <c r="E107" s="11">
        <v>10989275.16</v>
      </c>
      <c r="G107" s="11">
        <f t="shared" si="7"/>
        <v>10989275.16</v>
      </c>
      <c r="H107" s="12">
        <v>0</v>
      </c>
      <c r="I107" s="12">
        <v>0</v>
      </c>
      <c r="J107" s="12"/>
      <c r="K107" s="734">
        <f t="shared" si="5"/>
        <v>10989275.16</v>
      </c>
      <c r="M107" s="9"/>
      <c r="O107" s="13"/>
    </row>
    <row r="108" spans="1:15" outlineLevel="2">
      <c r="A108" s="730">
        <f t="shared" si="3"/>
        <v>100</v>
      </c>
      <c r="B108" s="9" t="s">
        <v>574</v>
      </c>
      <c r="C108" s="15" t="s">
        <v>837</v>
      </c>
      <c r="D108" s="10" t="s">
        <v>838</v>
      </c>
      <c r="E108" s="11">
        <v>1938352.95</v>
      </c>
      <c r="G108" s="11">
        <f>E108+F108</f>
        <v>1938352.95</v>
      </c>
      <c r="H108" s="12">
        <v>0</v>
      </c>
      <c r="I108" s="12">
        <v>0</v>
      </c>
      <c r="J108" s="12"/>
      <c r="K108" s="734">
        <f t="shared" si="5"/>
        <v>1938352.95</v>
      </c>
      <c r="M108" s="9"/>
      <c r="O108" s="13"/>
    </row>
    <row r="109" spans="1:15" outlineLevel="2">
      <c r="A109" s="730">
        <f t="shared" si="3"/>
        <v>101</v>
      </c>
      <c r="B109" s="9" t="s">
        <v>574</v>
      </c>
      <c r="C109" s="15" t="s">
        <v>839</v>
      </c>
      <c r="D109" s="10" t="s">
        <v>840</v>
      </c>
      <c r="E109" s="11">
        <v>3217192.17</v>
      </c>
      <c r="G109" s="11">
        <f t="shared" ref="G109:G123" si="8">E109+F109</f>
        <v>3217192.17</v>
      </c>
      <c r="H109" s="12">
        <v>0</v>
      </c>
      <c r="I109" s="12">
        <v>0</v>
      </c>
      <c r="J109" s="12"/>
      <c r="K109" s="734">
        <f t="shared" si="5"/>
        <v>3217192.17</v>
      </c>
      <c r="M109" s="9"/>
      <c r="O109" s="13"/>
    </row>
    <row r="110" spans="1:15" outlineLevel="2">
      <c r="A110" s="730">
        <f t="shared" si="3"/>
        <v>102</v>
      </c>
      <c r="B110" s="9" t="s">
        <v>574</v>
      </c>
      <c r="C110" s="15" t="s">
        <v>841</v>
      </c>
      <c r="D110" s="10" t="s">
        <v>842</v>
      </c>
      <c r="E110" s="11">
        <v>277896.62</v>
      </c>
      <c r="G110" s="11">
        <f t="shared" si="8"/>
        <v>277896.62</v>
      </c>
      <c r="H110" s="12">
        <v>0</v>
      </c>
      <c r="I110" s="12">
        <v>0</v>
      </c>
      <c r="J110" s="12"/>
      <c r="K110" s="734">
        <f t="shared" si="5"/>
        <v>277896.62</v>
      </c>
      <c r="M110" s="9"/>
    </row>
    <row r="111" spans="1:15" outlineLevel="2">
      <c r="A111" s="730">
        <f t="shared" si="3"/>
        <v>103</v>
      </c>
      <c r="B111" s="9" t="s">
        <v>574</v>
      </c>
      <c r="C111" s="15" t="s">
        <v>843</v>
      </c>
      <c r="D111" s="10" t="s">
        <v>844</v>
      </c>
      <c r="E111" s="11">
        <v>6743203.0499999998</v>
      </c>
      <c r="G111" s="11">
        <f t="shared" si="8"/>
        <v>6743203.0499999998</v>
      </c>
      <c r="H111" s="12">
        <v>0</v>
      </c>
      <c r="I111" s="12">
        <v>0</v>
      </c>
      <c r="J111" s="12"/>
      <c r="K111" s="734">
        <f t="shared" si="5"/>
        <v>6743203.0499999998</v>
      </c>
      <c r="M111" s="9"/>
      <c r="O111" s="13"/>
    </row>
    <row r="112" spans="1:15" outlineLevel="2">
      <c r="A112" s="730">
        <f t="shared" si="3"/>
        <v>104</v>
      </c>
      <c r="B112" s="9" t="s">
        <v>574</v>
      </c>
      <c r="C112" s="15" t="s">
        <v>845</v>
      </c>
      <c r="D112" s="10" t="s">
        <v>846</v>
      </c>
      <c r="E112" s="11">
        <v>1084857.5</v>
      </c>
      <c r="G112" s="11">
        <f t="shared" si="8"/>
        <v>1084857.5</v>
      </c>
      <c r="H112" s="12">
        <v>0</v>
      </c>
      <c r="I112" s="12">
        <v>0</v>
      </c>
      <c r="J112" s="12"/>
      <c r="K112" s="734">
        <f t="shared" si="5"/>
        <v>1084857.5</v>
      </c>
    </row>
    <row r="113" spans="1:15" outlineLevel="2">
      <c r="A113" s="730">
        <f t="shared" si="3"/>
        <v>105</v>
      </c>
      <c r="B113" s="9" t="s">
        <v>574</v>
      </c>
      <c r="C113" s="15" t="s">
        <v>847</v>
      </c>
      <c r="D113" s="10" t="s">
        <v>848</v>
      </c>
      <c r="E113" s="11">
        <v>3485236.01</v>
      </c>
      <c r="G113" s="11">
        <f t="shared" si="8"/>
        <v>3485236.01</v>
      </c>
      <c r="H113" s="12">
        <v>0</v>
      </c>
      <c r="I113" s="12">
        <v>0</v>
      </c>
      <c r="J113" s="12"/>
      <c r="K113" s="734">
        <f t="shared" si="5"/>
        <v>3485236.01</v>
      </c>
      <c r="M113" s="9"/>
      <c r="O113" s="13"/>
    </row>
    <row r="114" spans="1:15" outlineLevel="2">
      <c r="A114" s="730">
        <f t="shared" si="3"/>
        <v>106</v>
      </c>
      <c r="B114" s="9" t="s">
        <v>574</v>
      </c>
      <c r="C114" s="15" t="s">
        <v>849</v>
      </c>
      <c r="D114" s="10" t="s">
        <v>850</v>
      </c>
      <c r="E114" s="11">
        <v>2418956.92</v>
      </c>
      <c r="G114" s="11">
        <f t="shared" si="8"/>
        <v>2418956.92</v>
      </c>
      <c r="H114" s="12">
        <v>0</v>
      </c>
      <c r="I114" s="12">
        <v>0</v>
      </c>
      <c r="J114" s="12"/>
      <c r="K114" s="734">
        <f t="shared" si="5"/>
        <v>2418956.92</v>
      </c>
      <c r="M114" s="9"/>
      <c r="O114" s="13"/>
    </row>
    <row r="115" spans="1:15" outlineLevel="2">
      <c r="A115" s="730">
        <f t="shared" si="3"/>
        <v>107</v>
      </c>
      <c r="B115" s="9" t="s">
        <v>574</v>
      </c>
      <c r="C115" s="15" t="s">
        <v>851</v>
      </c>
      <c r="D115" s="10" t="s">
        <v>852</v>
      </c>
      <c r="E115" s="11">
        <v>5110115.21</v>
      </c>
      <c r="G115" s="11">
        <f t="shared" si="8"/>
        <v>5110115.21</v>
      </c>
      <c r="H115" s="12">
        <v>0</v>
      </c>
      <c r="I115" s="12">
        <v>0</v>
      </c>
      <c r="J115" s="12"/>
      <c r="K115" s="734">
        <f t="shared" si="5"/>
        <v>5110115.21</v>
      </c>
      <c r="M115" s="9"/>
      <c r="O115" s="13"/>
    </row>
    <row r="116" spans="1:15" outlineLevel="2">
      <c r="A116" s="730">
        <f t="shared" si="3"/>
        <v>108</v>
      </c>
      <c r="B116" s="9" t="s">
        <v>574</v>
      </c>
      <c r="C116" s="15" t="s">
        <v>853</v>
      </c>
      <c r="D116" s="10" t="s">
        <v>854</v>
      </c>
      <c r="E116" s="11">
        <v>312931.03999999998</v>
      </c>
      <c r="G116" s="11">
        <f t="shared" si="8"/>
        <v>312931.03999999998</v>
      </c>
      <c r="H116" s="12">
        <v>0</v>
      </c>
      <c r="I116" s="12">
        <v>0</v>
      </c>
      <c r="J116" s="12"/>
      <c r="K116" s="734">
        <f t="shared" si="5"/>
        <v>312931.03999999998</v>
      </c>
      <c r="M116" s="9"/>
      <c r="O116" s="13"/>
    </row>
    <row r="117" spans="1:15" outlineLevel="2">
      <c r="A117" s="730">
        <f t="shared" si="3"/>
        <v>109</v>
      </c>
      <c r="B117" s="9" t="s">
        <v>574</v>
      </c>
      <c r="C117" s="15" t="s">
        <v>855</v>
      </c>
      <c r="D117" s="10" t="s">
        <v>856</v>
      </c>
      <c r="E117" s="11">
        <v>7488153.7300000004</v>
      </c>
      <c r="G117" s="11">
        <f t="shared" si="8"/>
        <v>7488153.7300000004</v>
      </c>
      <c r="H117" s="12">
        <v>0</v>
      </c>
      <c r="I117" s="12">
        <v>0</v>
      </c>
      <c r="J117" s="12"/>
      <c r="K117" s="734">
        <f t="shared" si="5"/>
        <v>7488153.7300000004</v>
      </c>
      <c r="M117" s="9"/>
      <c r="O117" s="13"/>
    </row>
    <row r="118" spans="1:15" outlineLevel="2">
      <c r="A118" s="730">
        <f t="shared" si="3"/>
        <v>110</v>
      </c>
      <c r="B118" s="9" t="s">
        <v>574</v>
      </c>
      <c r="C118" s="15" t="s">
        <v>857</v>
      </c>
      <c r="D118" s="10" t="s">
        <v>858</v>
      </c>
      <c r="E118" s="11">
        <v>26924889.420000002</v>
      </c>
      <c r="G118" s="11">
        <f t="shared" si="8"/>
        <v>26924889.420000002</v>
      </c>
      <c r="H118" s="12">
        <v>0</v>
      </c>
      <c r="I118" s="12">
        <v>0</v>
      </c>
      <c r="J118" s="12"/>
      <c r="K118" s="734">
        <f t="shared" si="5"/>
        <v>26924889.420000002</v>
      </c>
      <c r="M118" s="9"/>
      <c r="O118" s="13"/>
    </row>
    <row r="119" spans="1:15" outlineLevel="2">
      <c r="A119" s="730">
        <f t="shared" si="3"/>
        <v>111</v>
      </c>
      <c r="B119" s="9" t="s">
        <v>574</v>
      </c>
      <c r="C119" s="15" t="s">
        <v>661</v>
      </c>
      <c r="D119" s="10" t="s">
        <v>859</v>
      </c>
      <c r="E119" s="11">
        <v>349954</v>
      </c>
      <c r="G119" s="11">
        <f t="shared" si="8"/>
        <v>349954</v>
      </c>
      <c r="H119" s="12">
        <v>0</v>
      </c>
      <c r="I119" s="12">
        <v>0</v>
      </c>
      <c r="J119" s="12"/>
      <c r="K119" s="734">
        <f t="shared" si="5"/>
        <v>349954</v>
      </c>
      <c r="M119" s="9"/>
      <c r="O119" s="13"/>
    </row>
    <row r="120" spans="1:15" outlineLevel="2">
      <c r="A120" s="730">
        <f t="shared" si="3"/>
        <v>112</v>
      </c>
      <c r="B120" s="9" t="s">
        <v>574</v>
      </c>
      <c r="C120" s="15" t="s">
        <v>860</v>
      </c>
      <c r="D120" s="10" t="s">
        <v>861</v>
      </c>
      <c r="E120" s="11">
        <v>17627867.68</v>
      </c>
      <c r="G120" s="11">
        <f t="shared" si="8"/>
        <v>17627867.68</v>
      </c>
      <c r="H120" s="12">
        <v>0</v>
      </c>
      <c r="I120" s="12">
        <v>0</v>
      </c>
      <c r="J120" s="12"/>
      <c r="K120" s="734">
        <f t="shared" si="5"/>
        <v>17627867.68</v>
      </c>
      <c r="M120" s="9"/>
      <c r="O120" s="13"/>
    </row>
    <row r="121" spans="1:15" outlineLevel="2">
      <c r="A121" s="730">
        <f t="shared" si="3"/>
        <v>113</v>
      </c>
      <c r="B121" s="9" t="s">
        <v>574</v>
      </c>
      <c r="C121" s="15" t="s">
        <v>862</v>
      </c>
      <c r="D121" s="10" t="s">
        <v>863</v>
      </c>
      <c r="E121" s="11">
        <v>11035513.970000001</v>
      </c>
      <c r="G121" s="11">
        <f t="shared" si="8"/>
        <v>11035513.970000001</v>
      </c>
      <c r="H121" s="12">
        <v>0</v>
      </c>
      <c r="I121" s="12">
        <v>0</v>
      </c>
      <c r="J121" s="12"/>
      <c r="K121" s="734">
        <f t="shared" si="5"/>
        <v>11035513.970000001</v>
      </c>
      <c r="M121" s="9"/>
      <c r="O121" s="13"/>
    </row>
    <row r="122" spans="1:15" outlineLevel="2">
      <c r="A122" s="730">
        <f t="shared" si="3"/>
        <v>114</v>
      </c>
      <c r="B122" s="9" t="s">
        <v>574</v>
      </c>
      <c r="C122" s="15" t="s">
        <v>864</v>
      </c>
      <c r="D122" s="10" t="s">
        <v>865</v>
      </c>
      <c r="E122" s="11">
        <v>4629315.97</v>
      </c>
      <c r="G122" s="11">
        <f t="shared" si="8"/>
        <v>4629315.97</v>
      </c>
      <c r="H122" s="12">
        <v>0</v>
      </c>
      <c r="I122" s="12">
        <v>0</v>
      </c>
      <c r="J122" s="12"/>
      <c r="K122" s="734">
        <f t="shared" si="5"/>
        <v>4629315.97</v>
      </c>
      <c r="M122" s="9"/>
      <c r="O122" s="13"/>
    </row>
    <row r="123" spans="1:15" outlineLevel="2">
      <c r="A123" s="730">
        <f t="shared" si="3"/>
        <v>115</v>
      </c>
      <c r="B123" s="9" t="s">
        <v>574</v>
      </c>
      <c r="C123" s="15" t="s">
        <v>866</v>
      </c>
      <c r="D123" s="10" t="s">
        <v>867</v>
      </c>
      <c r="E123" s="11">
        <v>2265163.38</v>
      </c>
      <c r="G123" s="11">
        <f t="shared" si="8"/>
        <v>2265163.38</v>
      </c>
      <c r="H123" s="12">
        <v>0</v>
      </c>
      <c r="I123" s="12">
        <v>0</v>
      </c>
      <c r="J123" s="12"/>
      <c r="K123" s="734">
        <f t="shared" si="5"/>
        <v>2265163.38</v>
      </c>
      <c r="M123" s="9"/>
      <c r="O123" s="13"/>
    </row>
    <row r="124" spans="1:15" s="5" customFormat="1" ht="13.5" outlineLevel="1" thickBot="1">
      <c r="A124" s="730">
        <f t="shared" si="3"/>
        <v>116</v>
      </c>
      <c r="B124" s="16" t="s">
        <v>868</v>
      </c>
      <c r="C124" s="17"/>
      <c r="D124" s="18" t="s">
        <v>869</v>
      </c>
      <c r="E124" s="19">
        <f>SUBTOTAL(9,E6:E123)</f>
        <v>587968501.47000027</v>
      </c>
      <c r="F124" s="19">
        <f>SUBTOTAL(9,F6:F123)</f>
        <v>3851102</v>
      </c>
      <c r="G124" s="19">
        <f>SUBTOTAL(9,G6:G123)</f>
        <v>591819603.47000027</v>
      </c>
      <c r="H124" s="19">
        <f>SUBTOTAL(9,H6:H123)</f>
        <v>-576090</v>
      </c>
      <c r="I124" s="19">
        <f>SUBTOTAL(9,I6:I123)</f>
        <v>0</v>
      </c>
      <c r="J124" s="19"/>
      <c r="K124" s="735">
        <f>SUBTOTAL(9,K6:K123)</f>
        <v>591107513.47000027</v>
      </c>
      <c r="L124" s="20"/>
      <c r="M124" s="3"/>
      <c r="N124" s="3"/>
      <c r="O124" s="6"/>
    </row>
    <row r="125" spans="1:15" ht="13.5" outlineLevel="2" thickTop="1">
      <c r="A125" s="730">
        <f t="shared" si="3"/>
        <v>117</v>
      </c>
      <c r="B125" s="9" t="s">
        <v>576</v>
      </c>
      <c r="C125" s="15" t="s">
        <v>870</v>
      </c>
      <c r="D125" s="10" t="s">
        <v>871</v>
      </c>
      <c r="E125" s="11">
        <v>6259.21</v>
      </c>
      <c r="G125" s="11">
        <f>E125+F125</f>
        <v>6259.21</v>
      </c>
      <c r="H125" s="11">
        <v>0</v>
      </c>
      <c r="I125" s="11">
        <v>0</v>
      </c>
      <c r="K125" s="734">
        <f>SUM(G125:J125)</f>
        <v>6259.21</v>
      </c>
      <c r="M125" s="9"/>
      <c r="O125" s="13"/>
    </row>
    <row r="126" spans="1:15" outlineLevel="2">
      <c r="A126" s="730">
        <f t="shared" si="3"/>
        <v>118</v>
      </c>
      <c r="B126" s="9" t="s">
        <v>576</v>
      </c>
      <c r="C126" s="15" t="s">
        <v>872</v>
      </c>
      <c r="D126" s="1" t="s">
        <v>873</v>
      </c>
      <c r="E126" s="11">
        <v>5878984.1399999997</v>
      </c>
      <c r="G126" s="11">
        <f t="shared" ref="G126" si="9">E126+F126</f>
        <v>5878984.1399999997</v>
      </c>
      <c r="H126" s="11">
        <v>0</v>
      </c>
      <c r="I126" s="11">
        <v>0</v>
      </c>
      <c r="K126" s="734">
        <f t="shared" ref="K126" si="10">SUM(G126:J126)</f>
        <v>5878984.1399999997</v>
      </c>
      <c r="M126" s="9"/>
      <c r="O126" s="13"/>
    </row>
    <row r="127" spans="1:15" outlineLevel="2">
      <c r="A127" s="730">
        <f t="shared" si="3"/>
        <v>119</v>
      </c>
      <c r="B127" s="9" t="s">
        <v>576</v>
      </c>
      <c r="C127" s="15" t="s">
        <v>874</v>
      </c>
      <c r="D127" s="10" t="s">
        <v>875</v>
      </c>
      <c r="E127" s="11">
        <v>2318295.1</v>
      </c>
      <c r="G127" s="11">
        <f t="shared" ref="G127:G189" si="11">E127+F127</f>
        <v>2318295.1</v>
      </c>
      <c r="H127" s="11">
        <v>-800024</v>
      </c>
      <c r="I127" s="11">
        <v>0</v>
      </c>
      <c r="K127" s="734">
        <f t="shared" ref="K127:K189" si="12">SUM(G127:J127)</f>
        <v>1518271.1</v>
      </c>
      <c r="M127" s="9"/>
      <c r="O127" s="13"/>
    </row>
    <row r="128" spans="1:15" outlineLevel="2">
      <c r="A128" s="730">
        <f t="shared" si="3"/>
        <v>120</v>
      </c>
      <c r="B128" s="9" t="s">
        <v>576</v>
      </c>
      <c r="C128" s="15" t="s">
        <v>876</v>
      </c>
      <c r="D128" s="10" t="s">
        <v>877</v>
      </c>
      <c r="E128" s="11">
        <v>63325.31</v>
      </c>
      <c r="G128" s="11">
        <f t="shared" si="11"/>
        <v>63325.31</v>
      </c>
      <c r="H128" s="11">
        <v>0</v>
      </c>
      <c r="I128" s="11">
        <v>0</v>
      </c>
      <c r="K128" s="734">
        <f t="shared" si="12"/>
        <v>63325.31</v>
      </c>
      <c r="M128" s="9"/>
    </row>
    <row r="129" spans="1:15" outlineLevel="2">
      <c r="A129" s="730">
        <f t="shared" si="3"/>
        <v>121</v>
      </c>
      <c r="B129" s="9" t="s">
        <v>576</v>
      </c>
      <c r="C129" s="15" t="s">
        <v>878</v>
      </c>
      <c r="D129" s="10" t="s">
        <v>879</v>
      </c>
      <c r="E129" s="11">
        <v>35004.78</v>
      </c>
      <c r="G129" s="11">
        <f t="shared" si="11"/>
        <v>35004.78</v>
      </c>
      <c r="H129" s="11">
        <v>-35005</v>
      </c>
      <c r="I129" s="11">
        <v>0</v>
      </c>
      <c r="K129" s="734">
        <f t="shared" si="12"/>
        <v>-0.22000000000116415</v>
      </c>
      <c r="M129" s="9"/>
    </row>
    <row r="130" spans="1:15" outlineLevel="2">
      <c r="A130" s="730">
        <f t="shared" si="3"/>
        <v>122</v>
      </c>
      <c r="B130" s="9" t="s">
        <v>576</v>
      </c>
      <c r="C130" s="15" t="s">
        <v>880</v>
      </c>
      <c r="D130" s="10" t="s">
        <v>881</v>
      </c>
      <c r="E130" s="11">
        <v>2899880.73</v>
      </c>
      <c r="G130" s="11">
        <f t="shared" si="11"/>
        <v>2899880.73</v>
      </c>
      <c r="H130" s="11">
        <v>-124344</v>
      </c>
      <c r="I130" s="11">
        <v>0</v>
      </c>
      <c r="K130" s="734">
        <f t="shared" si="12"/>
        <v>2775536.73</v>
      </c>
      <c r="M130" s="9"/>
    </row>
    <row r="131" spans="1:15" outlineLevel="2">
      <c r="A131" s="730">
        <f t="shared" si="3"/>
        <v>123</v>
      </c>
      <c r="B131" s="9" t="s">
        <v>576</v>
      </c>
      <c r="C131" s="15" t="s">
        <v>882</v>
      </c>
      <c r="D131" s="10" t="s">
        <v>883</v>
      </c>
      <c r="E131" s="11">
        <v>279691.27</v>
      </c>
      <c r="G131" s="11">
        <f t="shared" si="11"/>
        <v>279691.27</v>
      </c>
      <c r="H131" s="11">
        <v>0</v>
      </c>
      <c r="I131" s="11">
        <v>0</v>
      </c>
      <c r="K131" s="734">
        <f t="shared" si="12"/>
        <v>279691.27</v>
      </c>
      <c r="M131" s="9"/>
    </row>
    <row r="132" spans="1:15" outlineLevel="2">
      <c r="A132" s="730">
        <f t="shared" si="3"/>
        <v>124</v>
      </c>
      <c r="B132" s="9" t="s">
        <v>576</v>
      </c>
      <c r="C132" s="15" t="s">
        <v>884</v>
      </c>
      <c r="D132" s="10" t="s">
        <v>885</v>
      </c>
      <c r="E132" s="11">
        <v>298521.89</v>
      </c>
      <c r="G132" s="11">
        <f t="shared" si="11"/>
        <v>298521.89</v>
      </c>
      <c r="H132" s="11">
        <v>0</v>
      </c>
      <c r="I132" s="11">
        <v>0</v>
      </c>
      <c r="K132" s="734">
        <f>SUM(G132:J132)</f>
        <v>298521.89</v>
      </c>
      <c r="M132" s="9"/>
      <c r="O132" s="13"/>
    </row>
    <row r="133" spans="1:15" outlineLevel="2">
      <c r="A133" s="730">
        <f t="shared" si="3"/>
        <v>125</v>
      </c>
      <c r="B133" s="9" t="s">
        <v>576</v>
      </c>
      <c r="C133" s="15" t="s">
        <v>886</v>
      </c>
      <c r="D133" s="10" t="s">
        <v>887</v>
      </c>
      <c r="E133" s="11">
        <v>13779308.23</v>
      </c>
      <c r="G133" s="11">
        <f t="shared" si="11"/>
        <v>13779308.23</v>
      </c>
      <c r="H133" s="11">
        <v>-163836</v>
      </c>
      <c r="I133" s="11">
        <v>0</v>
      </c>
      <c r="K133" s="734">
        <f t="shared" si="12"/>
        <v>13615472.23</v>
      </c>
      <c r="L133" s="10"/>
      <c r="M133" s="9"/>
      <c r="O133" s="13"/>
    </row>
    <row r="134" spans="1:15" outlineLevel="2">
      <c r="A134" s="730">
        <f t="shared" si="3"/>
        <v>126</v>
      </c>
      <c r="B134" s="9" t="s">
        <v>576</v>
      </c>
      <c r="C134" s="15" t="s">
        <v>888</v>
      </c>
      <c r="D134" s="10" t="s">
        <v>889</v>
      </c>
      <c r="E134" s="11">
        <v>4733509.87</v>
      </c>
      <c r="G134" s="11">
        <f t="shared" si="11"/>
        <v>4733509.87</v>
      </c>
      <c r="H134" s="11">
        <v>-231321</v>
      </c>
      <c r="I134" s="11">
        <v>0</v>
      </c>
      <c r="K134" s="734">
        <f t="shared" si="12"/>
        <v>4502188.87</v>
      </c>
      <c r="L134" s="10"/>
      <c r="M134" s="9"/>
      <c r="O134" s="13"/>
    </row>
    <row r="135" spans="1:15" outlineLevel="2">
      <c r="A135" s="730">
        <f t="shared" si="3"/>
        <v>127</v>
      </c>
      <c r="B135" s="9" t="s">
        <v>576</v>
      </c>
      <c r="C135" s="15" t="s">
        <v>890</v>
      </c>
      <c r="D135" s="10" t="s">
        <v>891</v>
      </c>
      <c r="E135" s="11">
        <v>272529.27</v>
      </c>
      <c r="G135" s="11">
        <f t="shared" si="11"/>
        <v>272529.27</v>
      </c>
      <c r="H135" s="11">
        <v>-218122</v>
      </c>
      <c r="I135" s="11">
        <v>0</v>
      </c>
      <c r="K135" s="734">
        <f t="shared" si="12"/>
        <v>54407.270000000019</v>
      </c>
      <c r="L135" s="10"/>
      <c r="M135" s="9"/>
      <c r="O135" s="13"/>
    </row>
    <row r="136" spans="1:15" outlineLevel="2">
      <c r="A136" s="730">
        <f t="shared" ref="A136:A199" si="13">A135+1</f>
        <v>128</v>
      </c>
      <c r="B136" s="9" t="s">
        <v>576</v>
      </c>
      <c r="C136" s="15" t="s">
        <v>892</v>
      </c>
      <c r="D136" s="10" t="s">
        <v>893</v>
      </c>
      <c r="E136" s="11">
        <v>18166328.789999999</v>
      </c>
      <c r="F136" s="11">
        <v>650000</v>
      </c>
      <c r="G136" s="11">
        <f t="shared" si="11"/>
        <v>18816328.789999999</v>
      </c>
      <c r="H136" s="11">
        <f>-187218-50000</f>
        <v>-237218</v>
      </c>
      <c r="K136" s="734">
        <f t="shared" si="12"/>
        <v>18579110.789999999</v>
      </c>
      <c r="L136" s="10"/>
      <c r="M136" s="9"/>
      <c r="O136" s="13"/>
    </row>
    <row r="137" spans="1:15" outlineLevel="2">
      <c r="A137" s="730">
        <f t="shared" si="13"/>
        <v>129</v>
      </c>
      <c r="B137" s="9" t="s">
        <v>576</v>
      </c>
      <c r="C137" s="15" t="s">
        <v>894</v>
      </c>
      <c r="D137" s="10" t="s">
        <v>895</v>
      </c>
      <c r="E137" s="11">
        <v>12472.19</v>
      </c>
      <c r="G137" s="11">
        <f t="shared" si="11"/>
        <v>12472.19</v>
      </c>
      <c r="H137" s="11">
        <v>0</v>
      </c>
      <c r="I137" s="11">
        <v>0</v>
      </c>
      <c r="K137" s="734">
        <f t="shared" si="12"/>
        <v>12472.19</v>
      </c>
      <c r="M137" s="9"/>
      <c r="O137" s="13"/>
    </row>
    <row r="138" spans="1:15" outlineLevel="2">
      <c r="A138" s="730">
        <f t="shared" si="13"/>
        <v>130</v>
      </c>
      <c r="B138" s="9" t="s">
        <v>576</v>
      </c>
      <c r="C138" s="15" t="s">
        <v>896</v>
      </c>
      <c r="D138" s="10" t="s">
        <v>897</v>
      </c>
      <c r="E138" s="11">
        <v>2997082.15</v>
      </c>
      <c r="G138" s="11">
        <f t="shared" si="11"/>
        <v>2997082.15</v>
      </c>
      <c r="H138" s="11">
        <v>-630455</v>
      </c>
      <c r="I138" s="11">
        <v>0</v>
      </c>
      <c r="K138" s="734">
        <f t="shared" si="12"/>
        <v>2366627.15</v>
      </c>
      <c r="L138" s="10"/>
      <c r="M138" s="9"/>
      <c r="O138" s="13"/>
    </row>
    <row r="139" spans="1:15" outlineLevel="2">
      <c r="A139" s="730">
        <f t="shared" si="13"/>
        <v>131</v>
      </c>
      <c r="B139" s="9" t="s">
        <v>576</v>
      </c>
      <c r="C139" s="15" t="s">
        <v>898</v>
      </c>
      <c r="D139" s="10" t="s">
        <v>899</v>
      </c>
      <c r="E139" s="11">
        <v>3398445.6</v>
      </c>
      <c r="G139" s="11">
        <f t="shared" si="11"/>
        <v>3398445.6</v>
      </c>
      <c r="H139" s="11">
        <v>-1226623</v>
      </c>
      <c r="I139" s="11">
        <v>0</v>
      </c>
      <c r="K139" s="734">
        <f>SUM(G139:J139)</f>
        <v>2171822.6</v>
      </c>
      <c r="L139" s="10"/>
      <c r="M139" s="9"/>
      <c r="O139" s="13"/>
    </row>
    <row r="140" spans="1:15" outlineLevel="2">
      <c r="A140" s="730">
        <f t="shared" si="13"/>
        <v>132</v>
      </c>
      <c r="B140" s="9" t="s">
        <v>576</v>
      </c>
      <c r="C140" s="15" t="s">
        <v>900</v>
      </c>
      <c r="D140" s="10" t="s">
        <v>901</v>
      </c>
      <c r="E140" s="11">
        <v>17356137.399999999</v>
      </c>
      <c r="F140" s="11">
        <f>668000+10085569</f>
        <v>10753569</v>
      </c>
      <c r="G140" s="11">
        <f t="shared" si="11"/>
        <v>28109706.399999999</v>
      </c>
      <c r="H140" s="11">
        <v>0</v>
      </c>
      <c r="I140" s="11">
        <v>0</v>
      </c>
      <c r="K140" s="734">
        <f t="shared" si="12"/>
        <v>28109706.399999999</v>
      </c>
      <c r="M140" s="9"/>
      <c r="O140" s="13"/>
    </row>
    <row r="141" spans="1:15" outlineLevel="2">
      <c r="A141" s="730">
        <f t="shared" si="13"/>
        <v>133</v>
      </c>
      <c r="B141" s="9" t="s">
        <v>576</v>
      </c>
      <c r="C141" s="15" t="s">
        <v>902</v>
      </c>
      <c r="D141" s="10" t="s">
        <v>903</v>
      </c>
      <c r="E141" s="11">
        <v>4765825.66</v>
      </c>
      <c r="G141" s="11">
        <f t="shared" si="11"/>
        <v>4765825.66</v>
      </c>
      <c r="H141" s="11">
        <v>0</v>
      </c>
      <c r="I141" s="11">
        <v>0</v>
      </c>
      <c r="K141" s="734">
        <f t="shared" si="12"/>
        <v>4765825.66</v>
      </c>
      <c r="M141" s="9"/>
      <c r="O141" s="13"/>
    </row>
    <row r="142" spans="1:15" outlineLevel="2">
      <c r="A142" s="730">
        <f t="shared" si="13"/>
        <v>134</v>
      </c>
      <c r="B142" s="9" t="s">
        <v>576</v>
      </c>
      <c r="C142" s="15" t="s">
        <v>904</v>
      </c>
      <c r="D142" s="10" t="s">
        <v>905</v>
      </c>
      <c r="E142" s="11">
        <v>45210.14</v>
      </c>
      <c r="G142" s="11">
        <f t="shared" si="11"/>
        <v>45210.14</v>
      </c>
      <c r="H142" s="11">
        <v>0</v>
      </c>
      <c r="I142" s="11">
        <v>0</v>
      </c>
      <c r="K142" s="734">
        <f t="shared" si="12"/>
        <v>45210.14</v>
      </c>
      <c r="M142" s="9"/>
      <c r="O142" s="13"/>
    </row>
    <row r="143" spans="1:15" outlineLevel="2">
      <c r="A143" s="730">
        <f t="shared" si="13"/>
        <v>135</v>
      </c>
      <c r="B143" s="9" t="s">
        <v>576</v>
      </c>
      <c r="C143" s="15" t="s">
        <v>906</v>
      </c>
      <c r="D143" s="10" t="s">
        <v>907</v>
      </c>
      <c r="E143" s="11">
        <v>2463312.04</v>
      </c>
      <c r="G143" s="11">
        <f t="shared" si="11"/>
        <v>2463312.04</v>
      </c>
      <c r="H143" s="11">
        <v>0</v>
      </c>
      <c r="I143" s="11">
        <v>0</v>
      </c>
      <c r="K143" s="734">
        <f t="shared" si="12"/>
        <v>2463312.04</v>
      </c>
      <c r="M143" s="9"/>
      <c r="O143" s="13"/>
    </row>
    <row r="144" spans="1:15" outlineLevel="2">
      <c r="A144" s="730">
        <f t="shared" si="13"/>
        <v>136</v>
      </c>
      <c r="B144" s="9" t="s">
        <v>576</v>
      </c>
      <c r="C144" s="15" t="s">
        <v>908</v>
      </c>
      <c r="D144" s="10" t="s">
        <v>909</v>
      </c>
      <c r="E144" s="11">
        <v>3845459.02</v>
      </c>
      <c r="G144" s="11">
        <f t="shared" si="11"/>
        <v>3845459.02</v>
      </c>
      <c r="H144" s="11">
        <v>-1007873</v>
      </c>
      <c r="I144" s="11">
        <v>0</v>
      </c>
      <c r="K144" s="734">
        <f t="shared" si="12"/>
        <v>2837586.02</v>
      </c>
      <c r="L144" s="10"/>
      <c r="M144" s="9"/>
      <c r="O144" s="13"/>
    </row>
    <row r="145" spans="1:15" outlineLevel="2">
      <c r="A145" s="730">
        <f t="shared" si="13"/>
        <v>137</v>
      </c>
      <c r="B145" s="9" t="s">
        <v>576</v>
      </c>
      <c r="C145" s="15" t="s">
        <v>910</v>
      </c>
      <c r="D145" s="10" t="s">
        <v>911</v>
      </c>
      <c r="E145" s="11">
        <v>1376075.86</v>
      </c>
      <c r="G145" s="11">
        <f t="shared" si="11"/>
        <v>1376075.86</v>
      </c>
      <c r="H145" s="11">
        <v>0</v>
      </c>
      <c r="I145" s="11">
        <v>0</v>
      </c>
      <c r="K145" s="734">
        <f t="shared" si="12"/>
        <v>1376075.86</v>
      </c>
      <c r="L145" s="10"/>
      <c r="M145" s="9"/>
      <c r="O145" s="13"/>
    </row>
    <row r="146" spans="1:15" outlineLevel="2">
      <c r="A146" s="730">
        <f t="shared" si="13"/>
        <v>138</v>
      </c>
      <c r="B146" s="9" t="s">
        <v>576</v>
      </c>
      <c r="C146" s="15" t="s">
        <v>912</v>
      </c>
      <c r="D146" s="10" t="s">
        <v>913</v>
      </c>
      <c r="E146" s="11">
        <v>9139053.5299999993</v>
      </c>
      <c r="G146" s="11">
        <f t="shared" si="11"/>
        <v>9139053.5299999993</v>
      </c>
      <c r="H146" s="11">
        <v>-2140670</v>
      </c>
      <c r="I146" s="11">
        <v>0</v>
      </c>
      <c r="K146" s="734">
        <f>SUM(G146:J146)</f>
        <v>6998383.5299999993</v>
      </c>
      <c r="L146" s="10"/>
      <c r="M146" s="9"/>
      <c r="O146" s="13"/>
    </row>
    <row r="147" spans="1:15" outlineLevel="2">
      <c r="A147" s="730">
        <f t="shared" si="13"/>
        <v>139</v>
      </c>
      <c r="B147" s="9" t="s">
        <v>576</v>
      </c>
      <c r="C147" s="15" t="s">
        <v>914</v>
      </c>
      <c r="D147" s="10" t="s">
        <v>915</v>
      </c>
      <c r="E147" s="11">
        <v>5387897.4500000002</v>
      </c>
      <c r="G147" s="11">
        <f t="shared" si="11"/>
        <v>5387897.4500000002</v>
      </c>
      <c r="H147" s="11">
        <v>-151625.18</v>
      </c>
      <c r="I147" s="11">
        <v>0</v>
      </c>
      <c r="K147" s="734">
        <f t="shared" si="12"/>
        <v>5236272.2700000005</v>
      </c>
      <c r="L147" s="10"/>
      <c r="M147" s="9"/>
      <c r="O147" s="13"/>
    </row>
    <row r="148" spans="1:15" outlineLevel="2">
      <c r="A148" s="730">
        <f t="shared" si="13"/>
        <v>140</v>
      </c>
      <c r="B148" s="9" t="s">
        <v>576</v>
      </c>
      <c r="C148" s="15" t="s">
        <v>916</v>
      </c>
      <c r="D148" s="10" t="s">
        <v>917</v>
      </c>
      <c r="E148" s="11">
        <v>8453083.7100000009</v>
      </c>
      <c r="G148" s="11">
        <f t="shared" si="11"/>
        <v>8453083.7100000009</v>
      </c>
      <c r="H148" s="11">
        <v>0</v>
      </c>
      <c r="I148" s="11">
        <v>0</v>
      </c>
      <c r="K148" s="734">
        <f t="shared" si="12"/>
        <v>8453083.7100000009</v>
      </c>
      <c r="M148" s="9"/>
      <c r="O148" s="13"/>
    </row>
    <row r="149" spans="1:15" outlineLevel="2">
      <c r="A149" s="730">
        <f t="shared" si="13"/>
        <v>141</v>
      </c>
      <c r="B149" s="9" t="s">
        <v>576</v>
      </c>
      <c r="C149" s="15" t="s">
        <v>918</v>
      </c>
      <c r="D149" s="10" t="s">
        <v>919</v>
      </c>
      <c r="E149" s="11">
        <v>12735595.07</v>
      </c>
      <c r="G149" s="11">
        <f t="shared" si="11"/>
        <v>12735595.07</v>
      </c>
      <c r="H149" s="11">
        <v>0</v>
      </c>
      <c r="I149" s="11">
        <v>0</v>
      </c>
      <c r="K149" s="734">
        <f t="shared" si="12"/>
        <v>12735595.07</v>
      </c>
      <c r="M149" s="9"/>
      <c r="O149" s="13"/>
    </row>
    <row r="150" spans="1:15" outlineLevel="2">
      <c r="A150" s="730">
        <f t="shared" si="13"/>
        <v>142</v>
      </c>
      <c r="B150" s="9" t="s">
        <v>576</v>
      </c>
      <c r="C150" s="15" t="s">
        <v>920</v>
      </c>
      <c r="D150" s="10" t="s">
        <v>921</v>
      </c>
      <c r="E150" s="11">
        <v>2390851.2200000002</v>
      </c>
      <c r="G150" s="11">
        <f t="shared" si="11"/>
        <v>2390851.2200000002</v>
      </c>
      <c r="H150" s="11">
        <v>0</v>
      </c>
      <c r="I150" s="11">
        <v>0</v>
      </c>
      <c r="K150" s="734">
        <f t="shared" si="12"/>
        <v>2390851.2200000002</v>
      </c>
      <c r="M150" s="9"/>
      <c r="O150" s="13"/>
    </row>
    <row r="151" spans="1:15" outlineLevel="2">
      <c r="A151" s="730">
        <f t="shared" si="13"/>
        <v>143</v>
      </c>
      <c r="B151" s="9" t="s">
        <v>576</v>
      </c>
      <c r="C151" s="15" t="s">
        <v>922</v>
      </c>
      <c r="D151" s="10" t="s">
        <v>923</v>
      </c>
      <c r="E151" s="11">
        <v>4672136.16</v>
      </c>
      <c r="G151" s="11">
        <f t="shared" si="11"/>
        <v>4672136.16</v>
      </c>
      <c r="H151" s="11">
        <v>-346142</v>
      </c>
      <c r="I151" s="11">
        <v>0</v>
      </c>
      <c r="K151" s="734">
        <f>SUM(G151:J151)</f>
        <v>4325994.16</v>
      </c>
      <c r="L151" s="10"/>
      <c r="M151" s="9"/>
      <c r="O151" s="13"/>
    </row>
    <row r="152" spans="1:15" outlineLevel="2">
      <c r="A152" s="730">
        <f t="shared" si="13"/>
        <v>144</v>
      </c>
      <c r="B152" s="9" t="s">
        <v>576</v>
      </c>
      <c r="C152" s="15" t="s">
        <v>924</v>
      </c>
      <c r="D152" s="10" t="s">
        <v>925</v>
      </c>
      <c r="E152" s="11">
        <v>1567242.25</v>
      </c>
      <c r="G152" s="11">
        <f t="shared" si="11"/>
        <v>1567242.25</v>
      </c>
      <c r="H152" s="11">
        <v>-1567242.25</v>
      </c>
      <c r="I152" s="11">
        <v>0</v>
      </c>
      <c r="K152" s="734">
        <f t="shared" si="12"/>
        <v>0</v>
      </c>
      <c r="L152" s="10"/>
      <c r="M152" s="9"/>
      <c r="O152" s="13"/>
    </row>
    <row r="153" spans="1:15" outlineLevel="2">
      <c r="A153" s="730">
        <f t="shared" si="13"/>
        <v>145</v>
      </c>
      <c r="B153" s="9" t="s">
        <v>576</v>
      </c>
      <c r="C153" s="15" t="s">
        <v>926</v>
      </c>
      <c r="D153" s="10" t="s">
        <v>927</v>
      </c>
      <c r="E153" s="11">
        <v>10478271.449999999</v>
      </c>
      <c r="G153" s="11">
        <f t="shared" si="11"/>
        <v>10478271.449999999</v>
      </c>
      <c r="H153" s="11">
        <v>-2305</v>
      </c>
      <c r="I153" s="11">
        <v>0</v>
      </c>
      <c r="K153" s="734">
        <f t="shared" si="12"/>
        <v>10475966.449999999</v>
      </c>
      <c r="L153" s="10"/>
      <c r="M153" s="9"/>
      <c r="O153" s="13"/>
    </row>
    <row r="154" spans="1:15" outlineLevel="2">
      <c r="A154" s="730">
        <f t="shared" si="13"/>
        <v>146</v>
      </c>
      <c r="B154" s="9" t="s">
        <v>576</v>
      </c>
      <c r="C154" s="15" t="s">
        <v>928</v>
      </c>
      <c r="D154" s="10" t="s">
        <v>929</v>
      </c>
      <c r="E154" s="11">
        <v>848872.14</v>
      </c>
      <c r="G154" s="11">
        <f t="shared" si="11"/>
        <v>848872.14</v>
      </c>
      <c r="H154" s="11">
        <v>-109673</v>
      </c>
      <c r="K154" s="734">
        <f t="shared" si="12"/>
        <v>739199.14</v>
      </c>
      <c r="L154" s="10"/>
      <c r="M154" s="9"/>
      <c r="O154" s="13"/>
    </row>
    <row r="155" spans="1:15" outlineLevel="2">
      <c r="A155" s="730">
        <f t="shared" si="13"/>
        <v>147</v>
      </c>
      <c r="B155" s="9" t="s">
        <v>576</v>
      </c>
      <c r="C155" s="15" t="s">
        <v>930</v>
      </c>
      <c r="D155" s="10" t="s">
        <v>931</v>
      </c>
      <c r="E155" s="11">
        <v>16394238.119999999</v>
      </c>
      <c r="G155" s="11">
        <f t="shared" si="11"/>
        <v>16394238.119999999</v>
      </c>
      <c r="H155" s="11">
        <v>-183385</v>
      </c>
      <c r="I155" s="11">
        <v>0</v>
      </c>
      <c r="K155" s="734">
        <f t="shared" si="12"/>
        <v>16210853.119999999</v>
      </c>
      <c r="L155" s="10"/>
      <c r="M155" s="9"/>
      <c r="O155" s="13"/>
    </row>
    <row r="156" spans="1:15" outlineLevel="2">
      <c r="A156" s="730">
        <f t="shared" si="13"/>
        <v>148</v>
      </c>
      <c r="B156" s="9" t="s">
        <v>576</v>
      </c>
      <c r="C156" s="15" t="s">
        <v>932</v>
      </c>
      <c r="D156" s="10" t="s">
        <v>933</v>
      </c>
      <c r="E156" s="11">
        <v>1705147.39</v>
      </c>
      <c r="G156" s="11">
        <f t="shared" si="11"/>
        <v>1705147.39</v>
      </c>
      <c r="H156" s="11">
        <v>-1705147</v>
      </c>
      <c r="I156" s="11">
        <v>0</v>
      </c>
      <c r="K156" s="734">
        <f t="shared" si="12"/>
        <v>0.38999999989755452</v>
      </c>
      <c r="L156" s="10"/>
      <c r="M156" s="9"/>
      <c r="O156" s="13"/>
    </row>
    <row r="157" spans="1:15" outlineLevel="2">
      <c r="A157" s="730">
        <f t="shared" si="13"/>
        <v>149</v>
      </c>
      <c r="B157" s="9" t="s">
        <v>576</v>
      </c>
      <c r="C157" s="15" t="s">
        <v>934</v>
      </c>
      <c r="D157" s="10" t="s">
        <v>935</v>
      </c>
      <c r="E157" s="11">
        <v>2918979.13</v>
      </c>
      <c r="F157" s="11">
        <v>8875000</v>
      </c>
      <c r="G157" s="11">
        <f t="shared" si="11"/>
        <v>11793979.129999999</v>
      </c>
      <c r="H157" s="11">
        <v>-97895.45</v>
      </c>
      <c r="I157" s="11">
        <v>0</v>
      </c>
      <c r="K157" s="734">
        <f t="shared" si="12"/>
        <v>11696083.68</v>
      </c>
      <c r="L157" s="10"/>
      <c r="M157" s="9"/>
      <c r="O157" s="13"/>
    </row>
    <row r="158" spans="1:15" outlineLevel="2">
      <c r="A158" s="730">
        <f t="shared" si="13"/>
        <v>150</v>
      </c>
      <c r="B158" s="9" t="s">
        <v>576</v>
      </c>
      <c r="C158" s="15" t="s">
        <v>936</v>
      </c>
      <c r="D158" s="10" t="s">
        <v>937</v>
      </c>
      <c r="E158" s="11">
        <v>23704.42</v>
      </c>
      <c r="G158" s="11">
        <f t="shared" si="11"/>
        <v>23704.42</v>
      </c>
      <c r="H158" s="11">
        <v>0</v>
      </c>
      <c r="I158" s="11">
        <v>0</v>
      </c>
      <c r="K158" s="734">
        <f>SUM(G158:J158)</f>
        <v>23704.42</v>
      </c>
      <c r="L158" s="10"/>
      <c r="M158" s="9"/>
      <c r="O158" s="13"/>
    </row>
    <row r="159" spans="1:15" outlineLevel="2">
      <c r="A159" s="730">
        <f t="shared" si="13"/>
        <v>151</v>
      </c>
      <c r="B159" s="9" t="s">
        <v>576</v>
      </c>
      <c r="C159" s="15" t="s">
        <v>938</v>
      </c>
      <c r="D159" s="10" t="s">
        <v>939</v>
      </c>
      <c r="E159" s="11">
        <v>49112.160000000003</v>
      </c>
      <c r="G159" s="11">
        <f t="shared" si="11"/>
        <v>49112.160000000003</v>
      </c>
      <c r="H159" s="11">
        <v>0</v>
      </c>
      <c r="I159" s="11">
        <v>0</v>
      </c>
      <c r="K159" s="734">
        <f t="shared" si="12"/>
        <v>49112.160000000003</v>
      </c>
      <c r="L159" s="10"/>
      <c r="M159" s="9"/>
      <c r="O159" s="13"/>
    </row>
    <row r="160" spans="1:15" outlineLevel="2">
      <c r="A160" s="730">
        <f t="shared" si="13"/>
        <v>152</v>
      </c>
      <c r="B160" s="9" t="s">
        <v>576</v>
      </c>
      <c r="C160" s="15" t="s">
        <v>940</v>
      </c>
      <c r="D160" s="10" t="s">
        <v>941</v>
      </c>
      <c r="E160" s="11">
        <v>66107.63</v>
      </c>
      <c r="G160" s="11">
        <f>E160+F160</f>
        <v>66107.63</v>
      </c>
      <c r="H160" s="11">
        <v>0</v>
      </c>
      <c r="I160" s="11">
        <v>0</v>
      </c>
      <c r="K160" s="734">
        <f>SUM(G160:J160)</f>
        <v>66107.63</v>
      </c>
      <c r="L160" s="10"/>
      <c r="M160" s="9"/>
      <c r="O160" s="13"/>
    </row>
    <row r="161" spans="1:15" outlineLevel="2">
      <c r="A161" s="730">
        <f t="shared" si="13"/>
        <v>153</v>
      </c>
      <c r="B161" s="9" t="s">
        <v>576</v>
      </c>
      <c r="C161" s="15" t="s">
        <v>942</v>
      </c>
      <c r="D161" s="10" t="s">
        <v>943</v>
      </c>
      <c r="E161" s="11">
        <v>2201770.84</v>
      </c>
      <c r="F161" s="11">
        <v>70380</v>
      </c>
      <c r="G161" s="11">
        <f t="shared" si="11"/>
        <v>2272150.84</v>
      </c>
      <c r="H161" s="11">
        <f>-351323-70380</f>
        <v>-421703</v>
      </c>
      <c r="I161" s="11">
        <v>0</v>
      </c>
      <c r="K161" s="734">
        <f t="shared" si="12"/>
        <v>1850447.8399999999</v>
      </c>
      <c r="L161" s="10"/>
      <c r="M161" s="9"/>
      <c r="O161" s="13"/>
    </row>
    <row r="162" spans="1:15" outlineLevel="2">
      <c r="A162" s="730">
        <f t="shared" si="13"/>
        <v>154</v>
      </c>
      <c r="B162" s="9" t="s">
        <v>576</v>
      </c>
      <c r="C162" s="15" t="s">
        <v>944</v>
      </c>
      <c r="D162" s="10" t="s">
        <v>945</v>
      </c>
      <c r="E162" s="11">
        <v>6773220.5800000001</v>
      </c>
      <c r="G162" s="11">
        <f t="shared" si="11"/>
        <v>6773220.5800000001</v>
      </c>
      <c r="H162" s="11">
        <v>-1197122</v>
      </c>
      <c r="I162" s="11">
        <v>0</v>
      </c>
      <c r="K162" s="734">
        <f t="shared" si="12"/>
        <v>5576098.5800000001</v>
      </c>
      <c r="L162" s="10"/>
      <c r="M162" s="9"/>
      <c r="O162" s="13"/>
    </row>
    <row r="163" spans="1:15" outlineLevel="2">
      <c r="A163" s="730">
        <f t="shared" si="13"/>
        <v>155</v>
      </c>
      <c r="B163" s="9" t="s">
        <v>576</v>
      </c>
      <c r="C163" s="15" t="s">
        <v>946</v>
      </c>
      <c r="D163" s="10" t="s">
        <v>947</v>
      </c>
      <c r="E163" s="11">
        <v>2099906.66</v>
      </c>
      <c r="G163" s="11">
        <f t="shared" si="11"/>
        <v>2099906.66</v>
      </c>
      <c r="H163" s="11">
        <v>-17147</v>
      </c>
      <c r="I163" s="11">
        <v>0</v>
      </c>
      <c r="K163" s="734">
        <f t="shared" si="12"/>
        <v>2082759.6600000001</v>
      </c>
      <c r="L163" s="10"/>
      <c r="M163" s="9"/>
      <c r="O163" s="13"/>
    </row>
    <row r="164" spans="1:15" outlineLevel="2">
      <c r="A164" s="730">
        <f t="shared" si="13"/>
        <v>156</v>
      </c>
      <c r="B164" s="9" t="s">
        <v>576</v>
      </c>
      <c r="C164" s="15" t="s">
        <v>948</v>
      </c>
      <c r="D164" s="10" t="s">
        <v>949</v>
      </c>
      <c r="E164" s="11">
        <v>579.42999999999995</v>
      </c>
      <c r="G164" s="11">
        <f t="shared" si="11"/>
        <v>579.42999999999995</v>
      </c>
      <c r="H164" s="11">
        <v>-579</v>
      </c>
      <c r="I164" s="11">
        <v>0</v>
      </c>
      <c r="K164" s="734">
        <f t="shared" si="12"/>
        <v>0.42999999999994998</v>
      </c>
      <c r="L164" s="10"/>
      <c r="M164" s="9"/>
      <c r="O164" s="13"/>
    </row>
    <row r="165" spans="1:15" outlineLevel="2">
      <c r="A165" s="730">
        <f t="shared" si="13"/>
        <v>157</v>
      </c>
      <c r="B165" s="9" t="s">
        <v>576</v>
      </c>
      <c r="C165" s="15" t="s">
        <v>950</v>
      </c>
      <c r="D165" s="10" t="s">
        <v>951</v>
      </c>
      <c r="E165" s="11">
        <v>3507128.62</v>
      </c>
      <c r="G165" s="11">
        <f t="shared" si="11"/>
        <v>3507128.62</v>
      </c>
      <c r="H165" s="11">
        <v>-41652</v>
      </c>
      <c r="I165" s="11">
        <v>0</v>
      </c>
      <c r="K165" s="734">
        <f t="shared" si="12"/>
        <v>3465476.62</v>
      </c>
      <c r="L165" s="10"/>
      <c r="M165" s="9"/>
      <c r="O165" s="13"/>
    </row>
    <row r="166" spans="1:15" outlineLevel="2">
      <c r="A166" s="730">
        <f t="shared" si="13"/>
        <v>158</v>
      </c>
      <c r="B166" s="9" t="s">
        <v>576</v>
      </c>
      <c r="C166" s="15" t="s">
        <v>952</v>
      </c>
      <c r="D166" s="10" t="s">
        <v>953</v>
      </c>
      <c r="E166" s="11">
        <v>749767.78</v>
      </c>
      <c r="G166" s="11">
        <f t="shared" si="11"/>
        <v>749767.78</v>
      </c>
      <c r="H166" s="11">
        <v>-247423</v>
      </c>
      <c r="I166" s="11">
        <v>0</v>
      </c>
      <c r="K166" s="734">
        <f t="shared" si="12"/>
        <v>502344.78</v>
      </c>
      <c r="M166" s="9"/>
      <c r="O166" s="13"/>
    </row>
    <row r="167" spans="1:15" outlineLevel="2">
      <c r="A167" s="730">
        <f t="shared" si="13"/>
        <v>159</v>
      </c>
      <c r="B167" s="9" t="s">
        <v>576</v>
      </c>
      <c r="C167" s="15" t="s">
        <v>954</v>
      </c>
      <c r="D167" s="10" t="s">
        <v>955</v>
      </c>
      <c r="E167" s="11">
        <v>5529336.6100000003</v>
      </c>
      <c r="G167" s="11">
        <f t="shared" si="11"/>
        <v>5529336.6100000003</v>
      </c>
      <c r="H167" s="11">
        <v>-164229</v>
      </c>
      <c r="I167" s="11">
        <v>0</v>
      </c>
      <c r="K167" s="734">
        <f>SUM(G167:J167)</f>
        <v>5365107.6100000003</v>
      </c>
      <c r="L167" s="10"/>
      <c r="M167" s="9"/>
      <c r="O167" s="13"/>
    </row>
    <row r="168" spans="1:15" outlineLevel="2">
      <c r="A168" s="730">
        <f t="shared" si="13"/>
        <v>160</v>
      </c>
      <c r="B168" s="9" t="s">
        <v>576</v>
      </c>
      <c r="C168" s="15" t="s">
        <v>956</v>
      </c>
      <c r="D168" s="10" t="s">
        <v>957</v>
      </c>
      <c r="E168" s="11">
        <v>4296872.84</v>
      </c>
      <c r="G168" s="11">
        <f t="shared" si="11"/>
        <v>4296872.84</v>
      </c>
      <c r="H168" s="11">
        <v>0</v>
      </c>
      <c r="I168" s="11">
        <v>0</v>
      </c>
      <c r="K168" s="734">
        <f t="shared" si="12"/>
        <v>4296872.84</v>
      </c>
      <c r="L168" s="10"/>
      <c r="M168" s="9"/>
      <c r="O168" s="13"/>
    </row>
    <row r="169" spans="1:15" ht="12.75" customHeight="1" outlineLevel="2">
      <c r="A169" s="730">
        <f t="shared" si="13"/>
        <v>161</v>
      </c>
      <c r="B169" s="9" t="s">
        <v>576</v>
      </c>
      <c r="C169" s="15" t="s">
        <v>958</v>
      </c>
      <c r="D169" s="10" t="s">
        <v>959</v>
      </c>
      <c r="E169" s="11">
        <v>1235034.1000000001</v>
      </c>
      <c r="G169" s="11">
        <f t="shared" si="11"/>
        <v>1235034.1000000001</v>
      </c>
      <c r="H169" s="11">
        <v>-541180.67000000004</v>
      </c>
      <c r="I169" s="11">
        <v>0</v>
      </c>
      <c r="K169" s="734">
        <f t="shared" si="12"/>
        <v>693853.43</v>
      </c>
      <c r="L169" s="10"/>
      <c r="M169" s="9"/>
      <c r="O169" s="13"/>
    </row>
    <row r="170" spans="1:15" outlineLevel="2">
      <c r="A170" s="730">
        <f t="shared" si="13"/>
        <v>162</v>
      </c>
      <c r="B170" s="9" t="s">
        <v>576</v>
      </c>
      <c r="C170" s="15" t="s">
        <v>960</v>
      </c>
      <c r="D170" s="10" t="s">
        <v>961</v>
      </c>
      <c r="E170" s="11">
        <v>27861694.59</v>
      </c>
      <c r="G170" s="11">
        <f t="shared" si="11"/>
        <v>27861694.59</v>
      </c>
      <c r="H170" s="11">
        <v>0</v>
      </c>
      <c r="I170" s="11">
        <v>0</v>
      </c>
      <c r="K170" s="734">
        <f t="shared" si="12"/>
        <v>27861694.59</v>
      </c>
      <c r="L170" s="10"/>
      <c r="M170" s="9"/>
      <c r="O170" s="13"/>
    </row>
    <row r="171" spans="1:15" outlineLevel="2">
      <c r="A171" s="730">
        <f t="shared" si="13"/>
        <v>163</v>
      </c>
      <c r="B171" s="9" t="s">
        <v>576</v>
      </c>
      <c r="C171" s="15" t="s">
        <v>962</v>
      </c>
      <c r="D171" s="10" t="s">
        <v>963</v>
      </c>
      <c r="E171" s="11">
        <v>4266040.32</v>
      </c>
      <c r="G171" s="11">
        <f t="shared" si="11"/>
        <v>4266040.32</v>
      </c>
      <c r="H171" s="11">
        <v>-40435</v>
      </c>
      <c r="I171" s="11">
        <v>0</v>
      </c>
      <c r="K171" s="734">
        <f t="shared" si="12"/>
        <v>4225605.32</v>
      </c>
      <c r="L171" s="10"/>
      <c r="M171" s="9"/>
      <c r="O171" s="13"/>
    </row>
    <row r="172" spans="1:15" outlineLevel="2">
      <c r="A172" s="730">
        <f t="shared" si="13"/>
        <v>164</v>
      </c>
      <c r="B172" s="9" t="s">
        <v>576</v>
      </c>
      <c r="C172" s="15" t="s">
        <v>964</v>
      </c>
      <c r="D172" s="10" t="s">
        <v>965</v>
      </c>
      <c r="E172" s="11">
        <v>7435621.9199999999</v>
      </c>
      <c r="G172" s="11">
        <f t="shared" si="11"/>
        <v>7435621.9199999999</v>
      </c>
      <c r="H172" s="11">
        <v>-1050832.7</v>
      </c>
      <c r="I172" s="11">
        <v>0</v>
      </c>
      <c r="K172" s="734">
        <f>SUM(G172:J172)</f>
        <v>6384789.2199999997</v>
      </c>
      <c r="L172" s="10"/>
      <c r="M172" s="9"/>
      <c r="O172" s="13"/>
    </row>
    <row r="173" spans="1:15" outlineLevel="2">
      <c r="A173" s="730">
        <f t="shared" si="13"/>
        <v>165</v>
      </c>
      <c r="B173" s="9" t="s">
        <v>576</v>
      </c>
      <c r="C173" s="15" t="s">
        <v>966</v>
      </c>
      <c r="D173" s="10" t="s">
        <v>967</v>
      </c>
      <c r="E173" s="11">
        <v>253710.27</v>
      </c>
      <c r="G173" s="11">
        <f t="shared" si="11"/>
        <v>253710.27</v>
      </c>
      <c r="H173" s="11">
        <v>0</v>
      </c>
      <c r="I173" s="11">
        <v>0</v>
      </c>
      <c r="K173" s="734">
        <f t="shared" si="12"/>
        <v>253710.27</v>
      </c>
      <c r="L173" s="10"/>
      <c r="M173" s="9"/>
      <c r="O173" s="13"/>
    </row>
    <row r="174" spans="1:15" outlineLevel="2">
      <c r="A174" s="730">
        <f t="shared" si="13"/>
        <v>166</v>
      </c>
      <c r="B174" s="9" t="s">
        <v>576</v>
      </c>
      <c r="C174" s="15" t="s">
        <v>968</v>
      </c>
      <c r="D174" s="10" t="s">
        <v>969</v>
      </c>
      <c r="E174" s="11">
        <v>13463133.82</v>
      </c>
      <c r="G174" s="11">
        <f t="shared" si="11"/>
        <v>13463133.82</v>
      </c>
      <c r="H174" s="11">
        <v>0</v>
      </c>
      <c r="I174" s="11">
        <v>0</v>
      </c>
      <c r="K174" s="734">
        <f t="shared" si="12"/>
        <v>13463133.82</v>
      </c>
      <c r="M174" s="9"/>
      <c r="O174" s="13"/>
    </row>
    <row r="175" spans="1:15" outlineLevel="2">
      <c r="A175" s="730">
        <f t="shared" si="13"/>
        <v>167</v>
      </c>
      <c r="B175" s="9" t="s">
        <v>576</v>
      </c>
      <c r="C175" s="15" t="s">
        <v>970</v>
      </c>
      <c r="D175" s="10" t="s">
        <v>971</v>
      </c>
      <c r="E175" s="11">
        <v>16988725.149999999</v>
      </c>
      <c r="G175" s="11">
        <f t="shared" si="11"/>
        <v>16988725.149999999</v>
      </c>
      <c r="H175" s="11">
        <v>-163144</v>
      </c>
      <c r="I175" s="11">
        <v>0</v>
      </c>
      <c r="K175" s="734">
        <f t="shared" si="12"/>
        <v>16825581.149999999</v>
      </c>
      <c r="L175" s="10"/>
      <c r="M175" s="9"/>
      <c r="O175" s="13"/>
    </row>
    <row r="176" spans="1:15" outlineLevel="2">
      <c r="A176" s="730">
        <f t="shared" si="13"/>
        <v>168</v>
      </c>
      <c r="B176" s="9" t="s">
        <v>576</v>
      </c>
      <c r="C176" s="15" t="s">
        <v>972</v>
      </c>
      <c r="D176" s="10" t="s">
        <v>973</v>
      </c>
      <c r="E176" s="11">
        <v>1725310.24</v>
      </c>
      <c r="G176" s="11">
        <f t="shared" si="11"/>
        <v>1725310.24</v>
      </c>
      <c r="H176" s="11">
        <v>0</v>
      </c>
      <c r="I176" s="11">
        <v>0</v>
      </c>
      <c r="K176" s="734">
        <f t="shared" si="12"/>
        <v>1725310.24</v>
      </c>
      <c r="M176" s="9"/>
      <c r="O176" s="13"/>
    </row>
    <row r="177" spans="1:15" outlineLevel="2">
      <c r="A177" s="730">
        <f t="shared" si="13"/>
        <v>169</v>
      </c>
      <c r="B177" s="9" t="s">
        <v>576</v>
      </c>
      <c r="C177" s="15" t="s">
        <v>974</v>
      </c>
      <c r="D177" s="10" t="s">
        <v>975</v>
      </c>
      <c r="E177" s="11">
        <v>10579462.84</v>
      </c>
      <c r="F177" s="11">
        <v>1909824</v>
      </c>
      <c r="G177" s="11">
        <f t="shared" si="11"/>
        <v>12489286.84</v>
      </c>
      <c r="H177" s="11">
        <v>0</v>
      </c>
      <c r="I177" s="11">
        <v>0</v>
      </c>
      <c r="K177" s="734">
        <f t="shared" si="12"/>
        <v>12489286.84</v>
      </c>
      <c r="M177" s="9"/>
      <c r="O177" s="13"/>
    </row>
    <row r="178" spans="1:15" outlineLevel="2">
      <c r="A178" s="730">
        <f t="shared" si="13"/>
        <v>170</v>
      </c>
      <c r="B178" s="9" t="s">
        <v>576</v>
      </c>
      <c r="C178" s="15" t="s">
        <v>976</v>
      </c>
      <c r="D178" s="10" t="s">
        <v>977</v>
      </c>
      <c r="E178" s="11">
        <v>17413352.890000001</v>
      </c>
      <c r="G178" s="11">
        <f>E178+F178</f>
        <v>17413352.890000001</v>
      </c>
      <c r="H178" s="11">
        <v>0</v>
      </c>
      <c r="I178" s="11">
        <v>0</v>
      </c>
      <c r="K178" s="734">
        <f t="shared" si="12"/>
        <v>17413352.890000001</v>
      </c>
      <c r="M178" s="9"/>
      <c r="O178" s="13"/>
    </row>
    <row r="179" spans="1:15" outlineLevel="2">
      <c r="A179" s="730">
        <f t="shared" si="13"/>
        <v>171</v>
      </c>
      <c r="B179" s="9" t="s">
        <v>576</v>
      </c>
      <c r="C179" s="15" t="s">
        <v>978</v>
      </c>
      <c r="D179" s="10" t="s">
        <v>979</v>
      </c>
      <c r="E179" s="11">
        <v>0</v>
      </c>
      <c r="G179" s="11">
        <f t="shared" si="11"/>
        <v>0</v>
      </c>
      <c r="H179" s="11">
        <v>0</v>
      </c>
      <c r="I179" s="11">
        <v>0</v>
      </c>
      <c r="K179" s="734">
        <f>SUM(G179:J179)</f>
        <v>0</v>
      </c>
      <c r="M179" s="9"/>
      <c r="O179" s="13"/>
    </row>
    <row r="180" spans="1:15" ht="12.75" customHeight="1" outlineLevel="2">
      <c r="A180" s="730">
        <f t="shared" si="13"/>
        <v>172</v>
      </c>
      <c r="B180" s="9" t="s">
        <v>576</v>
      </c>
      <c r="C180" s="15" t="s">
        <v>980</v>
      </c>
      <c r="D180" s="10" t="s">
        <v>981</v>
      </c>
      <c r="E180" s="11">
        <v>23914828.91</v>
      </c>
      <c r="G180" s="11">
        <f t="shared" si="11"/>
        <v>23914828.91</v>
      </c>
      <c r="H180" s="11">
        <v>-2113167.08</v>
      </c>
      <c r="I180" s="11">
        <v>0</v>
      </c>
      <c r="K180" s="734">
        <f t="shared" si="12"/>
        <v>21801661.829999998</v>
      </c>
      <c r="L180" s="10"/>
      <c r="M180" s="9"/>
      <c r="O180" s="13"/>
    </row>
    <row r="181" spans="1:15" outlineLevel="2">
      <c r="A181" s="730">
        <f t="shared" si="13"/>
        <v>173</v>
      </c>
      <c r="B181" s="9" t="s">
        <v>576</v>
      </c>
      <c r="C181" s="15" t="s">
        <v>982</v>
      </c>
      <c r="D181" s="10" t="s">
        <v>983</v>
      </c>
      <c r="E181" s="11">
        <v>8439044.1799999997</v>
      </c>
      <c r="G181" s="11">
        <f t="shared" si="11"/>
        <v>8439044.1799999997</v>
      </c>
      <c r="H181" s="11">
        <v>0</v>
      </c>
      <c r="I181" s="11">
        <v>0</v>
      </c>
      <c r="K181" s="734">
        <f t="shared" si="12"/>
        <v>8439044.1799999997</v>
      </c>
      <c r="M181" s="9"/>
      <c r="O181" s="13"/>
    </row>
    <row r="182" spans="1:15" outlineLevel="2">
      <c r="A182" s="730">
        <f t="shared" si="13"/>
        <v>174</v>
      </c>
      <c r="B182" s="9" t="s">
        <v>576</v>
      </c>
      <c r="C182" s="15" t="s">
        <v>984</v>
      </c>
      <c r="D182" s="10" t="s">
        <v>985</v>
      </c>
      <c r="E182" s="11">
        <v>1517924.97</v>
      </c>
      <c r="G182" s="11">
        <f t="shared" si="11"/>
        <v>1517924.97</v>
      </c>
      <c r="H182" s="11">
        <v>-43752</v>
      </c>
      <c r="I182" s="11">
        <v>0</v>
      </c>
      <c r="K182" s="734">
        <f t="shared" si="12"/>
        <v>1474172.97</v>
      </c>
      <c r="L182" s="10"/>
      <c r="M182" s="9"/>
      <c r="O182" s="13"/>
    </row>
    <row r="183" spans="1:15" outlineLevel="2">
      <c r="A183" s="730">
        <f t="shared" si="13"/>
        <v>175</v>
      </c>
      <c r="B183" s="9" t="s">
        <v>576</v>
      </c>
      <c r="C183" s="15" t="s">
        <v>986</v>
      </c>
      <c r="D183" s="10" t="s">
        <v>987</v>
      </c>
      <c r="E183" s="11">
        <v>6180010.5999999996</v>
      </c>
      <c r="G183" s="11">
        <f t="shared" si="11"/>
        <v>6180010.5999999996</v>
      </c>
      <c r="H183" s="11">
        <v>-326877</v>
      </c>
      <c r="I183" s="11">
        <v>0</v>
      </c>
      <c r="K183" s="734">
        <f t="shared" si="12"/>
        <v>5853133.5999999996</v>
      </c>
      <c r="L183" s="10"/>
      <c r="M183" s="9"/>
      <c r="O183" s="13"/>
    </row>
    <row r="184" spans="1:15" outlineLevel="2">
      <c r="A184" s="730">
        <f t="shared" si="13"/>
        <v>176</v>
      </c>
      <c r="B184" s="9" t="s">
        <v>576</v>
      </c>
      <c r="C184" s="15" t="s">
        <v>988</v>
      </c>
      <c r="D184" s="10" t="s">
        <v>989</v>
      </c>
      <c r="E184" s="11">
        <v>8552324.4600000009</v>
      </c>
      <c r="G184" s="11">
        <f t="shared" si="11"/>
        <v>8552324.4600000009</v>
      </c>
      <c r="H184" s="11">
        <v>0</v>
      </c>
      <c r="I184" s="11">
        <v>0</v>
      </c>
      <c r="K184" s="734">
        <f>SUM(G184:J184)</f>
        <v>8552324.4600000009</v>
      </c>
      <c r="L184" s="10"/>
      <c r="M184" s="9"/>
      <c r="O184" s="13"/>
    </row>
    <row r="185" spans="1:15" outlineLevel="2">
      <c r="A185" s="730">
        <f t="shared" si="13"/>
        <v>177</v>
      </c>
      <c r="B185" s="9" t="s">
        <v>576</v>
      </c>
      <c r="C185" s="15" t="s">
        <v>990</v>
      </c>
      <c r="D185" s="10" t="s">
        <v>991</v>
      </c>
      <c r="E185" s="11">
        <f>82518.71+16015.17</f>
        <v>98533.88</v>
      </c>
      <c r="G185" s="11">
        <f t="shared" si="11"/>
        <v>98533.88</v>
      </c>
      <c r="H185" s="11">
        <v>0</v>
      </c>
      <c r="I185" s="11">
        <v>0</v>
      </c>
      <c r="K185" s="734">
        <f t="shared" si="12"/>
        <v>98533.88</v>
      </c>
      <c r="L185" s="10"/>
      <c r="M185" s="9"/>
      <c r="O185" s="13"/>
    </row>
    <row r="186" spans="1:15" outlineLevel="2">
      <c r="A186" s="730">
        <f t="shared" si="13"/>
        <v>178</v>
      </c>
      <c r="B186" s="9" t="s">
        <v>576</v>
      </c>
      <c r="C186" s="15" t="s">
        <v>992</v>
      </c>
      <c r="D186" s="10" t="s">
        <v>993</v>
      </c>
      <c r="E186" s="11">
        <v>11868321.699999999</v>
      </c>
      <c r="G186" s="11">
        <f t="shared" si="11"/>
        <v>11868321.699999999</v>
      </c>
      <c r="H186" s="11">
        <v>-62475</v>
      </c>
      <c r="I186" s="11">
        <v>0</v>
      </c>
      <c r="K186" s="734">
        <f t="shared" si="12"/>
        <v>11805846.699999999</v>
      </c>
      <c r="L186" s="10"/>
      <c r="M186" s="9"/>
      <c r="O186" s="13"/>
    </row>
    <row r="187" spans="1:15" outlineLevel="2">
      <c r="A187" s="730">
        <f t="shared" si="13"/>
        <v>179</v>
      </c>
      <c r="B187" s="9" t="s">
        <v>576</v>
      </c>
      <c r="C187" s="15" t="s">
        <v>994</v>
      </c>
      <c r="D187" s="10" t="s">
        <v>995</v>
      </c>
      <c r="E187" s="11">
        <v>6841034</v>
      </c>
      <c r="G187" s="11">
        <f t="shared" si="11"/>
        <v>6841034</v>
      </c>
      <c r="H187" s="11">
        <v>-59777.35</v>
      </c>
      <c r="I187" s="11">
        <v>0</v>
      </c>
      <c r="K187" s="734">
        <f t="shared" si="12"/>
        <v>6781256.6500000004</v>
      </c>
      <c r="L187" s="10"/>
      <c r="M187" s="9"/>
      <c r="O187" s="13"/>
    </row>
    <row r="188" spans="1:15" outlineLevel="2">
      <c r="A188" s="730">
        <f t="shared" si="13"/>
        <v>180</v>
      </c>
      <c r="B188" s="9" t="s">
        <v>576</v>
      </c>
      <c r="C188" s="15" t="s">
        <v>996</v>
      </c>
      <c r="D188" s="10" t="s">
        <v>997</v>
      </c>
      <c r="E188" s="11">
        <v>10832.21</v>
      </c>
      <c r="G188" s="11">
        <f t="shared" si="11"/>
        <v>10832.21</v>
      </c>
      <c r="H188" s="11">
        <v>0</v>
      </c>
      <c r="I188" s="11">
        <v>0</v>
      </c>
      <c r="K188" s="734">
        <f t="shared" si="12"/>
        <v>10832.21</v>
      </c>
      <c r="L188" s="10"/>
      <c r="M188" s="9"/>
      <c r="O188" s="13"/>
    </row>
    <row r="189" spans="1:15" outlineLevel="2">
      <c r="A189" s="730">
        <f t="shared" si="13"/>
        <v>181</v>
      </c>
      <c r="B189" s="9" t="s">
        <v>576</v>
      </c>
      <c r="C189" s="15" t="s">
        <v>998</v>
      </c>
      <c r="D189" s="10" t="s">
        <v>999</v>
      </c>
      <c r="E189" s="11">
        <v>3894019.92</v>
      </c>
      <c r="G189" s="11">
        <f t="shared" si="11"/>
        <v>3894019.92</v>
      </c>
      <c r="H189" s="11">
        <v>-143716</v>
      </c>
      <c r="I189" s="11">
        <v>0</v>
      </c>
      <c r="K189" s="734">
        <f t="shared" si="12"/>
        <v>3750303.92</v>
      </c>
      <c r="L189" s="10"/>
      <c r="M189" s="9"/>
      <c r="O189" s="13"/>
    </row>
    <row r="190" spans="1:15" outlineLevel="2">
      <c r="A190" s="730">
        <f t="shared" si="13"/>
        <v>182</v>
      </c>
      <c r="B190" s="9" t="s">
        <v>576</v>
      </c>
      <c r="C190" s="15" t="s">
        <v>1000</v>
      </c>
      <c r="D190" s="10" t="s">
        <v>1001</v>
      </c>
      <c r="E190" s="11">
        <v>12505664.960000001</v>
      </c>
      <c r="G190" s="11">
        <f t="shared" ref="G190:G195" si="14">E190+F190</f>
        <v>12505664.960000001</v>
      </c>
      <c r="H190" s="11">
        <v>-362525.03</v>
      </c>
      <c r="I190" s="11">
        <v>0</v>
      </c>
      <c r="K190" s="734">
        <f>SUM(G190:J190)</f>
        <v>12143139.930000002</v>
      </c>
      <c r="L190" s="10"/>
      <c r="M190" s="9"/>
      <c r="O190" s="13"/>
    </row>
    <row r="191" spans="1:15" outlineLevel="2">
      <c r="A191" s="730">
        <f t="shared" si="13"/>
        <v>183</v>
      </c>
      <c r="B191" s="9" t="s">
        <v>576</v>
      </c>
      <c r="C191" s="15" t="s">
        <v>1002</v>
      </c>
      <c r="D191" s="10" t="s">
        <v>1003</v>
      </c>
      <c r="E191" s="11">
        <v>25178538.57</v>
      </c>
      <c r="F191" s="11">
        <v>899906</v>
      </c>
      <c r="G191" s="11">
        <f t="shared" si="14"/>
        <v>26078444.57</v>
      </c>
      <c r="H191" s="11">
        <f>-1479440.1-875307</f>
        <v>-2354747.1</v>
      </c>
      <c r="I191" s="11">
        <v>0</v>
      </c>
      <c r="K191" s="734">
        <f>SUM(G191:J191)</f>
        <v>23723697.469999999</v>
      </c>
      <c r="L191" s="10"/>
      <c r="M191" s="9"/>
      <c r="O191" s="13"/>
    </row>
    <row r="192" spans="1:15" outlineLevel="2">
      <c r="A192" s="730">
        <f t="shared" si="13"/>
        <v>184</v>
      </c>
      <c r="B192" s="9" t="s">
        <v>576</v>
      </c>
      <c r="C192" s="15" t="s">
        <v>1004</v>
      </c>
      <c r="D192" s="10" t="s">
        <v>1005</v>
      </c>
      <c r="E192" s="11">
        <v>7092854.1799999997</v>
      </c>
      <c r="G192" s="11">
        <f t="shared" si="14"/>
        <v>7092854.1799999997</v>
      </c>
      <c r="H192" s="11">
        <v>-1180480</v>
      </c>
      <c r="I192" s="11">
        <v>0</v>
      </c>
      <c r="K192" s="734">
        <f t="shared" ref="K192:K195" si="15">SUM(G192:J192)</f>
        <v>5912374.1799999997</v>
      </c>
      <c r="L192" s="10"/>
      <c r="M192" s="9"/>
      <c r="O192" s="13"/>
    </row>
    <row r="193" spans="1:15" outlineLevel="2">
      <c r="A193" s="730">
        <f t="shared" si="13"/>
        <v>185</v>
      </c>
      <c r="B193" s="9" t="s">
        <v>576</v>
      </c>
      <c r="C193" s="15" t="s">
        <v>1006</v>
      </c>
      <c r="D193" s="10" t="s">
        <v>1007</v>
      </c>
      <c r="E193" s="11">
        <v>3670766.35</v>
      </c>
      <c r="G193" s="11">
        <f t="shared" si="14"/>
        <v>3670766.35</v>
      </c>
      <c r="H193" s="11">
        <v>-1307837</v>
      </c>
      <c r="I193" s="11">
        <v>0</v>
      </c>
      <c r="K193" s="734">
        <f>SUM(G193:J193)</f>
        <v>2362929.35</v>
      </c>
      <c r="L193" s="10"/>
      <c r="M193" s="9"/>
      <c r="O193" s="13"/>
    </row>
    <row r="194" spans="1:15" outlineLevel="2">
      <c r="A194" s="730">
        <f t="shared" si="13"/>
        <v>186</v>
      </c>
      <c r="B194" s="9" t="s">
        <v>576</v>
      </c>
      <c r="C194" s="15" t="s">
        <v>1008</v>
      </c>
      <c r="D194" s="10" t="s">
        <v>1009</v>
      </c>
      <c r="E194" s="11">
        <v>3943916.72</v>
      </c>
      <c r="G194" s="11">
        <f t="shared" si="14"/>
        <v>3943916.72</v>
      </c>
      <c r="H194" s="11">
        <v>-158722</v>
      </c>
      <c r="I194" s="11">
        <v>0</v>
      </c>
      <c r="K194" s="734">
        <f t="shared" si="15"/>
        <v>3785194.72</v>
      </c>
      <c r="L194" s="10"/>
      <c r="M194" s="9"/>
      <c r="O194" s="13"/>
    </row>
    <row r="195" spans="1:15" outlineLevel="2">
      <c r="A195" s="730">
        <f t="shared" si="13"/>
        <v>187</v>
      </c>
      <c r="B195" s="9" t="s">
        <v>576</v>
      </c>
      <c r="C195" s="15" t="s">
        <v>1010</v>
      </c>
      <c r="D195" s="10" t="s">
        <v>1011</v>
      </c>
      <c r="E195" s="11">
        <v>11108747.65</v>
      </c>
      <c r="G195" s="11">
        <f t="shared" si="14"/>
        <v>11108747.65</v>
      </c>
      <c r="H195" s="11">
        <v>0</v>
      </c>
      <c r="I195" s="11">
        <v>0</v>
      </c>
      <c r="K195" s="734">
        <f t="shared" si="15"/>
        <v>11108747.65</v>
      </c>
      <c r="L195" s="10"/>
      <c r="M195" s="9"/>
      <c r="O195" s="13"/>
    </row>
    <row r="196" spans="1:15" outlineLevel="2">
      <c r="A196" s="730">
        <f t="shared" si="13"/>
        <v>188</v>
      </c>
      <c r="B196" s="9" t="s">
        <v>576</v>
      </c>
      <c r="C196" s="15" t="s">
        <v>1012</v>
      </c>
      <c r="D196" s="10" t="s">
        <v>1013</v>
      </c>
      <c r="E196" s="11">
        <v>29969.23</v>
      </c>
      <c r="G196" s="11">
        <f>E196+F196</f>
        <v>29969.23</v>
      </c>
      <c r="H196" s="11">
        <v>0</v>
      </c>
      <c r="I196" s="11">
        <v>0</v>
      </c>
      <c r="K196" s="734">
        <f t="shared" ref="K196:K202" si="16">SUM(G196:J196)</f>
        <v>29969.23</v>
      </c>
      <c r="L196" s="10"/>
      <c r="M196" s="9"/>
      <c r="O196" s="13"/>
    </row>
    <row r="197" spans="1:15" outlineLevel="2">
      <c r="A197" s="730">
        <f t="shared" si="13"/>
        <v>189</v>
      </c>
      <c r="B197" s="9" t="s">
        <v>576</v>
      </c>
      <c r="C197" s="15" t="s">
        <v>1014</v>
      </c>
      <c r="D197" s="10" t="s">
        <v>1015</v>
      </c>
      <c r="E197" s="11">
        <v>340848.27</v>
      </c>
      <c r="G197" s="11">
        <f t="shared" ref="G197:G215" si="17">E197+F197</f>
        <v>340848.27</v>
      </c>
      <c r="H197" s="11">
        <v>0</v>
      </c>
      <c r="I197" s="11">
        <v>0</v>
      </c>
      <c r="K197" s="734">
        <f t="shared" si="16"/>
        <v>340848.27</v>
      </c>
      <c r="L197" s="10"/>
      <c r="M197" s="9"/>
      <c r="O197" s="13"/>
    </row>
    <row r="198" spans="1:15" outlineLevel="2">
      <c r="A198" s="730">
        <f t="shared" si="13"/>
        <v>190</v>
      </c>
      <c r="B198" s="9" t="s">
        <v>576</v>
      </c>
      <c r="C198" s="15" t="s">
        <v>1016</v>
      </c>
      <c r="D198" s="10" t="s">
        <v>1017</v>
      </c>
      <c r="E198" s="11">
        <v>19476</v>
      </c>
      <c r="G198" s="11">
        <f t="shared" si="17"/>
        <v>19476</v>
      </c>
      <c r="H198" s="11">
        <v>0</v>
      </c>
      <c r="I198" s="11">
        <v>0</v>
      </c>
      <c r="K198" s="734">
        <f t="shared" si="16"/>
        <v>19476</v>
      </c>
      <c r="M198" s="9"/>
      <c r="O198" s="13"/>
    </row>
    <row r="199" spans="1:15" outlineLevel="2">
      <c r="A199" s="730">
        <f t="shared" si="13"/>
        <v>191</v>
      </c>
      <c r="B199" s="9" t="s">
        <v>576</v>
      </c>
      <c r="C199" s="15" t="s">
        <v>1018</v>
      </c>
      <c r="D199" s="10" t="s">
        <v>1019</v>
      </c>
      <c r="E199" s="11">
        <v>1829480.7</v>
      </c>
      <c r="F199" s="11">
        <v>4091000</v>
      </c>
      <c r="G199" s="11">
        <f t="shared" si="17"/>
        <v>5920480.7000000002</v>
      </c>
      <c r="H199" s="11">
        <v>-1134119.53</v>
      </c>
      <c r="I199" s="11">
        <v>0</v>
      </c>
      <c r="K199" s="734">
        <f t="shared" si="16"/>
        <v>4786361.17</v>
      </c>
      <c r="L199" s="10"/>
      <c r="M199" s="9"/>
      <c r="O199" s="13"/>
    </row>
    <row r="200" spans="1:15" outlineLevel="2">
      <c r="A200" s="730">
        <f t="shared" ref="A200:A263" si="18">A199+1</f>
        <v>192</v>
      </c>
      <c r="B200" s="9" t="s">
        <v>576</v>
      </c>
      <c r="C200" s="15" t="s">
        <v>1020</v>
      </c>
      <c r="D200" s="10" t="s">
        <v>1021</v>
      </c>
      <c r="E200" s="11">
        <v>8065072.4400000004</v>
      </c>
      <c r="G200" s="11">
        <f t="shared" si="17"/>
        <v>8065072.4400000004</v>
      </c>
      <c r="H200" s="11">
        <v>-593801</v>
      </c>
      <c r="I200" s="11">
        <v>0</v>
      </c>
      <c r="K200" s="734">
        <f t="shared" si="16"/>
        <v>7471271.4400000004</v>
      </c>
      <c r="L200" s="10"/>
      <c r="M200" s="9"/>
      <c r="O200" s="13"/>
    </row>
    <row r="201" spans="1:15" outlineLevel="2">
      <c r="A201" s="730">
        <f t="shared" si="18"/>
        <v>193</v>
      </c>
      <c r="B201" s="9" t="s">
        <v>576</v>
      </c>
      <c r="C201" s="15" t="s">
        <v>1022</v>
      </c>
      <c r="D201" s="10" t="s">
        <v>1023</v>
      </c>
      <c r="E201" s="11">
        <v>831466.41</v>
      </c>
      <c r="G201" s="11">
        <f t="shared" si="17"/>
        <v>831466.41</v>
      </c>
      <c r="H201" s="11">
        <v>-154097</v>
      </c>
      <c r="I201" s="11">
        <v>0</v>
      </c>
      <c r="K201" s="734">
        <f t="shared" si="16"/>
        <v>677369.41</v>
      </c>
      <c r="M201" s="9"/>
      <c r="O201" s="13"/>
    </row>
    <row r="202" spans="1:15" outlineLevel="2">
      <c r="A202" s="730">
        <f t="shared" si="18"/>
        <v>194</v>
      </c>
      <c r="B202" s="9" t="s">
        <v>576</v>
      </c>
      <c r="C202" s="15" t="s">
        <v>1024</v>
      </c>
      <c r="D202" s="10" t="s">
        <v>1025</v>
      </c>
      <c r="E202" s="11">
        <v>6938867.9800000004</v>
      </c>
      <c r="F202" s="11">
        <v>1026626</v>
      </c>
      <c r="G202" s="11">
        <f t="shared" si="17"/>
        <v>7965493.9800000004</v>
      </c>
      <c r="H202" s="11">
        <v>0</v>
      </c>
      <c r="I202" s="11">
        <v>0</v>
      </c>
      <c r="K202" s="734">
        <f t="shared" si="16"/>
        <v>7965493.9800000004</v>
      </c>
      <c r="M202" s="9"/>
      <c r="O202" s="13"/>
    </row>
    <row r="203" spans="1:15" outlineLevel="2">
      <c r="A203" s="730">
        <f t="shared" si="18"/>
        <v>195</v>
      </c>
      <c r="B203" s="9" t="s">
        <v>576</v>
      </c>
      <c r="C203" s="15" t="s">
        <v>1026</v>
      </c>
      <c r="D203" s="10" t="s">
        <v>1027</v>
      </c>
      <c r="E203" s="11">
        <v>1895701.8</v>
      </c>
      <c r="G203" s="11">
        <f t="shared" si="17"/>
        <v>1895701.8</v>
      </c>
      <c r="H203" s="11">
        <v>0</v>
      </c>
      <c r="I203" s="11">
        <v>0</v>
      </c>
      <c r="K203" s="734">
        <f t="shared" ref="K203:K210" si="19">SUM(G203:J203)</f>
        <v>1895701.8</v>
      </c>
      <c r="M203" s="9"/>
      <c r="O203" s="13"/>
    </row>
    <row r="204" spans="1:15" outlineLevel="2">
      <c r="A204" s="730">
        <f t="shared" si="18"/>
        <v>196</v>
      </c>
      <c r="B204" s="9" t="s">
        <v>576</v>
      </c>
      <c r="C204" s="15" t="s">
        <v>1028</v>
      </c>
      <c r="D204" s="10" t="s">
        <v>1029</v>
      </c>
      <c r="E204" s="11">
        <f>305417.9+896681.51</f>
        <v>1202099.4100000001</v>
      </c>
      <c r="G204" s="11">
        <f t="shared" si="17"/>
        <v>1202099.4100000001</v>
      </c>
      <c r="H204" s="11">
        <v>0</v>
      </c>
      <c r="I204" s="11">
        <v>0</v>
      </c>
      <c r="K204" s="734">
        <f t="shared" si="19"/>
        <v>1202099.4100000001</v>
      </c>
      <c r="M204" s="9"/>
      <c r="O204" s="13"/>
    </row>
    <row r="205" spans="1:15" outlineLevel="2">
      <c r="A205" s="730">
        <f t="shared" si="18"/>
        <v>197</v>
      </c>
      <c r="B205" s="9" t="s">
        <v>576</v>
      </c>
      <c r="C205" s="15" t="s">
        <v>1030</v>
      </c>
      <c r="D205" s="10" t="s">
        <v>1031</v>
      </c>
      <c r="E205" s="11">
        <v>5351152.01</v>
      </c>
      <c r="G205" s="11">
        <f t="shared" si="17"/>
        <v>5351152.01</v>
      </c>
      <c r="H205" s="11">
        <v>0</v>
      </c>
      <c r="I205" s="11">
        <v>0</v>
      </c>
      <c r="K205" s="734">
        <f t="shared" si="19"/>
        <v>5351152.01</v>
      </c>
      <c r="M205" s="9"/>
      <c r="O205" s="13"/>
    </row>
    <row r="206" spans="1:15" outlineLevel="2">
      <c r="A206" s="730">
        <f t="shared" si="18"/>
        <v>198</v>
      </c>
      <c r="B206" s="9" t="s">
        <v>576</v>
      </c>
      <c r="C206" s="15" t="s">
        <v>1032</v>
      </c>
      <c r="D206" s="10" t="s">
        <v>1033</v>
      </c>
      <c r="E206" s="11">
        <v>3473709.71</v>
      </c>
      <c r="G206" s="11">
        <f t="shared" si="17"/>
        <v>3473709.71</v>
      </c>
      <c r="H206" s="11">
        <v>-586992</v>
      </c>
      <c r="I206" s="11">
        <v>0</v>
      </c>
      <c r="K206" s="734">
        <f t="shared" si="19"/>
        <v>2886717.71</v>
      </c>
      <c r="L206" s="10"/>
      <c r="M206" s="9"/>
      <c r="O206" s="13"/>
    </row>
    <row r="207" spans="1:15" outlineLevel="2">
      <c r="A207" s="730">
        <f t="shared" si="18"/>
        <v>199</v>
      </c>
      <c r="B207" s="9" t="s">
        <v>576</v>
      </c>
      <c r="C207" s="15" t="s">
        <v>1034</v>
      </c>
      <c r="D207" s="10" t="s">
        <v>1035</v>
      </c>
      <c r="E207" s="11">
        <v>8007359.96</v>
      </c>
      <c r="G207" s="11">
        <f t="shared" si="17"/>
        <v>8007359.96</v>
      </c>
      <c r="H207" s="11">
        <v>-1095435</v>
      </c>
      <c r="I207" s="11">
        <v>0</v>
      </c>
      <c r="K207" s="734">
        <f t="shared" si="19"/>
        <v>6911924.96</v>
      </c>
      <c r="M207" s="9"/>
      <c r="O207" s="13"/>
    </row>
    <row r="208" spans="1:15" outlineLevel="2">
      <c r="A208" s="730">
        <f t="shared" si="18"/>
        <v>200</v>
      </c>
      <c r="B208" s="9" t="s">
        <v>576</v>
      </c>
      <c r="C208" s="15" t="s">
        <v>1036</v>
      </c>
      <c r="D208" s="10" t="s">
        <v>1037</v>
      </c>
      <c r="E208" s="11">
        <v>2030823.76</v>
      </c>
      <c r="F208" s="11">
        <v>2603373</v>
      </c>
      <c r="G208" s="11">
        <f t="shared" si="17"/>
        <v>4634196.76</v>
      </c>
      <c r="H208" s="11">
        <v>-139934</v>
      </c>
      <c r="I208" s="11">
        <v>0</v>
      </c>
      <c r="K208" s="734">
        <f t="shared" si="19"/>
        <v>4494262.76</v>
      </c>
      <c r="L208" s="10"/>
      <c r="M208" s="9"/>
      <c r="O208" s="13"/>
    </row>
    <row r="209" spans="1:15" outlineLevel="2">
      <c r="A209" s="730">
        <f t="shared" si="18"/>
        <v>201</v>
      </c>
      <c r="B209" s="9" t="s">
        <v>576</v>
      </c>
      <c r="C209" s="15" t="s">
        <v>64</v>
      </c>
      <c r="D209" s="10" t="s">
        <v>1038</v>
      </c>
      <c r="E209" s="11">
        <v>72367.83</v>
      </c>
      <c r="G209" s="11">
        <f t="shared" si="17"/>
        <v>72367.83</v>
      </c>
      <c r="H209" s="11">
        <v>-72368</v>
      </c>
      <c r="I209" s="11">
        <v>0</v>
      </c>
      <c r="K209" s="734">
        <f>SUM(G209:J209)</f>
        <v>-0.16999999999825377</v>
      </c>
      <c r="L209" s="10"/>
      <c r="M209" s="9"/>
      <c r="O209" s="13"/>
    </row>
    <row r="210" spans="1:15" outlineLevel="2">
      <c r="A210" s="730">
        <f t="shared" si="18"/>
        <v>202</v>
      </c>
      <c r="B210" s="9" t="s">
        <v>576</v>
      </c>
      <c r="C210" s="15" t="s">
        <v>1039</v>
      </c>
      <c r="D210" s="10" t="s">
        <v>1040</v>
      </c>
      <c r="E210" s="11">
        <v>1944816.97</v>
      </c>
      <c r="G210" s="11">
        <f t="shared" si="17"/>
        <v>1944816.97</v>
      </c>
      <c r="H210" s="11">
        <v>-33744</v>
      </c>
      <c r="I210" s="11">
        <v>0</v>
      </c>
      <c r="K210" s="734">
        <f t="shared" si="19"/>
        <v>1911072.97</v>
      </c>
      <c r="L210" s="10"/>
      <c r="M210" s="9"/>
      <c r="O210" s="13"/>
    </row>
    <row r="211" spans="1:15" ht="13.5" customHeight="1" outlineLevel="2">
      <c r="A211" s="730">
        <f t="shared" si="18"/>
        <v>203</v>
      </c>
      <c r="B211" s="9" t="s">
        <v>576</v>
      </c>
      <c r="C211" s="15" t="s">
        <v>1041</v>
      </c>
      <c r="D211" s="10" t="s">
        <v>1042</v>
      </c>
      <c r="E211" s="11">
        <v>18333139.199999999</v>
      </c>
      <c r="G211" s="11">
        <f t="shared" si="17"/>
        <v>18333139.199999999</v>
      </c>
      <c r="H211" s="11">
        <v>0</v>
      </c>
      <c r="I211" s="11">
        <v>0</v>
      </c>
      <c r="K211" s="734">
        <f>SUM(G211:J211)</f>
        <v>18333139.199999999</v>
      </c>
      <c r="M211" s="9"/>
      <c r="O211" s="13"/>
    </row>
    <row r="212" spans="1:15" outlineLevel="2">
      <c r="A212" s="730">
        <f t="shared" si="18"/>
        <v>204</v>
      </c>
      <c r="B212" s="9" t="s">
        <v>576</v>
      </c>
      <c r="C212" s="15" t="s">
        <v>1043</v>
      </c>
      <c r="D212" s="10" t="s">
        <v>1044</v>
      </c>
      <c r="E212" s="11">
        <v>4116914.47</v>
      </c>
      <c r="G212" s="11">
        <f t="shared" si="17"/>
        <v>4116914.47</v>
      </c>
      <c r="H212" s="11">
        <v>-287497</v>
      </c>
      <c r="I212" s="11">
        <v>0</v>
      </c>
      <c r="K212" s="734">
        <f t="shared" ref="K212:K221" si="20">SUM(G212:J212)</f>
        <v>3829417.47</v>
      </c>
      <c r="L212" s="10"/>
      <c r="M212" s="9"/>
      <c r="O212" s="13"/>
    </row>
    <row r="213" spans="1:15" outlineLevel="2">
      <c r="A213" s="730">
        <f t="shared" si="18"/>
        <v>205</v>
      </c>
      <c r="B213" s="9" t="s">
        <v>576</v>
      </c>
      <c r="C213" s="15" t="s">
        <v>1045</v>
      </c>
      <c r="D213" s="10" t="s">
        <v>1046</v>
      </c>
      <c r="E213" s="11">
        <v>3335109.23</v>
      </c>
      <c r="G213" s="11">
        <f t="shared" si="17"/>
        <v>3335109.23</v>
      </c>
      <c r="H213" s="11">
        <v>-58595</v>
      </c>
      <c r="I213" s="11">
        <v>0</v>
      </c>
      <c r="K213" s="734">
        <f t="shared" si="20"/>
        <v>3276514.23</v>
      </c>
      <c r="L213" s="10"/>
      <c r="M213" s="9"/>
      <c r="O213" s="13"/>
    </row>
    <row r="214" spans="1:15" outlineLevel="2">
      <c r="A214" s="730">
        <f t="shared" si="18"/>
        <v>206</v>
      </c>
      <c r="B214" s="9" t="s">
        <v>576</v>
      </c>
      <c r="C214" s="15" t="s">
        <v>1047</v>
      </c>
      <c r="D214" s="10" t="s">
        <v>1048</v>
      </c>
      <c r="E214" s="11">
        <v>180660.37</v>
      </c>
      <c r="G214" s="11">
        <f t="shared" si="17"/>
        <v>180660.37</v>
      </c>
      <c r="H214" s="11">
        <v>0</v>
      </c>
      <c r="I214" s="11">
        <v>0</v>
      </c>
      <c r="K214" s="734">
        <f t="shared" si="20"/>
        <v>180660.37</v>
      </c>
      <c r="L214" s="10"/>
      <c r="M214" s="9"/>
      <c r="O214" s="13"/>
    </row>
    <row r="215" spans="1:15" outlineLevel="2">
      <c r="A215" s="730">
        <f t="shared" si="18"/>
        <v>207</v>
      </c>
      <c r="B215" s="9" t="s">
        <v>576</v>
      </c>
      <c r="C215" s="15" t="s">
        <v>1049</v>
      </c>
      <c r="D215" s="10" t="s">
        <v>1050</v>
      </c>
      <c r="E215" s="11">
        <v>890606.75</v>
      </c>
      <c r="G215" s="11">
        <f t="shared" si="17"/>
        <v>890606.75</v>
      </c>
      <c r="H215" s="11">
        <v>-108485</v>
      </c>
      <c r="I215" s="11">
        <v>0</v>
      </c>
      <c r="K215" s="734">
        <f t="shared" si="20"/>
        <v>782121.75</v>
      </c>
      <c r="L215" s="10"/>
      <c r="M215" s="9"/>
      <c r="O215" s="13"/>
    </row>
    <row r="216" spans="1:15" outlineLevel="2">
      <c r="A216" s="730">
        <f t="shared" si="18"/>
        <v>208</v>
      </c>
      <c r="B216" s="9" t="s">
        <v>576</v>
      </c>
      <c r="C216" s="15" t="s">
        <v>1051</v>
      </c>
      <c r="D216" s="10" t="s">
        <v>1052</v>
      </c>
      <c r="E216" s="11">
        <v>2037147.6</v>
      </c>
      <c r="G216" s="11">
        <f>E216+F216</f>
        <v>2037147.6</v>
      </c>
      <c r="H216" s="11">
        <v>-209290</v>
      </c>
      <c r="I216" s="11">
        <v>0</v>
      </c>
      <c r="K216" s="734">
        <f t="shared" si="20"/>
        <v>1827857.6</v>
      </c>
      <c r="L216" s="10"/>
      <c r="M216" s="9"/>
      <c r="O216" s="13"/>
    </row>
    <row r="217" spans="1:15" outlineLevel="2">
      <c r="A217" s="730">
        <f t="shared" si="18"/>
        <v>209</v>
      </c>
      <c r="B217" s="9" t="s">
        <v>576</v>
      </c>
      <c r="C217" s="15" t="s">
        <v>1053</v>
      </c>
      <c r="D217" s="10" t="s">
        <v>1054</v>
      </c>
      <c r="E217" s="11">
        <v>4310495.96</v>
      </c>
      <c r="G217" s="11">
        <f t="shared" ref="G217:G235" si="21">E217+F217</f>
        <v>4310495.96</v>
      </c>
      <c r="H217" s="11">
        <v>-699890</v>
      </c>
      <c r="I217" s="11">
        <v>0</v>
      </c>
      <c r="K217" s="734">
        <f t="shared" si="20"/>
        <v>3610605.96</v>
      </c>
      <c r="L217" s="10"/>
      <c r="M217" s="9"/>
      <c r="O217" s="13"/>
    </row>
    <row r="218" spans="1:15" outlineLevel="2">
      <c r="A218" s="730">
        <f t="shared" si="18"/>
        <v>210</v>
      </c>
      <c r="B218" s="9" t="s">
        <v>576</v>
      </c>
      <c r="C218" s="15" t="s">
        <v>1055</v>
      </c>
      <c r="D218" s="10" t="s">
        <v>1056</v>
      </c>
      <c r="E218" s="11">
        <v>992414.68</v>
      </c>
      <c r="G218" s="11">
        <f t="shared" si="21"/>
        <v>992414.68</v>
      </c>
      <c r="H218" s="11">
        <v>-160601.15</v>
      </c>
      <c r="I218" s="11">
        <v>0</v>
      </c>
      <c r="K218" s="734">
        <f>SUM(G218:J218)</f>
        <v>831813.53</v>
      </c>
      <c r="L218" s="10"/>
      <c r="M218" s="9"/>
      <c r="O218" s="13"/>
    </row>
    <row r="219" spans="1:15" outlineLevel="2">
      <c r="A219" s="730">
        <f t="shared" si="18"/>
        <v>211</v>
      </c>
      <c r="B219" s="9" t="s">
        <v>576</v>
      </c>
      <c r="C219" s="15" t="s">
        <v>1057</v>
      </c>
      <c r="D219" s="10" t="s">
        <v>1058</v>
      </c>
      <c r="E219" s="11">
        <v>250628.78</v>
      </c>
      <c r="G219" s="11">
        <f t="shared" si="21"/>
        <v>250628.78</v>
      </c>
      <c r="H219" s="11">
        <v>-250629</v>
      </c>
      <c r="I219" s="11">
        <v>0</v>
      </c>
      <c r="K219" s="734">
        <f t="shared" si="20"/>
        <v>-0.22000000000116415</v>
      </c>
      <c r="L219" s="10"/>
      <c r="M219" s="9"/>
      <c r="O219" s="13"/>
    </row>
    <row r="220" spans="1:15" outlineLevel="2">
      <c r="A220" s="730">
        <f t="shared" si="18"/>
        <v>212</v>
      </c>
      <c r="B220" s="9" t="s">
        <v>576</v>
      </c>
      <c r="C220" s="15" t="s">
        <v>1059</v>
      </c>
      <c r="D220" s="10" t="s">
        <v>1060</v>
      </c>
      <c r="E220" s="11">
        <f>5739050.59</f>
        <v>5739050.5899999999</v>
      </c>
      <c r="G220" s="11">
        <f t="shared" si="21"/>
        <v>5739050.5899999999</v>
      </c>
      <c r="H220" s="11">
        <v>-556793</v>
      </c>
      <c r="I220" s="11">
        <v>0</v>
      </c>
      <c r="K220" s="734">
        <f t="shared" si="20"/>
        <v>5182257.59</v>
      </c>
      <c r="L220" s="10"/>
      <c r="M220" s="9"/>
      <c r="O220" s="13"/>
    </row>
    <row r="221" spans="1:15" outlineLevel="2">
      <c r="A221" s="730">
        <f t="shared" si="18"/>
        <v>213</v>
      </c>
      <c r="B221" s="9" t="s">
        <v>576</v>
      </c>
      <c r="C221" s="15" t="s">
        <v>1061</v>
      </c>
      <c r="D221" s="10" t="s">
        <v>1062</v>
      </c>
      <c r="E221" s="11">
        <v>1733527.61</v>
      </c>
      <c r="G221" s="11">
        <f t="shared" si="21"/>
        <v>1733527.61</v>
      </c>
      <c r="H221" s="11">
        <v>-1733528</v>
      </c>
      <c r="I221" s="11">
        <v>0</v>
      </c>
      <c r="K221" s="734">
        <f t="shared" si="20"/>
        <v>-0.38999999989755452</v>
      </c>
      <c r="M221" s="9"/>
      <c r="O221" s="13"/>
    </row>
    <row r="222" spans="1:15" outlineLevel="2">
      <c r="A222" s="730">
        <f t="shared" si="18"/>
        <v>214</v>
      </c>
      <c r="B222" s="9" t="s">
        <v>576</v>
      </c>
      <c r="C222" s="15" t="s">
        <v>599</v>
      </c>
      <c r="D222" s="10" t="s">
        <v>1063</v>
      </c>
      <c r="E222" s="11">
        <v>8375650.7999999998</v>
      </c>
      <c r="G222" s="11">
        <f t="shared" si="21"/>
        <v>8375650.7999999998</v>
      </c>
      <c r="H222" s="11">
        <v>0</v>
      </c>
      <c r="I222" s="11">
        <v>0</v>
      </c>
      <c r="J222" s="11">
        <v>-8375651</v>
      </c>
      <c r="K222" s="734">
        <f>SUM(G222:J222)</f>
        <v>-0.20000000018626451</v>
      </c>
      <c r="M222" s="9"/>
      <c r="O222" s="13"/>
    </row>
    <row r="223" spans="1:15" outlineLevel="2">
      <c r="A223" s="730">
        <f t="shared" si="18"/>
        <v>215</v>
      </c>
      <c r="B223" s="9" t="s">
        <v>576</v>
      </c>
      <c r="C223" s="15" t="s">
        <v>1064</v>
      </c>
      <c r="D223" s="10" t="s">
        <v>1065</v>
      </c>
      <c r="E223" s="11">
        <v>623512.97</v>
      </c>
      <c r="G223" s="11">
        <f t="shared" si="21"/>
        <v>623512.97</v>
      </c>
      <c r="H223" s="11">
        <v>0</v>
      </c>
      <c r="I223" s="11">
        <v>0</v>
      </c>
      <c r="K223" s="734">
        <f>SUM(G223:J223)</f>
        <v>623512.97</v>
      </c>
      <c r="M223" s="9"/>
      <c r="O223" s="13"/>
    </row>
    <row r="224" spans="1:15" outlineLevel="2">
      <c r="A224" s="730">
        <f t="shared" si="18"/>
        <v>216</v>
      </c>
      <c r="B224" s="9" t="s">
        <v>576</v>
      </c>
      <c r="C224" s="15" t="s">
        <v>1066</v>
      </c>
      <c r="D224" s="10" t="s">
        <v>1067</v>
      </c>
      <c r="E224" s="11">
        <v>3160305.03</v>
      </c>
      <c r="G224" s="11">
        <f t="shared" si="21"/>
        <v>3160305.03</v>
      </c>
      <c r="H224" s="11">
        <v>-1380449</v>
      </c>
      <c r="I224" s="11">
        <v>0</v>
      </c>
      <c r="K224" s="734">
        <f t="shared" ref="K224:K268" si="22">SUM(G224:J224)</f>
        <v>1779856.0299999998</v>
      </c>
      <c r="L224" s="10"/>
      <c r="M224" s="9"/>
      <c r="O224" s="13"/>
    </row>
    <row r="225" spans="1:15" outlineLevel="2">
      <c r="A225" s="730">
        <f t="shared" si="18"/>
        <v>217</v>
      </c>
      <c r="B225" s="9" t="s">
        <v>576</v>
      </c>
      <c r="C225" s="15" t="s">
        <v>1068</v>
      </c>
      <c r="D225" s="10" t="s">
        <v>1069</v>
      </c>
      <c r="E225" s="11">
        <v>8722195.9910000004</v>
      </c>
      <c r="G225" s="11">
        <f t="shared" si="21"/>
        <v>8722195.9910000004</v>
      </c>
      <c r="H225" s="11">
        <v>-570712</v>
      </c>
      <c r="I225" s="11">
        <v>0</v>
      </c>
      <c r="K225" s="734">
        <f t="shared" si="22"/>
        <v>8151483.9910000004</v>
      </c>
      <c r="L225" s="10"/>
      <c r="M225" s="9"/>
      <c r="O225" s="13"/>
    </row>
    <row r="226" spans="1:15" outlineLevel="2">
      <c r="A226" s="730">
        <f t="shared" si="18"/>
        <v>218</v>
      </c>
      <c r="B226" s="9" t="s">
        <v>576</v>
      </c>
      <c r="C226" s="15" t="s">
        <v>1070</v>
      </c>
      <c r="D226" s="10" t="s">
        <v>1071</v>
      </c>
      <c r="E226" s="11">
        <v>74402.89</v>
      </c>
      <c r="G226" s="11">
        <f t="shared" si="21"/>
        <v>74402.89</v>
      </c>
      <c r="H226" s="11">
        <v>0</v>
      </c>
      <c r="I226" s="11">
        <v>0</v>
      </c>
      <c r="K226" s="734">
        <f t="shared" si="22"/>
        <v>74402.89</v>
      </c>
      <c r="M226" s="9"/>
      <c r="O226" s="13"/>
    </row>
    <row r="227" spans="1:15" outlineLevel="2">
      <c r="A227" s="730">
        <f t="shared" si="18"/>
        <v>219</v>
      </c>
      <c r="B227" s="9" t="s">
        <v>576</v>
      </c>
      <c r="C227" s="15" t="s">
        <v>1072</v>
      </c>
      <c r="D227" s="10" t="s">
        <v>1073</v>
      </c>
      <c r="E227" s="11">
        <v>861699.29</v>
      </c>
      <c r="F227" s="11">
        <v>3078229</v>
      </c>
      <c r="G227" s="11">
        <f t="shared" si="21"/>
        <v>3939928.29</v>
      </c>
      <c r="H227" s="11">
        <f>-861699-3078229</f>
        <v>-3939928</v>
      </c>
      <c r="I227" s="11">
        <v>0</v>
      </c>
      <c r="K227" s="734">
        <f t="shared" si="22"/>
        <v>0.2900000000372529</v>
      </c>
      <c r="L227" s="10"/>
      <c r="M227" s="9"/>
      <c r="O227" s="13"/>
    </row>
    <row r="228" spans="1:15" outlineLevel="2">
      <c r="A228" s="730">
        <f t="shared" si="18"/>
        <v>220</v>
      </c>
      <c r="B228" s="9" t="s">
        <v>576</v>
      </c>
      <c r="C228" s="15" t="s">
        <v>1074</v>
      </c>
      <c r="D228" s="10" t="s">
        <v>1075</v>
      </c>
      <c r="E228" s="11">
        <v>5897301.8099999996</v>
      </c>
      <c r="G228" s="11">
        <f t="shared" si="21"/>
        <v>5897301.8099999996</v>
      </c>
      <c r="H228" s="11">
        <v>-169696</v>
      </c>
      <c r="I228" s="11">
        <v>0</v>
      </c>
      <c r="K228" s="734">
        <f t="shared" si="22"/>
        <v>5727605.8099999996</v>
      </c>
      <c r="L228" s="10"/>
      <c r="M228" s="9"/>
      <c r="O228" s="13"/>
    </row>
    <row r="229" spans="1:15" outlineLevel="2">
      <c r="A229" s="730">
        <f t="shared" si="18"/>
        <v>221</v>
      </c>
      <c r="B229" s="9" t="s">
        <v>576</v>
      </c>
      <c r="C229" s="15" t="s">
        <v>1076</v>
      </c>
      <c r="D229" s="10" t="s">
        <v>1077</v>
      </c>
      <c r="E229" s="11">
        <v>22102.23</v>
      </c>
      <c r="G229" s="11">
        <f t="shared" si="21"/>
        <v>22102.23</v>
      </c>
      <c r="H229" s="11">
        <v>0</v>
      </c>
      <c r="I229" s="11">
        <v>0</v>
      </c>
      <c r="K229" s="734">
        <f t="shared" si="22"/>
        <v>22102.23</v>
      </c>
      <c r="L229" s="10"/>
      <c r="M229" s="9"/>
      <c r="O229" s="13"/>
    </row>
    <row r="230" spans="1:15" outlineLevel="2">
      <c r="A230" s="730">
        <f t="shared" si="18"/>
        <v>222</v>
      </c>
      <c r="B230" s="9" t="s">
        <v>576</v>
      </c>
      <c r="C230" s="15" t="s">
        <v>1078</v>
      </c>
      <c r="D230" s="10" t="s">
        <v>1079</v>
      </c>
      <c r="E230" s="11">
        <v>13150690.43</v>
      </c>
      <c r="G230" s="11">
        <f t="shared" si="21"/>
        <v>13150690.43</v>
      </c>
      <c r="H230" s="11">
        <v>0</v>
      </c>
      <c r="I230" s="11">
        <v>0</v>
      </c>
      <c r="K230" s="734">
        <f>SUM(G230:J230)</f>
        <v>13150690.43</v>
      </c>
      <c r="M230" s="9"/>
      <c r="O230" s="13"/>
    </row>
    <row r="231" spans="1:15" outlineLevel="2">
      <c r="A231" s="730">
        <f t="shared" si="18"/>
        <v>223</v>
      </c>
      <c r="B231" s="9" t="s">
        <v>576</v>
      </c>
      <c r="C231" s="15" t="s">
        <v>1080</v>
      </c>
      <c r="D231" s="10" t="s">
        <v>1081</v>
      </c>
      <c r="E231" s="11">
        <v>16893262.280000001</v>
      </c>
      <c r="G231" s="11">
        <f t="shared" si="21"/>
        <v>16893262.280000001</v>
      </c>
      <c r="H231" s="11">
        <v>0</v>
      </c>
      <c r="I231" s="11">
        <v>0</v>
      </c>
      <c r="K231" s="734">
        <f t="shared" si="22"/>
        <v>16893262.280000001</v>
      </c>
      <c r="M231" s="9"/>
      <c r="O231" s="13"/>
    </row>
    <row r="232" spans="1:15" outlineLevel="2">
      <c r="A232" s="730">
        <f t="shared" si="18"/>
        <v>224</v>
      </c>
      <c r="B232" s="9" t="s">
        <v>576</v>
      </c>
      <c r="C232" s="15" t="s">
        <v>1082</v>
      </c>
      <c r="D232" s="10" t="s">
        <v>1083</v>
      </c>
      <c r="E232" s="11">
        <v>14959602.91</v>
      </c>
      <c r="G232" s="11">
        <f t="shared" si="21"/>
        <v>14959602.91</v>
      </c>
      <c r="H232" s="11">
        <v>-516513</v>
      </c>
      <c r="I232" s="11">
        <v>0</v>
      </c>
      <c r="K232" s="734">
        <f t="shared" si="22"/>
        <v>14443089.91</v>
      </c>
      <c r="L232" s="10"/>
      <c r="M232" s="9"/>
      <c r="O232" s="13"/>
    </row>
    <row r="233" spans="1:15" outlineLevel="2">
      <c r="A233" s="730">
        <f t="shared" si="18"/>
        <v>225</v>
      </c>
      <c r="B233" s="9" t="s">
        <v>576</v>
      </c>
      <c r="C233" s="15" t="s">
        <v>1084</v>
      </c>
      <c r="D233" s="10" t="s">
        <v>1085</v>
      </c>
      <c r="E233" s="11">
        <v>8022741.1900000004</v>
      </c>
      <c r="G233" s="11">
        <f t="shared" si="21"/>
        <v>8022741.1900000004</v>
      </c>
      <c r="H233" s="11">
        <v>-254683.47</v>
      </c>
      <c r="I233" s="11">
        <v>0</v>
      </c>
      <c r="K233" s="734">
        <f t="shared" si="22"/>
        <v>7768057.7200000007</v>
      </c>
      <c r="M233" s="9"/>
      <c r="O233" s="13"/>
    </row>
    <row r="234" spans="1:15" outlineLevel="2">
      <c r="A234" s="730">
        <f t="shared" si="18"/>
        <v>226</v>
      </c>
      <c r="B234" s="9" t="s">
        <v>576</v>
      </c>
      <c r="C234" s="15" t="s">
        <v>1086</v>
      </c>
      <c r="D234" s="10" t="s">
        <v>1087</v>
      </c>
      <c r="E234" s="11">
        <v>49735.05</v>
      </c>
      <c r="G234" s="11">
        <f t="shared" si="21"/>
        <v>49735.05</v>
      </c>
      <c r="H234" s="11">
        <v>0</v>
      </c>
      <c r="I234" s="11">
        <v>0</v>
      </c>
      <c r="K234" s="734">
        <f t="shared" si="22"/>
        <v>49735.05</v>
      </c>
      <c r="M234" s="9"/>
      <c r="O234" s="13"/>
    </row>
    <row r="235" spans="1:15" outlineLevel="2">
      <c r="A235" s="730">
        <f t="shared" si="18"/>
        <v>227</v>
      </c>
      <c r="B235" s="9" t="s">
        <v>576</v>
      </c>
      <c r="C235" s="15" t="s">
        <v>1088</v>
      </c>
      <c r="D235" s="10" t="s">
        <v>1089</v>
      </c>
      <c r="E235" s="11">
        <v>74427.83</v>
      </c>
      <c r="G235" s="11">
        <f t="shared" si="21"/>
        <v>74427.83</v>
      </c>
      <c r="H235" s="11">
        <v>0</v>
      </c>
      <c r="I235" s="11">
        <v>0</v>
      </c>
      <c r="K235" s="734">
        <f t="shared" si="22"/>
        <v>74427.83</v>
      </c>
      <c r="M235" s="9"/>
      <c r="O235" s="13"/>
    </row>
    <row r="236" spans="1:15" outlineLevel="2">
      <c r="A236" s="730">
        <f t="shared" si="18"/>
        <v>228</v>
      </c>
      <c r="B236" s="9" t="s">
        <v>576</v>
      </c>
      <c r="C236" s="15" t="s">
        <v>1090</v>
      </c>
      <c r="D236" s="10" t="s">
        <v>1091</v>
      </c>
      <c r="E236" s="11">
        <v>0</v>
      </c>
      <c r="G236" s="11">
        <f>E236+F236</f>
        <v>0</v>
      </c>
      <c r="I236" s="11">
        <v>0</v>
      </c>
      <c r="K236" s="734">
        <f>SUM(G236:J236)</f>
        <v>0</v>
      </c>
      <c r="M236" s="9"/>
      <c r="O236" s="13"/>
    </row>
    <row r="237" spans="1:15" outlineLevel="2">
      <c r="A237" s="730">
        <f t="shared" si="18"/>
        <v>229</v>
      </c>
      <c r="B237" s="9" t="s">
        <v>576</v>
      </c>
      <c r="C237" s="15" t="s">
        <v>1092</v>
      </c>
      <c r="D237" s="10" t="s">
        <v>1093</v>
      </c>
      <c r="E237" s="11">
        <v>2851688.75</v>
      </c>
      <c r="G237" s="11">
        <f>E237+F237</f>
        <v>2851688.75</v>
      </c>
      <c r="H237" s="11">
        <v>-384548.24</v>
      </c>
      <c r="I237" s="11">
        <v>0</v>
      </c>
      <c r="K237" s="734">
        <f t="shared" si="22"/>
        <v>2467140.5099999998</v>
      </c>
      <c r="M237" s="9"/>
      <c r="O237" s="13"/>
    </row>
    <row r="238" spans="1:15" outlineLevel="2">
      <c r="A238" s="730">
        <f t="shared" si="18"/>
        <v>230</v>
      </c>
      <c r="B238" s="9" t="s">
        <v>576</v>
      </c>
      <c r="C238" s="15" t="s">
        <v>1094</v>
      </c>
      <c r="D238" s="10" t="s">
        <v>1095</v>
      </c>
      <c r="E238" s="11">
        <v>606043.92000000004</v>
      </c>
      <c r="G238" s="11">
        <f t="shared" ref="G238:G255" si="23">E238+F238</f>
        <v>606043.92000000004</v>
      </c>
      <c r="H238" s="11">
        <v>-103121</v>
      </c>
      <c r="I238" s="11">
        <v>0</v>
      </c>
      <c r="K238" s="734">
        <f>SUM(G238:J238)</f>
        <v>502922.92000000004</v>
      </c>
      <c r="M238" s="9"/>
      <c r="O238" s="13"/>
    </row>
    <row r="239" spans="1:15" outlineLevel="2">
      <c r="A239" s="730">
        <f t="shared" si="18"/>
        <v>231</v>
      </c>
      <c r="B239" s="9" t="s">
        <v>576</v>
      </c>
      <c r="C239" s="15" t="s">
        <v>1096</v>
      </c>
      <c r="D239" s="10" t="s">
        <v>1097</v>
      </c>
      <c r="E239" s="11">
        <v>166305.57999999999</v>
      </c>
      <c r="G239" s="11">
        <f t="shared" si="23"/>
        <v>166305.57999999999</v>
      </c>
      <c r="H239" s="11">
        <v>0</v>
      </c>
      <c r="I239" s="11">
        <v>0</v>
      </c>
      <c r="K239" s="734">
        <f t="shared" si="22"/>
        <v>166305.57999999999</v>
      </c>
      <c r="M239" s="9"/>
      <c r="O239" s="13"/>
    </row>
    <row r="240" spans="1:15" outlineLevel="2">
      <c r="A240" s="730">
        <f t="shared" si="18"/>
        <v>232</v>
      </c>
      <c r="B240" s="9" t="s">
        <v>576</v>
      </c>
      <c r="C240" s="15" t="s">
        <v>1098</v>
      </c>
      <c r="D240" s="10" t="s">
        <v>1099</v>
      </c>
      <c r="E240" s="11">
        <v>5204626.3499999996</v>
      </c>
      <c r="G240" s="11">
        <f t="shared" si="23"/>
        <v>5204626.3499999996</v>
      </c>
      <c r="H240" s="11">
        <v>0</v>
      </c>
      <c r="I240" s="11">
        <v>0</v>
      </c>
      <c r="K240" s="734">
        <f t="shared" si="22"/>
        <v>5204626.3499999996</v>
      </c>
      <c r="M240" s="9"/>
      <c r="O240" s="13"/>
    </row>
    <row r="241" spans="1:15" outlineLevel="2">
      <c r="A241" s="730">
        <f t="shared" si="18"/>
        <v>233</v>
      </c>
      <c r="B241" s="9" t="s">
        <v>576</v>
      </c>
      <c r="C241" s="15" t="s">
        <v>1100</v>
      </c>
      <c r="D241" s="10" t="s">
        <v>1101</v>
      </c>
      <c r="E241" s="11">
        <v>937620.96</v>
      </c>
      <c r="G241" s="11">
        <f t="shared" si="23"/>
        <v>937620.96</v>
      </c>
      <c r="H241" s="11">
        <v>-125594</v>
      </c>
      <c r="I241" s="11">
        <v>0</v>
      </c>
      <c r="K241" s="734">
        <f t="shared" si="22"/>
        <v>812026.96</v>
      </c>
      <c r="L241" s="10"/>
      <c r="M241" s="9"/>
      <c r="O241" s="13"/>
    </row>
    <row r="242" spans="1:15" outlineLevel="2">
      <c r="A242" s="730">
        <f t="shared" si="18"/>
        <v>234</v>
      </c>
      <c r="B242" s="9" t="s">
        <v>576</v>
      </c>
      <c r="C242" s="15" t="s">
        <v>1102</v>
      </c>
      <c r="D242" s="10" t="s">
        <v>1103</v>
      </c>
      <c r="E242" s="11">
        <v>12974149.65</v>
      </c>
      <c r="G242" s="11">
        <f t="shared" si="23"/>
        <v>12974149.65</v>
      </c>
      <c r="H242" s="11">
        <v>0</v>
      </c>
      <c r="I242" s="11">
        <v>0</v>
      </c>
      <c r="K242" s="734">
        <f>SUM(G242:J242)</f>
        <v>12974149.65</v>
      </c>
      <c r="M242" s="9"/>
      <c r="O242" s="13"/>
    </row>
    <row r="243" spans="1:15" outlineLevel="2">
      <c r="A243" s="730">
        <f t="shared" si="18"/>
        <v>235</v>
      </c>
      <c r="B243" s="9" t="s">
        <v>576</v>
      </c>
      <c r="C243" s="15" t="s">
        <v>1104</v>
      </c>
      <c r="D243" s="10" t="s">
        <v>1105</v>
      </c>
      <c r="E243" s="11">
        <v>12235482.560000001</v>
      </c>
      <c r="G243" s="11">
        <f>E243+F243</f>
        <v>12235482.560000001</v>
      </c>
      <c r="H243" s="11">
        <v>0</v>
      </c>
      <c r="I243" s="11">
        <v>0</v>
      </c>
      <c r="K243" s="734">
        <f t="shared" si="22"/>
        <v>12235482.560000001</v>
      </c>
      <c r="M243" s="9"/>
      <c r="O243" s="13"/>
    </row>
    <row r="244" spans="1:15" outlineLevel="2">
      <c r="A244" s="730">
        <f t="shared" si="18"/>
        <v>236</v>
      </c>
      <c r="B244" s="9" t="s">
        <v>576</v>
      </c>
      <c r="C244" s="15" t="s">
        <v>1106</v>
      </c>
      <c r="D244" s="10" t="s">
        <v>1107</v>
      </c>
      <c r="E244" s="11">
        <v>6894550.4500000002</v>
      </c>
      <c r="G244" s="11">
        <f t="shared" si="23"/>
        <v>6894550.4500000002</v>
      </c>
      <c r="H244" s="11">
        <v>-176541</v>
      </c>
      <c r="I244" s="11">
        <v>0</v>
      </c>
      <c r="K244" s="734">
        <f t="shared" si="22"/>
        <v>6718009.4500000002</v>
      </c>
      <c r="L244" s="10"/>
      <c r="M244" s="9"/>
      <c r="O244" s="13"/>
    </row>
    <row r="245" spans="1:15" outlineLevel="2">
      <c r="A245" s="730">
        <f t="shared" si="18"/>
        <v>237</v>
      </c>
      <c r="B245" s="9" t="s">
        <v>576</v>
      </c>
      <c r="C245" s="15" t="s">
        <v>1108</v>
      </c>
      <c r="D245" s="10" t="s">
        <v>1109</v>
      </c>
      <c r="E245" s="11">
        <v>120971.84</v>
      </c>
      <c r="G245" s="11">
        <f t="shared" si="23"/>
        <v>120971.84</v>
      </c>
      <c r="H245" s="11">
        <v>0</v>
      </c>
      <c r="I245" s="11">
        <v>0</v>
      </c>
      <c r="K245" s="734">
        <f t="shared" si="22"/>
        <v>120971.84</v>
      </c>
      <c r="M245" s="9"/>
      <c r="O245" s="13"/>
    </row>
    <row r="246" spans="1:15" outlineLevel="2">
      <c r="A246" s="730">
        <f t="shared" si="18"/>
        <v>238</v>
      </c>
      <c r="B246" s="9" t="s">
        <v>576</v>
      </c>
      <c r="C246" s="15" t="s">
        <v>1110</v>
      </c>
      <c r="D246" s="10" t="s">
        <v>1111</v>
      </c>
      <c r="E246" s="11">
        <v>232375.26</v>
      </c>
      <c r="G246" s="11">
        <f t="shared" si="23"/>
        <v>232375.26</v>
      </c>
      <c r="H246" s="11">
        <v>0</v>
      </c>
      <c r="I246" s="11">
        <v>0</v>
      </c>
      <c r="K246" s="734">
        <f t="shared" si="22"/>
        <v>232375.26</v>
      </c>
      <c r="M246" s="9"/>
      <c r="O246" s="13"/>
    </row>
    <row r="247" spans="1:15" outlineLevel="2">
      <c r="A247" s="730">
        <f t="shared" si="18"/>
        <v>239</v>
      </c>
      <c r="B247" s="9" t="s">
        <v>576</v>
      </c>
      <c r="C247" s="15" t="s">
        <v>1112</v>
      </c>
      <c r="D247" s="10" t="s">
        <v>1113</v>
      </c>
      <c r="E247" s="11">
        <v>3206763.26</v>
      </c>
      <c r="G247" s="11">
        <f t="shared" si="23"/>
        <v>3206763.26</v>
      </c>
      <c r="H247" s="11">
        <v>0</v>
      </c>
      <c r="I247" s="11">
        <v>0</v>
      </c>
      <c r="K247" s="734">
        <f t="shared" si="22"/>
        <v>3206763.26</v>
      </c>
      <c r="M247" s="9"/>
      <c r="O247" s="13"/>
    </row>
    <row r="248" spans="1:15" outlineLevel="2">
      <c r="A248" s="730">
        <f t="shared" si="18"/>
        <v>240</v>
      </c>
      <c r="B248" s="9" t="s">
        <v>576</v>
      </c>
      <c r="C248" s="15" t="s">
        <v>1114</v>
      </c>
      <c r="D248" s="10" t="s">
        <v>1115</v>
      </c>
      <c r="E248" s="11">
        <v>1571437.2</v>
      </c>
      <c r="G248" s="11">
        <f t="shared" si="23"/>
        <v>1571437.2</v>
      </c>
      <c r="H248" s="11">
        <v>-654299</v>
      </c>
      <c r="I248" s="11">
        <v>0</v>
      </c>
      <c r="K248" s="734">
        <f t="shared" si="22"/>
        <v>917138.2</v>
      </c>
      <c r="L248" s="10"/>
      <c r="M248" s="9"/>
      <c r="O248" s="13"/>
    </row>
    <row r="249" spans="1:15" outlineLevel="2">
      <c r="A249" s="730">
        <f t="shared" si="18"/>
        <v>241</v>
      </c>
      <c r="B249" s="9" t="s">
        <v>576</v>
      </c>
      <c r="C249" s="15" t="s">
        <v>1116</v>
      </c>
      <c r="D249" s="10" t="s">
        <v>1117</v>
      </c>
      <c r="E249" s="11">
        <v>0</v>
      </c>
      <c r="G249" s="11">
        <f t="shared" si="23"/>
        <v>0</v>
      </c>
      <c r="H249" s="11">
        <v>0</v>
      </c>
      <c r="I249" s="11">
        <v>0</v>
      </c>
      <c r="K249" s="734">
        <f t="shared" si="22"/>
        <v>0</v>
      </c>
      <c r="L249" s="10"/>
      <c r="M249" s="9"/>
      <c r="O249" s="13"/>
    </row>
    <row r="250" spans="1:15" outlineLevel="2">
      <c r="A250" s="730">
        <f t="shared" si="18"/>
        <v>242</v>
      </c>
      <c r="B250" s="9" t="s">
        <v>576</v>
      </c>
      <c r="C250" s="15" t="s">
        <v>1118</v>
      </c>
      <c r="D250" s="10" t="s">
        <v>1119</v>
      </c>
      <c r="E250" s="11">
        <v>3453847.29</v>
      </c>
      <c r="G250" s="11">
        <f t="shared" si="23"/>
        <v>3453847.29</v>
      </c>
      <c r="H250" s="11">
        <v>-45362</v>
      </c>
      <c r="I250" s="11">
        <v>0</v>
      </c>
      <c r="K250" s="734">
        <f>SUM(G250:J250)</f>
        <v>3408485.29</v>
      </c>
      <c r="L250" s="10"/>
      <c r="M250" s="9"/>
      <c r="O250" s="13"/>
    </row>
    <row r="251" spans="1:15" outlineLevel="2">
      <c r="A251" s="730">
        <f t="shared" si="18"/>
        <v>243</v>
      </c>
      <c r="B251" s="9" t="s">
        <v>576</v>
      </c>
      <c r="C251" s="15" t="s">
        <v>1120</v>
      </c>
      <c r="D251" s="10" t="s">
        <v>1121</v>
      </c>
      <c r="E251" s="11">
        <v>2072439.29</v>
      </c>
      <c r="G251" s="11">
        <f t="shared" si="23"/>
        <v>2072439.29</v>
      </c>
      <c r="H251" s="11">
        <v>-931180.85</v>
      </c>
      <c r="I251" s="11">
        <v>0</v>
      </c>
      <c r="K251" s="734">
        <f t="shared" si="22"/>
        <v>1141258.44</v>
      </c>
      <c r="L251" s="10"/>
      <c r="M251" s="9"/>
      <c r="O251" s="13"/>
    </row>
    <row r="252" spans="1:15" outlineLevel="2">
      <c r="A252" s="730">
        <f t="shared" si="18"/>
        <v>244</v>
      </c>
      <c r="B252" s="9" t="s">
        <v>576</v>
      </c>
      <c r="C252" s="15" t="s">
        <v>1122</v>
      </c>
      <c r="D252" s="10" t="s">
        <v>1123</v>
      </c>
      <c r="E252" s="11">
        <v>3223562.77</v>
      </c>
      <c r="G252" s="11">
        <f t="shared" si="23"/>
        <v>3223562.77</v>
      </c>
      <c r="H252" s="11">
        <v>0</v>
      </c>
      <c r="I252" s="11">
        <v>0</v>
      </c>
      <c r="K252" s="734">
        <f t="shared" si="22"/>
        <v>3223562.77</v>
      </c>
      <c r="M252" s="9"/>
      <c r="O252" s="13"/>
    </row>
    <row r="253" spans="1:15" outlineLevel="2">
      <c r="A253" s="730">
        <f t="shared" si="18"/>
        <v>245</v>
      </c>
      <c r="B253" s="9" t="s">
        <v>576</v>
      </c>
      <c r="C253" s="15" t="s">
        <v>1124</v>
      </c>
      <c r="D253" s="10" t="s">
        <v>1125</v>
      </c>
      <c r="E253" s="11">
        <v>11778774.810000001</v>
      </c>
      <c r="G253" s="11">
        <f t="shared" si="23"/>
        <v>11778774.810000001</v>
      </c>
      <c r="H253" s="11">
        <v>0</v>
      </c>
      <c r="I253" s="11">
        <v>0</v>
      </c>
      <c r="K253" s="734">
        <f t="shared" si="22"/>
        <v>11778774.810000001</v>
      </c>
      <c r="M253" s="9"/>
      <c r="O253" s="13"/>
    </row>
    <row r="254" spans="1:15" outlineLevel="2">
      <c r="A254" s="730">
        <f t="shared" si="18"/>
        <v>246</v>
      </c>
      <c r="B254" s="9" t="s">
        <v>576</v>
      </c>
      <c r="C254" s="15" t="s">
        <v>1126</v>
      </c>
      <c r="D254" s="10" t="s">
        <v>1127</v>
      </c>
      <c r="E254" s="11">
        <v>16071738.15</v>
      </c>
      <c r="F254" s="11">
        <v>1137695</v>
      </c>
      <c r="G254" s="11">
        <f t="shared" si="23"/>
        <v>17209433.149999999</v>
      </c>
      <c r="H254" s="11">
        <v>0</v>
      </c>
      <c r="I254" s="11">
        <v>0</v>
      </c>
      <c r="K254" s="734">
        <f t="shared" si="22"/>
        <v>17209433.149999999</v>
      </c>
      <c r="L254" s="10"/>
      <c r="M254" s="9"/>
      <c r="O254" s="13"/>
    </row>
    <row r="255" spans="1:15" outlineLevel="2">
      <c r="A255" s="730">
        <f t="shared" si="18"/>
        <v>247</v>
      </c>
      <c r="B255" s="9" t="s">
        <v>576</v>
      </c>
      <c r="C255" s="15" t="s">
        <v>1128</v>
      </c>
      <c r="D255" s="10" t="s">
        <v>1129</v>
      </c>
      <c r="E255" s="11">
        <v>7600293.54</v>
      </c>
      <c r="G255" s="11">
        <f t="shared" si="23"/>
        <v>7600293.54</v>
      </c>
      <c r="H255" s="11">
        <v>-108365</v>
      </c>
      <c r="I255" s="11">
        <v>0</v>
      </c>
      <c r="K255" s="734">
        <f t="shared" si="22"/>
        <v>7491928.54</v>
      </c>
      <c r="L255" s="10"/>
      <c r="M255" s="9"/>
      <c r="O255" s="13"/>
    </row>
    <row r="256" spans="1:15" outlineLevel="2">
      <c r="A256" s="730">
        <f t="shared" si="18"/>
        <v>248</v>
      </c>
      <c r="B256" s="9" t="s">
        <v>576</v>
      </c>
      <c r="C256" s="15" t="s">
        <v>1130</v>
      </c>
      <c r="D256" s="10" t="s">
        <v>1131</v>
      </c>
      <c r="E256" s="11">
        <v>5141440.25</v>
      </c>
      <c r="G256" s="11">
        <f>E256+F256</f>
        <v>5141440.25</v>
      </c>
      <c r="H256" s="11">
        <v>-181849</v>
      </c>
      <c r="I256" s="11">
        <v>0</v>
      </c>
      <c r="K256" s="734">
        <f>SUM(G256:J256)</f>
        <v>4959591.25</v>
      </c>
      <c r="L256" s="10"/>
      <c r="M256" s="9"/>
      <c r="O256" s="13"/>
    </row>
    <row r="257" spans="1:15" outlineLevel="2">
      <c r="A257" s="730">
        <f t="shared" si="18"/>
        <v>249</v>
      </c>
      <c r="B257" s="9" t="s">
        <v>576</v>
      </c>
      <c r="C257" s="15" t="s">
        <v>1132</v>
      </c>
      <c r="D257" s="10" t="s">
        <v>1133</v>
      </c>
      <c r="E257" s="11">
        <v>40859.629999999997</v>
      </c>
      <c r="G257" s="11">
        <f t="shared" ref="G257:G268" si="24">E257+F257</f>
        <v>40859.629999999997</v>
      </c>
      <c r="H257" s="11">
        <v>0</v>
      </c>
      <c r="I257" s="11">
        <v>0</v>
      </c>
      <c r="K257" s="734">
        <f t="shared" si="22"/>
        <v>40859.629999999997</v>
      </c>
      <c r="M257" s="9"/>
      <c r="O257" s="13"/>
    </row>
    <row r="258" spans="1:15" outlineLevel="2">
      <c r="A258" s="730">
        <f t="shared" si="18"/>
        <v>250</v>
      </c>
      <c r="B258" s="9" t="s">
        <v>576</v>
      </c>
      <c r="C258" s="15" t="s">
        <v>1134</v>
      </c>
      <c r="D258" s="10" t="s">
        <v>1135</v>
      </c>
      <c r="E258" s="11">
        <v>109910.18</v>
      </c>
      <c r="G258" s="11">
        <f t="shared" si="24"/>
        <v>109910.18</v>
      </c>
      <c r="H258" s="11">
        <v>-54083</v>
      </c>
      <c r="I258" s="11">
        <v>0</v>
      </c>
      <c r="K258" s="734">
        <f t="shared" si="22"/>
        <v>55827.179999999993</v>
      </c>
      <c r="L258" s="10"/>
      <c r="M258" s="9"/>
      <c r="O258" s="13"/>
    </row>
    <row r="259" spans="1:15" outlineLevel="2">
      <c r="A259" s="730">
        <f t="shared" si="18"/>
        <v>251</v>
      </c>
      <c r="B259" s="9" t="s">
        <v>576</v>
      </c>
      <c r="C259" s="15" t="s">
        <v>1136</v>
      </c>
      <c r="D259" s="10" t="s">
        <v>1137</v>
      </c>
      <c r="E259" s="11">
        <v>11080709.369999999</v>
      </c>
      <c r="G259" s="11">
        <f t="shared" si="24"/>
        <v>11080709.369999999</v>
      </c>
      <c r="H259" s="11">
        <v>0</v>
      </c>
      <c r="I259" s="11">
        <v>0</v>
      </c>
      <c r="K259" s="734">
        <f t="shared" si="22"/>
        <v>11080709.369999999</v>
      </c>
      <c r="M259" s="9"/>
      <c r="O259" s="13"/>
    </row>
    <row r="260" spans="1:15" outlineLevel="2">
      <c r="A260" s="730">
        <f t="shared" si="18"/>
        <v>252</v>
      </c>
      <c r="B260" s="9" t="s">
        <v>576</v>
      </c>
      <c r="C260" s="15" t="s">
        <v>1138</v>
      </c>
      <c r="D260" s="10" t="s">
        <v>1139</v>
      </c>
      <c r="E260" s="11">
        <v>831303.68000000005</v>
      </c>
      <c r="G260" s="11">
        <f t="shared" si="24"/>
        <v>831303.68000000005</v>
      </c>
      <c r="H260" s="11">
        <v>-250593</v>
      </c>
      <c r="I260" s="11">
        <v>0</v>
      </c>
      <c r="K260" s="734">
        <f t="shared" si="22"/>
        <v>580710.68000000005</v>
      </c>
      <c r="L260" s="10"/>
      <c r="M260" s="9"/>
      <c r="O260" s="13"/>
    </row>
    <row r="261" spans="1:15" outlineLevel="2">
      <c r="A261" s="730">
        <f t="shared" si="18"/>
        <v>253</v>
      </c>
      <c r="B261" s="9" t="s">
        <v>576</v>
      </c>
      <c r="C261" s="15" t="s">
        <v>1140</v>
      </c>
      <c r="D261" s="10" t="s">
        <v>1141</v>
      </c>
      <c r="E261" s="11">
        <v>15594604.08</v>
      </c>
      <c r="G261" s="11">
        <f t="shared" si="24"/>
        <v>15594604.08</v>
      </c>
      <c r="H261" s="11">
        <v>0</v>
      </c>
      <c r="I261" s="11">
        <v>0</v>
      </c>
      <c r="K261" s="734">
        <f t="shared" si="22"/>
        <v>15594604.08</v>
      </c>
      <c r="M261" s="9"/>
      <c r="O261" s="13"/>
    </row>
    <row r="262" spans="1:15" outlineLevel="2">
      <c r="A262" s="730">
        <f t="shared" si="18"/>
        <v>254</v>
      </c>
      <c r="B262" s="9" t="s">
        <v>576</v>
      </c>
      <c r="C262" s="15" t="s">
        <v>602</v>
      </c>
      <c r="D262" s="10" t="s">
        <v>1142</v>
      </c>
      <c r="E262" s="11">
        <v>8198986.5800000001</v>
      </c>
      <c r="F262" s="11">
        <v>218552</v>
      </c>
      <c r="G262" s="11">
        <f t="shared" si="24"/>
        <v>8417538.5800000001</v>
      </c>
      <c r="H262" s="11">
        <v>-97320</v>
      </c>
      <c r="I262" s="11">
        <v>0</v>
      </c>
      <c r="J262" s="11">
        <v>-403</v>
      </c>
      <c r="K262" s="734">
        <f t="shared" si="22"/>
        <v>8319815.5800000001</v>
      </c>
      <c r="M262" s="9"/>
      <c r="O262" s="13"/>
    </row>
    <row r="263" spans="1:15" outlineLevel="2">
      <c r="A263" s="730">
        <f t="shared" si="18"/>
        <v>255</v>
      </c>
      <c r="B263" s="9" t="s">
        <v>576</v>
      </c>
      <c r="C263" s="15" t="s">
        <v>1143</v>
      </c>
      <c r="D263" s="10" t="s">
        <v>1144</v>
      </c>
      <c r="E263" s="11">
        <v>3234614.29</v>
      </c>
      <c r="G263" s="11">
        <f t="shared" si="24"/>
        <v>3234614.29</v>
      </c>
      <c r="H263" s="11">
        <v>-101869</v>
      </c>
      <c r="I263" s="11">
        <v>0</v>
      </c>
      <c r="K263" s="734">
        <f>SUM(G263:J263)</f>
        <v>3132745.29</v>
      </c>
      <c r="L263" s="10"/>
      <c r="M263" s="9"/>
      <c r="O263" s="13"/>
    </row>
    <row r="264" spans="1:15" outlineLevel="2">
      <c r="A264" s="730">
        <f t="shared" ref="A264:A327" si="25">A263+1</f>
        <v>256</v>
      </c>
      <c r="B264" s="9" t="s">
        <v>576</v>
      </c>
      <c r="C264" s="15" t="s">
        <v>1145</v>
      </c>
      <c r="D264" s="10" t="s">
        <v>1146</v>
      </c>
      <c r="E264" s="11">
        <v>183222.22</v>
      </c>
      <c r="G264" s="11">
        <f t="shared" si="24"/>
        <v>183222.22</v>
      </c>
      <c r="H264" s="11">
        <v>0</v>
      </c>
      <c r="I264" s="11">
        <v>0</v>
      </c>
      <c r="K264" s="734">
        <f t="shared" si="22"/>
        <v>183222.22</v>
      </c>
      <c r="L264" s="10"/>
      <c r="M264" s="9"/>
      <c r="O264" s="13"/>
    </row>
    <row r="265" spans="1:15" outlineLevel="2">
      <c r="A265" s="730">
        <f t="shared" si="25"/>
        <v>257</v>
      </c>
      <c r="B265" s="9" t="s">
        <v>576</v>
      </c>
      <c r="C265" s="15" t="s">
        <v>1147</v>
      </c>
      <c r="D265" s="10" t="s">
        <v>1148</v>
      </c>
      <c r="E265" s="11">
        <v>7205454.1200000001</v>
      </c>
      <c r="G265" s="11">
        <f t="shared" si="24"/>
        <v>7205454.1200000001</v>
      </c>
      <c r="H265" s="11">
        <v>-1346899</v>
      </c>
      <c r="I265" s="11">
        <v>0</v>
      </c>
      <c r="K265" s="734">
        <f t="shared" si="22"/>
        <v>5858555.1200000001</v>
      </c>
      <c r="L265" s="10"/>
      <c r="M265" s="9"/>
      <c r="O265" s="13"/>
    </row>
    <row r="266" spans="1:15" outlineLevel="2">
      <c r="A266" s="730">
        <f t="shared" si="25"/>
        <v>258</v>
      </c>
      <c r="B266" s="9" t="s">
        <v>576</v>
      </c>
      <c r="C266" s="15" t="s">
        <v>1149</v>
      </c>
      <c r="D266" s="10" t="s">
        <v>1150</v>
      </c>
      <c r="E266" s="11">
        <v>2775992.03</v>
      </c>
      <c r="G266" s="11">
        <f t="shared" si="24"/>
        <v>2775992.03</v>
      </c>
      <c r="H266" s="11">
        <v>-1579680</v>
      </c>
      <c r="I266" s="11">
        <v>0</v>
      </c>
      <c r="K266" s="734">
        <f>SUM(G266:J266)</f>
        <v>1196312.0299999998</v>
      </c>
      <c r="L266" s="10"/>
      <c r="M266" s="9"/>
      <c r="O266" s="13"/>
    </row>
    <row r="267" spans="1:15" outlineLevel="2">
      <c r="A267" s="730">
        <f t="shared" si="25"/>
        <v>259</v>
      </c>
      <c r="B267" s="9" t="s">
        <v>576</v>
      </c>
      <c r="C267" s="15" t="s">
        <v>1151</v>
      </c>
      <c r="D267" s="10" t="s">
        <v>1152</v>
      </c>
      <c r="E267" s="11">
        <v>76395.83</v>
      </c>
      <c r="G267" s="11">
        <f t="shared" si="24"/>
        <v>76395.83</v>
      </c>
      <c r="H267" s="11">
        <v>0</v>
      </c>
      <c r="I267" s="11">
        <v>0</v>
      </c>
      <c r="K267" s="734">
        <f t="shared" si="22"/>
        <v>76395.83</v>
      </c>
      <c r="L267" s="10"/>
      <c r="M267" s="9"/>
      <c r="O267" s="13"/>
    </row>
    <row r="268" spans="1:15" outlineLevel="2">
      <c r="A268" s="730">
        <f t="shared" si="25"/>
        <v>260</v>
      </c>
      <c r="B268" s="9" t="s">
        <v>576</v>
      </c>
      <c r="C268" s="15" t="s">
        <v>1153</v>
      </c>
      <c r="D268" s="10" t="s">
        <v>1154</v>
      </c>
      <c r="E268" s="11">
        <v>2935</v>
      </c>
      <c r="G268" s="11">
        <f t="shared" si="24"/>
        <v>2935</v>
      </c>
      <c r="H268" s="11">
        <v>0</v>
      </c>
      <c r="I268" s="11">
        <v>0</v>
      </c>
      <c r="K268" s="734">
        <f t="shared" si="22"/>
        <v>2935</v>
      </c>
      <c r="L268" s="10"/>
      <c r="M268" s="9"/>
      <c r="O268" s="13"/>
    </row>
    <row r="269" spans="1:15" s="5" customFormat="1" ht="13.5" outlineLevel="1" thickBot="1">
      <c r="A269" s="730">
        <f t="shared" si="25"/>
        <v>261</v>
      </c>
      <c r="B269" s="16" t="s">
        <v>1155</v>
      </c>
      <c r="C269" s="17"/>
      <c r="D269" s="18" t="s">
        <v>1156</v>
      </c>
      <c r="E269" s="19">
        <f t="shared" ref="E269:K269" si="26">SUBTOTAL(9,E125:E268)</f>
        <v>733539620.55099988</v>
      </c>
      <c r="F269" s="19">
        <f t="shared" si="26"/>
        <v>35314154</v>
      </c>
      <c r="G269" s="19">
        <f t="shared" si="26"/>
        <v>768853774.55099964</v>
      </c>
      <c r="H269" s="19">
        <f t="shared" si="26"/>
        <v>-43827513.050000004</v>
      </c>
      <c r="I269" s="19">
        <f t="shared" si="26"/>
        <v>0</v>
      </c>
      <c r="J269" s="19">
        <f t="shared" si="26"/>
        <v>-8376054</v>
      </c>
      <c r="K269" s="735">
        <f t="shared" si="26"/>
        <v>716650207.50100005</v>
      </c>
      <c r="L269" s="20"/>
      <c r="M269" s="3"/>
      <c r="N269" s="3"/>
      <c r="O269" s="6"/>
    </row>
    <row r="270" spans="1:15" ht="13.5" outlineLevel="2" thickTop="1">
      <c r="A270" s="730">
        <f t="shared" si="25"/>
        <v>262</v>
      </c>
      <c r="B270" s="9" t="s">
        <v>155</v>
      </c>
      <c r="C270" s="15" t="s">
        <v>1157</v>
      </c>
      <c r="D270" s="10" t="s">
        <v>1158</v>
      </c>
      <c r="E270" s="11">
        <v>3488667.41</v>
      </c>
      <c r="G270" s="11">
        <f>E270+F270</f>
        <v>3488667.41</v>
      </c>
      <c r="H270" s="11">
        <v>0</v>
      </c>
      <c r="I270" s="11">
        <v>0</v>
      </c>
      <c r="K270" s="734">
        <f>SUM(G270:J270)</f>
        <v>3488667.41</v>
      </c>
      <c r="M270" s="9"/>
      <c r="O270" s="13"/>
    </row>
    <row r="271" spans="1:15" outlineLevel="2">
      <c r="A271" s="730">
        <f t="shared" si="25"/>
        <v>263</v>
      </c>
      <c r="B271" s="9" t="s">
        <v>155</v>
      </c>
      <c r="C271" s="15" t="s">
        <v>1159</v>
      </c>
      <c r="D271" s="10" t="s">
        <v>1160</v>
      </c>
      <c r="E271" s="11">
        <v>9917898.5700000003</v>
      </c>
      <c r="G271" s="11">
        <f t="shared" ref="G271:G288" si="27">E271+F271</f>
        <v>9917898.5700000003</v>
      </c>
      <c r="H271" s="11">
        <v>0</v>
      </c>
      <c r="I271" s="11">
        <v>0</v>
      </c>
      <c r="K271" s="734">
        <f t="shared" ref="K271:K288" si="28">SUM(G271:J271)</f>
        <v>9917898.5700000003</v>
      </c>
      <c r="M271" s="9"/>
      <c r="O271" s="13"/>
    </row>
    <row r="272" spans="1:15" outlineLevel="2">
      <c r="A272" s="730">
        <f t="shared" si="25"/>
        <v>264</v>
      </c>
      <c r="B272" s="9" t="s">
        <v>155</v>
      </c>
      <c r="C272" s="15" t="s">
        <v>1161</v>
      </c>
      <c r="D272" s="10" t="s">
        <v>1162</v>
      </c>
      <c r="E272" s="11">
        <v>6853288.5700000003</v>
      </c>
      <c r="G272" s="11">
        <f t="shared" si="27"/>
        <v>6853288.5700000003</v>
      </c>
      <c r="H272" s="11">
        <v>0</v>
      </c>
      <c r="I272" s="11">
        <v>0</v>
      </c>
      <c r="K272" s="734">
        <f t="shared" si="28"/>
        <v>6853288.5700000003</v>
      </c>
      <c r="M272" s="9"/>
      <c r="O272" s="13"/>
    </row>
    <row r="273" spans="1:15" outlineLevel="2">
      <c r="A273" s="730">
        <f t="shared" si="25"/>
        <v>265</v>
      </c>
      <c r="B273" s="9" t="s">
        <v>155</v>
      </c>
      <c r="C273" s="15" t="s">
        <v>1163</v>
      </c>
      <c r="D273" s="10" t="s">
        <v>1164</v>
      </c>
      <c r="E273" s="11">
        <v>3852063.84</v>
      </c>
      <c r="G273" s="11">
        <f t="shared" si="27"/>
        <v>3852063.84</v>
      </c>
      <c r="H273" s="11">
        <v>0</v>
      </c>
      <c r="I273" s="11">
        <v>0</v>
      </c>
      <c r="K273" s="734">
        <f t="shared" si="28"/>
        <v>3852063.84</v>
      </c>
      <c r="M273" s="9"/>
      <c r="O273" s="13"/>
    </row>
    <row r="274" spans="1:15" outlineLevel="2">
      <c r="A274" s="730">
        <f t="shared" si="25"/>
        <v>266</v>
      </c>
      <c r="B274" s="9" t="s">
        <v>155</v>
      </c>
      <c r="C274" s="15" t="s">
        <v>1165</v>
      </c>
      <c r="D274" s="10" t="s">
        <v>1166</v>
      </c>
      <c r="E274" s="11">
        <v>2203120.67</v>
      </c>
      <c r="G274" s="11">
        <f t="shared" si="27"/>
        <v>2203120.67</v>
      </c>
      <c r="H274" s="11">
        <v>0</v>
      </c>
      <c r="I274" s="11">
        <v>0</v>
      </c>
      <c r="K274" s="734">
        <f t="shared" si="28"/>
        <v>2203120.67</v>
      </c>
      <c r="M274" s="9"/>
      <c r="O274" s="13"/>
    </row>
    <row r="275" spans="1:15" outlineLevel="2">
      <c r="A275" s="730">
        <f t="shared" si="25"/>
        <v>267</v>
      </c>
      <c r="B275" s="9" t="s">
        <v>155</v>
      </c>
      <c r="C275" s="15" t="s">
        <v>1167</v>
      </c>
      <c r="D275" s="10" t="s">
        <v>1168</v>
      </c>
      <c r="E275" s="11">
        <v>584445.11</v>
      </c>
      <c r="G275" s="11">
        <f t="shared" si="27"/>
        <v>584445.11</v>
      </c>
      <c r="H275" s="11">
        <v>0</v>
      </c>
      <c r="I275" s="11">
        <v>0</v>
      </c>
      <c r="K275" s="734">
        <f t="shared" si="28"/>
        <v>584445.11</v>
      </c>
      <c r="M275" s="9"/>
      <c r="O275" s="13"/>
    </row>
    <row r="276" spans="1:15" outlineLevel="2">
      <c r="A276" s="730">
        <f t="shared" si="25"/>
        <v>268</v>
      </c>
      <c r="B276" s="9" t="s">
        <v>155</v>
      </c>
      <c r="C276" s="15" t="s">
        <v>1169</v>
      </c>
      <c r="D276" s="10" t="s">
        <v>1170</v>
      </c>
      <c r="E276" s="11">
        <v>8407258.6799999997</v>
      </c>
      <c r="G276" s="11">
        <f t="shared" si="27"/>
        <v>8407258.6799999997</v>
      </c>
      <c r="H276" s="11">
        <v>0</v>
      </c>
      <c r="I276" s="11">
        <v>0</v>
      </c>
      <c r="K276" s="734">
        <f t="shared" si="28"/>
        <v>8407258.6799999997</v>
      </c>
      <c r="M276" s="9"/>
      <c r="O276" s="13"/>
    </row>
    <row r="277" spans="1:15" outlineLevel="2">
      <c r="A277" s="730">
        <f t="shared" si="25"/>
        <v>269</v>
      </c>
      <c r="B277" s="9" t="s">
        <v>155</v>
      </c>
      <c r="C277" s="15" t="s">
        <v>1171</v>
      </c>
      <c r="D277" s="10" t="s">
        <v>1172</v>
      </c>
      <c r="E277" s="11">
        <v>2209622.59</v>
      </c>
      <c r="G277" s="11">
        <f t="shared" si="27"/>
        <v>2209622.59</v>
      </c>
      <c r="H277" s="11">
        <v>0</v>
      </c>
      <c r="I277" s="11">
        <v>0</v>
      </c>
      <c r="K277" s="734">
        <f t="shared" si="28"/>
        <v>2209622.59</v>
      </c>
      <c r="M277" s="9"/>
      <c r="O277" s="13"/>
    </row>
    <row r="278" spans="1:15" outlineLevel="2">
      <c r="A278" s="730">
        <f t="shared" si="25"/>
        <v>270</v>
      </c>
      <c r="B278" s="9" t="s">
        <v>155</v>
      </c>
      <c r="C278" s="15" t="s">
        <v>1173</v>
      </c>
      <c r="D278" s="10" t="s">
        <v>1174</v>
      </c>
      <c r="E278" s="11">
        <v>493999.14</v>
      </c>
      <c r="G278" s="11">
        <f t="shared" si="27"/>
        <v>493999.14</v>
      </c>
      <c r="H278" s="11">
        <v>0</v>
      </c>
      <c r="I278" s="11">
        <v>0</v>
      </c>
      <c r="K278" s="734">
        <f t="shared" si="28"/>
        <v>493999.14</v>
      </c>
      <c r="M278" s="9"/>
      <c r="O278" s="13"/>
    </row>
    <row r="279" spans="1:15" outlineLevel="2">
      <c r="A279" s="730">
        <f t="shared" si="25"/>
        <v>271</v>
      </c>
      <c r="B279" s="9" t="s">
        <v>155</v>
      </c>
      <c r="C279" s="15" t="s">
        <v>1175</v>
      </c>
      <c r="D279" s="10" t="s">
        <v>1176</v>
      </c>
      <c r="E279" s="11">
        <v>2797866.06</v>
      </c>
      <c r="G279" s="11">
        <f t="shared" si="27"/>
        <v>2797866.06</v>
      </c>
      <c r="H279" s="11">
        <v>0</v>
      </c>
      <c r="I279" s="11">
        <v>0</v>
      </c>
      <c r="K279" s="734">
        <f t="shared" si="28"/>
        <v>2797866.06</v>
      </c>
      <c r="M279" s="9"/>
      <c r="O279" s="13"/>
    </row>
    <row r="280" spans="1:15" outlineLevel="2">
      <c r="A280" s="730">
        <f t="shared" si="25"/>
        <v>272</v>
      </c>
      <c r="B280" s="9" t="s">
        <v>155</v>
      </c>
      <c r="C280" s="15" t="s">
        <v>1177</v>
      </c>
      <c r="D280" s="10" t="s">
        <v>1178</v>
      </c>
      <c r="E280" s="11">
        <v>3874657.35</v>
      </c>
      <c r="G280" s="11">
        <f t="shared" si="27"/>
        <v>3874657.35</v>
      </c>
      <c r="H280" s="11">
        <v>0</v>
      </c>
      <c r="I280" s="11">
        <v>0</v>
      </c>
      <c r="K280" s="734">
        <f t="shared" si="28"/>
        <v>3874657.35</v>
      </c>
      <c r="M280" s="9"/>
      <c r="O280" s="13"/>
    </row>
    <row r="281" spans="1:15" outlineLevel="2">
      <c r="A281" s="730">
        <f t="shared" si="25"/>
        <v>273</v>
      </c>
      <c r="B281" s="9" t="s">
        <v>155</v>
      </c>
      <c r="C281" s="15" t="s">
        <v>1179</v>
      </c>
      <c r="D281" s="10" t="s">
        <v>1180</v>
      </c>
      <c r="E281" s="11">
        <v>1025254.07</v>
      </c>
      <c r="G281" s="11">
        <f t="shared" si="27"/>
        <v>1025254.07</v>
      </c>
      <c r="H281" s="11">
        <v>0</v>
      </c>
      <c r="I281" s="11">
        <v>0</v>
      </c>
      <c r="K281" s="734">
        <f t="shared" si="28"/>
        <v>1025254.07</v>
      </c>
      <c r="M281" s="9"/>
      <c r="O281" s="13"/>
    </row>
    <row r="282" spans="1:15" outlineLevel="2">
      <c r="A282" s="730">
        <f t="shared" si="25"/>
        <v>274</v>
      </c>
      <c r="B282" s="9" t="s">
        <v>155</v>
      </c>
      <c r="C282" s="15" t="s">
        <v>1181</v>
      </c>
      <c r="D282" s="10" t="s">
        <v>1182</v>
      </c>
      <c r="E282" s="11">
        <v>96884.41</v>
      </c>
      <c r="G282" s="11">
        <f t="shared" si="27"/>
        <v>96884.41</v>
      </c>
      <c r="H282" s="11">
        <v>0</v>
      </c>
      <c r="I282" s="11">
        <v>0</v>
      </c>
      <c r="K282" s="734">
        <f t="shared" si="28"/>
        <v>96884.41</v>
      </c>
      <c r="M282" s="9"/>
      <c r="O282" s="13"/>
    </row>
    <row r="283" spans="1:15" outlineLevel="2">
      <c r="A283" s="730">
        <f t="shared" si="25"/>
        <v>275</v>
      </c>
      <c r="B283" s="9" t="s">
        <v>155</v>
      </c>
      <c r="C283" s="15" t="s">
        <v>1183</v>
      </c>
      <c r="D283" s="10" t="s">
        <v>1184</v>
      </c>
      <c r="E283" s="11">
        <v>1679381.52</v>
      </c>
      <c r="G283" s="11">
        <f t="shared" si="27"/>
        <v>1679381.52</v>
      </c>
      <c r="H283" s="11">
        <v>0</v>
      </c>
      <c r="I283" s="11">
        <v>0</v>
      </c>
      <c r="K283" s="734">
        <f t="shared" si="28"/>
        <v>1679381.52</v>
      </c>
      <c r="M283" s="9"/>
      <c r="O283" s="13"/>
    </row>
    <row r="284" spans="1:15" outlineLevel="2">
      <c r="A284" s="730">
        <f t="shared" si="25"/>
        <v>276</v>
      </c>
      <c r="B284" s="9" t="s">
        <v>155</v>
      </c>
      <c r="C284" s="15" t="s">
        <v>1185</v>
      </c>
      <c r="D284" s="10" t="s">
        <v>1186</v>
      </c>
      <c r="E284" s="11">
        <v>1051383.4099999999</v>
      </c>
      <c r="G284" s="11">
        <f>E284+F284</f>
        <v>1051383.4099999999</v>
      </c>
      <c r="H284" s="11">
        <v>0</v>
      </c>
      <c r="I284" s="11">
        <v>0</v>
      </c>
      <c r="K284" s="734">
        <f t="shared" si="28"/>
        <v>1051383.4099999999</v>
      </c>
      <c r="M284" s="9"/>
      <c r="O284" s="13"/>
    </row>
    <row r="285" spans="1:15" outlineLevel="2">
      <c r="A285" s="730">
        <f t="shared" si="25"/>
        <v>277</v>
      </c>
      <c r="B285" s="9" t="s">
        <v>155</v>
      </c>
      <c r="C285" s="15" t="s">
        <v>1187</v>
      </c>
      <c r="D285" s="10" t="s">
        <v>1188</v>
      </c>
      <c r="E285" s="11">
        <v>2221966.7200000002</v>
      </c>
      <c r="G285" s="11">
        <f t="shared" si="27"/>
        <v>2221966.7200000002</v>
      </c>
      <c r="H285" s="11">
        <v>0</v>
      </c>
      <c r="I285" s="11">
        <v>0</v>
      </c>
      <c r="K285" s="734">
        <f t="shared" si="28"/>
        <v>2221966.7200000002</v>
      </c>
      <c r="M285" s="9"/>
      <c r="O285" s="13"/>
    </row>
    <row r="286" spans="1:15" ht="12.75" customHeight="1" outlineLevel="2">
      <c r="A286" s="730">
        <f t="shared" si="25"/>
        <v>278</v>
      </c>
      <c r="B286" s="9" t="s">
        <v>155</v>
      </c>
      <c r="C286" s="796" t="s">
        <v>1189</v>
      </c>
      <c r="D286" s="10" t="s">
        <v>1190</v>
      </c>
      <c r="E286" s="11">
        <v>7115527.4800000004</v>
      </c>
      <c r="G286" s="11">
        <f t="shared" si="27"/>
        <v>7115527.4800000004</v>
      </c>
      <c r="H286" s="11">
        <v>0</v>
      </c>
      <c r="I286" s="11">
        <v>0</v>
      </c>
      <c r="K286" s="734">
        <f t="shared" si="28"/>
        <v>7115527.4800000004</v>
      </c>
      <c r="L286" s="10"/>
      <c r="M286" s="9"/>
      <c r="O286" s="13"/>
    </row>
    <row r="287" spans="1:15" outlineLevel="2">
      <c r="A287" s="730">
        <f t="shared" si="25"/>
        <v>279</v>
      </c>
      <c r="B287" s="9" t="s">
        <v>155</v>
      </c>
      <c r="C287" s="15" t="s">
        <v>1191</v>
      </c>
      <c r="D287" s="10" t="s">
        <v>1192</v>
      </c>
      <c r="E287" s="11">
        <v>239919.86</v>
      </c>
      <c r="F287" s="11">
        <v>3607000</v>
      </c>
      <c r="G287" s="11">
        <f t="shared" si="27"/>
        <v>3846919.86</v>
      </c>
      <c r="H287" s="11">
        <v>0</v>
      </c>
      <c r="I287" s="11">
        <v>0</v>
      </c>
      <c r="K287" s="734">
        <f t="shared" si="28"/>
        <v>3846919.86</v>
      </c>
      <c r="L287" s="796"/>
      <c r="M287" s="9"/>
    </row>
    <row r="288" spans="1:15" outlineLevel="2">
      <c r="A288" s="730">
        <f t="shared" si="25"/>
        <v>280</v>
      </c>
      <c r="B288" s="9" t="s">
        <v>155</v>
      </c>
      <c r="C288" s="15" t="s">
        <v>1193</v>
      </c>
      <c r="D288" s="10" t="s">
        <v>1194</v>
      </c>
      <c r="E288" s="11">
        <v>7452150.5499999998</v>
      </c>
      <c r="G288" s="11">
        <f t="shared" si="27"/>
        <v>7452150.5499999998</v>
      </c>
      <c r="H288" s="11">
        <v>0</v>
      </c>
      <c r="I288" s="11">
        <v>0</v>
      </c>
      <c r="K288" s="734">
        <f t="shared" si="28"/>
        <v>7452150.5499999998</v>
      </c>
      <c r="M288" s="9"/>
      <c r="O288" s="13"/>
    </row>
    <row r="289" spans="1:15" s="5" customFormat="1" ht="13.5" outlineLevel="1" thickBot="1">
      <c r="A289" s="730">
        <f t="shared" si="25"/>
        <v>281</v>
      </c>
      <c r="B289" s="16" t="s">
        <v>1195</v>
      </c>
      <c r="C289" s="17"/>
      <c r="D289" s="18" t="s">
        <v>1196</v>
      </c>
      <c r="E289" s="19">
        <f>SUBTOTAL(9,E270:E288)</f>
        <v>65565356.00999999</v>
      </c>
      <c r="F289" s="19">
        <f>SUBTOTAL(9,F270:F288)</f>
        <v>3607000</v>
      </c>
      <c r="G289" s="19">
        <f>SUBTOTAL(9,G270:G288)</f>
        <v>69172356.00999999</v>
      </c>
      <c r="H289" s="19">
        <f>SUBTOTAL(9,H270:H288)</f>
        <v>0</v>
      </c>
      <c r="I289" s="19">
        <f>SUBTOTAL(9,I270:I288)</f>
        <v>0</v>
      </c>
      <c r="J289" s="19"/>
      <c r="K289" s="735">
        <f>SUBTOTAL(9,K270:K288)</f>
        <v>69172356.00999999</v>
      </c>
      <c r="L289" s="20"/>
      <c r="M289" s="3"/>
      <c r="N289" s="3"/>
      <c r="O289" s="6"/>
    </row>
    <row r="290" spans="1:15" ht="13.5" outlineLevel="2" thickTop="1">
      <c r="A290" s="730">
        <f t="shared" si="25"/>
        <v>282</v>
      </c>
      <c r="B290" s="9" t="s">
        <v>1197</v>
      </c>
      <c r="C290" s="15" t="s">
        <v>1198</v>
      </c>
      <c r="D290" s="1" t="s">
        <v>1199</v>
      </c>
      <c r="E290" s="11">
        <v>6046940.6500000004</v>
      </c>
      <c r="G290" s="11">
        <f>E290+F290</f>
        <v>6046940.6500000004</v>
      </c>
      <c r="H290" s="11">
        <v>0</v>
      </c>
      <c r="I290" s="11">
        <f>'WS13-SSCDFac'!H5</f>
        <v>0</v>
      </c>
      <c r="J290" s="11">
        <v>0</v>
      </c>
      <c r="K290" s="734">
        <f>SUM(G290:J290)</f>
        <v>6046940.6500000004</v>
      </c>
      <c r="L290" s="870" t="s">
        <v>1200</v>
      </c>
      <c r="M290" s="9"/>
    </row>
    <row r="291" spans="1:15" ht="12.75" customHeight="1" outlineLevel="2">
      <c r="A291" s="730">
        <f t="shared" si="25"/>
        <v>283</v>
      </c>
      <c r="B291" s="9" t="s">
        <v>1197</v>
      </c>
      <c r="C291" s="15" t="s">
        <v>1201</v>
      </c>
      <c r="D291" s="10" t="s">
        <v>1202</v>
      </c>
      <c r="E291" s="11">
        <v>1568214.28</v>
      </c>
      <c r="G291" s="11">
        <f>E291+F291</f>
        <v>1568214.28</v>
      </c>
      <c r="H291" s="11">
        <v>0</v>
      </c>
      <c r="I291" s="11">
        <v>-272719</v>
      </c>
      <c r="J291" s="11">
        <v>0</v>
      </c>
      <c r="K291" s="734">
        <f>SUM(G291:J291)</f>
        <v>1295495.28</v>
      </c>
      <c r="L291" s="871"/>
      <c r="M291" s="9"/>
      <c r="O291" s="13"/>
    </row>
    <row r="292" spans="1:15" outlineLevel="2">
      <c r="A292" s="730">
        <f t="shared" si="25"/>
        <v>284</v>
      </c>
      <c r="B292" s="9" t="s">
        <v>1197</v>
      </c>
      <c r="C292" s="15" t="s">
        <v>1203</v>
      </c>
      <c r="D292" s="10" t="s">
        <v>1204</v>
      </c>
      <c r="E292" s="11">
        <v>12069071.66</v>
      </c>
      <c r="F292" s="11">
        <v>7053192</v>
      </c>
      <c r="G292" s="11">
        <f>E292+F292</f>
        <v>19122263.66</v>
      </c>
      <c r="H292" s="11">
        <v>0</v>
      </c>
      <c r="I292" s="11">
        <v>-1570068</v>
      </c>
      <c r="J292" s="11">
        <v>0</v>
      </c>
      <c r="K292" s="734">
        <f>SUM(G292:J292)</f>
        <v>17552195.66</v>
      </c>
      <c r="L292" s="871"/>
      <c r="M292" s="9"/>
      <c r="O292" s="13"/>
    </row>
    <row r="293" spans="1:15" s="5" customFormat="1" ht="13.5" outlineLevel="1" thickBot="1">
      <c r="A293" s="730">
        <f t="shared" si="25"/>
        <v>285</v>
      </c>
      <c r="B293" s="16" t="s">
        <v>1205</v>
      </c>
      <c r="C293" s="17"/>
      <c r="D293" s="18" t="s">
        <v>1206</v>
      </c>
      <c r="E293" s="19">
        <f t="shared" ref="E293:J293" si="29">SUBTOTAL(9,E290:E292)</f>
        <v>19684226.59</v>
      </c>
      <c r="F293" s="19">
        <f>SUBTOTAL(9,F290:F292)</f>
        <v>7053192</v>
      </c>
      <c r="G293" s="19">
        <f t="shared" si="29"/>
        <v>26737418.59</v>
      </c>
      <c r="H293" s="19">
        <f t="shared" si="29"/>
        <v>0</v>
      </c>
      <c r="I293" s="19">
        <f t="shared" si="29"/>
        <v>-1842787</v>
      </c>
      <c r="J293" s="19">
        <f t="shared" si="29"/>
        <v>0</v>
      </c>
      <c r="K293" s="735">
        <f>SUBTOTAL(9,K290:K292)</f>
        <v>24894631.59</v>
      </c>
      <c r="L293" s="21"/>
      <c r="M293" s="3"/>
      <c r="N293" s="3"/>
      <c r="O293" s="6"/>
    </row>
    <row r="294" spans="1:15" ht="13.5" outlineLevel="2" thickTop="1">
      <c r="A294" s="730">
        <f t="shared" si="25"/>
        <v>286</v>
      </c>
      <c r="B294" s="9" t="s">
        <v>1207</v>
      </c>
      <c r="C294" s="15" t="s">
        <v>1208</v>
      </c>
      <c r="D294" s="10" t="s">
        <v>1209</v>
      </c>
      <c r="E294" s="11">
        <v>69740.75</v>
      </c>
      <c r="G294" s="11">
        <f>E294+F294</f>
        <v>69740.75</v>
      </c>
      <c r="H294" s="11">
        <v>0</v>
      </c>
      <c r="I294" s="11">
        <v>0</v>
      </c>
      <c r="K294" s="734">
        <f>SUM(G294:J294)</f>
        <v>69740.75</v>
      </c>
      <c r="M294" s="9"/>
      <c r="O294" s="13"/>
    </row>
    <row r="295" spans="1:15" outlineLevel="2">
      <c r="A295" s="730">
        <f t="shared" si="25"/>
        <v>287</v>
      </c>
      <c r="B295" s="9" t="s">
        <v>1207</v>
      </c>
      <c r="C295" s="15" t="s">
        <v>1210</v>
      </c>
      <c r="D295" s="10" t="s">
        <v>1211</v>
      </c>
      <c r="E295" s="11">
        <v>213000</v>
      </c>
      <c r="G295" s="11">
        <f t="shared" ref="G295:G307" si="30">E295+F295</f>
        <v>213000</v>
      </c>
      <c r="H295" s="11">
        <v>0</v>
      </c>
      <c r="I295" s="11">
        <v>0</v>
      </c>
      <c r="K295" s="734">
        <f t="shared" ref="K295:K307" si="31">SUM(G295:J295)</f>
        <v>213000</v>
      </c>
      <c r="M295" s="9"/>
      <c r="O295" s="13"/>
    </row>
    <row r="296" spans="1:15" outlineLevel="2">
      <c r="A296" s="730">
        <f t="shared" si="25"/>
        <v>288</v>
      </c>
      <c r="B296" s="9" t="s">
        <v>1207</v>
      </c>
      <c r="C296" s="15" t="s">
        <v>1212</v>
      </c>
      <c r="D296" s="10" t="s">
        <v>1213</v>
      </c>
      <c r="E296" s="11">
        <v>218492.84</v>
      </c>
      <c r="G296" s="11">
        <f t="shared" si="30"/>
        <v>218492.84</v>
      </c>
      <c r="H296" s="11">
        <v>0</v>
      </c>
      <c r="I296" s="11">
        <v>0</v>
      </c>
      <c r="K296" s="734">
        <f t="shared" si="31"/>
        <v>218492.84</v>
      </c>
      <c r="M296" s="9"/>
      <c r="O296" s="13"/>
    </row>
    <row r="297" spans="1:15" outlineLevel="2">
      <c r="A297" s="730">
        <f t="shared" si="25"/>
        <v>289</v>
      </c>
      <c r="B297" s="9" t="s">
        <v>1207</v>
      </c>
      <c r="C297" s="15" t="s">
        <v>1214</v>
      </c>
      <c r="D297" s="10" t="s">
        <v>1215</v>
      </c>
      <c r="E297" s="11">
        <v>814665.16</v>
      </c>
      <c r="G297" s="11">
        <f t="shared" si="30"/>
        <v>814665.16</v>
      </c>
      <c r="H297" s="11">
        <v>0</v>
      </c>
      <c r="I297" s="11">
        <v>0</v>
      </c>
      <c r="K297" s="734">
        <f t="shared" si="31"/>
        <v>814665.16</v>
      </c>
      <c r="M297" s="9"/>
      <c r="O297" s="13"/>
    </row>
    <row r="298" spans="1:15" outlineLevel="2">
      <c r="A298" s="730">
        <f t="shared" si="25"/>
        <v>290</v>
      </c>
      <c r="B298" s="9" t="s">
        <v>1207</v>
      </c>
      <c r="C298" s="15" t="s">
        <v>1216</v>
      </c>
      <c r="D298" s="10" t="s">
        <v>1217</v>
      </c>
      <c r="E298" s="11">
        <f>519632.09+6569.16</f>
        <v>526201.25</v>
      </c>
      <c r="G298" s="11">
        <f t="shared" si="30"/>
        <v>526201.25</v>
      </c>
      <c r="H298" s="11">
        <v>0</v>
      </c>
      <c r="I298" s="11">
        <v>0</v>
      </c>
      <c r="K298" s="734">
        <f t="shared" si="31"/>
        <v>526201.25</v>
      </c>
      <c r="M298" s="9"/>
      <c r="O298" s="13"/>
    </row>
    <row r="299" spans="1:15" outlineLevel="2">
      <c r="A299" s="730">
        <f t="shared" si="25"/>
        <v>291</v>
      </c>
      <c r="B299" s="9" t="s">
        <v>1207</v>
      </c>
      <c r="C299" s="15" t="s">
        <v>1218</v>
      </c>
      <c r="D299" s="10" t="s">
        <v>1219</v>
      </c>
      <c r="E299" s="11">
        <v>170278</v>
      </c>
      <c r="G299" s="11">
        <f t="shared" si="30"/>
        <v>170278</v>
      </c>
      <c r="H299" s="11">
        <v>0</v>
      </c>
      <c r="I299" s="11">
        <v>0</v>
      </c>
      <c r="K299" s="734">
        <f t="shared" si="31"/>
        <v>170278</v>
      </c>
      <c r="M299" s="9"/>
      <c r="O299" s="13"/>
    </row>
    <row r="300" spans="1:15" outlineLevel="2">
      <c r="A300" s="730">
        <f t="shared" si="25"/>
        <v>292</v>
      </c>
      <c r="B300" s="9" t="s">
        <v>1207</v>
      </c>
      <c r="C300" s="15" t="s">
        <v>1220</v>
      </c>
      <c r="D300" s="10" t="s">
        <v>1221</v>
      </c>
      <c r="E300" s="11">
        <v>35070.980000000003</v>
      </c>
      <c r="G300" s="11">
        <f t="shared" si="30"/>
        <v>35070.980000000003</v>
      </c>
      <c r="H300" s="11">
        <v>0</v>
      </c>
      <c r="I300" s="11">
        <v>0</v>
      </c>
      <c r="K300" s="734">
        <f t="shared" si="31"/>
        <v>35070.980000000003</v>
      </c>
      <c r="M300" s="9"/>
      <c r="O300" s="13"/>
    </row>
    <row r="301" spans="1:15" outlineLevel="2">
      <c r="A301" s="730">
        <f t="shared" si="25"/>
        <v>293</v>
      </c>
      <c r="B301" s="9" t="s">
        <v>1207</v>
      </c>
      <c r="C301" s="15" t="s">
        <v>1222</v>
      </c>
      <c r="D301" s="10" t="s">
        <v>1223</v>
      </c>
      <c r="E301" s="11">
        <v>163694.91</v>
      </c>
      <c r="G301" s="11">
        <f t="shared" si="30"/>
        <v>163694.91</v>
      </c>
      <c r="H301" s="11">
        <v>0</v>
      </c>
      <c r="I301" s="11">
        <v>0</v>
      </c>
      <c r="K301" s="734">
        <f t="shared" si="31"/>
        <v>163694.91</v>
      </c>
      <c r="M301" s="9"/>
      <c r="O301" s="13"/>
    </row>
    <row r="302" spans="1:15" outlineLevel="2">
      <c r="A302" s="730">
        <f t="shared" si="25"/>
        <v>294</v>
      </c>
      <c r="B302" s="9" t="s">
        <v>1207</v>
      </c>
      <c r="C302" s="15" t="s">
        <v>1224</v>
      </c>
      <c r="D302" s="10" t="s">
        <v>1225</v>
      </c>
      <c r="E302" s="11">
        <v>19074.86</v>
      </c>
      <c r="G302" s="11">
        <f t="shared" si="30"/>
        <v>19074.86</v>
      </c>
      <c r="H302" s="11">
        <v>0</v>
      </c>
      <c r="I302" s="11">
        <v>0</v>
      </c>
      <c r="K302" s="734">
        <f t="shared" si="31"/>
        <v>19074.86</v>
      </c>
      <c r="M302" s="9"/>
      <c r="O302" s="13"/>
    </row>
    <row r="303" spans="1:15" outlineLevel="2">
      <c r="A303" s="730">
        <f t="shared" si="25"/>
        <v>295</v>
      </c>
      <c r="B303" s="9" t="s">
        <v>1207</v>
      </c>
      <c r="C303" s="15" t="s">
        <v>1226</v>
      </c>
      <c r="D303" s="10" t="s">
        <v>1227</v>
      </c>
      <c r="E303" s="11">
        <v>127143.62</v>
      </c>
      <c r="G303" s="11">
        <f t="shared" si="30"/>
        <v>127143.62</v>
      </c>
      <c r="H303" s="11">
        <v>0</v>
      </c>
      <c r="I303" s="11">
        <v>0</v>
      </c>
      <c r="K303" s="734">
        <f t="shared" si="31"/>
        <v>127143.62</v>
      </c>
      <c r="M303" s="9"/>
      <c r="O303" s="13"/>
    </row>
    <row r="304" spans="1:15" outlineLevel="2">
      <c r="A304" s="730">
        <f t="shared" si="25"/>
        <v>296</v>
      </c>
      <c r="B304" s="9" t="s">
        <v>1207</v>
      </c>
      <c r="C304" s="15" t="s">
        <v>1228</v>
      </c>
      <c r="D304" s="10" t="s">
        <v>1229</v>
      </c>
      <c r="E304" s="11">
        <v>404166.08</v>
      </c>
      <c r="G304" s="11">
        <f t="shared" si="30"/>
        <v>404166.08</v>
      </c>
      <c r="H304" s="11">
        <v>0</v>
      </c>
      <c r="I304" s="11">
        <v>0</v>
      </c>
      <c r="K304" s="734">
        <f t="shared" si="31"/>
        <v>404166.08</v>
      </c>
      <c r="M304" s="9"/>
      <c r="O304" s="13"/>
    </row>
    <row r="305" spans="1:15" outlineLevel="2">
      <c r="A305" s="730">
        <f t="shared" si="25"/>
        <v>297</v>
      </c>
      <c r="B305" s="9" t="s">
        <v>1207</v>
      </c>
      <c r="C305" s="15" t="s">
        <v>1230</v>
      </c>
      <c r="D305" s="10" t="s">
        <v>1231</v>
      </c>
      <c r="E305" s="11">
        <v>1474766.3</v>
      </c>
      <c r="G305" s="11">
        <f t="shared" si="30"/>
        <v>1474766.3</v>
      </c>
      <c r="H305" s="11">
        <v>-1474766</v>
      </c>
      <c r="K305" s="734">
        <f t="shared" si="31"/>
        <v>0.30000000004656613</v>
      </c>
      <c r="M305" s="9"/>
      <c r="O305" s="13"/>
    </row>
    <row r="306" spans="1:15" outlineLevel="2">
      <c r="A306" s="730">
        <f t="shared" si="25"/>
        <v>298</v>
      </c>
      <c r="B306" s="9" t="s">
        <v>1207</v>
      </c>
      <c r="C306" s="15" t="s">
        <v>1232</v>
      </c>
      <c r="D306" s="10" t="s">
        <v>1233</v>
      </c>
      <c r="E306" s="11">
        <v>192498.02</v>
      </c>
      <c r="G306" s="11">
        <f t="shared" si="30"/>
        <v>192498.02</v>
      </c>
      <c r="H306" s="11">
        <v>-192498.02</v>
      </c>
      <c r="I306" s="11">
        <v>0</v>
      </c>
      <c r="K306" s="734">
        <f t="shared" si="31"/>
        <v>0</v>
      </c>
      <c r="M306" s="9"/>
      <c r="O306" s="13"/>
    </row>
    <row r="307" spans="1:15" outlineLevel="2">
      <c r="A307" s="730">
        <f t="shared" si="25"/>
        <v>299</v>
      </c>
      <c r="B307" s="9" t="s">
        <v>1207</v>
      </c>
      <c r="C307" s="15" t="s">
        <v>1234</v>
      </c>
      <c r="D307" s="10" t="s">
        <v>1235</v>
      </c>
      <c r="E307" s="11">
        <v>71118</v>
      </c>
      <c r="G307" s="11">
        <f t="shared" si="30"/>
        <v>71118</v>
      </c>
      <c r="H307" s="11">
        <v>0</v>
      </c>
      <c r="I307" s="11">
        <v>0</v>
      </c>
      <c r="K307" s="734">
        <f t="shared" si="31"/>
        <v>71118</v>
      </c>
      <c r="M307" s="9"/>
      <c r="O307" s="13"/>
    </row>
    <row r="308" spans="1:15" outlineLevel="2">
      <c r="A308" s="730">
        <f t="shared" si="25"/>
        <v>300</v>
      </c>
      <c r="B308" s="9" t="s">
        <v>1207</v>
      </c>
      <c r="C308" s="15" t="s">
        <v>1236</v>
      </c>
      <c r="D308" s="10" t="s">
        <v>1237</v>
      </c>
      <c r="E308" s="11">
        <v>179327.81</v>
      </c>
      <c r="G308" s="11">
        <f>E308+F308</f>
        <v>179327.81</v>
      </c>
      <c r="H308" s="11">
        <v>0</v>
      </c>
      <c r="I308" s="11">
        <v>0</v>
      </c>
      <c r="K308" s="734">
        <f>SUM(G308:J308)</f>
        <v>179327.81</v>
      </c>
      <c r="M308" s="9"/>
      <c r="O308" s="13"/>
    </row>
    <row r="309" spans="1:15" outlineLevel="2">
      <c r="A309" s="730">
        <f t="shared" si="25"/>
        <v>301</v>
      </c>
      <c r="B309" s="9" t="s">
        <v>1207</v>
      </c>
      <c r="C309" s="15" t="s">
        <v>1238</v>
      </c>
      <c r="D309" s="10" t="s">
        <v>2720</v>
      </c>
      <c r="E309" s="11">
        <v>0</v>
      </c>
      <c r="F309" s="11">
        <v>1221207</v>
      </c>
      <c r="G309" s="11">
        <f>E309+F309</f>
        <v>1221207</v>
      </c>
      <c r="H309" s="11">
        <v>-1221207</v>
      </c>
      <c r="K309" s="734">
        <f>SUM(G309:J309)</f>
        <v>0</v>
      </c>
      <c r="M309" s="9"/>
      <c r="O309" s="13"/>
    </row>
    <row r="310" spans="1:15" s="5" customFormat="1" ht="13.5" outlineLevel="1" thickBot="1">
      <c r="A310" s="730">
        <f t="shared" si="25"/>
        <v>302</v>
      </c>
      <c r="B310" s="16" t="s">
        <v>1239</v>
      </c>
      <c r="C310" s="17"/>
      <c r="D310" s="18" t="s">
        <v>1240</v>
      </c>
      <c r="E310" s="19">
        <f>SUBTOTAL(9,E294:E309)</f>
        <v>4679238.5799999991</v>
      </c>
      <c r="F310" s="19">
        <f>SUBTOTAL(9,F294:F309)</f>
        <v>1221207</v>
      </c>
      <c r="G310" s="19">
        <f>SUBTOTAL(9,G294:G309)</f>
        <v>5900445.5799999991</v>
      </c>
      <c r="H310" s="19">
        <f>SUBTOTAL(9,H294:H309)</f>
        <v>-2888471.02</v>
      </c>
      <c r="I310" s="19">
        <f>SUBTOTAL(9,I294:I309)</f>
        <v>0</v>
      </c>
      <c r="J310" s="19"/>
      <c r="K310" s="735">
        <f>SUBTOTAL(9,K294:K309)</f>
        <v>3011974.56</v>
      </c>
      <c r="L310" s="20"/>
      <c r="M310" s="3"/>
      <c r="N310" s="3"/>
      <c r="O310" s="6"/>
    </row>
    <row r="311" spans="1:15" ht="13.5" outlineLevel="2" thickTop="1">
      <c r="A311" s="730">
        <f t="shared" si="25"/>
        <v>303</v>
      </c>
      <c r="B311" s="9" t="s">
        <v>1241</v>
      </c>
      <c r="C311" s="15" t="s">
        <v>1242</v>
      </c>
      <c r="D311" s="10" t="s">
        <v>1243</v>
      </c>
      <c r="E311" s="11">
        <v>81944</v>
      </c>
      <c r="G311" s="11">
        <f>E311+F311</f>
        <v>81944</v>
      </c>
      <c r="H311" s="11">
        <v>0</v>
      </c>
      <c r="I311" s="11">
        <v>-81944</v>
      </c>
      <c r="K311" s="734">
        <f>SUM(G311:J311)</f>
        <v>0</v>
      </c>
      <c r="L311" s="10"/>
      <c r="M311" s="9"/>
      <c r="O311" s="13"/>
    </row>
    <row r="312" spans="1:15" outlineLevel="2">
      <c r="A312" s="730">
        <f t="shared" si="25"/>
        <v>304</v>
      </c>
      <c r="B312" s="9" t="s">
        <v>1241</v>
      </c>
      <c r="C312" s="15" t="s">
        <v>1244</v>
      </c>
      <c r="D312" s="10" t="s">
        <v>1245</v>
      </c>
      <c r="E312" s="11">
        <v>64611.39</v>
      </c>
      <c r="G312" s="11">
        <f>E312+F312</f>
        <v>64611.39</v>
      </c>
      <c r="H312" s="11">
        <v>0</v>
      </c>
      <c r="I312" s="11">
        <v>-64611</v>
      </c>
      <c r="K312" s="734">
        <f>SUM(G312:J312)</f>
        <v>0.38999999999941792</v>
      </c>
      <c r="M312" s="9"/>
      <c r="O312" s="13"/>
    </row>
    <row r="313" spans="1:15" outlineLevel="2">
      <c r="A313" s="730">
        <f t="shared" si="25"/>
        <v>305</v>
      </c>
      <c r="B313" s="9" t="s">
        <v>1241</v>
      </c>
      <c r="C313" s="15" t="s">
        <v>1246</v>
      </c>
      <c r="D313" s="10" t="s">
        <v>1247</v>
      </c>
      <c r="E313" s="11">
        <v>922163.82</v>
      </c>
      <c r="G313" s="11">
        <f>E313+F313</f>
        <v>922163.82</v>
      </c>
      <c r="H313" s="11">
        <v>0</v>
      </c>
      <c r="I313" s="11">
        <v>0</v>
      </c>
      <c r="K313" s="734">
        <f>SUM(G313:J313)</f>
        <v>922163.82</v>
      </c>
      <c r="M313" s="9"/>
      <c r="O313" s="13"/>
    </row>
    <row r="314" spans="1:15" outlineLevel="2">
      <c r="A314" s="730">
        <f t="shared" si="25"/>
        <v>306</v>
      </c>
      <c r="B314" s="9" t="s">
        <v>1241</v>
      </c>
      <c r="C314" s="15" t="s">
        <v>1248</v>
      </c>
      <c r="D314" s="10" t="s">
        <v>1249</v>
      </c>
      <c r="E314" s="11">
        <v>690735.13</v>
      </c>
      <c r="G314" s="11">
        <f>E314+F314</f>
        <v>690735.13</v>
      </c>
      <c r="H314" s="11">
        <v>0</v>
      </c>
      <c r="I314" s="11">
        <v>0</v>
      </c>
      <c r="K314" s="734">
        <f>SUM(G314:J314)</f>
        <v>690735.13</v>
      </c>
      <c r="M314" s="9"/>
      <c r="O314" s="13"/>
    </row>
    <row r="315" spans="1:15" s="5" customFormat="1" ht="13.5" outlineLevel="1" thickBot="1">
      <c r="A315" s="730">
        <f t="shared" si="25"/>
        <v>307</v>
      </c>
      <c r="B315" s="16" t="s">
        <v>1250</v>
      </c>
      <c r="C315" s="17"/>
      <c r="D315" s="18" t="s">
        <v>1251</v>
      </c>
      <c r="E315" s="19">
        <f>SUBTOTAL(9,E311:E314)</f>
        <v>1759454.3399999999</v>
      </c>
      <c r="F315" s="19">
        <f>SUBTOTAL(9,F311:F314)</f>
        <v>0</v>
      </c>
      <c r="G315" s="19">
        <f>SUBTOTAL(9,G311:G314)</f>
        <v>1759454.3399999999</v>
      </c>
      <c r="H315" s="19">
        <f>SUBTOTAL(9,H311:H314)</f>
        <v>0</v>
      </c>
      <c r="I315" s="19">
        <f>SUBTOTAL(9,I311:I314)</f>
        <v>-146555</v>
      </c>
      <c r="J315" s="19"/>
      <c r="K315" s="735">
        <f>SUBTOTAL(9,K311:K314)</f>
        <v>1612899.3399999999</v>
      </c>
      <c r="L315" s="20"/>
      <c r="M315" s="3"/>
      <c r="N315" s="3"/>
      <c r="O315" s="6"/>
    </row>
    <row r="316" spans="1:15" ht="13.5" outlineLevel="2" thickTop="1">
      <c r="A316" s="730">
        <f t="shared" si="25"/>
        <v>308</v>
      </c>
      <c r="B316" s="9" t="s">
        <v>1252</v>
      </c>
      <c r="C316" s="15" t="s">
        <v>1253</v>
      </c>
      <c r="D316" s="10" t="s">
        <v>1254</v>
      </c>
      <c r="E316" s="11">
        <v>17199.41</v>
      </c>
      <c r="G316" s="11">
        <f>E316+F316</f>
        <v>17199.41</v>
      </c>
      <c r="H316" s="11">
        <v>0</v>
      </c>
      <c r="I316" s="11">
        <f>-(G316*$L$319)</f>
        <v>-5495.2114950000005</v>
      </c>
      <c r="K316" s="734">
        <f>SUM(G316:J316)</f>
        <v>11704.198505</v>
      </c>
      <c r="L316" s="870" t="s">
        <v>1255</v>
      </c>
    </row>
    <row r="317" spans="1:15" outlineLevel="2">
      <c r="A317" s="730">
        <f t="shared" si="25"/>
        <v>309</v>
      </c>
      <c r="B317" s="9" t="s">
        <v>1252</v>
      </c>
      <c r="C317" s="15" t="s">
        <v>1256</v>
      </c>
      <c r="D317" s="10" t="s">
        <v>1257</v>
      </c>
      <c r="E317" s="11">
        <v>255788.79999999999</v>
      </c>
      <c r="G317" s="11">
        <f t="shared" ref="G317:G385" si="32">E317+F317</f>
        <v>255788.79999999999</v>
      </c>
      <c r="H317" s="11">
        <v>0</v>
      </c>
      <c r="I317" s="11">
        <f>-(G317*$L$319)</f>
        <v>-81724.521599999993</v>
      </c>
      <c r="K317" s="734">
        <f t="shared" ref="K317:K326" si="33">SUM(G317:J317)</f>
        <v>174064.27840000001</v>
      </c>
      <c r="L317" s="871"/>
    </row>
    <row r="318" spans="1:15" outlineLevel="2">
      <c r="A318" s="730">
        <f t="shared" si="25"/>
        <v>310</v>
      </c>
      <c r="B318" s="9" t="s">
        <v>1252</v>
      </c>
      <c r="C318" s="15" t="s">
        <v>1258</v>
      </c>
      <c r="D318" s="10" t="s">
        <v>1259</v>
      </c>
      <c r="E318" s="11">
        <v>409859.66</v>
      </c>
      <c r="G318" s="11">
        <f t="shared" si="32"/>
        <v>409859.66</v>
      </c>
      <c r="H318" s="11">
        <v>0</v>
      </c>
      <c r="I318" s="11">
        <f t="shared" ref="I318:I321" si="34">-(G318*$L$319)</f>
        <v>-130950.16137</v>
      </c>
      <c r="K318" s="734">
        <f t="shared" si="33"/>
        <v>278909.49862999999</v>
      </c>
      <c r="L318" s="871"/>
    </row>
    <row r="319" spans="1:15" outlineLevel="2">
      <c r="A319" s="730">
        <f t="shared" si="25"/>
        <v>311</v>
      </c>
      <c r="B319" s="9" t="s">
        <v>1252</v>
      </c>
      <c r="C319" s="15" t="s">
        <v>1260</v>
      </c>
      <c r="D319" s="10" t="s">
        <v>1261</v>
      </c>
      <c r="E319" s="11">
        <v>99834.58</v>
      </c>
      <c r="G319" s="11">
        <f t="shared" si="32"/>
        <v>99834.58</v>
      </c>
      <c r="H319" s="11">
        <v>0</v>
      </c>
      <c r="I319" s="11">
        <f t="shared" si="34"/>
        <v>-31897.14831</v>
      </c>
      <c r="K319" s="734">
        <f t="shared" si="33"/>
        <v>67937.431689999998</v>
      </c>
      <c r="L319" s="22">
        <v>0.31950000000000001</v>
      </c>
      <c r="M319" s="9"/>
      <c r="O319" s="13"/>
    </row>
    <row r="320" spans="1:15" outlineLevel="2">
      <c r="A320" s="730">
        <f t="shared" si="25"/>
        <v>312</v>
      </c>
      <c r="B320" s="9" t="s">
        <v>1252</v>
      </c>
      <c r="C320" s="15" t="s">
        <v>1262</v>
      </c>
      <c r="D320" s="10" t="s">
        <v>1263</v>
      </c>
      <c r="E320" s="11">
        <v>329570.19</v>
      </c>
      <c r="G320" s="11">
        <f t="shared" si="32"/>
        <v>329570.19</v>
      </c>
      <c r="H320" s="11">
        <v>0</v>
      </c>
      <c r="I320" s="11">
        <f t="shared" si="34"/>
        <v>-105297.675705</v>
      </c>
      <c r="K320" s="734">
        <f>SUM(G320:J320)</f>
        <v>224272.514295</v>
      </c>
      <c r="M320" s="9"/>
      <c r="O320" s="13"/>
    </row>
    <row r="321" spans="1:15" outlineLevel="2">
      <c r="A321" s="730">
        <f t="shared" si="25"/>
        <v>313</v>
      </c>
      <c r="B321" s="9" t="s">
        <v>1252</v>
      </c>
      <c r="C321" s="15" t="s">
        <v>1264</v>
      </c>
      <c r="D321" s="10" t="s">
        <v>1265</v>
      </c>
      <c r="E321" s="11">
        <v>257178.8</v>
      </c>
      <c r="G321" s="11">
        <f t="shared" si="32"/>
        <v>257178.8</v>
      </c>
      <c r="H321" s="11">
        <v>0</v>
      </c>
      <c r="I321" s="11">
        <f t="shared" si="34"/>
        <v>-82168.626600000003</v>
      </c>
      <c r="K321" s="734">
        <f t="shared" si="33"/>
        <v>175010.17339999997</v>
      </c>
      <c r="M321" s="9"/>
      <c r="O321" s="13"/>
    </row>
    <row r="322" spans="1:15" outlineLevel="2">
      <c r="A322" s="730">
        <f t="shared" si="25"/>
        <v>314</v>
      </c>
      <c r="B322" s="9" t="s">
        <v>1252</v>
      </c>
      <c r="C322" s="15" t="s">
        <v>1266</v>
      </c>
      <c r="D322" s="10" t="s">
        <v>1267</v>
      </c>
      <c r="E322" s="11">
        <v>196601.21</v>
      </c>
      <c r="G322" s="11">
        <f t="shared" si="32"/>
        <v>196601.21</v>
      </c>
      <c r="H322" s="11">
        <v>0</v>
      </c>
      <c r="I322" s="11">
        <f t="shared" ref="I322:I331" si="35">-(G322*$L$319)</f>
        <v>-62814.086595000001</v>
      </c>
      <c r="K322" s="734">
        <f t="shared" si="33"/>
        <v>133787.12340499999</v>
      </c>
      <c r="M322" s="9"/>
      <c r="O322" s="13"/>
    </row>
    <row r="323" spans="1:15" outlineLevel="2">
      <c r="A323" s="730">
        <f t="shared" si="25"/>
        <v>315</v>
      </c>
      <c r="B323" s="9" t="s">
        <v>1252</v>
      </c>
      <c r="C323" s="15" t="s">
        <v>1268</v>
      </c>
      <c r="D323" s="10" t="s">
        <v>1269</v>
      </c>
      <c r="E323" s="11">
        <v>10678.65</v>
      </c>
      <c r="G323" s="11">
        <f t="shared" si="32"/>
        <v>10678.65</v>
      </c>
      <c r="H323" s="11">
        <v>0</v>
      </c>
      <c r="I323" s="11">
        <f t="shared" si="35"/>
        <v>-3411.8286749999997</v>
      </c>
      <c r="K323" s="734">
        <f>SUM(G323:J323)</f>
        <v>7266.8213249999999</v>
      </c>
      <c r="M323" s="9"/>
      <c r="O323" s="13"/>
    </row>
    <row r="324" spans="1:15" outlineLevel="2">
      <c r="A324" s="730">
        <f t="shared" si="25"/>
        <v>316</v>
      </c>
      <c r="B324" s="9" t="s">
        <v>1252</v>
      </c>
      <c r="C324" s="15" t="s">
        <v>1270</v>
      </c>
      <c r="D324" s="10" t="s">
        <v>1271</v>
      </c>
      <c r="E324" s="11">
        <v>113361.84</v>
      </c>
      <c r="G324" s="11">
        <f t="shared" si="32"/>
        <v>113361.84</v>
      </c>
      <c r="H324" s="11">
        <v>0</v>
      </c>
      <c r="I324" s="11">
        <f t="shared" si="35"/>
        <v>-36219.107880000003</v>
      </c>
      <c r="K324" s="734">
        <f t="shared" si="33"/>
        <v>77142.732120000001</v>
      </c>
      <c r="M324" s="9"/>
      <c r="O324" s="13"/>
    </row>
    <row r="325" spans="1:15" outlineLevel="2">
      <c r="A325" s="730">
        <f t="shared" si="25"/>
        <v>317</v>
      </c>
      <c r="B325" s="9" t="s">
        <v>1252</v>
      </c>
      <c r="C325" s="15" t="s">
        <v>1272</v>
      </c>
      <c r="D325" s="10" t="s">
        <v>1273</v>
      </c>
      <c r="E325" s="11">
        <v>587474.26</v>
      </c>
      <c r="G325" s="11">
        <f t="shared" si="32"/>
        <v>587474.26</v>
      </c>
      <c r="H325" s="11">
        <v>0</v>
      </c>
      <c r="I325" s="11">
        <f t="shared" si="35"/>
        <v>-187698.02606999999</v>
      </c>
      <c r="K325" s="734">
        <f t="shared" si="33"/>
        <v>399776.23392999999</v>
      </c>
      <c r="M325" s="9"/>
      <c r="O325" s="13"/>
    </row>
    <row r="326" spans="1:15" outlineLevel="2">
      <c r="A326" s="730">
        <f t="shared" si="25"/>
        <v>318</v>
      </c>
      <c r="B326" s="9" t="s">
        <v>1252</v>
      </c>
      <c r="C326" s="15" t="s">
        <v>1274</v>
      </c>
      <c r="D326" s="10" t="s">
        <v>1275</v>
      </c>
      <c r="E326" s="11">
        <v>158945.60000000001</v>
      </c>
      <c r="G326" s="11">
        <f t="shared" si="32"/>
        <v>158945.60000000001</v>
      </c>
      <c r="I326" s="11">
        <v>-136495</v>
      </c>
      <c r="K326" s="734">
        <f t="shared" si="33"/>
        <v>22450.600000000006</v>
      </c>
      <c r="M326" s="9"/>
      <c r="O326" s="13"/>
    </row>
    <row r="327" spans="1:15" outlineLevel="2">
      <c r="A327" s="730">
        <f t="shared" si="25"/>
        <v>319</v>
      </c>
      <c r="B327" s="9" t="s">
        <v>1252</v>
      </c>
      <c r="C327" s="15" t="s">
        <v>1276</v>
      </c>
      <c r="D327" s="10" t="s">
        <v>1277</v>
      </c>
      <c r="E327" s="11">
        <v>413470.76</v>
      </c>
      <c r="G327" s="11">
        <f t="shared" si="32"/>
        <v>413470.76</v>
      </c>
      <c r="H327" s="11">
        <v>0</v>
      </c>
      <c r="I327" s="11">
        <f t="shared" si="35"/>
        <v>-132103.90781999999</v>
      </c>
      <c r="K327" s="734">
        <f t="shared" ref="K327:K342" si="36">SUM(G327:J327)</f>
        <v>281366.85218000005</v>
      </c>
      <c r="M327" s="9"/>
      <c r="O327" s="13"/>
    </row>
    <row r="328" spans="1:15" outlineLevel="2">
      <c r="A328" s="730">
        <f t="shared" ref="A328:A391" si="37">A327+1</f>
        <v>320</v>
      </c>
      <c r="B328" s="9" t="s">
        <v>1252</v>
      </c>
      <c r="C328" s="15" t="s">
        <v>1278</v>
      </c>
      <c r="D328" s="10" t="s">
        <v>1279</v>
      </c>
      <c r="E328" s="11">
        <v>232617.76</v>
      </c>
      <c r="G328" s="11">
        <f t="shared" si="32"/>
        <v>232617.76</v>
      </c>
      <c r="H328" s="11">
        <v>0</v>
      </c>
      <c r="I328" s="11">
        <f t="shared" si="35"/>
        <v>-74321.374320000003</v>
      </c>
      <c r="K328" s="734">
        <f t="shared" si="36"/>
        <v>158296.38568000001</v>
      </c>
      <c r="M328" s="9"/>
      <c r="O328" s="13"/>
    </row>
    <row r="329" spans="1:15" outlineLevel="2">
      <c r="A329" s="730">
        <f t="shared" si="37"/>
        <v>321</v>
      </c>
      <c r="B329" s="9" t="s">
        <v>1252</v>
      </c>
      <c r="C329" s="15" t="s">
        <v>1280</v>
      </c>
      <c r="D329" s="10" t="s">
        <v>1281</v>
      </c>
      <c r="E329" s="11">
        <v>149227.87</v>
      </c>
      <c r="G329" s="11">
        <f t="shared" si="32"/>
        <v>149227.87</v>
      </c>
      <c r="H329" s="11">
        <v>0</v>
      </c>
      <c r="I329" s="11">
        <f t="shared" si="35"/>
        <v>-47678.304465000001</v>
      </c>
      <c r="K329" s="734">
        <f t="shared" si="36"/>
        <v>101549.565535</v>
      </c>
      <c r="M329" s="9"/>
      <c r="O329" s="13"/>
    </row>
    <row r="330" spans="1:15" outlineLevel="2">
      <c r="A330" s="730">
        <f t="shared" si="37"/>
        <v>322</v>
      </c>
      <c r="B330" s="9" t="s">
        <v>1252</v>
      </c>
      <c r="C330" s="15" t="s">
        <v>1282</v>
      </c>
      <c r="D330" s="10" t="s">
        <v>1283</v>
      </c>
      <c r="E330" s="11">
        <v>122277.31</v>
      </c>
      <c r="G330" s="11">
        <f t="shared" si="32"/>
        <v>122277.31</v>
      </c>
      <c r="H330" s="11">
        <v>0</v>
      </c>
      <c r="I330" s="11">
        <f t="shared" si="35"/>
        <v>-39067.600545000001</v>
      </c>
      <c r="K330" s="734">
        <f t="shared" si="36"/>
        <v>83209.709455000004</v>
      </c>
      <c r="M330" s="9"/>
      <c r="O330" s="13"/>
    </row>
    <row r="331" spans="1:15" outlineLevel="2">
      <c r="A331" s="730">
        <f t="shared" si="37"/>
        <v>323</v>
      </c>
      <c r="B331" s="9" t="s">
        <v>1252</v>
      </c>
      <c r="C331" s="15" t="s">
        <v>1284</v>
      </c>
      <c r="D331" s="10" t="s">
        <v>1285</v>
      </c>
      <c r="E331" s="11">
        <v>19704.27</v>
      </c>
      <c r="G331" s="11">
        <f t="shared" si="32"/>
        <v>19704.27</v>
      </c>
      <c r="H331" s="11">
        <v>0</v>
      </c>
      <c r="I331" s="11">
        <f t="shared" si="35"/>
        <v>-6295.5142650000007</v>
      </c>
      <c r="K331" s="734">
        <f t="shared" si="36"/>
        <v>13408.755734999999</v>
      </c>
      <c r="M331" s="9"/>
      <c r="O331" s="13"/>
    </row>
    <row r="332" spans="1:15" outlineLevel="2">
      <c r="A332" s="730">
        <f t="shared" si="37"/>
        <v>324</v>
      </c>
      <c r="B332" s="9" t="s">
        <v>1252</v>
      </c>
      <c r="C332" s="15" t="s">
        <v>1286</v>
      </c>
      <c r="D332" s="10" t="s">
        <v>1287</v>
      </c>
      <c r="E332" s="11">
        <v>92595.35</v>
      </c>
      <c r="G332" s="11">
        <f t="shared" si="32"/>
        <v>92595.35</v>
      </c>
      <c r="H332" s="11">
        <v>0</v>
      </c>
      <c r="I332" s="11">
        <f>-(G332*$L$319)</f>
        <v>-29584.214325000001</v>
      </c>
      <c r="K332" s="734">
        <f t="shared" si="36"/>
        <v>63011.135675000005</v>
      </c>
      <c r="M332" s="9"/>
      <c r="O332" s="13"/>
    </row>
    <row r="333" spans="1:15" outlineLevel="2">
      <c r="A333" s="730">
        <f t="shared" si="37"/>
        <v>325</v>
      </c>
      <c r="B333" s="9" t="s">
        <v>1252</v>
      </c>
      <c r="C333" s="15" t="s">
        <v>1288</v>
      </c>
      <c r="D333" s="10" t="s">
        <v>1289</v>
      </c>
      <c r="E333" s="11">
        <v>107342.37</v>
      </c>
      <c r="G333" s="11">
        <f t="shared" si="32"/>
        <v>107342.37</v>
      </c>
      <c r="H333" s="11">
        <v>0</v>
      </c>
      <c r="I333" s="11">
        <f>-(G333*$L$319)</f>
        <v>-34295.887215000002</v>
      </c>
      <c r="K333" s="734">
        <f t="shared" si="36"/>
        <v>73046.482785</v>
      </c>
      <c r="M333" s="9"/>
      <c r="O333" s="13"/>
    </row>
    <row r="334" spans="1:15" outlineLevel="2">
      <c r="A334" s="730">
        <f t="shared" si="37"/>
        <v>326</v>
      </c>
      <c r="B334" s="9" t="s">
        <v>1252</v>
      </c>
      <c r="C334" s="15" t="s">
        <v>1290</v>
      </c>
      <c r="D334" s="10" t="s">
        <v>1291</v>
      </c>
      <c r="E334" s="11">
        <v>199391.7</v>
      </c>
      <c r="G334" s="11">
        <f t="shared" si="32"/>
        <v>199391.7</v>
      </c>
      <c r="H334" s="11">
        <v>0</v>
      </c>
      <c r="I334" s="11">
        <f>-(G334*$L$319)</f>
        <v>-63705.648150000008</v>
      </c>
      <c r="K334" s="734">
        <f t="shared" si="36"/>
        <v>135686.05184999999</v>
      </c>
      <c r="M334" s="9"/>
      <c r="O334" s="13"/>
    </row>
    <row r="335" spans="1:15" outlineLevel="2">
      <c r="A335" s="730">
        <f t="shared" si="37"/>
        <v>327</v>
      </c>
      <c r="B335" s="9" t="s">
        <v>1252</v>
      </c>
      <c r="C335" s="15" t="s">
        <v>1292</v>
      </c>
      <c r="D335" s="10" t="s">
        <v>1293</v>
      </c>
      <c r="E335" s="11">
        <v>703660.5</v>
      </c>
      <c r="G335" s="11">
        <f t="shared" si="32"/>
        <v>703660.5</v>
      </c>
      <c r="H335" s="11">
        <v>0</v>
      </c>
      <c r="I335" s="11">
        <f>-(G335*$L$319)</f>
        <v>-224819.52975000002</v>
      </c>
      <c r="K335" s="734">
        <f t="shared" si="36"/>
        <v>478840.97025000001</v>
      </c>
      <c r="M335" s="9"/>
      <c r="O335" s="13"/>
    </row>
    <row r="336" spans="1:15" ht="13.5" customHeight="1" outlineLevel="2">
      <c r="A336" s="730">
        <f t="shared" si="37"/>
        <v>328</v>
      </c>
      <c r="B336" s="9" t="s">
        <v>1252</v>
      </c>
      <c r="C336" s="15" t="s">
        <v>1294</v>
      </c>
      <c r="D336" s="10" t="s">
        <v>1295</v>
      </c>
      <c r="E336" s="11">
        <v>37033.769999999997</v>
      </c>
      <c r="G336" s="11">
        <f t="shared" si="32"/>
        <v>37033.769999999997</v>
      </c>
      <c r="H336" s="11">
        <v>0</v>
      </c>
      <c r="I336" s="11">
        <f>-(G336*$L$319)</f>
        <v>-11832.289514999999</v>
      </c>
      <c r="K336" s="734">
        <f t="shared" si="36"/>
        <v>25201.480485</v>
      </c>
      <c r="M336" s="9"/>
      <c r="O336" s="13"/>
    </row>
    <row r="337" spans="1:15" outlineLevel="2">
      <c r="A337" s="730">
        <f t="shared" si="37"/>
        <v>329</v>
      </c>
      <c r="B337" s="9" t="s">
        <v>1252</v>
      </c>
      <c r="C337" s="15" t="s">
        <v>1296</v>
      </c>
      <c r="D337" s="10" t="s">
        <v>1297</v>
      </c>
      <c r="E337" s="11">
        <v>284048.28000000003</v>
      </c>
      <c r="G337" s="11">
        <f t="shared" si="32"/>
        <v>284048.28000000003</v>
      </c>
      <c r="H337" s="11">
        <v>0</v>
      </c>
      <c r="I337" s="11">
        <f t="shared" ref="I337:I342" si="38">-(G337*$L$319)</f>
        <v>-90753.425460000013</v>
      </c>
      <c r="K337" s="734">
        <f t="shared" si="36"/>
        <v>193294.85454000003</v>
      </c>
      <c r="M337" s="9"/>
      <c r="O337" s="13"/>
    </row>
    <row r="338" spans="1:15" outlineLevel="2">
      <c r="A338" s="730">
        <f t="shared" si="37"/>
        <v>330</v>
      </c>
      <c r="B338" s="9" t="s">
        <v>1252</v>
      </c>
      <c r="C338" s="15" t="s">
        <v>1298</v>
      </c>
      <c r="D338" s="10" t="s">
        <v>1299</v>
      </c>
      <c r="E338" s="11">
        <v>17796.689999999999</v>
      </c>
      <c r="G338" s="11">
        <f t="shared" si="32"/>
        <v>17796.689999999999</v>
      </c>
      <c r="H338" s="11">
        <v>0</v>
      </c>
      <c r="I338" s="11">
        <f t="shared" si="38"/>
        <v>-5686.0424549999998</v>
      </c>
      <c r="K338" s="734">
        <f t="shared" si="36"/>
        <v>12110.647545</v>
      </c>
      <c r="M338" s="9"/>
      <c r="O338" s="13"/>
    </row>
    <row r="339" spans="1:15" outlineLevel="2">
      <c r="A339" s="730">
        <f t="shared" si="37"/>
        <v>331</v>
      </c>
      <c r="B339" s="9" t="s">
        <v>1252</v>
      </c>
      <c r="C339" s="15" t="s">
        <v>1300</v>
      </c>
      <c r="D339" s="10" t="s">
        <v>1301</v>
      </c>
      <c r="E339" s="11">
        <v>742839.78</v>
      </c>
      <c r="G339" s="11">
        <f t="shared" si="32"/>
        <v>742839.78</v>
      </c>
      <c r="H339" s="11">
        <v>0</v>
      </c>
      <c r="I339" s="11">
        <f t="shared" si="38"/>
        <v>-237337.30971</v>
      </c>
      <c r="K339" s="734">
        <f t="shared" si="36"/>
        <v>505502.47029000003</v>
      </c>
      <c r="M339" s="9"/>
      <c r="O339" s="13"/>
    </row>
    <row r="340" spans="1:15" outlineLevel="2">
      <c r="A340" s="730">
        <f t="shared" si="37"/>
        <v>332</v>
      </c>
      <c r="B340" s="9" t="s">
        <v>1252</v>
      </c>
      <c r="C340" s="15" t="s">
        <v>1302</v>
      </c>
      <c r="D340" s="10" t="s">
        <v>1303</v>
      </c>
      <c r="E340" s="11">
        <v>66872.3</v>
      </c>
      <c r="G340" s="11">
        <f t="shared" si="32"/>
        <v>66872.3</v>
      </c>
      <c r="H340" s="11">
        <v>0</v>
      </c>
      <c r="I340" s="11">
        <f t="shared" si="38"/>
        <v>-21365.699850000001</v>
      </c>
      <c r="K340" s="734">
        <f t="shared" si="36"/>
        <v>45506.600149999998</v>
      </c>
      <c r="M340" s="9"/>
      <c r="O340" s="13"/>
    </row>
    <row r="341" spans="1:15" outlineLevel="2">
      <c r="A341" s="730">
        <f t="shared" si="37"/>
        <v>333</v>
      </c>
      <c r="B341" s="9" t="s">
        <v>1252</v>
      </c>
      <c r="C341" s="15" t="s">
        <v>1304</v>
      </c>
      <c r="D341" s="10" t="s">
        <v>1305</v>
      </c>
      <c r="E341" s="11">
        <v>105280.95</v>
      </c>
      <c r="G341" s="11">
        <f t="shared" si="32"/>
        <v>105280.95</v>
      </c>
      <c r="H341" s="11">
        <v>0</v>
      </c>
      <c r="I341" s="11">
        <f t="shared" si="38"/>
        <v>-33637.263525000002</v>
      </c>
      <c r="K341" s="734">
        <f t="shared" si="36"/>
        <v>71643.686474999995</v>
      </c>
      <c r="M341" s="9"/>
      <c r="O341" s="13"/>
    </row>
    <row r="342" spans="1:15" outlineLevel="2">
      <c r="A342" s="730">
        <f t="shared" si="37"/>
        <v>334</v>
      </c>
      <c r="B342" s="9" t="s">
        <v>1252</v>
      </c>
      <c r="C342" s="15" t="s">
        <v>1306</v>
      </c>
      <c r="D342" s="10" t="s">
        <v>1307</v>
      </c>
      <c r="E342" s="11">
        <v>301355.36</v>
      </c>
      <c r="G342" s="11">
        <f t="shared" si="32"/>
        <v>301355.36</v>
      </c>
      <c r="H342" s="11">
        <v>0</v>
      </c>
      <c r="I342" s="11">
        <f t="shared" si="38"/>
        <v>-96283.037519999998</v>
      </c>
      <c r="K342" s="734">
        <f t="shared" si="36"/>
        <v>205072.32247999997</v>
      </c>
      <c r="M342" s="9"/>
      <c r="O342" s="13"/>
    </row>
    <row r="343" spans="1:15" outlineLevel="2">
      <c r="A343" s="730">
        <f t="shared" si="37"/>
        <v>335</v>
      </c>
      <c r="B343" s="9" t="s">
        <v>1252</v>
      </c>
      <c r="C343" s="15" t="s">
        <v>1308</v>
      </c>
      <c r="D343" s="10" t="s">
        <v>1309</v>
      </c>
      <c r="E343" s="11">
        <v>887626.81</v>
      </c>
      <c r="G343" s="11">
        <f>E343+F343</f>
        <v>887626.81</v>
      </c>
      <c r="H343" s="11">
        <v>0</v>
      </c>
      <c r="I343" s="11">
        <f>-(G343*$L$319)</f>
        <v>-283596.76579500001</v>
      </c>
      <c r="K343" s="734">
        <f t="shared" ref="K343:K352" si="39">SUM(G343:J343)</f>
        <v>604030.04420500004</v>
      </c>
      <c r="M343" s="9"/>
      <c r="O343" s="13"/>
    </row>
    <row r="344" spans="1:15" outlineLevel="2">
      <c r="A344" s="730">
        <f t="shared" si="37"/>
        <v>336</v>
      </c>
      <c r="B344" s="9" t="s">
        <v>1252</v>
      </c>
      <c r="C344" s="15" t="s">
        <v>1310</v>
      </c>
      <c r="D344" s="10" t="s">
        <v>1311</v>
      </c>
      <c r="E344" s="11">
        <v>1399.06</v>
      </c>
      <c r="G344" s="11">
        <f t="shared" si="32"/>
        <v>1399.06</v>
      </c>
      <c r="H344" s="11">
        <v>0</v>
      </c>
      <c r="I344" s="11">
        <f>-(G344*$L$319)</f>
        <v>-446.99966999999998</v>
      </c>
      <c r="K344" s="734">
        <f t="shared" si="39"/>
        <v>952.06033000000002</v>
      </c>
      <c r="M344" s="9"/>
    </row>
    <row r="345" spans="1:15" outlineLevel="2">
      <c r="A345" s="730">
        <f t="shared" si="37"/>
        <v>337</v>
      </c>
      <c r="B345" s="9" t="s">
        <v>1252</v>
      </c>
      <c r="C345" s="15" t="s">
        <v>1312</v>
      </c>
      <c r="D345" s="10" t="s">
        <v>1313</v>
      </c>
      <c r="E345" s="11">
        <v>21339.59</v>
      </c>
      <c r="G345" s="11">
        <f t="shared" si="32"/>
        <v>21339.59</v>
      </c>
      <c r="H345" s="11">
        <v>0</v>
      </c>
      <c r="I345" s="11">
        <f>-(G345*$L$319)</f>
        <v>-6817.9990050000006</v>
      </c>
      <c r="K345" s="734">
        <f t="shared" si="39"/>
        <v>14521.590994999999</v>
      </c>
      <c r="M345" s="9"/>
      <c r="O345" s="13"/>
    </row>
    <row r="346" spans="1:15" outlineLevel="2">
      <c r="A346" s="730">
        <f t="shared" si="37"/>
        <v>338</v>
      </c>
      <c r="B346" s="9" t="s">
        <v>1252</v>
      </c>
      <c r="C346" s="15" t="s">
        <v>1314</v>
      </c>
      <c r="D346" s="10" t="s">
        <v>1315</v>
      </c>
      <c r="E346" s="11">
        <v>251028.92</v>
      </c>
      <c r="G346" s="11">
        <f t="shared" si="32"/>
        <v>251028.92</v>
      </c>
      <c r="H346" s="11">
        <v>0</v>
      </c>
      <c r="I346" s="11">
        <f>-(G346*$L$319)</f>
        <v>-80203.739939999999</v>
      </c>
      <c r="K346" s="734">
        <f>SUM(G346:J346)</f>
        <v>170825.18006000001</v>
      </c>
      <c r="M346" s="9"/>
      <c r="O346" s="13"/>
    </row>
    <row r="347" spans="1:15" outlineLevel="2">
      <c r="A347" s="730">
        <f t="shared" si="37"/>
        <v>339</v>
      </c>
      <c r="B347" s="9" t="s">
        <v>1252</v>
      </c>
      <c r="C347" s="15" t="s">
        <v>1316</v>
      </c>
      <c r="D347" s="10" t="s">
        <v>1317</v>
      </c>
      <c r="E347" s="11">
        <v>52564.95</v>
      </c>
      <c r="G347" s="11">
        <f t="shared" si="32"/>
        <v>52564.95</v>
      </c>
      <c r="H347" s="11">
        <v>0</v>
      </c>
      <c r="I347" s="11">
        <f>-(G347*$L$319)</f>
        <v>-16794.501525</v>
      </c>
      <c r="K347" s="734">
        <f t="shared" si="39"/>
        <v>35770.448474999997</v>
      </c>
      <c r="M347" s="9"/>
      <c r="O347" s="13"/>
    </row>
    <row r="348" spans="1:15" outlineLevel="2">
      <c r="A348" s="730">
        <f t="shared" si="37"/>
        <v>340</v>
      </c>
      <c r="B348" s="9" t="s">
        <v>1252</v>
      </c>
      <c r="C348" s="15" t="s">
        <v>1318</v>
      </c>
      <c r="D348" s="10" t="s">
        <v>1319</v>
      </c>
      <c r="E348" s="11">
        <v>1926</v>
      </c>
      <c r="G348" s="11">
        <f t="shared" si="32"/>
        <v>1926</v>
      </c>
      <c r="H348" s="11">
        <v>0</v>
      </c>
      <c r="I348" s="11">
        <f t="shared" ref="I348:I357" si="40">-(G348*$L$319)</f>
        <v>-615.35699999999997</v>
      </c>
      <c r="K348" s="734">
        <f t="shared" si="39"/>
        <v>1310.643</v>
      </c>
      <c r="M348" s="9"/>
      <c r="O348" s="13"/>
    </row>
    <row r="349" spans="1:15" outlineLevel="2">
      <c r="A349" s="730">
        <f t="shared" si="37"/>
        <v>341</v>
      </c>
      <c r="B349" s="9" t="s">
        <v>1252</v>
      </c>
      <c r="C349" s="15" t="s">
        <v>1320</v>
      </c>
      <c r="D349" s="10" t="s">
        <v>1321</v>
      </c>
      <c r="E349" s="11">
        <v>31101.66</v>
      </c>
      <c r="G349" s="11">
        <f t="shared" si="32"/>
        <v>31101.66</v>
      </c>
      <c r="I349" s="11">
        <f t="shared" si="40"/>
        <v>-9936.9803699999993</v>
      </c>
      <c r="K349" s="734">
        <f>SUM(G349:J349)</f>
        <v>21164.679629999999</v>
      </c>
      <c r="M349" s="9"/>
      <c r="O349" s="13"/>
    </row>
    <row r="350" spans="1:15" outlineLevel="2">
      <c r="A350" s="730">
        <f t="shared" si="37"/>
        <v>342</v>
      </c>
      <c r="B350" s="9" t="s">
        <v>1252</v>
      </c>
      <c r="C350" s="15" t="s">
        <v>1322</v>
      </c>
      <c r="D350" s="10" t="s">
        <v>1323</v>
      </c>
      <c r="E350" s="11">
        <v>84853.98</v>
      </c>
      <c r="G350" s="11">
        <f t="shared" si="32"/>
        <v>84853.98</v>
      </c>
      <c r="H350" s="11">
        <v>0</v>
      </c>
      <c r="I350" s="11">
        <f t="shared" si="40"/>
        <v>-27110.846610000001</v>
      </c>
      <c r="K350" s="734">
        <f>SUM(G350:J350)</f>
        <v>57743.133389999995</v>
      </c>
      <c r="M350" s="9"/>
      <c r="O350" s="13"/>
    </row>
    <row r="351" spans="1:15" outlineLevel="2">
      <c r="A351" s="730">
        <f t="shared" si="37"/>
        <v>343</v>
      </c>
      <c r="B351" s="9" t="s">
        <v>1252</v>
      </c>
      <c r="C351" s="15" t="s">
        <v>1324</v>
      </c>
      <c r="D351" s="10" t="s">
        <v>1325</v>
      </c>
      <c r="E351" s="11">
        <v>63659.87</v>
      </c>
      <c r="G351" s="11">
        <f t="shared" si="32"/>
        <v>63659.87</v>
      </c>
      <c r="H351" s="11">
        <v>0</v>
      </c>
      <c r="I351" s="11">
        <f t="shared" si="40"/>
        <v>-20339.328465000002</v>
      </c>
      <c r="K351" s="734">
        <f t="shared" si="39"/>
        <v>43320.541534999997</v>
      </c>
      <c r="M351" s="9"/>
      <c r="O351" s="13"/>
    </row>
    <row r="352" spans="1:15" outlineLevel="2">
      <c r="A352" s="730">
        <f t="shared" si="37"/>
        <v>344</v>
      </c>
      <c r="B352" s="9" t="s">
        <v>1252</v>
      </c>
      <c r="C352" s="15" t="s">
        <v>1326</v>
      </c>
      <c r="D352" s="10" t="s">
        <v>1327</v>
      </c>
      <c r="E352" s="11">
        <v>257504.6</v>
      </c>
      <c r="G352" s="11">
        <f t="shared" si="32"/>
        <v>257504.6</v>
      </c>
      <c r="H352" s="11">
        <v>0</v>
      </c>
      <c r="I352" s="11">
        <f t="shared" si="40"/>
        <v>-82272.719700000001</v>
      </c>
      <c r="K352" s="734">
        <f t="shared" si="39"/>
        <v>175231.88030000002</v>
      </c>
      <c r="M352" s="9"/>
      <c r="O352" s="13"/>
    </row>
    <row r="353" spans="1:15" outlineLevel="2">
      <c r="A353" s="730">
        <f t="shared" si="37"/>
        <v>345</v>
      </c>
      <c r="B353" s="9" t="s">
        <v>1252</v>
      </c>
      <c r="C353" s="15" t="s">
        <v>1328</v>
      </c>
      <c r="D353" s="10" t="s">
        <v>1329</v>
      </c>
      <c r="E353" s="11">
        <v>530314.63</v>
      </c>
      <c r="G353" s="11">
        <f t="shared" si="32"/>
        <v>530314.63</v>
      </c>
      <c r="H353" s="11">
        <v>0</v>
      </c>
      <c r="I353" s="11">
        <f t="shared" si="40"/>
        <v>-169435.52428499999</v>
      </c>
      <c r="K353" s="734">
        <f>SUM(G353:J353)</f>
        <v>360879.10571500001</v>
      </c>
      <c r="M353" s="9"/>
      <c r="O353" s="13"/>
    </row>
    <row r="354" spans="1:15" outlineLevel="2">
      <c r="A354" s="730">
        <f t="shared" si="37"/>
        <v>346</v>
      </c>
      <c r="B354" s="9" t="s">
        <v>1252</v>
      </c>
      <c r="C354" s="15" t="s">
        <v>1330</v>
      </c>
      <c r="D354" s="10" t="s">
        <v>1331</v>
      </c>
      <c r="E354" s="11">
        <v>882795.2</v>
      </c>
      <c r="G354" s="11">
        <f t="shared" si="32"/>
        <v>882795.2</v>
      </c>
      <c r="H354" s="11">
        <v>0</v>
      </c>
      <c r="I354" s="11">
        <f t="shared" si="40"/>
        <v>-282053.06640000001</v>
      </c>
      <c r="K354" s="734">
        <f t="shared" ref="K354:K363" si="41">SUM(G354:J354)</f>
        <v>600742.13359999994</v>
      </c>
      <c r="M354" s="9"/>
      <c r="O354" s="13"/>
    </row>
    <row r="355" spans="1:15" outlineLevel="2">
      <c r="A355" s="730">
        <f t="shared" si="37"/>
        <v>347</v>
      </c>
      <c r="B355" s="9" t="s">
        <v>1252</v>
      </c>
      <c r="C355" s="15" t="s">
        <v>1332</v>
      </c>
      <c r="D355" s="10" t="s">
        <v>1333</v>
      </c>
      <c r="E355" s="11">
        <v>403352.23</v>
      </c>
      <c r="G355" s="11">
        <f t="shared" si="32"/>
        <v>403352.23</v>
      </c>
      <c r="H355" s="11">
        <v>0</v>
      </c>
      <c r="I355" s="11">
        <f t="shared" si="40"/>
        <v>-128871.03748499999</v>
      </c>
      <c r="K355" s="734">
        <f t="shared" si="41"/>
        <v>274481.192515</v>
      </c>
      <c r="M355" s="9"/>
      <c r="O355" s="13"/>
    </row>
    <row r="356" spans="1:15" outlineLevel="2">
      <c r="A356" s="730">
        <f t="shared" si="37"/>
        <v>348</v>
      </c>
      <c r="B356" s="9" t="s">
        <v>1252</v>
      </c>
      <c r="C356" s="15" t="s">
        <v>1334</v>
      </c>
      <c r="D356" s="10" t="s">
        <v>1335</v>
      </c>
      <c r="E356" s="11">
        <v>79113.22</v>
      </c>
      <c r="G356" s="11">
        <f t="shared" si="32"/>
        <v>79113.22</v>
      </c>
      <c r="H356" s="11">
        <v>0</v>
      </c>
      <c r="I356" s="11">
        <f t="shared" si="40"/>
        <v>-25276.673790000001</v>
      </c>
      <c r="K356" s="734">
        <f t="shared" si="41"/>
        <v>53836.54621</v>
      </c>
      <c r="M356" s="9"/>
      <c r="O356" s="13"/>
    </row>
    <row r="357" spans="1:15" outlineLevel="2">
      <c r="A357" s="730">
        <f t="shared" si="37"/>
        <v>349</v>
      </c>
      <c r="B357" s="9" t="s">
        <v>1252</v>
      </c>
      <c r="C357" s="15" t="s">
        <v>1336</v>
      </c>
      <c r="D357" s="10" t="s">
        <v>1337</v>
      </c>
      <c r="E357" s="11">
        <v>1821.43</v>
      </c>
      <c r="G357" s="11">
        <f t="shared" si="32"/>
        <v>1821.43</v>
      </c>
      <c r="H357" s="11">
        <v>0</v>
      </c>
      <c r="I357" s="11">
        <f t="shared" si="40"/>
        <v>-581.94688500000007</v>
      </c>
      <c r="K357" s="734">
        <f>SUM(G357:J357)</f>
        <v>1239.483115</v>
      </c>
      <c r="M357" s="9"/>
      <c r="O357" s="13"/>
    </row>
    <row r="358" spans="1:15" outlineLevel="2">
      <c r="A358" s="730">
        <f t="shared" si="37"/>
        <v>350</v>
      </c>
      <c r="B358" s="9" t="s">
        <v>1252</v>
      </c>
      <c r="C358" s="15" t="s">
        <v>1338</v>
      </c>
      <c r="D358" s="10" t="s">
        <v>1339</v>
      </c>
      <c r="E358" s="11">
        <v>79274.58</v>
      </c>
      <c r="G358" s="11">
        <f t="shared" si="32"/>
        <v>79274.58</v>
      </c>
      <c r="H358" s="11">
        <v>0</v>
      </c>
      <c r="I358" s="11">
        <f>-(G358*$L$319)</f>
        <v>-25328.228310000002</v>
      </c>
      <c r="K358" s="734">
        <f t="shared" si="41"/>
        <v>53946.351689999996</v>
      </c>
      <c r="M358" s="9"/>
      <c r="O358" s="13"/>
    </row>
    <row r="359" spans="1:15" outlineLevel="2">
      <c r="A359" s="730">
        <f t="shared" si="37"/>
        <v>351</v>
      </c>
      <c r="B359" s="9" t="s">
        <v>1252</v>
      </c>
      <c r="C359" s="15" t="s">
        <v>1340</v>
      </c>
      <c r="D359" s="10" t="s">
        <v>1341</v>
      </c>
      <c r="E359" s="11">
        <v>151424.91</v>
      </c>
      <c r="G359" s="11">
        <f t="shared" si="32"/>
        <v>151424.91</v>
      </c>
      <c r="H359" s="11">
        <v>0</v>
      </c>
      <c r="I359" s="11">
        <f>-(G359*$L$319)</f>
        <v>-48380.258744999999</v>
      </c>
      <c r="K359" s="734">
        <f t="shared" si="41"/>
        <v>103044.651255</v>
      </c>
      <c r="M359" s="9"/>
      <c r="O359" s="13"/>
    </row>
    <row r="360" spans="1:15" outlineLevel="2">
      <c r="A360" s="730">
        <f t="shared" si="37"/>
        <v>352</v>
      </c>
      <c r="B360" s="9" t="s">
        <v>1252</v>
      </c>
      <c r="C360" s="15" t="s">
        <v>1342</v>
      </c>
      <c r="D360" s="10" t="s">
        <v>1343</v>
      </c>
      <c r="E360" s="11">
        <v>240323.88</v>
      </c>
      <c r="G360" s="11">
        <f>E360+F360</f>
        <v>240323.88</v>
      </c>
      <c r="H360" s="11">
        <v>0</v>
      </c>
      <c r="I360" s="11">
        <f>-(G360*$L$319)</f>
        <v>-76783.479659999997</v>
      </c>
      <c r="K360" s="734">
        <f>SUM(G360:J360)</f>
        <v>163540.40033999999</v>
      </c>
      <c r="M360" s="9"/>
      <c r="O360" s="13"/>
    </row>
    <row r="361" spans="1:15" outlineLevel="2">
      <c r="A361" s="730">
        <f t="shared" si="37"/>
        <v>353</v>
      </c>
      <c r="B361" s="9" t="s">
        <v>1252</v>
      </c>
      <c r="C361" s="15" t="s">
        <v>1344</v>
      </c>
      <c r="D361" s="10" t="s">
        <v>1345</v>
      </c>
      <c r="E361" s="11">
        <v>211379.48</v>
      </c>
      <c r="G361" s="11">
        <f t="shared" si="32"/>
        <v>211379.48</v>
      </c>
      <c r="H361" s="11">
        <v>0</v>
      </c>
      <c r="I361" s="11">
        <f>-(G361*$L$319)</f>
        <v>-67535.743860000002</v>
      </c>
      <c r="K361" s="734">
        <f t="shared" si="41"/>
        <v>143843.73613999999</v>
      </c>
      <c r="M361" s="9"/>
      <c r="O361" s="13"/>
    </row>
    <row r="362" spans="1:15" outlineLevel="2">
      <c r="A362" s="730">
        <f t="shared" si="37"/>
        <v>354</v>
      </c>
      <c r="B362" s="9" t="s">
        <v>1252</v>
      </c>
      <c r="C362" s="15" t="s">
        <v>1346</v>
      </c>
      <c r="D362" s="10" t="s">
        <v>1347</v>
      </c>
      <c r="E362" s="11">
        <v>814134.54</v>
      </c>
      <c r="G362" s="11">
        <f t="shared" si="32"/>
        <v>814134.54</v>
      </c>
      <c r="H362" s="11">
        <v>0</v>
      </c>
      <c r="I362" s="11">
        <f>-(G362*$L$319)</f>
        <v>-260115.98553000001</v>
      </c>
      <c r="K362" s="734">
        <f t="shared" si="41"/>
        <v>554018.55447000009</v>
      </c>
      <c r="M362" s="9"/>
      <c r="O362" s="13"/>
    </row>
    <row r="363" spans="1:15" outlineLevel="2">
      <c r="A363" s="730">
        <f t="shared" si="37"/>
        <v>355</v>
      </c>
      <c r="B363" s="9" t="s">
        <v>1252</v>
      </c>
      <c r="C363" s="15" t="s">
        <v>1348</v>
      </c>
      <c r="D363" s="10" t="s">
        <v>1349</v>
      </c>
      <c r="E363" s="11">
        <v>200661.38</v>
      </c>
      <c r="G363" s="11">
        <f t="shared" si="32"/>
        <v>200661.38</v>
      </c>
      <c r="H363" s="11">
        <v>0</v>
      </c>
      <c r="I363" s="11">
        <f t="shared" ref="I363:I373" si="42">-(G363*$L$319)</f>
        <v>-64111.31091</v>
      </c>
      <c r="K363" s="734">
        <f t="shared" si="41"/>
        <v>136550.06909</v>
      </c>
      <c r="M363" s="9"/>
      <c r="O363" s="13"/>
    </row>
    <row r="364" spans="1:15" outlineLevel="2">
      <c r="A364" s="730">
        <f t="shared" si="37"/>
        <v>356</v>
      </c>
      <c r="B364" s="9" t="s">
        <v>1252</v>
      </c>
      <c r="C364" s="15" t="s">
        <v>1350</v>
      </c>
      <c r="D364" s="10" t="s">
        <v>1351</v>
      </c>
      <c r="E364" s="11">
        <v>99569.22</v>
      </c>
      <c r="G364" s="11">
        <f t="shared" si="32"/>
        <v>99569.22</v>
      </c>
      <c r="H364" s="11">
        <v>0</v>
      </c>
      <c r="I364" s="11">
        <f t="shared" si="42"/>
        <v>-31812.36579</v>
      </c>
      <c r="K364" s="734">
        <f t="shared" ref="K364:K371" si="43">SUM(G364:J364)</f>
        <v>67756.854210000005</v>
      </c>
      <c r="M364" s="9"/>
      <c r="O364" s="13"/>
    </row>
    <row r="365" spans="1:15" outlineLevel="2">
      <c r="A365" s="730">
        <f t="shared" si="37"/>
        <v>357</v>
      </c>
      <c r="B365" s="9" t="s">
        <v>1252</v>
      </c>
      <c r="C365" s="15" t="s">
        <v>1352</v>
      </c>
      <c r="D365" s="10" t="s">
        <v>1353</v>
      </c>
      <c r="E365" s="11">
        <v>2527</v>
      </c>
      <c r="G365" s="11">
        <f t="shared" si="32"/>
        <v>2527</v>
      </c>
      <c r="H365" s="11">
        <v>0</v>
      </c>
      <c r="I365" s="11">
        <f t="shared" si="42"/>
        <v>-807.37649999999996</v>
      </c>
      <c r="K365" s="734">
        <f t="shared" si="43"/>
        <v>1719.6235000000001</v>
      </c>
      <c r="M365" s="9"/>
      <c r="O365" s="13"/>
    </row>
    <row r="366" spans="1:15" outlineLevel="2">
      <c r="A366" s="730">
        <f t="shared" si="37"/>
        <v>358</v>
      </c>
      <c r="B366" s="9" t="s">
        <v>1252</v>
      </c>
      <c r="C366" s="15" t="s">
        <v>1354</v>
      </c>
      <c r="D366" s="10" t="s">
        <v>1355</v>
      </c>
      <c r="E366" s="11">
        <v>76407.48</v>
      </c>
      <c r="G366" s="11">
        <f t="shared" si="32"/>
        <v>76407.48</v>
      </c>
      <c r="H366" s="11">
        <v>0</v>
      </c>
      <c r="I366" s="11">
        <f t="shared" si="42"/>
        <v>-24412.189859999999</v>
      </c>
      <c r="K366" s="734">
        <f t="shared" si="43"/>
        <v>51995.290139999997</v>
      </c>
      <c r="M366" s="9"/>
      <c r="O366" s="13"/>
    </row>
    <row r="367" spans="1:15" outlineLevel="2">
      <c r="A367" s="730">
        <f t="shared" si="37"/>
        <v>359</v>
      </c>
      <c r="B367" s="9" t="s">
        <v>1252</v>
      </c>
      <c r="C367" s="15" t="s">
        <v>1356</v>
      </c>
      <c r="D367" s="10" t="s">
        <v>1357</v>
      </c>
      <c r="E367" s="11">
        <v>206549.66</v>
      </c>
      <c r="G367" s="11">
        <f t="shared" si="32"/>
        <v>206549.66</v>
      </c>
      <c r="H367" s="11">
        <v>0</v>
      </c>
      <c r="I367" s="11">
        <f t="shared" si="42"/>
        <v>-65992.616370000003</v>
      </c>
      <c r="K367" s="734">
        <f t="shared" si="43"/>
        <v>140557.04363</v>
      </c>
      <c r="M367" s="9"/>
      <c r="O367" s="13"/>
    </row>
    <row r="368" spans="1:15" outlineLevel="2">
      <c r="A368" s="730">
        <f t="shared" si="37"/>
        <v>360</v>
      </c>
      <c r="B368" s="9" t="s">
        <v>1252</v>
      </c>
      <c r="C368" s="15" t="s">
        <v>1358</v>
      </c>
      <c r="D368" s="10" t="s">
        <v>1359</v>
      </c>
      <c r="E368" s="11">
        <v>211742.81</v>
      </c>
      <c r="G368" s="11">
        <f t="shared" si="32"/>
        <v>211742.81</v>
      </c>
      <c r="H368" s="11">
        <v>0</v>
      </c>
      <c r="I368" s="11">
        <f t="shared" si="42"/>
        <v>-67651.827795000005</v>
      </c>
      <c r="K368" s="734">
        <f t="shared" si="43"/>
        <v>144090.98220500001</v>
      </c>
      <c r="M368" s="9"/>
      <c r="O368" s="13"/>
    </row>
    <row r="369" spans="1:15" outlineLevel="2">
      <c r="A369" s="730">
        <f t="shared" si="37"/>
        <v>361</v>
      </c>
      <c r="B369" s="9" t="s">
        <v>1252</v>
      </c>
      <c r="C369" s="15" t="s">
        <v>1360</v>
      </c>
      <c r="D369" s="10" t="s">
        <v>1361</v>
      </c>
      <c r="E369" s="11">
        <v>109866.21</v>
      </c>
      <c r="G369" s="11">
        <f t="shared" si="32"/>
        <v>109866.21</v>
      </c>
      <c r="I369" s="11">
        <f t="shared" si="42"/>
        <v>-35102.254095000004</v>
      </c>
      <c r="K369" s="734">
        <f t="shared" si="43"/>
        <v>74763.95590500001</v>
      </c>
      <c r="M369" s="9"/>
      <c r="O369" s="13"/>
    </row>
    <row r="370" spans="1:15" outlineLevel="2">
      <c r="A370" s="730">
        <f t="shared" si="37"/>
        <v>362</v>
      </c>
      <c r="B370" s="9" t="s">
        <v>1252</v>
      </c>
      <c r="C370" s="15" t="s">
        <v>1362</v>
      </c>
      <c r="D370" s="10" t="s">
        <v>1363</v>
      </c>
      <c r="E370" s="11">
        <v>498567.41</v>
      </c>
      <c r="G370" s="11">
        <f t="shared" si="32"/>
        <v>498567.41</v>
      </c>
      <c r="H370" s="11">
        <v>0</v>
      </c>
      <c r="I370" s="11">
        <f t="shared" si="42"/>
        <v>-159292.287495</v>
      </c>
      <c r="K370" s="734">
        <f t="shared" si="43"/>
        <v>339275.12250499998</v>
      </c>
      <c r="M370" s="9"/>
      <c r="O370" s="13"/>
    </row>
    <row r="371" spans="1:15" outlineLevel="2">
      <c r="A371" s="730">
        <f t="shared" si="37"/>
        <v>363</v>
      </c>
      <c r="B371" s="9" t="s">
        <v>1252</v>
      </c>
      <c r="C371" s="15" t="s">
        <v>1364</v>
      </c>
      <c r="D371" s="10" t="s">
        <v>1365</v>
      </c>
      <c r="E371" s="11">
        <v>68763.06</v>
      </c>
      <c r="G371" s="11">
        <f t="shared" si="32"/>
        <v>68763.06</v>
      </c>
      <c r="H371" s="11">
        <v>0</v>
      </c>
      <c r="I371" s="11">
        <f t="shared" si="42"/>
        <v>-21969.79767</v>
      </c>
      <c r="K371" s="734">
        <f t="shared" si="43"/>
        <v>46793.262329999998</v>
      </c>
      <c r="M371" s="9"/>
      <c r="O371" s="13"/>
    </row>
    <row r="372" spans="1:15" outlineLevel="2">
      <c r="A372" s="730">
        <f t="shared" si="37"/>
        <v>364</v>
      </c>
      <c r="B372" s="9" t="s">
        <v>1252</v>
      </c>
      <c r="C372" s="15" t="s">
        <v>1366</v>
      </c>
      <c r="D372" s="10" t="s">
        <v>1367</v>
      </c>
      <c r="E372" s="11">
        <v>70574.899999999994</v>
      </c>
      <c r="G372" s="11">
        <f t="shared" si="32"/>
        <v>70574.899999999994</v>
      </c>
      <c r="H372" s="11">
        <v>0</v>
      </c>
      <c r="I372" s="11">
        <f t="shared" si="42"/>
        <v>-22548.680549999997</v>
      </c>
      <c r="K372" s="734">
        <f t="shared" ref="K372:K380" si="44">SUM(G372:J372)</f>
        <v>48026.219449999997</v>
      </c>
      <c r="M372" s="9"/>
      <c r="O372" s="13"/>
    </row>
    <row r="373" spans="1:15" outlineLevel="2">
      <c r="A373" s="730">
        <f t="shared" si="37"/>
        <v>365</v>
      </c>
      <c r="B373" s="9" t="s">
        <v>1252</v>
      </c>
      <c r="C373" s="15" t="s">
        <v>1368</v>
      </c>
      <c r="D373" s="10" t="s">
        <v>1369</v>
      </c>
      <c r="E373" s="11">
        <v>132263.39000000001</v>
      </c>
      <c r="G373" s="11">
        <f t="shared" si="32"/>
        <v>132263.39000000001</v>
      </c>
      <c r="I373" s="11">
        <f t="shared" si="42"/>
        <v>-42258.153105000005</v>
      </c>
      <c r="K373" s="734">
        <f t="shared" si="44"/>
        <v>90005.236895000009</v>
      </c>
      <c r="M373" s="9"/>
      <c r="O373" s="13"/>
    </row>
    <row r="374" spans="1:15" outlineLevel="2">
      <c r="A374" s="730">
        <f t="shared" si="37"/>
        <v>366</v>
      </c>
      <c r="B374" s="9" t="s">
        <v>1252</v>
      </c>
      <c r="C374" s="15" t="s">
        <v>1370</v>
      </c>
      <c r="D374" s="10" t="s">
        <v>1371</v>
      </c>
      <c r="E374" s="11">
        <v>97511.52</v>
      </c>
      <c r="G374" s="11">
        <f t="shared" si="32"/>
        <v>97511.52</v>
      </c>
      <c r="H374" s="11">
        <v>0</v>
      </c>
      <c r="I374" s="11">
        <f t="shared" ref="I374:I379" si="45">-(G374*$L$319)</f>
        <v>-31154.930640000002</v>
      </c>
      <c r="K374" s="734">
        <f t="shared" si="44"/>
        <v>66356.589359999998</v>
      </c>
      <c r="M374" s="9"/>
      <c r="O374" s="13"/>
    </row>
    <row r="375" spans="1:15" outlineLevel="2">
      <c r="A375" s="730">
        <f t="shared" si="37"/>
        <v>367</v>
      </c>
      <c r="B375" s="9" t="s">
        <v>1252</v>
      </c>
      <c r="C375" s="15" t="s">
        <v>1372</v>
      </c>
      <c r="D375" s="10" t="s">
        <v>1373</v>
      </c>
      <c r="E375" s="11">
        <v>423028.2</v>
      </c>
      <c r="G375" s="11">
        <f t="shared" si="32"/>
        <v>423028.2</v>
      </c>
      <c r="H375" s="11">
        <v>0</v>
      </c>
      <c r="I375" s="11">
        <f t="shared" si="45"/>
        <v>-135157.5099</v>
      </c>
      <c r="K375" s="734">
        <f>SUM(G375:J375)</f>
        <v>287870.69010000001</v>
      </c>
      <c r="M375" s="9"/>
      <c r="O375" s="13"/>
    </row>
    <row r="376" spans="1:15" outlineLevel="2">
      <c r="A376" s="730">
        <f t="shared" si="37"/>
        <v>368</v>
      </c>
      <c r="B376" s="9" t="s">
        <v>1252</v>
      </c>
      <c r="C376" s="15" t="s">
        <v>1374</v>
      </c>
      <c r="D376" s="10" t="s">
        <v>1375</v>
      </c>
      <c r="E376" s="11">
        <v>105589.24</v>
      </c>
      <c r="G376" s="11">
        <f t="shared" si="32"/>
        <v>105589.24</v>
      </c>
      <c r="H376" s="11">
        <v>0</v>
      </c>
      <c r="I376" s="11">
        <f t="shared" si="45"/>
        <v>-33735.762180000005</v>
      </c>
      <c r="K376" s="734">
        <f t="shared" si="44"/>
        <v>71853.47782</v>
      </c>
      <c r="M376" s="9"/>
      <c r="O376" s="13"/>
    </row>
    <row r="377" spans="1:15" outlineLevel="2">
      <c r="A377" s="730">
        <f t="shared" si="37"/>
        <v>369</v>
      </c>
      <c r="B377" s="9" t="s">
        <v>1252</v>
      </c>
      <c r="C377" s="15" t="s">
        <v>1376</v>
      </c>
      <c r="D377" s="10" t="s">
        <v>1377</v>
      </c>
      <c r="E377" s="11">
        <v>785698.39</v>
      </c>
      <c r="G377" s="11">
        <f t="shared" si="32"/>
        <v>785698.39</v>
      </c>
      <c r="I377" s="11">
        <f t="shared" si="45"/>
        <v>-251030.63560500002</v>
      </c>
      <c r="K377" s="734">
        <f t="shared" si="44"/>
        <v>534667.75439499994</v>
      </c>
      <c r="M377" s="9"/>
      <c r="O377" s="13"/>
    </row>
    <row r="378" spans="1:15" outlineLevel="2">
      <c r="A378" s="730">
        <f t="shared" si="37"/>
        <v>370</v>
      </c>
      <c r="B378" s="9" t="s">
        <v>1252</v>
      </c>
      <c r="C378" s="15" t="s">
        <v>1378</v>
      </c>
      <c r="D378" s="10" t="s">
        <v>1379</v>
      </c>
      <c r="E378" s="11">
        <v>99222.88</v>
      </c>
      <c r="G378" s="11">
        <f t="shared" si="32"/>
        <v>99222.88</v>
      </c>
      <c r="H378" s="11">
        <v>0</v>
      </c>
      <c r="I378" s="11">
        <f t="shared" si="45"/>
        <v>-31701.710160000002</v>
      </c>
      <c r="K378" s="734">
        <f>SUM(G378:J378)</f>
        <v>67521.169840000002</v>
      </c>
      <c r="M378" s="9"/>
      <c r="O378" s="13"/>
    </row>
    <row r="379" spans="1:15" outlineLevel="2">
      <c r="A379" s="730">
        <f t="shared" si="37"/>
        <v>371</v>
      </c>
      <c r="B379" s="9" t="s">
        <v>1252</v>
      </c>
      <c r="C379" s="15" t="s">
        <v>1380</v>
      </c>
      <c r="D379" s="10" t="s">
        <v>1381</v>
      </c>
      <c r="E379" s="11">
        <v>301613.96999999997</v>
      </c>
      <c r="G379" s="11">
        <f t="shared" si="32"/>
        <v>301613.96999999997</v>
      </c>
      <c r="H379" s="11">
        <v>0</v>
      </c>
      <c r="I379" s="11">
        <f t="shared" si="45"/>
        <v>-96365.663414999988</v>
      </c>
      <c r="K379" s="734">
        <f t="shared" si="44"/>
        <v>205248.30658499998</v>
      </c>
      <c r="M379" s="9"/>
      <c r="O379" s="13"/>
    </row>
    <row r="380" spans="1:15" outlineLevel="2">
      <c r="A380" s="730">
        <f t="shared" si="37"/>
        <v>372</v>
      </c>
      <c r="B380" s="9" t="s">
        <v>1252</v>
      </c>
      <c r="C380" s="15" t="s">
        <v>1382</v>
      </c>
      <c r="D380" s="10" t="s">
        <v>1383</v>
      </c>
      <c r="E380" s="11">
        <v>423094</v>
      </c>
      <c r="G380" s="11">
        <f t="shared" si="32"/>
        <v>423094</v>
      </c>
      <c r="H380" s="11">
        <v>0</v>
      </c>
      <c r="I380" s="11">
        <f t="shared" ref="I380:I387" si="46">-(G380*$L$319)</f>
        <v>-135178.533</v>
      </c>
      <c r="K380" s="734">
        <f t="shared" si="44"/>
        <v>287915.467</v>
      </c>
      <c r="M380" s="9"/>
      <c r="O380" s="13"/>
    </row>
    <row r="381" spans="1:15" outlineLevel="2">
      <c r="A381" s="730">
        <f t="shared" si="37"/>
        <v>373</v>
      </c>
      <c r="B381" s="9" t="s">
        <v>1252</v>
      </c>
      <c r="C381" s="15" t="s">
        <v>1384</v>
      </c>
      <c r="D381" s="10" t="s">
        <v>1385</v>
      </c>
      <c r="E381" s="11">
        <v>61203.72</v>
      </c>
      <c r="G381" s="11">
        <f t="shared" si="32"/>
        <v>61203.72</v>
      </c>
      <c r="H381" s="11">
        <v>0</v>
      </c>
      <c r="I381" s="11">
        <f t="shared" si="46"/>
        <v>-19554.588540000001</v>
      </c>
      <c r="K381" s="734">
        <f>SUM(G381:J381)</f>
        <v>41649.131460000004</v>
      </c>
      <c r="M381" s="9"/>
      <c r="O381" s="13"/>
    </row>
    <row r="382" spans="1:15" outlineLevel="2">
      <c r="A382" s="730">
        <f t="shared" si="37"/>
        <v>374</v>
      </c>
      <c r="B382" s="9" t="s">
        <v>1252</v>
      </c>
      <c r="C382" s="15" t="s">
        <v>1386</v>
      </c>
      <c r="D382" s="10" t="s">
        <v>1387</v>
      </c>
      <c r="E382" s="11">
        <v>303953.87</v>
      </c>
      <c r="G382" s="11">
        <f t="shared" si="32"/>
        <v>303953.87</v>
      </c>
      <c r="H382" s="11">
        <v>0</v>
      </c>
      <c r="I382" s="11">
        <f t="shared" si="46"/>
        <v>-97113.261465000003</v>
      </c>
      <c r="K382" s="734">
        <f t="shared" ref="K382:K391" si="47">SUM(G382:J382)</f>
        <v>206840.60853500001</v>
      </c>
      <c r="M382" s="9"/>
      <c r="O382" s="13"/>
    </row>
    <row r="383" spans="1:15" outlineLevel="2">
      <c r="A383" s="730">
        <f t="shared" si="37"/>
        <v>375</v>
      </c>
      <c r="B383" s="9" t="s">
        <v>1252</v>
      </c>
      <c r="C383" s="15" t="s">
        <v>1388</v>
      </c>
      <c r="D383" s="10" t="s">
        <v>1389</v>
      </c>
      <c r="E383" s="11">
        <v>80798.66</v>
      </c>
      <c r="G383" s="11">
        <f t="shared" si="32"/>
        <v>80798.66</v>
      </c>
      <c r="H383" s="11">
        <v>0</v>
      </c>
      <c r="I383" s="11">
        <f t="shared" si="46"/>
        <v>-25815.171870000002</v>
      </c>
      <c r="K383" s="734">
        <f t="shared" si="47"/>
        <v>54983.488129999998</v>
      </c>
      <c r="M383" s="9"/>
      <c r="O383" s="13"/>
    </row>
    <row r="384" spans="1:15" outlineLevel="2">
      <c r="A384" s="730">
        <f t="shared" si="37"/>
        <v>376</v>
      </c>
      <c r="B384" s="9" t="s">
        <v>1252</v>
      </c>
      <c r="C384" s="15" t="s">
        <v>152</v>
      </c>
      <c r="D384" s="10" t="s">
        <v>1390</v>
      </c>
      <c r="E384" s="11">
        <v>148752.31</v>
      </c>
      <c r="G384" s="11">
        <f>E384+F384</f>
        <v>148752.31</v>
      </c>
      <c r="H384" s="11">
        <v>0</v>
      </c>
      <c r="I384" s="11">
        <f t="shared" si="46"/>
        <v>-47526.363044999998</v>
      </c>
      <c r="K384" s="734">
        <f t="shared" si="47"/>
        <v>101225.94695499999</v>
      </c>
      <c r="M384" s="9"/>
      <c r="O384" s="13"/>
    </row>
    <row r="385" spans="1:15" outlineLevel="2">
      <c r="A385" s="730">
        <f t="shared" si="37"/>
        <v>377</v>
      </c>
      <c r="B385" s="9" t="s">
        <v>1252</v>
      </c>
      <c r="C385" s="15" t="s">
        <v>1391</v>
      </c>
      <c r="D385" s="10" t="s">
        <v>1392</v>
      </c>
      <c r="E385" s="11">
        <v>325519.83</v>
      </c>
      <c r="G385" s="11">
        <f t="shared" si="32"/>
        <v>325519.83</v>
      </c>
      <c r="H385" s="11">
        <v>0</v>
      </c>
      <c r="I385" s="11">
        <f t="shared" si="46"/>
        <v>-104003.58568500001</v>
      </c>
      <c r="K385" s="734">
        <f>SUM(G385:J385)</f>
        <v>221516.24431500002</v>
      </c>
      <c r="M385" s="9"/>
      <c r="O385" s="13"/>
    </row>
    <row r="386" spans="1:15" outlineLevel="2">
      <c r="A386" s="730">
        <f t="shared" si="37"/>
        <v>378</v>
      </c>
      <c r="B386" s="9" t="s">
        <v>1252</v>
      </c>
      <c r="C386" s="15" t="s">
        <v>1393</v>
      </c>
      <c r="D386" s="10" t="s">
        <v>1394</v>
      </c>
      <c r="E386" s="11">
        <v>378095.18</v>
      </c>
      <c r="G386" s="11">
        <f t="shared" ref="G386:G391" si="48">E386+F386</f>
        <v>378095.18</v>
      </c>
      <c r="H386" s="11">
        <v>0</v>
      </c>
      <c r="I386" s="11">
        <f t="shared" si="46"/>
        <v>-120801.41001000001</v>
      </c>
      <c r="K386" s="734">
        <f t="shared" si="47"/>
        <v>257293.76999</v>
      </c>
      <c r="M386" s="9"/>
      <c r="O386" s="13"/>
    </row>
    <row r="387" spans="1:15" outlineLevel="2">
      <c r="A387" s="730">
        <f t="shared" si="37"/>
        <v>379</v>
      </c>
      <c r="B387" s="9" t="s">
        <v>1252</v>
      </c>
      <c r="C387" s="15" t="s">
        <v>1395</v>
      </c>
      <c r="D387" s="10" t="s">
        <v>1396</v>
      </c>
      <c r="E387" s="11">
        <v>272857.44</v>
      </c>
      <c r="G387" s="11">
        <f t="shared" si="48"/>
        <v>272857.44</v>
      </c>
      <c r="H387" s="11">
        <v>0</v>
      </c>
      <c r="I387" s="11">
        <f t="shared" si="46"/>
        <v>-87177.952080000003</v>
      </c>
      <c r="K387" s="734">
        <f t="shared" si="47"/>
        <v>185679.48791999999</v>
      </c>
      <c r="M387" s="9"/>
      <c r="O387" s="13"/>
    </row>
    <row r="388" spans="1:15" outlineLevel="2">
      <c r="A388" s="730">
        <f t="shared" si="37"/>
        <v>380</v>
      </c>
      <c r="B388" s="9" t="s">
        <v>1252</v>
      </c>
      <c r="C388" s="15" t="s">
        <v>1397</v>
      </c>
      <c r="D388" s="10" t="s">
        <v>1398</v>
      </c>
      <c r="E388" s="11">
        <v>23846.98</v>
      </c>
      <c r="G388" s="11">
        <f t="shared" si="48"/>
        <v>23846.98</v>
      </c>
      <c r="H388" s="11">
        <v>0</v>
      </c>
      <c r="I388" s="11">
        <f t="shared" ref="I388:I397" si="49">-(G388*$L$319)</f>
        <v>-7619.1101099999996</v>
      </c>
      <c r="K388" s="734">
        <f>SUM(G388:J388)</f>
        <v>16227.86989</v>
      </c>
      <c r="M388" s="9"/>
      <c r="O388" s="13"/>
    </row>
    <row r="389" spans="1:15" outlineLevel="2">
      <c r="A389" s="730">
        <f t="shared" si="37"/>
        <v>381</v>
      </c>
      <c r="B389" s="9" t="s">
        <v>1252</v>
      </c>
      <c r="C389" s="15" t="s">
        <v>1399</v>
      </c>
      <c r="D389" s="10" t="s">
        <v>1400</v>
      </c>
      <c r="E389" s="11">
        <v>736184.44</v>
      </c>
      <c r="G389" s="11">
        <f t="shared" si="48"/>
        <v>736184.44</v>
      </c>
      <c r="I389" s="11">
        <f t="shared" si="49"/>
        <v>-235210.92857999998</v>
      </c>
      <c r="K389" s="734">
        <f t="shared" si="47"/>
        <v>500973.51142</v>
      </c>
      <c r="M389" s="9"/>
      <c r="O389" s="13"/>
    </row>
    <row r="390" spans="1:15" outlineLevel="2">
      <c r="A390" s="730">
        <f t="shared" si="37"/>
        <v>382</v>
      </c>
      <c r="B390" s="9" t="s">
        <v>1252</v>
      </c>
      <c r="C390" s="15" t="s">
        <v>1401</v>
      </c>
      <c r="D390" s="10" t="s">
        <v>1402</v>
      </c>
      <c r="E390" s="11">
        <v>78926.19</v>
      </c>
      <c r="G390" s="11">
        <f t="shared" si="48"/>
        <v>78926.19</v>
      </c>
      <c r="H390" s="11">
        <v>0</v>
      </c>
      <c r="I390" s="11">
        <f t="shared" si="49"/>
        <v>-25216.917705</v>
      </c>
      <c r="K390" s="734">
        <f t="shared" si="47"/>
        <v>53709.272295000002</v>
      </c>
      <c r="M390" s="9"/>
      <c r="O390" s="13"/>
    </row>
    <row r="391" spans="1:15" outlineLevel="2">
      <c r="A391" s="730">
        <f t="shared" si="37"/>
        <v>383</v>
      </c>
      <c r="B391" s="9" t="s">
        <v>1252</v>
      </c>
      <c r="C391" s="15" t="s">
        <v>1403</v>
      </c>
      <c r="D391" s="10" t="s">
        <v>1404</v>
      </c>
      <c r="E391" s="11">
        <v>109706.08</v>
      </c>
      <c r="G391" s="11">
        <f t="shared" si="48"/>
        <v>109706.08</v>
      </c>
      <c r="H391" s="11">
        <v>0</v>
      </c>
      <c r="I391" s="11">
        <f t="shared" si="49"/>
        <v>-35051.092560000005</v>
      </c>
      <c r="K391" s="734">
        <f t="shared" si="47"/>
        <v>74654.987439999997</v>
      </c>
      <c r="M391" s="9"/>
      <c r="O391" s="13"/>
    </row>
    <row r="392" spans="1:15" outlineLevel="2">
      <c r="A392" s="730">
        <f t="shared" ref="A392:A455" si="50">A391+1</f>
        <v>384</v>
      </c>
      <c r="B392" s="9" t="s">
        <v>1252</v>
      </c>
      <c r="C392" s="15" t="s">
        <v>1405</v>
      </c>
      <c r="D392" s="10" t="s">
        <v>1406</v>
      </c>
      <c r="E392" s="11">
        <v>882588.11</v>
      </c>
      <c r="G392" s="11">
        <f>E392+F392</f>
        <v>882588.11</v>
      </c>
      <c r="H392" s="11">
        <v>0</v>
      </c>
      <c r="I392" s="11">
        <f t="shared" si="49"/>
        <v>-281986.90114500001</v>
      </c>
      <c r="K392" s="734">
        <f>SUM(G392:J392)</f>
        <v>600601.20885499998</v>
      </c>
      <c r="M392" s="9"/>
      <c r="O392" s="13"/>
    </row>
    <row r="393" spans="1:15" outlineLevel="2">
      <c r="A393" s="730">
        <f t="shared" si="50"/>
        <v>385</v>
      </c>
      <c r="B393" s="9" t="s">
        <v>1252</v>
      </c>
      <c r="C393" s="15" t="s">
        <v>1407</v>
      </c>
      <c r="D393" s="10" t="s">
        <v>1408</v>
      </c>
      <c r="E393" s="11">
        <v>68891.070000000007</v>
      </c>
      <c r="G393" s="11">
        <f t="shared" ref="G393:G408" si="51">E393+F393</f>
        <v>68891.070000000007</v>
      </c>
      <c r="H393" s="11">
        <v>0</v>
      </c>
      <c r="I393" s="11">
        <f t="shared" si="49"/>
        <v>-22010.696865000002</v>
      </c>
      <c r="K393" s="734">
        <f>SUM(G393:J393)</f>
        <v>46880.373135000002</v>
      </c>
      <c r="M393" s="9"/>
      <c r="O393" s="13"/>
    </row>
    <row r="394" spans="1:15" outlineLevel="2">
      <c r="A394" s="730">
        <f t="shared" si="50"/>
        <v>386</v>
      </c>
      <c r="B394" s="9" t="s">
        <v>1252</v>
      </c>
      <c r="C394" s="15" t="s">
        <v>1409</v>
      </c>
      <c r="D394" s="10" t="s">
        <v>1410</v>
      </c>
      <c r="E394" s="11">
        <v>302700.90999999997</v>
      </c>
      <c r="G394" s="11">
        <f t="shared" si="51"/>
        <v>302700.90999999997</v>
      </c>
      <c r="H394" s="11">
        <v>0</v>
      </c>
      <c r="I394" s="11">
        <f t="shared" si="49"/>
        <v>-96712.940745</v>
      </c>
      <c r="K394" s="734">
        <f t="shared" ref="K394:K403" si="52">SUM(G394:J394)</f>
        <v>205987.96925499997</v>
      </c>
      <c r="M394" s="9"/>
      <c r="O394" s="13"/>
    </row>
    <row r="395" spans="1:15" outlineLevel="2">
      <c r="A395" s="730">
        <f t="shared" si="50"/>
        <v>387</v>
      </c>
      <c r="B395" s="9" t="s">
        <v>1252</v>
      </c>
      <c r="C395" s="15" t="s">
        <v>1411</v>
      </c>
      <c r="D395" s="10" t="s">
        <v>1412</v>
      </c>
      <c r="E395" s="11">
        <v>22883.759999999998</v>
      </c>
      <c r="G395" s="11">
        <f t="shared" si="51"/>
        <v>22883.759999999998</v>
      </c>
      <c r="H395" s="11">
        <v>0</v>
      </c>
      <c r="I395" s="11">
        <f t="shared" si="49"/>
        <v>-7311.36132</v>
      </c>
      <c r="K395" s="734">
        <f t="shared" si="52"/>
        <v>15572.398679999998</v>
      </c>
      <c r="M395" s="9"/>
      <c r="O395" s="13"/>
    </row>
    <row r="396" spans="1:15" outlineLevel="2">
      <c r="A396" s="730">
        <f t="shared" si="50"/>
        <v>388</v>
      </c>
      <c r="B396" s="9" t="s">
        <v>1252</v>
      </c>
      <c r="C396" s="15" t="s">
        <v>1413</v>
      </c>
      <c r="D396" s="10" t="s">
        <v>1414</v>
      </c>
      <c r="E396" s="11">
        <v>157601.32</v>
      </c>
      <c r="G396" s="11">
        <f t="shared" si="51"/>
        <v>157601.32</v>
      </c>
      <c r="H396" s="11">
        <v>0</v>
      </c>
      <c r="I396" s="11">
        <f t="shared" si="49"/>
        <v>-50353.621740000002</v>
      </c>
      <c r="K396" s="734">
        <f t="shared" si="52"/>
        <v>107247.69826</v>
      </c>
      <c r="M396" s="9"/>
      <c r="O396" s="13"/>
    </row>
    <row r="397" spans="1:15" outlineLevel="2">
      <c r="A397" s="730">
        <f t="shared" si="50"/>
        <v>389</v>
      </c>
      <c r="B397" s="9" t="s">
        <v>1252</v>
      </c>
      <c r="C397" s="15" t="s">
        <v>1415</v>
      </c>
      <c r="D397" s="10" t="s">
        <v>1416</v>
      </c>
      <c r="E397" s="11">
        <v>22896.21</v>
      </c>
      <c r="G397" s="11">
        <f t="shared" si="51"/>
        <v>22896.21</v>
      </c>
      <c r="H397" s="11">
        <v>0</v>
      </c>
      <c r="I397" s="11">
        <f t="shared" si="49"/>
        <v>-7315.3390950000003</v>
      </c>
      <c r="K397" s="734">
        <f>SUM(G397:J397)</f>
        <v>15580.870905</v>
      </c>
      <c r="M397" s="9"/>
      <c r="O397" s="13"/>
    </row>
    <row r="398" spans="1:15" outlineLevel="2">
      <c r="A398" s="730">
        <f t="shared" si="50"/>
        <v>390</v>
      </c>
      <c r="B398" s="9" t="s">
        <v>1252</v>
      </c>
      <c r="C398" s="15" t="s">
        <v>1417</v>
      </c>
      <c r="D398" s="10" t="s">
        <v>1418</v>
      </c>
      <c r="E398" s="11">
        <v>201837.42</v>
      </c>
      <c r="G398" s="11">
        <f t="shared" si="51"/>
        <v>201837.42</v>
      </c>
      <c r="H398" s="11">
        <v>0</v>
      </c>
      <c r="I398" s="11">
        <f t="shared" ref="I398:I405" si="53">-(G398*$L$319)</f>
        <v>-64487.055690000008</v>
      </c>
      <c r="K398" s="734">
        <f t="shared" si="52"/>
        <v>137350.36431</v>
      </c>
      <c r="M398" s="9"/>
      <c r="O398" s="13"/>
    </row>
    <row r="399" spans="1:15" outlineLevel="2">
      <c r="A399" s="730">
        <f t="shared" si="50"/>
        <v>391</v>
      </c>
      <c r="B399" s="9" t="s">
        <v>1252</v>
      </c>
      <c r="C399" s="15" t="s">
        <v>1419</v>
      </c>
      <c r="D399" s="10" t="s">
        <v>1420</v>
      </c>
      <c r="E399" s="11">
        <v>85067.66</v>
      </c>
      <c r="G399" s="11">
        <f t="shared" si="51"/>
        <v>85067.66</v>
      </c>
      <c r="H399" s="11">
        <v>0</v>
      </c>
      <c r="I399" s="11">
        <f t="shared" si="53"/>
        <v>-27179.11737</v>
      </c>
      <c r="K399" s="734">
        <f t="shared" si="52"/>
        <v>57888.542630000004</v>
      </c>
      <c r="M399" s="9"/>
      <c r="O399" s="13"/>
    </row>
    <row r="400" spans="1:15" outlineLevel="2">
      <c r="A400" s="730">
        <f t="shared" si="50"/>
        <v>392</v>
      </c>
      <c r="B400" s="9" t="s">
        <v>1252</v>
      </c>
      <c r="C400" s="15" t="s">
        <v>1421</v>
      </c>
      <c r="D400" s="10" t="s">
        <v>1422</v>
      </c>
      <c r="E400" s="11">
        <v>273932.39</v>
      </c>
      <c r="G400" s="11">
        <f t="shared" si="51"/>
        <v>273932.39</v>
      </c>
      <c r="H400" s="11">
        <v>0</v>
      </c>
      <c r="I400" s="11">
        <f t="shared" si="53"/>
        <v>-87521.398605000009</v>
      </c>
      <c r="K400" s="734">
        <f>SUM(G400:J400)</f>
        <v>186410.99139500002</v>
      </c>
      <c r="M400" s="9"/>
      <c r="O400" s="13"/>
    </row>
    <row r="401" spans="1:15" outlineLevel="2">
      <c r="A401" s="730">
        <f t="shared" si="50"/>
        <v>393</v>
      </c>
      <c r="B401" s="9" t="s">
        <v>1252</v>
      </c>
      <c r="C401" s="15" t="s">
        <v>1423</v>
      </c>
      <c r="D401" s="10" t="s">
        <v>1424</v>
      </c>
      <c r="E401" s="11">
        <v>210227.06</v>
      </c>
      <c r="G401" s="11">
        <f t="shared" si="51"/>
        <v>210227.06</v>
      </c>
      <c r="H401" s="11">
        <v>0</v>
      </c>
      <c r="I401" s="11">
        <f t="shared" si="53"/>
        <v>-67167.545670000007</v>
      </c>
      <c r="K401" s="734">
        <f t="shared" si="52"/>
        <v>143059.51432999998</v>
      </c>
      <c r="M401" s="9"/>
      <c r="O401" s="13"/>
    </row>
    <row r="402" spans="1:15" outlineLevel="2">
      <c r="A402" s="730">
        <f t="shared" si="50"/>
        <v>394</v>
      </c>
      <c r="B402" s="9" t="s">
        <v>1252</v>
      </c>
      <c r="C402" s="15" t="s">
        <v>1425</v>
      </c>
      <c r="D402" s="10" t="s">
        <v>1426</v>
      </c>
      <c r="E402" s="11">
        <v>780864.99</v>
      </c>
      <c r="G402" s="11">
        <f t="shared" si="51"/>
        <v>780864.99</v>
      </c>
      <c r="H402" s="11">
        <v>0</v>
      </c>
      <c r="I402" s="11">
        <f t="shared" si="53"/>
        <v>-249486.364305</v>
      </c>
      <c r="K402" s="734">
        <f t="shared" si="52"/>
        <v>531378.62569499994</v>
      </c>
      <c r="M402" s="9"/>
      <c r="O402" s="13"/>
    </row>
    <row r="403" spans="1:15" outlineLevel="2">
      <c r="A403" s="730">
        <f t="shared" si="50"/>
        <v>395</v>
      </c>
      <c r="B403" s="9" t="s">
        <v>1252</v>
      </c>
      <c r="C403" s="15" t="s">
        <v>1427</v>
      </c>
      <c r="D403" s="10" t="s">
        <v>1428</v>
      </c>
      <c r="E403" s="11">
        <v>90226.7</v>
      </c>
      <c r="G403" s="11">
        <f t="shared" si="51"/>
        <v>90226.7</v>
      </c>
      <c r="H403" s="11">
        <v>0</v>
      </c>
      <c r="I403" s="11">
        <f t="shared" si="53"/>
        <v>-28827.430649999998</v>
      </c>
      <c r="K403" s="734">
        <f t="shared" si="52"/>
        <v>61399.269350000002</v>
      </c>
      <c r="M403" s="9"/>
      <c r="O403" s="13"/>
    </row>
    <row r="404" spans="1:15" outlineLevel="2">
      <c r="A404" s="730">
        <f t="shared" si="50"/>
        <v>396</v>
      </c>
      <c r="B404" s="9" t="s">
        <v>1252</v>
      </c>
      <c r="C404" s="15" t="s">
        <v>1429</v>
      </c>
      <c r="D404" s="10" t="s">
        <v>1430</v>
      </c>
      <c r="E404" s="11">
        <v>46981.39</v>
      </c>
      <c r="G404" s="11">
        <f t="shared" si="51"/>
        <v>46981.39</v>
      </c>
      <c r="H404" s="11">
        <v>0</v>
      </c>
      <c r="I404" s="11">
        <f t="shared" si="53"/>
        <v>-15010.554104999999</v>
      </c>
      <c r="K404" s="734">
        <f>SUM(G404:J404)</f>
        <v>31970.835895</v>
      </c>
      <c r="M404" s="9"/>
      <c r="O404" s="13"/>
    </row>
    <row r="405" spans="1:15" outlineLevel="2">
      <c r="A405" s="730">
        <f t="shared" si="50"/>
        <v>397</v>
      </c>
      <c r="B405" s="9" t="s">
        <v>1252</v>
      </c>
      <c r="C405" s="15" t="s">
        <v>1431</v>
      </c>
      <c r="D405" s="10" t="s">
        <v>1432</v>
      </c>
      <c r="E405" s="11">
        <v>267394.71999999997</v>
      </c>
      <c r="G405" s="11">
        <f t="shared" si="51"/>
        <v>267394.71999999997</v>
      </c>
      <c r="H405" s="11">
        <v>0</v>
      </c>
      <c r="I405" s="11">
        <f t="shared" si="53"/>
        <v>-85432.613039999997</v>
      </c>
      <c r="K405" s="734">
        <f>SUM(G405:J405)</f>
        <v>181962.10695999998</v>
      </c>
      <c r="M405" s="9"/>
      <c r="O405" s="13"/>
    </row>
    <row r="406" spans="1:15" outlineLevel="2">
      <c r="A406" s="730">
        <f t="shared" si="50"/>
        <v>398</v>
      </c>
      <c r="B406" s="9" t="s">
        <v>1252</v>
      </c>
      <c r="C406" s="15" t="s">
        <v>1433</v>
      </c>
      <c r="D406" s="10" t="s">
        <v>1434</v>
      </c>
      <c r="E406" s="11">
        <v>206812.58</v>
      </c>
      <c r="G406" s="11">
        <f t="shared" si="51"/>
        <v>206812.58</v>
      </c>
      <c r="H406" s="11">
        <v>0</v>
      </c>
      <c r="I406" s="11">
        <f t="shared" ref="I406:I414" si="54">-(G406*$L$319)</f>
        <v>-66076.619309999995</v>
      </c>
      <c r="K406" s="734">
        <f>SUM(G406:J406)</f>
        <v>140735.96068999998</v>
      </c>
      <c r="M406" s="9"/>
      <c r="O406" s="13"/>
    </row>
    <row r="407" spans="1:15" outlineLevel="2">
      <c r="A407" s="730">
        <f t="shared" si="50"/>
        <v>399</v>
      </c>
      <c r="B407" s="9" t="s">
        <v>1252</v>
      </c>
      <c r="C407" s="15" t="s">
        <v>1435</v>
      </c>
      <c r="D407" s="10" t="s">
        <v>1436</v>
      </c>
      <c r="E407" s="11">
        <v>543499.84</v>
      </c>
      <c r="G407" s="11">
        <f t="shared" si="51"/>
        <v>543499.84</v>
      </c>
      <c r="H407" s="11">
        <v>0</v>
      </c>
      <c r="I407" s="11">
        <f t="shared" si="54"/>
        <v>-173648.19887999998</v>
      </c>
      <c r="K407" s="734">
        <f>SUM(G407:J407)</f>
        <v>369851.64111999999</v>
      </c>
      <c r="M407" s="9"/>
      <c r="O407" s="13"/>
    </row>
    <row r="408" spans="1:15" outlineLevel="2">
      <c r="A408" s="730">
        <f t="shared" si="50"/>
        <v>400</v>
      </c>
      <c r="B408" s="9" t="s">
        <v>1252</v>
      </c>
      <c r="C408" s="15" t="s">
        <v>1437</v>
      </c>
      <c r="D408" s="10" t="s">
        <v>1438</v>
      </c>
      <c r="E408" s="11">
        <v>941913.5</v>
      </c>
      <c r="G408" s="11">
        <f t="shared" si="51"/>
        <v>941913.5</v>
      </c>
      <c r="H408" s="11">
        <v>0</v>
      </c>
      <c r="I408" s="11">
        <f t="shared" si="54"/>
        <v>-300941.36324999999</v>
      </c>
      <c r="K408" s="734">
        <f t="shared" ref="K408:K417" si="55">SUM(G408:J408)</f>
        <v>640972.13675000006</v>
      </c>
      <c r="M408" s="9"/>
      <c r="O408" s="13"/>
    </row>
    <row r="409" spans="1:15" outlineLevel="2">
      <c r="A409" s="730">
        <f t="shared" si="50"/>
        <v>401</v>
      </c>
      <c r="B409" s="9" t="s">
        <v>1252</v>
      </c>
      <c r="C409" s="15" t="s">
        <v>1439</v>
      </c>
      <c r="D409" s="10" t="s">
        <v>1440</v>
      </c>
      <c r="E409" s="11">
        <v>759357.31</v>
      </c>
      <c r="G409" s="11">
        <f>E409+F409</f>
        <v>759357.31</v>
      </c>
      <c r="H409" s="11">
        <v>0</v>
      </c>
      <c r="I409" s="11">
        <f t="shared" si="54"/>
        <v>-242614.66054500002</v>
      </c>
      <c r="K409" s="734">
        <f t="shared" si="55"/>
        <v>516742.64945500006</v>
      </c>
      <c r="M409" s="9"/>
      <c r="O409" s="13"/>
    </row>
    <row r="410" spans="1:15" outlineLevel="2">
      <c r="A410" s="730">
        <f t="shared" si="50"/>
        <v>402</v>
      </c>
      <c r="B410" s="9" t="s">
        <v>1252</v>
      </c>
      <c r="C410" s="15" t="s">
        <v>1441</v>
      </c>
      <c r="D410" s="10" t="s">
        <v>1442</v>
      </c>
      <c r="E410" s="11">
        <v>735971.03</v>
      </c>
      <c r="G410" s="11">
        <f t="shared" ref="G410:G431" si="56">E410+F410</f>
        <v>735971.03</v>
      </c>
      <c r="H410" s="11">
        <v>0</v>
      </c>
      <c r="I410" s="11">
        <f t="shared" si="54"/>
        <v>-235142.74408500001</v>
      </c>
      <c r="K410" s="734">
        <f t="shared" si="55"/>
        <v>500828.28591500001</v>
      </c>
      <c r="M410" s="9"/>
      <c r="O410" s="13"/>
    </row>
    <row r="411" spans="1:15" outlineLevel="2">
      <c r="A411" s="730">
        <f t="shared" si="50"/>
        <v>403</v>
      </c>
      <c r="B411" s="9" t="s">
        <v>1252</v>
      </c>
      <c r="C411" s="15" t="s">
        <v>1443</v>
      </c>
      <c r="D411" s="10" t="s">
        <v>1444</v>
      </c>
      <c r="E411" s="11">
        <v>48470.16</v>
      </c>
      <c r="G411" s="11">
        <f t="shared" si="56"/>
        <v>48470.16</v>
      </c>
      <c r="H411" s="11">
        <v>0</v>
      </c>
      <c r="I411" s="11">
        <f t="shared" si="54"/>
        <v>-15486.216120000001</v>
      </c>
      <c r="K411" s="734">
        <f>SUM(G411:J411)</f>
        <v>32983.943880000006</v>
      </c>
      <c r="M411" s="9"/>
      <c r="O411" s="13"/>
    </row>
    <row r="412" spans="1:15" outlineLevel="2">
      <c r="A412" s="730">
        <f t="shared" si="50"/>
        <v>404</v>
      </c>
      <c r="B412" s="9" t="s">
        <v>1252</v>
      </c>
      <c r="C412" s="15" t="s">
        <v>1445</v>
      </c>
      <c r="D412" s="10" t="s">
        <v>1446</v>
      </c>
      <c r="E412" s="11">
        <v>64370.11</v>
      </c>
      <c r="G412" s="11">
        <f t="shared" si="56"/>
        <v>64370.11</v>
      </c>
      <c r="H412" s="11">
        <v>0</v>
      </c>
      <c r="I412" s="11">
        <f t="shared" si="54"/>
        <v>-20566.250145000002</v>
      </c>
      <c r="K412" s="734">
        <f t="shared" si="55"/>
        <v>43803.859855000002</v>
      </c>
      <c r="M412" s="9"/>
      <c r="O412" s="13"/>
    </row>
    <row r="413" spans="1:15" outlineLevel="2">
      <c r="A413" s="730">
        <f t="shared" si="50"/>
        <v>405</v>
      </c>
      <c r="B413" s="9" t="s">
        <v>1252</v>
      </c>
      <c r="C413" s="15" t="s">
        <v>1447</v>
      </c>
      <c r="D413" s="10" t="s">
        <v>1448</v>
      </c>
      <c r="E413" s="11">
        <v>330604.18</v>
      </c>
      <c r="G413" s="11">
        <f t="shared" si="56"/>
        <v>330604.18</v>
      </c>
      <c r="H413" s="11">
        <v>0</v>
      </c>
      <c r="I413" s="11">
        <f t="shared" si="54"/>
        <v>-105628.03551</v>
      </c>
      <c r="K413" s="734">
        <f t="shared" si="55"/>
        <v>224976.14448999998</v>
      </c>
      <c r="M413" s="9"/>
      <c r="O413" s="13"/>
    </row>
    <row r="414" spans="1:15" outlineLevel="2">
      <c r="A414" s="730">
        <f t="shared" si="50"/>
        <v>406</v>
      </c>
      <c r="B414" s="9" t="s">
        <v>1252</v>
      </c>
      <c r="C414" s="15" t="s">
        <v>1449</v>
      </c>
      <c r="D414" s="10" t="s">
        <v>1450</v>
      </c>
      <c r="E414" s="11">
        <v>54516.4</v>
      </c>
      <c r="G414" s="11">
        <f t="shared" si="56"/>
        <v>54516.4</v>
      </c>
      <c r="H414" s="11">
        <v>0</v>
      </c>
      <c r="I414" s="11">
        <f t="shared" si="54"/>
        <v>-17417.989799999999</v>
      </c>
      <c r="K414" s="734">
        <f>SUM(G414:J414)</f>
        <v>37098.410199999998</v>
      </c>
      <c r="M414" s="9"/>
      <c r="O414" s="13"/>
    </row>
    <row r="415" spans="1:15" outlineLevel="2">
      <c r="A415" s="730">
        <f t="shared" si="50"/>
        <v>407</v>
      </c>
      <c r="B415" s="9" t="s">
        <v>1252</v>
      </c>
      <c r="C415" s="15" t="s">
        <v>1451</v>
      </c>
      <c r="D415" s="10" t="s">
        <v>1452</v>
      </c>
      <c r="E415" s="11">
        <v>32444.86</v>
      </c>
      <c r="G415" s="11">
        <f t="shared" si="56"/>
        <v>32444.86</v>
      </c>
      <c r="H415" s="11">
        <v>0</v>
      </c>
      <c r="I415" s="11">
        <f t="shared" ref="I415:I426" si="57">-(G415*$L$319)</f>
        <v>-10366.13277</v>
      </c>
      <c r="K415" s="734">
        <f t="shared" si="55"/>
        <v>22078.72723</v>
      </c>
      <c r="M415" s="9"/>
      <c r="O415" s="13"/>
    </row>
    <row r="416" spans="1:15" outlineLevel="2">
      <c r="A416" s="730">
        <f t="shared" si="50"/>
        <v>408</v>
      </c>
      <c r="B416" s="9" t="s">
        <v>1252</v>
      </c>
      <c r="C416" s="15" t="s">
        <v>1453</v>
      </c>
      <c r="D416" s="10" t="s">
        <v>1454</v>
      </c>
      <c r="E416" s="11">
        <v>794469.24</v>
      </c>
      <c r="G416" s="11">
        <f t="shared" si="56"/>
        <v>794469.24</v>
      </c>
      <c r="H416" s="11">
        <v>0</v>
      </c>
      <c r="I416" s="11">
        <f t="shared" si="57"/>
        <v>-253832.92217999999</v>
      </c>
      <c r="K416" s="734">
        <f t="shared" si="55"/>
        <v>540636.31782</v>
      </c>
      <c r="M416" s="9"/>
      <c r="O416" s="13"/>
    </row>
    <row r="417" spans="1:15" outlineLevel="2">
      <c r="A417" s="730">
        <f t="shared" si="50"/>
        <v>409</v>
      </c>
      <c r="B417" s="9" t="s">
        <v>1252</v>
      </c>
      <c r="C417" s="15" t="s">
        <v>1455</v>
      </c>
      <c r="D417" s="10" t="s">
        <v>1456</v>
      </c>
      <c r="E417" s="11">
        <v>69987.59</v>
      </c>
      <c r="G417" s="11">
        <f t="shared" si="56"/>
        <v>69987.59</v>
      </c>
      <c r="H417" s="11">
        <v>0</v>
      </c>
      <c r="I417" s="11">
        <f t="shared" si="57"/>
        <v>-22361.035004999998</v>
      </c>
      <c r="K417" s="734">
        <f t="shared" si="55"/>
        <v>47626.554994999999</v>
      </c>
      <c r="M417" s="9"/>
      <c r="O417" s="13"/>
    </row>
    <row r="418" spans="1:15" outlineLevel="2">
      <c r="A418" s="730">
        <f t="shared" si="50"/>
        <v>410</v>
      </c>
      <c r="B418" s="9" t="s">
        <v>1252</v>
      </c>
      <c r="C418" s="15" t="s">
        <v>1457</v>
      </c>
      <c r="D418" s="10" t="s">
        <v>1458</v>
      </c>
      <c r="E418" s="11">
        <v>172792.24</v>
      </c>
      <c r="G418" s="11">
        <f t="shared" si="56"/>
        <v>172792.24</v>
      </c>
      <c r="H418" s="11">
        <v>0</v>
      </c>
      <c r="I418" s="11">
        <f t="shared" si="57"/>
        <v>-55207.12068</v>
      </c>
      <c r="K418" s="734">
        <f>SUM(G418:J418)</f>
        <v>117585.11932</v>
      </c>
      <c r="M418" s="9"/>
      <c r="O418" s="13"/>
    </row>
    <row r="419" spans="1:15" outlineLevel="2">
      <c r="A419" s="730">
        <f t="shared" si="50"/>
        <v>411</v>
      </c>
      <c r="B419" s="9" t="s">
        <v>1252</v>
      </c>
      <c r="C419" s="15" t="s">
        <v>1459</v>
      </c>
      <c r="D419" s="10" t="s">
        <v>1460</v>
      </c>
      <c r="E419" s="11">
        <v>291093.93</v>
      </c>
      <c r="G419" s="11">
        <f t="shared" si="56"/>
        <v>291093.93</v>
      </c>
      <c r="H419" s="11">
        <v>0</v>
      </c>
      <c r="I419" s="11">
        <f t="shared" si="57"/>
        <v>-93004.510634999999</v>
      </c>
      <c r="K419" s="734">
        <f>SUM(G419:J419)</f>
        <v>198089.41936499998</v>
      </c>
      <c r="M419" s="9"/>
      <c r="O419" s="13"/>
    </row>
    <row r="420" spans="1:15" outlineLevel="2">
      <c r="A420" s="730">
        <f t="shared" si="50"/>
        <v>412</v>
      </c>
      <c r="B420" s="9" t="s">
        <v>1252</v>
      </c>
      <c r="C420" s="15" t="s">
        <v>1461</v>
      </c>
      <c r="D420" s="10" t="s">
        <v>1462</v>
      </c>
      <c r="E420" s="11">
        <v>187938.56</v>
      </c>
      <c r="G420" s="11">
        <f t="shared" si="56"/>
        <v>187938.56</v>
      </c>
      <c r="H420" s="11">
        <v>0</v>
      </c>
      <c r="I420" s="11">
        <f t="shared" si="57"/>
        <v>-60046.369919999997</v>
      </c>
      <c r="K420" s="734">
        <f>SUM(G420:J420)</f>
        <v>127892.19008</v>
      </c>
      <c r="M420" s="9"/>
      <c r="O420" s="13"/>
    </row>
    <row r="421" spans="1:15" outlineLevel="2">
      <c r="A421" s="730">
        <f t="shared" si="50"/>
        <v>413</v>
      </c>
      <c r="B421" s="9" t="s">
        <v>1252</v>
      </c>
      <c r="C421" s="15" t="s">
        <v>1463</v>
      </c>
      <c r="D421" s="10" t="s">
        <v>1464</v>
      </c>
      <c r="E421" s="11">
        <v>542296.30000000005</v>
      </c>
      <c r="G421" s="11">
        <f t="shared" si="56"/>
        <v>542296.30000000005</v>
      </c>
      <c r="H421" s="11">
        <v>0</v>
      </c>
      <c r="I421" s="11">
        <f t="shared" si="57"/>
        <v>-173263.66785000003</v>
      </c>
      <c r="K421" s="734">
        <f>SUM(G421:J421)</f>
        <v>369032.63215000002</v>
      </c>
      <c r="M421" s="9"/>
      <c r="O421" s="13"/>
    </row>
    <row r="422" spans="1:15" outlineLevel="2">
      <c r="A422" s="730">
        <f t="shared" si="50"/>
        <v>414</v>
      </c>
      <c r="B422" s="9" t="s">
        <v>1252</v>
      </c>
      <c r="C422" s="15" t="s">
        <v>1465</v>
      </c>
      <c r="D422" s="10" t="s">
        <v>1466</v>
      </c>
      <c r="E422" s="11">
        <v>15011.61</v>
      </c>
      <c r="G422" s="11">
        <f t="shared" si="56"/>
        <v>15011.61</v>
      </c>
      <c r="H422" s="11">
        <v>0</v>
      </c>
      <c r="I422" s="11">
        <f t="shared" si="57"/>
        <v>-4796.2093949999999</v>
      </c>
      <c r="K422" s="734">
        <f t="shared" ref="K422:K431" si="58">SUM(G422:J422)</f>
        <v>10215.400605000001</v>
      </c>
      <c r="M422" s="9"/>
      <c r="O422" s="13"/>
    </row>
    <row r="423" spans="1:15" outlineLevel="2">
      <c r="A423" s="730">
        <f t="shared" si="50"/>
        <v>415</v>
      </c>
      <c r="B423" s="9" t="s">
        <v>1252</v>
      </c>
      <c r="C423" s="15" t="s">
        <v>1467</v>
      </c>
      <c r="D423" s="10" t="s">
        <v>1468</v>
      </c>
      <c r="E423" s="11">
        <v>125057.06</v>
      </c>
      <c r="G423" s="11">
        <f t="shared" si="56"/>
        <v>125057.06</v>
      </c>
      <c r="H423" s="11">
        <v>0</v>
      </c>
      <c r="I423" s="11">
        <f t="shared" si="57"/>
        <v>-39955.730669999997</v>
      </c>
      <c r="K423" s="734">
        <f t="shared" si="58"/>
        <v>85101.329330000008</v>
      </c>
      <c r="M423" s="9"/>
      <c r="O423" s="13"/>
    </row>
    <row r="424" spans="1:15" outlineLevel="2">
      <c r="A424" s="730">
        <f t="shared" si="50"/>
        <v>416</v>
      </c>
      <c r="B424" s="9" t="s">
        <v>1252</v>
      </c>
      <c r="C424" s="15" t="s">
        <v>1469</v>
      </c>
      <c r="D424" s="10" t="s">
        <v>1470</v>
      </c>
      <c r="E424" s="11">
        <v>133450.65</v>
      </c>
      <c r="G424" s="11">
        <f t="shared" si="56"/>
        <v>133450.65</v>
      </c>
      <c r="H424" s="11">
        <v>0</v>
      </c>
      <c r="I424" s="11">
        <f t="shared" si="57"/>
        <v>-42637.482674999999</v>
      </c>
      <c r="K424" s="734">
        <f t="shared" si="58"/>
        <v>90813.167324999988</v>
      </c>
      <c r="M424" s="9"/>
      <c r="O424" s="13"/>
    </row>
    <row r="425" spans="1:15" outlineLevel="2">
      <c r="A425" s="730">
        <f t="shared" si="50"/>
        <v>417</v>
      </c>
      <c r="B425" s="9" t="s">
        <v>1252</v>
      </c>
      <c r="C425" s="15" t="s">
        <v>1471</v>
      </c>
      <c r="D425" s="10" t="s">
        <v>1472</v>
      </c>
      <c r="E425" s="11">
        <v>216330.02</v>
      </c>
      <c r="G425" s="11">
        <f t="shared" si="56"/>
        <v>216330.02</v>
      </c>
      <c r="H425" s="11">
        <v>0</v>
      </c>
      <c r="I425" s="11">
        <f t="shared" si="57"/>
        <v>-69117.441389999993</v>
      </c>
      <c r="K425" s="734">
        <f>SUM(G425:J425)</f>
        <v>147212.57861</v>
      </c>
      <c r="M425" s="9"/>
      <c r="O425" s="13"/>
    </row>
    <row r="426" spans="1:15" outlineLevel="2">
      <c r="A426" s="730">
        <f t="shared" si="50"/>
        <v>418</v>
      </c>
      <c r="B426" s="9" t="s">
        <v>1252</v>
      </c>
      <c r="C426" s="15" t="s">
        <v>1473</v>
      </c>
      <c r="D426" s="10" t="s">
        <v>1474</v>
      </c>
      <c r="E426" s="11">
        <v>577873.56000000006</v>
      </c>
      <c r="G426" s="11">
        <f t="shared" si="56"/>
        <v>577873.56000000006</v>
      </c>
      <c r="H426" s="11">
        <v>0</v>
      </c>
      <c r="I426" s="11">
        <f t="shared" si="57"/>
        <v>-184630.60242000001</v>
      </c>
      <c r="K426" s="734">
        <f t="shared" si="58"/>
        <v>393242.95758000005</v>
      </c>
      <c r="M426" s="9"/>
      <c r="O426" s="13"/>
    </row>
    <row r="427" spans="1:15" outlineLevel="2">
      <c r="A427" s="730">
        <f t="shared" si="50"/>
        <v>419</v>
      </c>
      <c r="B427" s="9" t="s">
        <v>1252</v>
      </c>
      <c r="C427" s="15" t="s">
        <v>1475</v>
      </c>
      <c r="D427" s="10" t="s">
        <v>1476</v>
      </c>
      <c r="E427" s="11">
        <v>373458.6</v>
      </c>
      <c r="G427" s="11">
        <f t="shared" si="56"/>
        <v>373458.6</v>
      </c>
      <c r="H427" s="11">
        <v>0</v>
      </c>
      <c r="I427" s="11">
        <f t="shared" ref="I427:I436" si="59">-(G427*$L$319)</f>
        <v>-119320.0227</v>
      </c>
      <c r="K427" s="734">
        <f t="shared" si="58"/>
        <v>254138.57729999998</v>
      </c>
      <c r="M427" s="9"/>
      <c r="O427" s="13"/>
    </row>
    <row r="428" spans="1:15" outlineLevel="2">
      <c r="A428" s="730">
        <f t="shared" si="50"/>
        <v>420</v>
      </c>
      <c r="B428" s="9" t="s">
        <v>1252</v>
      </c>
      <c r="C428" s="15" t="s">
        <v>1477</v>
      </c>
      <c r="D428" s="10" t="s">
        <v>1478</v>
      </c>
      <c r="E428" s="11">
        <v>2626361.89</v>
      </c>
      <c r="G428" s="11">
        <f t="shared" si="56"/>
        <v>2626361.89</v>
      </c>
      <c r="H428" s="11">
        <v>0</v>
      </c>
      <c r="I428" s="11">
        <f t="shared" si="59"/>
        <v>-839122.62385500001</v>
      </c>
      <c r="K428" s="734">
        <f>SUM(G428:J428)</f>
        <v>1787239.2661450002</v>
      </c>
      <c r="M428" s="9"/>
      <c r="O428" s="13"/>
    </row>
    <row r="429" spans="1:15" outlineLevel="2">
      <c r="A429" s="730">
        <f t="shared" si="50"/>
        <v>421</v>
      </c>
      <c r="B429" s="9" t="s">
        <v>1252</v>
      </c>
      <c r="C429" s="15" t="s">
        <v>1479</v>
      </c>
      <c r="D429" s="10" t="s">
        <v>1480</v>
      </c>
      <c r="E429" s="11">
        <v>16445.21</v>
      </c>
      <c r="G429" s="11">
        <f t="shared" si="56"/>
        <v>16445.21</v>
      </c>
      <c r="H429" s="11">
        <v>0</v>
      </c>
      <c r="I429" s="11">
        <f t="shared" si="59"/>
        <v>-5254.2445950000001</v>
      </c>
      <c r="K429" s="734">
        <f t="shared" si="58"/>
        <v>11190.965404999999</v>
      </c>
      <c r="M429" s="9"/>
      <c r="O429" s="13"/>
    </row>
    <row r="430" spans="1:15" outlineLevel="2">
      <c r="A430" s="730">
        <f t="shared" si="50"/>
        <v>422</v>
      </c>
      <c r="B430" s="9" t="s">
        <v>1252</v>
      </c>
      <c r="C430" s="15" t="s">
        <v>1481</v>
      </c>
      <c r="D430" s="10" t="s">
        <v>1482</v>
      </c>
      <c r="E430" s="11">
        <v>7684.53</v>
      </c>
      <c r="G430" s="11">
        <f t="shared" si="56"/>
        <v>7684.53</v>
      </c>
      <c r="H430" s="11">
        <v>0</v>
      </c>
      <c r="I430" s="11">
        <f t="shared" si="59"/>
        <v>-2455.2073350000001</v>
      </c>
      <c r="K430" s="734">
        <f t="shared" si="58"/>
        <v>5229.3226649999997</v>
      </c>
      <c r="M430" s="9"/>
      <c r="O430" s="13"/>
    </row>
    <row r="431" spans="1:15" outlineLevel="2">
      <c r="A431" s="730">
        <f t="shared" si="50"/>
        <v>423</v>
      </c>
      <c r="B431" s="9" t="s">
        <v>1252</v>
      </c>
      <c r="C431" s="15" t="s">
        <v>1483</v>
      </c>
      <c r="D431" s="10" t="s">
        <v>1484</v>
      </c>
      <c r="E431" s="11">
        <v>1646</v>
      </c>
      <c r="G431" s="11">
        <f t="shared" si="56"/>
        <v>1646</v>
      </c>
      <c r="H431" s="11">
        <v>0</v>
      </c>
      <c r="I431" s="11">
        <f t="shared" si="59"/>
        <v>-525.89700000000005</v>
      </c>
      <c r="K431" s="734">
        <f t="shared" si="58"/>
        <v>1120.1030000000001</v>
      </c>
      <c r="M431" s="9"/>
      <c r="O431" s="13"/>
    </row>
    <row r="432" spans="1:15" outlineLevel="2">
      <c r="A432" s="730">
        <f t="shared" si="50"/>
        <v>424</v>
      </c>
      <c r="B432" s="9" t="s">
        <v>1252</v>
      </c>
      <c r="C432" s="15" t="s">
        <v>1485</v>
      </c>
      <c r="D432" s="10" t="s">
        <v>1486</v>
      </c>
      <c r="E432" s="11">
        <v>107002.99</v>
      </c>
      <c r="G432" s="11">
        <f>E432+F432</f>
        <v>107002.99</v>
      </c>
      <c r="H432" s="11">
        <v>0</v>
      </c>
      <c r="I432" s="11">
        <f t="shared" si="59"/>
        <v>-34187.455305000003</v>
      </c>
      <c r="K432" s="734">
        <f t="shared" ref="K432:K438" si="60">SUM(G432:J432)</f>
        <v>72815.534695000009</v>
      </c>
      <c r="M432" s="9"/>
      <c r="O432" s="13"/>
    </row>
    <row r="433" spans="1:15" outlineLevel="2">
      <c r="A433" s="730">
        <f t="shared" si="50"/>
        <v>425</v>
      </c>
      <c r="B433" s="9" t="s">
        <v>1252</v>
      </c>
      <c r="C433" s="15" t="s">
        <v>1487</v>
      </c>
      <c r="D433" s="10" t="s">
        <v>1488</v>
      </c>
      <c r="E433" s="11">
        <v>92751.41</v>
      </c>
      <c r="G433" s="11">
        <f t="shared" ref="G433:G450" si="61">E433+F433</f>
        <v>92751.41</v>
      </c>
      <c r="H433" s="11">
        <v>0</v>
      </c>
      <c r="I433" s="11">
        <f t="shared" si="59"/>
        <v>-29634.075495000001</v>
      </c>
      <c r="K433" s="734">
        <f t="shared" si="60"/>
        <v>63117.334505000006</v>
      </c>
      <c r="M433" s="9"/>
      <c r="O433" s="13"/>
    </row>
    <row r="434" spans="1:15" outlineLevel="2">
      <c r="A434" s="730">
        <f t="shared" si="50"/>
        <v>426</v>
      </c>
      <c r="B434" s="9" t="s">
        <v>1252</v>
      </c>
      <c r="C434" s="15" t="s">
        <v>1489</v>
      </c>
      <c r="D434" s="10" t="s">
        <v>1490</v>
      </c>
      <c r="E434" s="11">
        <v>636440.68999999994</v>
      </c>
      <c r="G434" s="11">
        <f t="shared" si="61"/>
        <v>636440.68999999994</v>
      </c>
      <c r="H434" s="11">
        <v>0</v>
      </c>
      <c r="I434" s="11">
        <f t="shared" si="59"/>
        <v>-203342.80045499999</v>
      </c>
      <c r="K434" s="734">
        <f t="shared" si="60"/>
        <v>433097.88954499993</v>
      </c>
      <c r="M434" s="9"/>
      <c r="O434" s="13"/>
    </row>
    <row r="435" spans="1:15" outlineLevel="2">
      <c r="A435" s="730">
        <f t="shared" si="50"/>
        <v>427</v>
      </c>
      <c r="B435" s="9" t="s">
        <v>1252</v>
      </c>
      <c r="C435" s="15" t="s">
        <v>1491</v>
      </c>
      <c r="D435" s="10" t="s">
        <v>1492</v>
      </c>
      <c r="E435" s="11">
        <v>17849.39</v>
      </c>
      <c r="G435" s="11">
        <f t="shared" si="61"/>
        <v>17849.39</v>
      </c>
      <c r="I435" s="11">
        <f t="shared" si="59"/>
        <v>-5702.8801050000002</v>
      </c>
      <c r="K435" s="734">
        <f t="shared" si="60"/>
        <v>12146.509894999999</v>
      </c>
      <c r="M435" s="9"/>
      <c r="O435" s="13"/>
    </row>
    <row r="436" spans="1:15" outlineLevel="2">
      <c r="A436" s="730">
        <f t="shared" si="50"/>
        <v>428</v>
      </c>
      <c r="B436" s="9" t="s">
        <v>1252</v>
      </c>
      <c r="C436" s="15" t="s">
        <v>1493</v>
      </c>
      <c r="D436" s="10" t="s">
        <v>1494</v>
      </c>
      <c r="E436" s="11">
        <v>190890.73</v>
      </c>
      <c r="G436" s="11">
        <f t="shared" si="61"/>
        <v>190890.73</v>
      </c>
      <c r="H436" s="11">
        <v>0</v>
      </c>
      <c r="I436" s="11">
        <f t="shared" si="59"/>
        <v>-60989.588235000003</v>
      </c>
      <c r="K436" s="734">
        <f t="shared" si="60"/>
        <v>129901.14176500001</v>
      </c>
      <c r="M436" s="9"/>
      <c r="O436" s="13"/>
    </row>
    <row r="437" spans="1:15" outlineLevel="2">
      <c r="A437" s="730">
        <f t="shared" si="50"/>
        <v>429</v>
      </c>
      <c r="B437" s="9" t="s">
        <v>1252</v>
      </c>
      <c r="C437" s="15" t="s">
        <v>1495</v>
      </c>
      <c r="D437" s="10" t="s">
        <v>1496</v>
      </c>
      <c r="E437" s="11">
        <v>371732.81</v>
      </c>
      <c r="G437" s="11">
        <f t="shared" si="61"/>
        <v>371732.81</v>
      </c>
      <c r="H437" s="11">
        <v>0</v>
      </c>
      <c r="I437" s="11">
        <f>-(G437*$L$319)</f>
        <v>-118768.632795</v>
      </c>
      <c r="K437" s="734">
        <f t="shared" si="60"/>
        <v>252964.17720500001</v>
      </c>
      <c r="M437" s="9"/>
      <c r="O437" s="13"/>
    </row>
    <row r="438" spans="1:15" outlineLevel="2">
      <c r="A438" s="730">
        <f t="shared" si="50"/>
        <v>430</v>
      </c>
      <c r="B438" s="9" t="s">
        <v>1252</v>
      </c>
      <c r="C438" s="15" t="s">
        <v>1497</v>
      </c>
      <c r="D438" s="10" t="s">
        <v>1498</v>
      </c>
      <c r="E438" s="11">
        <v>37177.79</v>
      </c>
      <c r="G438" s="11">
        <f t="shared" si="61"/>
        <v>37177.79</v>
      </c>
      <c r="H438" s="11">
        <v>0</v>
      </c>
      <c r="I438" s="11">
        <f>-(G438*$L$319)</f>
        <v>-11878.303905000001</v>
      </c>
      <c r="K438" s="734">
        <f t="shared" si="60"/>
        <v>25299.486095</v>
      </c>
      <c r="M438" s="9"/>
      <c r="O438" s="13"/>
    </row>
    <row r="439" spans="1:15" outlineLevel="2">
      <c r="A439" s="730">
        <f t="shared" si="50"/>
        <v>431</v>
      </c>
      <c r="B439" s="9" t="s">
        <v>1252</v>
      </c>
      <c r="C439" s="15" t="s">
        <v>1499</v>
      </c>
      <c r="D439" s="10" t="s">
        <v>1500</v>
      </c>
      <c r="E439" s="11">
        <v>4771.8900000000003</v>
      </c>
      <c r="G439" s="11">
        <f t="shared" si="61"/>
        <v>4771.8900000000003</v>
      </c>
      <c r="H439" s="11">
        <v>0</v>
      </c>
      <c r="I439" s="11">
        <f>-(G439*$L$319)</f>
        <v>-1524.6188550000002</v>
      </c>
      <c r="K439" s="734">
        <f t="shared" ref="K439:K448" si="62">SUM(G439:J439)</f>
        <v>3247.2711450000002</v>
      </c>
      <c r="M439" s="9"/>
      <c r="O439" s="13"/>
    </row>
    <row r="440" spans="1:15" outlineLevel="2">
      <c r="A440" s="730">
        <f t="shared" si="50"/>
        <v>432</v>
      </c>
      <c r="B440" s="9" t="s">
        <v>1252</v>
      </c>
      <c r="C440" s="15" t="s">
        <v>1501</v>
      </c>
      <c r="D440" s="10" t="s">
        <v>1502</v>
      </c>
      <c r="E440" s="11">
        <v>428660.1</v>
      </c>
      <c r="G440" s="11">
        <f t="shared" si="61"/>
        <v>428660.1</v>
      </c>
      <c r="H440" s="11">
        <v>0</v>
      </c>
      <c r="I440" s="11">
        <f>-(G440*$L$319)</f>
        <v>-136956.90195</v>
      </c>
      <c r="K440" s="734">
        <f t="shared" si="62"/>
        <v>291703.19805000001</v>
      </c>
      <c r="M440" s="9"/>
      <c r="O440" s="13"/>
    </row>
    <row r="441" spans="1:15" outlineLevel="2">
      <c r="A441" s="730">
        <f t="shared" si="50"/>
        <v>433</v>
      </c>
      <c r="B441" s="9" t="s">
        <v>1252</v>
      </c>
      <c r="C441" s="15" t="s">
        <v>1503</v>
      </c>
      <c r="D441" s="10" t="s">
        <v>1504</v>
      </c>
      <c r="E441" s="11">
        <v>161748.41</v>
      </c>
      <c r="G441" s="11">
        <f t="shared" si="61"/>
        <v>161748.41</v>
      </c>
      <c r="H441" s="11">
        <v>0</v>
      </c>
      <c r="I441" s="11">
        <f>-(G441*$L$319)</f>
        <v>-51678.616995000004</v>
      </c>
      <c r="K441" s="734">
        <f t="shared" si="62"/>
        <v>110069.793005</v>
      </c>
      <c r="M441" s="9"/>
      <c r="O441" s="13"/>
    </row>
    <row r="442" spans="1:15" outlineLevel="2">
      <c r="A442" s="730">
        <f t="shared" si="50"/>
        <v>434</v>
      </c>
      <c r="B442" s="9" t="s">
        <v>1252</v>
      </c>
      <c r="C442" s="15" t="s">
        <v>1505</v>
      </c>
      <c r="D442" s="10" t="s">
        <v>1506</v>
      </c>
      <c r="E442" s="11">
        <v>166315.1</v>
      </c>
      <c r="G442" s="11">
        <f t="shared" si="61"/>
        <v>166315.1</v>
      </c>
      <c r="H442" s="11">
        <v>0</v>
      </c>
      <c r="I442" s="11">
        <f t="shared" ref="I442:I447" si="63">-(G442*$L$319)</f>
        <v>-53137.674450000006</v>
      </c>
      <c r="K442" s="734">
        <f>SUM(G442:J442)</f>
        <v>113177.42555</v>
      </c>
      <c r="M442" s="9"/>
      <c r="O442" s="13"/>
    </row>
    <row r="443" spans="1:15" outlineLevel="2">
      <c r="A443" s="730">
        <f t="shared" si="50"/>
        <v>435</v>
      </c>
      <c r="B443" s="9" t="s">
        <v>1252</v>
      </c>
      <c r="C443" s="15" t="s">
        <v>1507</v>
      </c>
      <c r="D443" s="10" t="s">
        <v>1508</v>
      </c>
      <c r="E443" s="11">
        <v>267563.39</v>
      </c>
      <c r="G443" s="11">
        <f t="shared" si="61"/>
        <v>267563.39</v>
      </c>
      <c r="H443" s="11">
        <v>0</v>
      </c>
      <c r="I443" s="11">
        <f t="shared" si="63"/>
        <v>-85486.503105000011</v>
      </c>
      <c r="K443" s="734">
        <f t="shared" si="62"/>
        <v>182076.886895</v>
      </c>
      <c r="M443" s="9"/>
      <c r="O443" s="13"/>
    </row>
    <row r="444" spans="1:15" outlineLevel="2">
      <c r="A444" s="730">
        <f t="shared" si="50"/>
        <v>436</v>
      </c>
      <c r="B444" s="9" t="s">
        <v>1252</v>
      </c>
      <c r="C444" s="15" t="s">
        <v>1509</v>
      </c>
      <c r="D444" s="10" t="s">
        <v>1510</v>
      </c>
      <c r="E444" s="11">
        <v>226933.71</v>
      </c>
      <c r="G444" s="11">
        <f t="shared" si="61"/>
        <v>226933.71</v>
      </c>
      <c r="H444" s="11">
        <v>0</v>
      </c>
      <c r="I444" s="11">
        <f t="shared" si="63"/>
        <v>-72505.320345</v>
      </c>
      <c r="K444" s="734">
        <f t="shared" si="62"/>
        <v>154428.38965500001</v>
      </c>
      <c r="M444" s="9"/>
      <c r="O444" s="13"/>
    </row>
    <row r="445" spans="1:15" outlineLevel="2">
      <c r="A445" s="730">
        <f t="shared" si="50"/>
        <v>437</v>
      </c>
      <c r="B445" s="9" t="s">
        <v>1252</v>
      </c>
      <c r="C445" s="15" t="s">
        <v>1511</v>
      </c>
      <c r="D445" s="10" t="s">
        <v>1512</v>
      </c>
      <c r="E445" s="11">
        <v>83269.600000000006</v>
      </c>
      <c r="G445" s="11">
        <f t="shared" si="61"/>
        <v>83269.600000000006</v>
      </c>
      <c r="H445" s="11">
        <v>0</v>
      </c>
      <c r="I445" s="11">
        <f t="shared" si="63"/>
        <v>-26604.637200000001</v>
      </c>
      <c r="K445" s="734">
        <f>SUM(G445:J445)</f>
        <v>56664.962800000008</v>
      </c>
      <c r="M445" s="9"/>
      <c r="O445" s="13"/>
    </row>
    <row r="446" spans="1:15" outlineLevel="2">
      <c r="A446" s="730">
        <f t="shared" si="50"/>
        <v>438</v>
      </c>
      <c r="B446" s="9" t="s">
        <v>1252</v>
      </c>
      <c r="C446" s="15" t="s">
        <v>1513</v>
      </c>
      <c r="D446" s="10" t="s">
        <v>1514</v>
      </c>
      <c r="E446" s="11">
        <v>396626.79</v>
      </c>
      <c r="G446" s="11">
        <f t="shared" si="61"/>
        <v>396626.79</v>
      </c>
      <c r="H446" s="11">
        <v>0</v>
      </c>
      <c r="I446" s="11">
        <f t="shared" si="63"/>
        <v>-126722.25940499999</v>
      </c>
      <c r="K446" s="734">
        <f t="shared" si="62"/>
        <v>269904.53059500002</v>
      </c>
      <c r="M446" s="9"/>
      <c r="O446" s="13"/>
    </row>
    <row r="447" spans="1:15" outlineLevel="2">
      <c r="A447" s="730">
        <f t="shared" si="50"/>
        <v>439</v>
      </c>
      <c r="B447" s="9" t="s">
        <v>1252</v>
      </c>
      <c r="C447" s="15" t="s">
        <v>1515</v>
      </c>
      <c r="D447" s="10" t="s">
        <v>1516</v>
      </c>
      <c r="E447" s="11">
        <v>1122798.52</v>
      </c>
      <c r="G447" s="11">
        <f t="shared" si="61"/>
        <v>1122798.52</v>
      </c>
      <c r="H447" s="11">
        <v>0</v>
      </c>
      <c r="I447" s="11">
        <f t="shared" si="63"/>
        <v>-358734.12714</v>
      </c>
      <c r="K447" s="734">
        <f t="shared" si="62"/>
        <v>764064.39286000002</v>
      </c>
      <c r="M447" s="9"/>
      <c r="O447" s="13"/>
    </row>
    <row r="448" spans="1:15" outlineLevel="2">
      <c r="A448" s="730">
        <f t="shared" si="50"/>
        <v>440</v>
      </c>
      <c r="B448" s="9" t="s">
        <v>1252</v>
      </c>
      <c r="C448" s="15" t="s">
        <v>1517</v>
      </c>
      <c r="D448" s="10" t="s">
        <v>1518</v>
      </c>
      <c r="E448" s="11">
        <v>1237</v>
      </c>
      <c r="G448" s="11">
        <f t="shared" si="61"/>
        <v>1237</v>
      </c>
      <c r="H448" s="11">
        <v>0</v>
      </c>
      <c r="I448" s="11">
        <f>-(G448*$L$319)</f>
        <v>-395.22149999999999</v>
      </c>
      <c r="K448" s="734">
        <f t="shared" si="62"/>
        <v>841.77850000000001</v>
      </c>
      <c r="M448" s="9"/>
      <c r="O448" s="13"/>
    </row>
    <row r="449" spans="1:15" outlineLevel="2">
      <c r="A449" s="730">
        <f t="shared" si="50"/>
        <v>441</v>
      </c>
      <c r="B449" s="9" t="s">
        <v>1252</v>
      </c>
      <c r="C449" s="15" t="s">
        <v>1519</v>
      </c>
      <c r="D449" s="10" t="s">
        <v>1520</v>
      </c>
      <c r="E449" s="11">
        <v>92147.92</v>
      </c>
      <c r="G449" s="11">
        <f t="shared" si="61"/>
        <v>92147.92</v>
      </c>
      <c r="H449" s="11">
        <v>0</v>
      </c>
      <c r="I449" s="11">
        <f>-(G449*$L$319)</f>
        <v>-29441.260439999998</v>
      </c>
      <c r="K449" s="734">
        <f t="shared" ref="K449:K456" si="64">SUM(G449:J449)</f>
        <v>62706.65956</v>
      </c>
      <c r="M449" s="9"/>
      <c r="O449" s="13"/>
    </row>
    <row r="450" spans="1:15" outlineLevel="2">
      <c r="A450" s="730">
        <f t="shared" si="50"/>
        <v>442</v>
      </c>
      <c r="B450" s="9" t="s">
        <v>1252</v>
      </c>
      <c r="C450" s="15" t="s">
        <v>1521</v>
      </c>
      <c r="D450" s="10" t="s">
        <v>1522</v>
      </c>
      <c r="E450" s="11">
        <v>933274.55</v>
      </c>
      <c r="G450" s="11">
        <f t="shared" si="61"/>
        <v>933274.55</v>
      </c>
      <c r="H450" s="11">
        <v>0</v>
      </c>
      <c r="I450" s="11">
        <f>-(G450*$L$319)</f>
        <v>-298181.21872500004</v>
      </c>
      <c r="K450" s="734">
        <f t="shared" si="64"/>
        <v>635093.331275</v>
      </c>
      <c r="M450" s="9"/>
      <c r="O450" s="13"/>
    </row>
    <row r="451" spans="1:15" outlineLevel="2">
      <c r="A451" s="730">
        <f t="shared" si="50"/>
        <v>443</v>
      </c>
      <c r="B451" s="9" t="s">
        <v>1252</v>
      </c>
      <c r="C451" s="15" t="s">
        <v>1523</v>
      </c>
      <c r="D451" s="10" t="s">
        <v>1524</v>
      </c>
      <c r="E451" s="11">
        <v>457086.04</v>
      </c>
      <c r="G451" s="11">
        <f>E451+F451</f>
        <v>457086.04</v>
      </c>
      <c r="H451" s="11">
        <v>0</v>
      </c>
      <c r="I451" s="11">
        <f>-(G451*$L$319)</f>
        <v>-146038.98978</v>
      </c>
      <c r="K451" s="734">
        <f t="shared" si="64"/>
        <v>311047.05021999998</v>
      </c>
      <c r="M451" s="9"/>
      <c r="O451" s="13"/>
    </row>
    <row r="452" spans="1:15" outlineLevel="2">
      <c r="A452" s="730">
        <f t="shared" si="50"/>
        <v>444</v>
      </c>
      <c r="B452" s="9" t="s">
        <v>1252</v>
      </c>
      <c r="C452" s="15" t="s">
        <v>1525</v>
      </c>
      <c r="D452" s="10" t="s">
        <v>1526</v>
      </c>
      <c r="E452" s="11">
        <v>344682.98</v>
      </c>
      <c r="G452" s="11">
        <f t="shared" ref="G452:G466" si="65">E452+F452</f>
        <v>344682.98</v>
      </c>
      <c r="H452" s="11">
        <v>0</v>
      </c>
      <c r="I452" s="11">
        <f>-(G452*$L$319)</f>
        <v>-110126.21210999999</v>
      </c>
      <c r="K452" s="734">
        <f t="shared" si="64"/>
        <v>234556.76788999999</v>
      </c>
      <c r="L452" s="23"/>
      <c r="M452" s="9"/>
      <c r="O452" s="13"/>
    </row>
    <row r="453" spans="1:15" outlineLevel="2">
      <c r="A453" s="730">
        <f t="shared" si="50"/>
        <v>445</v>
      </c>
      <c r="B453" s="9" t="s">
        <v>1252</v>
      </c>
      <c r="C453" s="15" t="s">
        <v>1527</v>
      </c>
      <c r="D453" s="10" t="s">
        <v>1528</v>
      </c>
      <c r="E453" s="11">
        <v>1366</v>
      </c>
      <c r="G453" s="11">
        <f t="shared" si="65"/>
        <v>1366</v>
      </c>
      <c r="H453" s="11">
        <v>0</v>
      </c>
      <c r="I453" s="11">
        <f t="shared" ref="I453:I461" si="66">-(G453*$L$319)</f>
        <v>-436.43700000000001</v>
      </c>
      <c r="K453" s="734">
        <f t="shared" si="64"/>
        <v>929.56299999999999</v>
      </c>
      <c r="L453" s="23"/>
      <c r="M453" s="9"/>
      <c r="O453" s="13"/>
    </row>
    <row r="454" spans="1:15" outlineLevel="2">
      <c r="A454" s="730">
        <f t="shared" si="50"/>
        <v>446</v>
      </c>
      <c r="B454" s="9" t="s">
        <v>1252</v>
      </c>
      <c r="C454" s="15" t="s">
        <v>1529</v>
      </c>
      <c r="D454" s="10" t="s">
        <v>1530</v>
      </c>
      <c r="E454" s="11">
        <v>541759.02</v>
      </c>
      <c r="G454" s="11">
        <f t="shared" si="65"/>
        <v>541759.02</v>
      </c>
      <c r="H454" s="11">
        <v>0</v>
      </c>
      <c r="I454" s="11">
        <f t="shared" si="66"/>
        <v>-173092.00689000002</v>
      </c>
      <c r="K454" s="734">
        <f t="shared" si="64"/>
        <v>368667.01311</v>
      </c>
      <c r="L454" s="23"/>
      <c r="M454" s="9"/>
      <c r="O454" s="13"/>
    </row>
    <row r="455" spans="1:15" outlineLevel="2">
      <c r="A455" s="730">
        <f t="shared" si="50"/>
        <v>447</v>
      </c>
      <c r="B455" s="9" t="s">
        <v>1252</v>
      </c>
      <c r="C455" s="15" t="s">
        <v>1531</v>
      </c>
      <c r="D455" s="10" t="s">
        <v>1532</v>
      </c>
      <c r="E455" s="11">
        <v>534310.96</v>
      </c>
      <c r="G455" s="11">
        <f t="shared" si="65"/>
        <v>534310.96</v>
      </c>
      <c r="H455" s="11">
        <v>0</v>
      </c>
      <c r="I455" s="11">
        <f t="shared" si="66"/>
        <v>-170712.35171999998</v>
      </c>
      <c r="K455" s="734">
        <f t="shared" si="64"/>
        <v>363598.60827999999</v>
      </c>
      <c r="L455" s="23"/>
      <c r="M455" s="9"/>
      <c r="O455" s="13"/>
    </row>
    <row r="456" spans="1:15" outlineLevel="2">
      <c r="A456" s="730">
        <f t="shared" ref="A456:A519" si="67">A455+1</f>
        <v>448</v>
      </c>
      <c r="B456" s="9" t="s">
        <v>1252</v>
      </c>
      <c r="C456" s="15" t="s">
        <v>1533</v>
      </c>
      <c r="D456" s="10" t="s">
        <v>1534</v>
      </c>
      <c r="E456" s="11">
        <v>295982.49</v>
      </c>
      <c r="G456" s="11">
        <f t="shared" si="65"/>
        <v>295982.49</v>
      </c>
      <c r="H456" s="11">
        <v>0</v>
      </c>
      <c r="I456" s="11">
        <f t="shared" si="66"/>
        <v>-94566.405555000005</v>
      </c>
      <c r="K456" s="734">
        <f t="shared" si="64"/>
        <v>201416.08444499999</v>
      </c>
      <c r="L456" s="23"/>
      <c r="M456" s="9"/>
      <c r="O456" s="13"/>
    </row>
    <row r="457" spans="1:15" outlineLevel="2">
      <c r="A457" s="730">
        <f t="shared" si="67"/>
        <v>449</v>
      </c>
      <c r="B457" s="9" t="s">
        <v>1252</v>
      </c>
      <c r="C457" s="15" t="s">
        <v>1535</v>
      </c>
      <c r="D457" s="10" t="s">
        <v>1536</v>
      </c>
      <c r="E457" s="11">
        <v>1853</v>
      </c>
      <c r="G457" s="11">
        <f t="shared" si="65"/>
        <v>1853</v>
      </c>
      <c r="H457" s="11">
        <v>0</v>
      </c>
      <c r="I457" s="11">
        <f t="shared" si="66"/>
        <v>-592.0335</v>
      </c>
      <c r="K457" s="734">
        <f t="shared" ref="K457:K466" si="68">SUM(G457:J457)</f>
        <v>1260.9665</v>
      </c>
      <c r="L457" s="23"/>
      <c r="M457" s="9"/>
      <c r="O457" s="13"/>
    </row>
    <row r="458" spans="1:15" outlineLevel="2">
      <c r="A458" s="730">
        <f t="shared" si="67"/>
        <v>450</v>
      </c>
      <c r="B458" s="9" t="s">
        <v>1252</v>
      </c>
      <c r="C458" s="15" t="s">
        <v>1537</v>
      </c>
      <c r="D458" s="10" t="s">
        <v>1538</v>
      </c>
      <c r="E458" s="11">
        <v>50053.17</v>
      </c>
      <c r="G458" s="11">
        <f t="shared" si="65"/>
        <v>50053.17</v>
      </c>
      <c r="H458" s="11">
        <v>0</v>
      </c>
      <c r="I458" s="11">
        <f t="shared" si="66"/>
        <v>-15991.987815</v>
      </c>
      <c r="K458" s="734">
        <f t="shared" si="68"/>
        <v>34061.182184999998</v>
      </c>
      <c r="L458" s="23"/>
      <c r="M458" s="9"/>
      <c r="O458" s="13"/>
    </row>
    <row r="459" spans="1:15" outlineLevel="2">
      <c r="A459" s="730">
        <f t="shared" si="67"/>
        <v>451</v>
      </c>
      <c r="B459" s="9" t="s">
        <v>1252</v>
      </c>
      <c r="C459" s="15" t="s">
        <v>1539</v>
      </c>
      <c r="D459" s="10" t="s">
        <v>1540</v>
      </c>
      <c r="E459" s="11">
        <v>478071.92</v>
      </c>
      <c r="G459" s="11">
        <f t="shared" si="65"/>
        <v>478071.92</v>
      </c>
      <c r="H459" s="11">
        <v>0</v>
      </c>
      <c r="I459" s="11">
        <f t="shared" si="66"/>
        <v>-152743.97844000001</v>
      </c>
      <c r="K459" s="734">
        <f t="shared" si="68"/>
        <v>325327.94155999995</v>
      </c>
      <c r="L459" s="23"/>
      <c r="M459" s="9"/>
      <c r="O459" s="13"/>
    </row>
    <row r="460" spans="1:15" outlineLevel="2">
      <c r="A460" s="730">
        <f t="shared" si="67"/>
        <v>452</v>
      </c>
      <c r="B460" s="9" t="s">
        <v>1252</v>
      </c>
      <c r="C460" s="15" t="s">
        <v>1541</v>
      </c>
      <c r="D460" s="10" t="s">
        <v>1542</v>
      </c>
      <c r="E460" s="11">
        <v>461151.23</v>
      </c>
      <c r="G460" s="11">
        <f t="shared" si="65"/>
        <v>461151.23</v>
      </c>
      <c r="H460" s="11">
        <v>0</v>
      </c>
      <c r="I460" s="11">
        <f t="shared" si="66"/>
        <v>-147337.817985</v>
      </c>
      <c r="K460" s="734">
        <f>SUM(G460:J460)</f>
        <v>313813.41201500001</v>
      </c>
      <c r="L460" s="23"/>
      <c r="M460" s="9"/>
      <c r="O460" s="13"/>
    </row>
    <row r="461" spans="1:15" outlineLevel="2">
      <c r="A461" s="730">
        <f t="shared" si="67"/>
        <v>453</v>
      </c>
      <c r="B461" s="9" t="s">
        <v>1252</v>
      </c>
      <c r="C461" s="15" t="s">
        <v>1543</v>
      </c>
      <c r="D461" s="10" t="s">
        <v>1544</v>
      </c>
      <c r="E461" s="11">
        <v>8781.5400000000009</v>
      </c>
      <c r="G461" s="11">
        <f t="shared" si="65"/>
        <v>8781.5400000000009</v>
      </c>
      <c r="H461" s="11">
        <v>0</v>
      </c>
      <c r="I461" s="11">
        <f t="shared" si="66"/>
        <v>-2805.7020300000004</v>
      </c>
      <c r="K461" s="734">
        <f t="shared" si="68"/>
        <v>5975.8379700000005</v>
      </c>
      <c r="L461" s="23"/>
      <c r="M461" s="9"/>
      <c r="O461" s="13"/>
    </row>
    <row r="462" spans="1:15" outlineLevel="2">
      <c r="A462" s="730">
        <f t="shared" si="67"/>
        <v>454</v>
      </c>
      <c r="B462" s="9" t="s">
        <v>1252</v>
      </c>
      <c r="C462" s="15" t="s">
        <v>1545</v>
      </c>
      <c r="D462" s="10" t="s">
        <v>1546</v>
      </c>
      <c r="E462" s="11">
        <v>106095.81</v>
      </c>
      <c r="G462" s="11">
        <f t="shared" si="65"/>
        <v>106095.81</v>
      </c>
      <c r="H462" s="11">
        <v>0</v>
      </c>
      <c r="I462" s="11">
        <f t="shared" ref="I462:I468" si="69">-(G462*$L$319)</f>
        <v>-33897.611295000002</v>
      </c>
      <c r="K462" s="734">
        <f t="shared" si="68"/>
        <v>72198.198704999988</v>
      </c>
      <c r="L462" s="23"/>
      <c r="M462" s="9"/>
      <c r="O462" s="13"/>
    </row>
    <row r="463" spans="1:15" outlineLevel="2">
      <c r="A463" s="730">
        <f t="shared" si="67"/>
        <v>455</v>
      </c>
      <c r="B463" s="9" t="s">
        <v>1252</v>
      </c>
      <c r="C463" s="15" t="s">
        <v>1547</v>
      </c>
      <c r="D463" s="10" t="s">
        <v>1548</v>
      </c>
      <c r="E463" s="11">
        <v>216887.19</v>
      </c>
      <c r="G463" s="11">
        <f t="shared" si="65"/>
        <v>216887.19</v>
      </c>
      <c r="H463" s="11">
        <v>0</v>
      </c>
      <c r="I463" s="11">
        <f t="shared" si="69"/>
        <v>-69295.457204999999</v>
      </c>
      <c r="K463" s="734">
        <f>SUM(G463:J463)</f>
        <v>147591.73279500002</v>
      </c>
      <c r="L463" s="23"/>
      <c r="M463" s="9"/>
      <c r="O463" s="13"/>
    </row>
    <row r="464" spans="1:15" outlineLevel="2">
      <c r="A464" s="730">
        <f t="shared" si="67"/>
        <v>456</v>
      </c>
      <c r="B464" s="9" t="s">
        <v>1252</v>
      </c>
      <c r="C464" s="15" t="s">
        <v>1549</v>
      </c>
      <c r="D464" s="10" t="s">
        <v>1550</v>
      </c>
      <c r="E464" s="11">
        <v>588189.96</v>
      </c>
      <c r="G464" s="11">
        <f t="shared" si="65"/>
        <v>588189.96</v>
      </c>
      <c r="H464" s="11">
        <v>0</v>
      </c>
      <c r="I464" s="11">
        <f t="shared" si="69"/>
        <v>-187926.69222</v>
      </c>
      <c r="K464" s="734">
        <f t="shared" si="68"/>
        <v>400263.26777999999</v>
      </c>
      <c r="L464" s="23"/>
      <c r="M464" s="9"/>
      <c r="O464" s="13"/>
    </row>
    <row r="465" spans="1:15" outlineLevel="2">
      <c r="A465" s="730">
        <f t="shared" si="67"/>
        <v>457</v>
      </c>
      <c r="B465" s="9" t="s">
        <v>1252</v>
      </c>
      <c r="C465" s="15" t="s">
        <v>1551</v>
      </c>
      <c r="D465" s="10" t="s">
        <v>1552</v>
      </c>
      <c r="E465" s="11">
        <v>1242427.9099999999</v>
      </c>
      <c r="G465" s="11">
        <f t="shared" si="65"/>
        <v>1242427.9099999999</v>
      </c>
      <c r="H465" s="11">
        <v>0</v>
      </c>
      <c r="I465" s="11">
        <f t="shared" si="69"/>
        <v>-396955.71724500001</v>
      </c>
      <c r="K465" s="734">
        <f t="shared" si="68"/>
        <v>845472.19275499997</v>
      </c>
      <c r="L465" s="23"/>
      <c r="M465" s="9"/>
      <c r="O465" s="13"/>
    </row>
    <row r="466" spans="1:15" outlineLevel="2">
      <c r="A466" s="730">
        <f t="shared" si="67"/>
        <v>458</v>
      </c>
      <c r="B466" s="9" t="s">
        <v>1252</v>
      </c>
      <c r="C466" s="15" t="s">
        <v>1553</v>
      </c>
      <c r="D466" s="10" t="s">
        <v>1554</v>
      </c>
      <c r="E466" s="11">
        <v>228059.18</v>
      </c>
      <c r="G466" s="11">
        <f t="shared" si="65"/>
        <v>228059.18</v>
      </c>
      <c r="H466" s="11">
        <v>0</v>
      </c>
      <c r="I466" s="11">
        <f t="shared" si="69"/>
        <v>-72864.908009999999</v>
      </c>
      <c r="K466" s="734">
        <f t="shared" si="68"/>
        <v>155194.27198999998</v>
      </c>
      <c r="L466" s="23"/>
      <c r="M466" s="9"/>
      <c r="O466" s="13"/>
    </row>
    <row r="467" spans="1:15" outlineLevel="2">
      <c r="A467" s="730">
        <f t="shared" si="67"/>
        <v>459</v>
      </c>
      <c r="B467" s="9" t="s">
        <v>1252</v>
      </c>
      <c r="C467" s="15" t="s">
        <v>1555</v>
      </c>
      <c r="D467" s="10" t="s">
        <v>1556</v>
      </c>
      <c r="E467" s="11">
        <v>102030.91</v>
      </c>
      <c r="G467" s="11">
        <f>E467+F467</f>
        <v>102030.91</v>
      </c>
      <c r="H467" s="11">
        <v>0</v>
      </c>
      <c r="I467" s="11">
        <f t="shared" si="69"/>
        <v>-32598.875745000001</v>
      </c>
      <c r="K467" s="734">
        <f t="shared" ref="K467:K477" si="70">SUM(G467:J467)</f>
        <v>69432.034255000006</v>
      </c>
      <c r="L467" s="23"/>
      <c r="M467" s="9"/>
      <c r="O467" s="13"/>
    </row>
    <row r="468" spans="1:15" outlineLevel="2">
      <c r="A468" s="730">
        <f t="shared" si="67"/>
        <v>460</v>
      </c>
      <c r="B468" s="9" t="s">
        <v>1252</v>
      </c>
      <c r="C468" s="15" t="s">
        <v>1557</v>
      </c>
      <c r="D468" s="10" t="s">
        <v>1558</v>
      </c>
      <c r="E468" s="11">
        <v>543452.09</v>
      </c>
      <c r="G468" s="11">
        <f t="shared" ref="G468:G477" si="71">E468+F468</f>
        <v>543452.09</v>
      </c>
      <c r="H468" s="11">
        <v>0</v>
      </c>
      <c r="I468" s="11">
        <f t="shared" si="69"/>
        <v>-173632.942755</v>
      </c>
      <c r="K468" s="734">
        <f t="shared" si="70"/>
        <v>369819.147245</v>
      </c>
      <c r="L468" s="23"/>
      <c r="M468" s="9"/>
      <c r="O468" s="13"/>
    </row>
    <row r="469" spans="1:15" outlineLevel="2">
      <c r="A469" s="730">
        <f t="shared" si="67"/>
        <v>461</v>
      </c>
      <c r="B469" s="9" t="s">
        <v>1252</v>
      </c>
      <c r="C469" s="15" t="s">
        <v>1559</v>
      </c>
      <c r="D469" s="10" t="s">
        <v>1560</v>
      </c>
      <c r="E469" s="11">
        <v>729388.88</v>
      </c>
      <c r="G469" s="11">
        <f t="shared" si="71"/>
        <v>729388.88</v>
      </c>
      <c r="H469" s="11">
        <v>0</v>
      </c>
      <c r="I469" s="11">
        <f t="shared" ref="I469:I477" si="72">-(G469*$L$319)</f>
        <v>-233039.74716</v>
      </c>
      <c r="K469" s="734">
        <f t="shared" si="70"/>
        <v>496349.13283999998</v>
      </c>
      <c r="L469" s="23"/>
      <c r="M469" s="9"/>
      <c r="O469" s="13"/>
    </row>
    <row r="470" spans="1:15" outlineLevel="2">
      <c r="A470" s="730">
        <f t="shared" si="67"/>
        <v>462</v>
      </c>
      <c r="B470" s="9" t="s">
        <v>1252</v>
      </c>
      <c r="C470" s="15" t="s">
        <v>1561</v>
      </c>
      <c r="D470" s="10" t="s">
        <v>1562</v>
      </c>
      <c r="E470" s="11">
        <v>17781.11</v>
      </c>
      <c r="G470" s="11">
        <f t="shared" si="71"/>
        <v>17781.11</v>
      </c>
      <c r="H470" s="11">
        <v>0</v>
      </c>
      <c r="I470" s="11">
        <f t="shared" si="72"/>
        <v>-5681.0646450000004</v>
      </c>
      <c r="K470" s="734">
        <f t="shared" si="70"/>
        <v>12100.045355</v>
      </c>
      <c r="M470" s="9"/>
      <c r="O470" s="13"/>
    </row>
    <row r="471" spans="1:15" outlineLevel="2">
      <c r="A471" s="730">
        <f t="shared" si="67"/>
        <v>463</v>
      </c>
      <c r="B471" s="9" t="s">
        <v>1252</v>
      </c>
      <c r="C471" s="15" t="s">
        <v>1563</v>
      </c>
      <c r="D471" s="10" t="s">
        <v>1564</v>
      </c>
      <c r="E471" s="11">
        <v>690355.92</v>
      </c>
      <c r="G471" s="11">
        <f t="shared" si="71"/>
        <v>690355.92</v>
      </c>
      <c r="H471" s="11">
        <v>0</v>
      </c>
      <c r="I471" s="11">
        <f t="shared" si="72"/>
        <v>-220568.71644000002</v>
      </c>
      <c r="K471" s="734">
        <f t="shared" si="70"/>
        <v>469787.20356000005</v>
      </c>
      <c r="M471" s="9"/>
      <c r="O471" s="13"/>
    </row>
    <row r="472" spans="1:15" outlineLevel="2">
      <c r="A472" s="730">
        <f t="shared" si="67"/>
        <v>464</v>
      </c>
      <c r="B472" s="9" t="s">
        <v>1252</v>
      </c>
      <c r="C472" s="15" t="s">
        <v>1565</v>
      </c>
      <c r="D472" s="10" t="s">
        <v>1566</v>
      </c>
      <c r="E472" s="11">
        <v>25197.93</v>
      </c>
      <c r="G472" s="11">
        <f t="shared" si="71"/>
        <v>25197.93</v>
      </c>
      <c r="H472" s="11">
        <v>0</v>
      </c>
      <c r="I472" s="11">
        <f t="shared" si="72"/>
        <v>-8050.7386350000006</v>
      </c>
      <c r="K472" s="734">
        <f t="shared" si="70"/>
        <v>17147.191364999999</v>
      </c>
      <c r="M472" s="9"/>
      <c r="O472" s="13"/>
    </row>
    <row r="473" spans="1:15" outlineLevel="2">
      <c r="A473" s="730">
        <f t="shared" si="67"/>
        <v>465</v>
      </c>
      <c r="B473" s="9" t="s">
        <v>1252</v>
      </c>
      <c r="C473" s="15" t="s">
        <v>1567</v>
      </c>
      <c r="D473" s="10" t="s">
        <v>1568</v>
      </c>
      <c r="E473" s="11">
        <v>91987.25</v>
      </c>
      <c r="G473" s="11">
        <f t="shared" si="71"/>
        <v>91987.25</v>
      </c>
      <c r="H473" s="11">
        <v>0</v>
      </c>
      <c r="I473" s="11">
        <f t="shared" si="72"/>
        <v>-29389.926374999999</v>
      </c>
      <c r="K473" s="734">
        <f t="shared" si="70"/>
        <v>62597.323625000005</v>
      </c>
      <c r="L473" s="12"/>
      <c r="M473" s="12"/>
      <c r="N473" s="12"/>
      <c r="O473" s="12"/>
    </row>
    <row r="474" spans="1:15" outlineLevel="2">
      <c r="A474" s="730">
        <f t="shared" si="67"/>
        <v>466</v>
      </c>
      <c r="B474" s="9" t="s">
        <v>1252</v>
      </c>
      <c r="C474" s="15" t="s">
        <v>1569</v>
      </c>
      <c r="D474" s="10" t="s">
        <v>1570</v>
      </c>
      <c r="E474" s="11">
        <v>165594.23999999999</v>
      </c>
      <c r="G474" s="11">
        <f t="shared" si="71"/>
        <v>165594.23999999999</v>
      </c>
      <c r="H474" s="11">
        <v>0</v>
      </c>
      <c r="I474" s="11">
        <f t="shared" si="72"/>
        <v>-52907.359680000001</v>
      </c>
      <c r="K474" s="734">
        <f t="shared" si="70"/>
        <v>112686.88032</v>
      </c>
      <c r="L474" s="10"/>
      <c r="M474" s="9"/>
      <c r="O474" s="13"/>
    </row>
    <row r="475" spans="1:15" outlineLevel="2">
      <c r="A475" s="730">
        <f t="shared" si="67"/>
        <v>467</v>
      </c>
      <c r="B475" s="9" t="s">
        <v>1252</v>
      </c>
      <c r="C475" s="15" t="s">
        <v>1571</v>
      </c>
      <c r="D475" s="10" t="s">
        <v>1572</v>
      </c>
      <c r="E475" s="11">
        <v>19230</v>
      </c>
      <c r="G475" s="11">
        <f t="shared" si="71"/>
        <v>19230</v>
      </c>
      <c r="I475" s="11">
        <f t="shared" si="72"/>
        <v>-6143.9849999999997</v>
      </c>
      <c r="K475" s="734">
        <f t="shared" si="70"/>
        <v>13086.014999999999</v>
      </c>
      <c r="L475" s="10"/>
      <c r="M475" s="9"/>
      <c r="O475" s="13"/>
    </row>
    <row r="476" spans="1:15" outlineLevel="2">
      <c r="A476" s="730">
        <f t="shared" si="67"/>
        <v>468</v>
      </c>
      <c r="B476" s="9" t="s">
        <v>1252</v>
      </c>
      <c r="C476" s="15" t="s">
        <v>1573</v>
      </c>
      <c r="D476" s="10" t="s">
        <v>1574</v>
      </c>
      <c r="E476" s="11">
        <v>28279.89</v>
      </c>
      <c r="G476" s="11">
        <f t="shared" si="71"/>
        <v>28279.89</v>
      </c>
      <c r="H476" s="11">
        <v>0</v>
      </c>
      <c r="I476" s="11">
        <f t="shared" si="72"/>
        <v>-9035.4248549999993</v>
      </c>
      <c r="K476" s="734">
        <f t="shared" si="70"/>
        <v>19244.465145000002</v>
      </c>
      <c r="L476" s="10"/>
      <c r="M476" s="9"/>
    </row>
    <row r="477" spans="1:15" outlineLevel="2">
      <c r="A477" s="730">
        <f t="shared" si="67"/>
        <v>469</v>
      </c>
      <c r="B477" s="9" t="s">
        <v>1252</v>
      </c>
      <c r="C477" s="10" t="s">
        <v>1575</v>
      </c>
      <c r="D477" s="10" t="s">
        <v>1576</v>
      </c>
      <c r="E477" s="11">
        <f>72507.65+150859.01</f>
        <v>223366.66</v>
      </c>
      <c r="G477" s="11">
        <f t="shared" si="71"/>
        <v>223366.66</v>
      </c>
      <c r="H477" s="11">
        <v>0</v>
      </c>
      <c r="I477" s="11">
        <f t="shared" si="72"/>
        <v>-71365.647870000001</v>
      </c>
      <c r="K477" s="734">
        <f t="shared" si="70"/>
        <v>152001.01212999999</v>
      </c>
      <c r="L477" s="10"/>
      <c r="M477" s="9"/>
      <c r="O477" s="13"/>
    </row>
    <row r="478" spans="1:15" s="5" customFormat="1" ht="13.5" outlineLevel="1" thickBot="1">
      <c r="A478" s="730">
        <f t="shared" si="67"/>
        <v>470</v>
      </c>
      <c r="B478" s="16" t="s">
        <v>1577</v>
      </c>
      <c r="C478" s="18"/>
      <c r="D478" s="18" t="s">
        <v>1578</v>
      </c>
      <c r="E478" s="19">
        <f>SUBTOTAL(9,E316:E477)</f>
        <v>44328609.720000006</v>
      </c>
      <c r="F478" s="19">
        <f>SUBTOTAL(9,F316:F477)</f>
        <v>0</v>
      </c>
      <c r="G478" s="19">
        <f>SUBTOTAL(9,G316:G477)</f>
        <v>44328609.720000006</v>
      </c>
      <c r="H478" s="19">
        <f>SUBTOTAL(9,H316:H477)</f>
        <v>0</v>
      </c>
      <c r="I478" s="19">
        <f>SUBTOTAL(9,I316:I477)</f>
        <v>-14248702.686340004</v>
      </c>
      <c r="J478" s="19"/>
      <c r="K478" s="735">
        <f>SUBTOTAL(9,K316:K477)</f>
        <v>30079907.033659998</v>
      </c>
      <c r="M478" s="3"/>
      <c r="N478" s="3"/>
      <c r="O478" s="6"/>
    </row>
    <row r="479" spans="1:15" ht="13.5" outlineLevel="2" thickTop="1">
      <c r="A479" s="730">
        <f t="shared" si="67"/>
        <v>471</v>
      </c>
      <c r="B479" s="9" t="s">
        <v>1579</v>
      </c>
      <c r="C479" s="15" t="s">
        <v>1580</v>
      </c>
      <c r="D479" s="10" t="s">
        <v>1581</v>
      </c>
      <c r="E479" s="11">
        <v>19890751.77</v>
      </c>
      <c r="G479" s="11">
        <f>E479+F479</f>
        <v>19890751.77</v>
      </c>
      <c r="H479" s="11">
        <v>0</v>
      </c>
      <c r="I479" s="11">
        <v>0</v>
      </c>
      <c r="K479" s="734">
        <f>SUM(G479:J479)</f>
        <v>19890751.77</v>
      </c>
      <c r="L479" s="10"/>
      <c r="M479" s="9"/>
      <c r="O479" s="13"/>
    </row>
    <row r="480" spans="1:15" outlineLevel="2">
      <c r="A480" s="730">
        <f t="shared" si="67"/>
        <v>472</v>
      </c>
      <c r="B480" s="9" t="s">
        <v>1579</v>
      </c>
      <c r="C480" s="796" t="s">
        <v>1580</v>
      </c>
      <c r="D480" s="10" t="s">
        <v>1582</v>
      </c>
      <c r="E480" s="11">
        <v>3680368.76</v>
      </c>
      <c r="G480" s="11">
        <f>E480+F480</f>
        <v>3680368.76</v>
      </c>
      <c r="H480" s="11">
        <v>0</v>
      </c>
      <c r="I480" s="11">
        <v>0</v>
      </c>
      <c r="K480" s="734">
        <f>SUM(G480:J480)</f>
        <v>3680368.76</v>
      </c>
      <c r="L480" s="10"/>
      <c r="M480" s="9"/>
      <c r="O480" s="13"/>
    </row>
    <row r="481" spans="1:15" s="5" customFormat="1" ht="13.5" outlineLevel="1" thickBot="1">
      <c r="A481" s="730">
        <f t="shared" si="67"/>
        <v>473</v>
      </c>
      <c r="B481" s="16" t="s">
        <v>1583</v>
      </c>
      <c r="C481" s="24"/>
      <c r="D481" s="18" t="s">
        <v>1584</v>
      </c>
      <c r="E481" s="19">
        <f>SUBTOTAL(9,E479:E480)</f>
        <v>23571120.530000001</v>
      </c>
      <c r="F481" s="19">
        <f>SUBTOTAL(9,F479:F480)</f>
        <v>0</v>
      </c>
      <c r="G481" s="19">
        <f>SUBTOTAL(9,G479:G480)</f>
        <v>23571120.530000001</v>
      </c>
      <c r="H481" s="19">
        <f>SUBTOTAL(9,H479:H480)</f>
        <v>0</v>
      </c>
      <c r="I481" s="19">
        <f>SUBTOTAL(9,I479:I480)</f>
        <v>0</v>
      </c>
      <c r="J481" s="19"/>
      <c r="K481" s="735">
        <f>SUBTOTAL(9,K479:K480)</f>
        <v>23571120.530000001</v>
      </c>
      <c r="M481" s="3"/>
      <c r="N481" s="3"/>
      <c r="O481" s="6"/>
    </row>
    <row r="482" spans="1:15" ht="13.5" outlineLevel="2" thickTop="1">
      <c r="A482" s="730">
        <f t="shared" si="67"/>
        <v>474</v>
      </c>
      <c r="B482" s="9" t="s">
        <v>1585</v>
      </c>
      <c r="C482" s="15" t="s">
        <v>1586</v>
      </c>
      <c r="D482" s="10" t="s">
        <v>1587</v>
      </c>
      <c r="E482" s="11">
        <v>650000.85</v>
      </c>
      <c r="G482" s="11">
        <f>E482+F482</f>
        <v>650000.85</v>
      </c>
      <c r="H482" s="11">
        <v>-650001</v>
      </c>
      <c r="I482" s="11">
        <v>0</v>
      </c>
      <c r="K482" s="734">
        <f>SUM(G482:J482)</f>
        <v>-0.15000000002328306</v>
      </c>
      <c r="L482" s="870"/>
      <c r="M482" s="9"/>
      <c r="O482" s="13"/>
    </row>
    <row r="483" spans="1:15" outlineLevel="2">
      <c r="A483" s="730">
        <f t="shared" si="67"/>
        <v>475</v>
      </c>
      <c r="B483" s="9" t="s">
        <v>1585</v>
      </c>
      <c r="C483" s="15" t="s">
        <v>1588</v>
      </c>
      <c r="D483" s="10" t="s">
        <v>1589</v>
      </c>
      <c r="E483" s="11">
        <v>184827.19</v>
      </c>
      <c r="G483" s="11">
        <f t="shared" ref="G483:G498" si="73">E483+F483</f>
        <v>184827.19</v>
      </c>
      <c r="H483" s="11">
        <v>-184827</v>
      </c>
      <c r="I483" s="11">
        <v>0</v>
      </c>
      <c r="K483" s="734">
        <f t="shared" ref="K483:K498" si="74">SUM(G483:J483)</f>
        <v>0.19000000000232831</v>
      </c>
      <c r="L483" s="871"/>
      <c r="M483" s="9"/>
      <c r="O483" s="13"/>
    </row>
    <row r="484" spans="1:15" outlineLevel="2">
      <c r="A484" s="730">
        <f t="shared" si="67"/>
        <v>476</v>
      </c>
      <c r="B484" s="9" t="s">
        <v>1585</v>
      </c>
      <c r="C484" s="15" t="s">
        <v>1590</v>
      </c>
      <c r="D484" s="10" t="s">
        <v>1591</v>
      </c>
      <c r="E484" s="11">
        <v>223594.2</v>
      </c>
      <c r="G484" s="11">
        <f t="shared" si="73"/>
        <v>223594.2</v>
      </c>
      <c r="H484" s="11">
        <v>-223594</v>
      </c>
      <c r="I484" s="11">
        <v>0</v>
      </c>
      <c r="K484" s="734">
        <f t="shared" si="74"/>
        <v>0.20000000001164153</v>
      </c>
      <c r="L484" s="871"/>
      <c r="M484" s="9"/>
      <c r="O484" s="13"/>
    </row>
    <row r="485" spans="1:15" outlineLevel="2">
      <c r="A485" s="730">
        <f t="shared" si="67"/>
        <v>477</v>
      </c>
      <c r="B485" s="9" t="s">
        <v>1585</v>
      </c>
      <c r="C485" s="15" t="s">
        <v>1592</v>
      </c>
      <c r="D485" s="10" t="s">
        <v>1593</v>
      </c>
      <c r="E485" s="11">
        <v>171256.71</v>
      </c>
      <c r="G485" s="11">
        <f t="shared" si="73"/>
        <v>171256.71</v>
      </c>
      <c r="H485" s="11">
        <v>-171257</v>
      </c>
      <c r="I485" s="11">
        <v>0</v>
      </c>
      <c r="K485" s="734">
        <f t="shared" si="74"/>
        <v>-0.29000000000814907</v>
      </c>
      <c r="M485" s="9"/>
      <c r="O485" s="13"/>
    </row>
    <row r="486" spans="1:15" outlineLevel="2">
      <c r="A486" s="730">
        <f t="shared" si="67"/>
        <v>478</v>
      </c>
      <c r="B486" s="9" t="s">
        <v>1585</v>
      </c>
      <c r="C486" s="15" t="s">
        <v>1594</v>
      </c>
      <c r="D486" s="10" t="s">
        <v>1595</v>
      </c>
      <c r="E486" s="11">
        <v>25505.599999999999</v>
      </c>
      <c r="G486" s="11">
        <f t="shared" si="73"/>
        <v>25505.599999999999</v>
      </c>
      <c r="H486" s="11">
        <v>-25506</v>
      </c>
      <c r="I486" s="11">
        <v>0</v>
      </c>
      <c r="K486" s="734">
        <f t="shared" si="74"/>
        <v>-0.40000000000145519</v>
      </c>
      <c r="M486" s="9"/>
      <c r="O486" s="13"/>
    </row>
    <row r="487" spans="1:15" outlineLevel="2">
      <c r="A487" s="730">
        <f t="shared" si="67"/>
        <v>479</v>
      </c>
      <c r="B487" s="9" t="s">
        <v>1585</v>
      </c>
      <c r="C487" s="15" t="s">
        <v>1596</v>
      </c>
      <c r="D487" s="10" t="s">
        <v>1597</v>
      </c>
      <c r="E487" s="11">
        <v>485722.23</v>
      </c>
      <c r="G487" s="11">
        <f t="shared" si="73"/>
        <v>485722.23</v>
      </c>
      <c r="H487" s="11">
        <v>-485722</v>
      </c>
      <c r="I487" s="11">
        <v>0</v>
      </c>
      <c r="K487" s="734">
        <f t="shared" si="74"/>
        <v>0.22999999998137355</v>
      </c>
      <c r="M487" s="9"/>
      <c r="O487" s="13"/>
    </row>
    <row r="488" spans="1:15" outlineLevel="2">
      <c r="A488" s="730">
        <f t="shared" si="67"/>
        <v>480</v>
      </c>
      <c r="B488" s="9" t="s">
        <v>1585</v>
      </c>
      <c r="C488" s="15" t="s">
        <v>1598</v>
      </c>
      <c r="D488" s="10" t="s">
        <v>1599</v>
      </c>
      <c r="E488" s="11">
        <v>253597.44</v>
      </c>
      <c r="G488" s="11">
        <f t="shared" si="73"/>
        <v>253597.44</v>
      </c>
      <c r="H488" s="11">
        <v>-253597</v>
      </c>
      <c r="I488" s="11">
        <v>0</v>
      </c>
      <c r="K488" s="734">
        <f t="shared" si="74"/>
        <v>0.44000000000232831</v>
      </c>
      <c r="M488" s="9"/>
      <c r="O488" s="13"/>
    </row>
    <row r="489" spans="1:15" outlineLevel="2">
      <c r="A489" s="730">
        <f t="shared" si="67"/>
        <v>481</v>
      </c>
      <c r="B489" s="9" t="s">
        <v>1585</v>
      </c>
      <c r="C489" s="15" t="s">
        <v>1600</v>
      </c>
      <c r="D489" s="10" t="s">
        <v>1601</v>
      </c>
      <c r="E489" s="11">
        <v>1079091.51</v>
      </c>
      <c r="G489" s="11">
        <f t="shared" si="73"/>
        <v>1079091.51</v>
      </c>
      <c r="H489" s="11">
        <v>-1079092</v>
      </c>
      <c r="I489" s="11">
        <v>0</v>
      </c>
      <c r="K489" s="734">
        <f t="shared" si="74"/>
        <v>-0.48999999999068677</v>
      </c>
      <c r="M489" s="9"/>
      <c r="O489" s="13"/>
    </row>
    <row r="490" spans="1:15" outlineLevel="2">
      <c r="A490" s="730">
        <f t="shared" si="67"/>
        <v>482</v>
      </c>
      <c r="B490" s="9" t="s">
        <v>1585</v>
      </c>
      <c r="C490" s="15" t="s">
        <v>1602</v>
      </c>
      <c r="D490" s="10" t="s">
        <v>1603</v>
      </c>
      <c r="E490" s="11">
        <v>425706.26</v>
      </c>
      <c r="G490" s="11">
        <f t="shared" si="73"/>
        <v>425706.26</v>
      </c>
      <c r="H490" s="11">
        <v>-425706</v>
      </c>
      <c r="I490" s="11">
        <v>0</v>
      </c>
      <c r="K490" s="734">
        <f t="shared" si="74"/>
        <v>0.26000000000931323</v>
      </c>
      <c r="M490" s="9"/>
      <c r="O490" s="13"/>
    </row>
    <row r="491" spans="1:15" outlineLevel="2">
      <c r="A491" s="730">
        <f t="shared" si="67"/>
        <v>483</v>
      </c>
      <c r="B491" s="9" t="s">
        <v>1585</v>
      </c>
      <c r="C491" s="15" t="s">
        <v>1604</v>
      </c>
      <c r="D491" s="10" t="s">
        <v>1605</v>
      </c>
      <c r="E491" s="11">
        <v>108040.31</v>
      </c>
      <c r="G491" s="11">
        <f t="shared" si="73"/>
        <v>108040.31</v>
      </c>
      <c r="H491" s="11">
        <v>-108040</v>
      </c>
      <c r="I491" s="11">
        <v>0</v>
      </c>
      <c r="K491" s="734">
        <f t="shared" si="74"/>
        <v>0.30999999999767169</v>
      </c>
      <c r="M491" s="9"/>
      <c r="O491" s="13"/>
    </row>
    <row r="492" spans="1:15" outlineLevel="2">
      <c r="A492" s="730">
        <f t="shared" si="67"/>
        <v>484</v>
      </c>
      <c r="B492" s="9" t="s">
        <v>1585</v>
      </c>
      <c r="C492" s="15" t="s">
        <v>1606</v>
      </c>
      <c r="D492" s="10" t="s">
        <v>1607</v>
      </c>
      <c r="E492" s="11">
        <v>6494</v>
      </c>
      <c r="G492" s="11">
        <f t="shared" si="73"/>
        <v>6494</v>
      </c>
      <c r="H492" s="11">
        <v>-6494</v>
      </c>
      <c r="I492" s="11">
        <v>0</v>
      </c>
      <c r="K492" s="734">
        <f t="shared" si="74"/>
        <v>0</v>
      </c>
      <c r="M492" s="9"/>
      <c r="O492" s="13"/>
    </row>
    <row r="493" spans="1:15" outlineLevel="2">
      <c r="A493" s="730">
        <f t="shared" si="67"/>
        <v>485</v>
      </c>
      <c r="B493" s="9" t="s">
        <v>1585</v>
      </c>
      <c r="C493" s="15" t="s">
        <v>1608</v>
      </c>
      <c r="D493" s="10" t="s">
        <v>1609</v>
      </c>
      <c r="E493" s="11">
        <v>102282.9</v>
      </c>
      <c r="G493" s="11">
        <f t="shared" si="73"/>
        <v>102282.9</v>
      </c>
      <c r="H493" s="11">
        <v>-102283</v>
      </c>
      <c r="I493" s="11">
        <v>0</v>
      </c>
      <c r="K493" s="734">
        <f t="shared" si="74"/>
        <v>-0.10000000000582077</v>
      </c>
      <c r="M493" s="9"/>
      <c r="O493" s="13"/>
    </row>
    <row r="494" spans="1:15" outlineLevel="2">
      <c r="A494" s="730">
        <f t="shared" si="67"/>
        <v>486</v>
      </c>
      <c r="B494" s="9" t="s">
        <v>1585</v>
      </c>
      <c r="C494" s="15" t="s">
        <v>1610</v>
      </c>
      <c r="D494" s="10" t="s">
        <v>1611</v>
      </c>
      <c r="E494" s="11">
        <v>1237730.0900000001</v>
      </c>
      <c r="G494" s="11">
        <f t="shared" si="73"/>
        <v>1237730.0900000001</v>
      </c>
      <c r="H494" s="11">
        <v>-1237730</v>
      </c>
      <c r="I494" s="11">
        <v>0</v>
      </c>
      <c r="K494" s="734">
        <f t="shared" si="74"/>
        <v>9.0000000083819032E-2</v>
      </c>
      <c r="M494" s="9"/>
      <c r="O494" s="13"/>
    </row>
    <row r="495" spans="1:15" outlineLevel="2">
      <c r="A495" s="730">
        <f t="shared" si="67"/>
        <v>487</v>
      </c>
      <c r="B495" s="9" t="s">
        <v>1585</v>
      </c>
      <c r="C495" s="15" t="s">
        <v>1612</v>
      </c>
      <c r="D495" s="10" t="s">
        <v>1613</v>
      </c>
      <c r="E495" s="11">
        <v>920941.25</v>
      </c>
      <c r="G495" s="11">
        <f t="shared" si="73"/>
        <v>920941.25</v>
      </c>
      <c r="H495" s="11">
        <v>-920941</v>
      </c>
      <c r="I495" s="11">
        <v>0</v>
      </c>
      <c r="K495" s="734">
        <f t="shared" si="74"/>
        <v>0.25</v>
      </c>
      <c r="M495" s="9"/>
      <c r="O495" s="13"/>
    </row>
    <row r="496" spans="1:15" ht="12.75" customHeight="1" outlineLevel="2">
      <c r="A496" s="730">
        <f t="shared" si="67"/>
        <v>488</v>
      </c>
      <c r="B496" s="9" t="s">
        <v>1585</v>
      </c>
      <c r="C496" s="15" t="s">
        <v>149</v>
      </c>
      <c r="D496" s="10" t="s">
        <v>1614</v>
      </c>
      <c r="E496" s="11">
        <v>474403.84000000003</v>
      </c>
      <c r="G496" s="11">
        <f t="shared" si="73"/>
        <v>474403.84000000003</v>
      </c>
      <c r="H496" s="11">
        <v>-474404</v>
      </c>
      <c r="I496" s="11">
        <v>0</v>
      </c>
      <c r="K496" s="734">
        <f t="shared" si="74"/>
        <v>-0.15999999997438863</v>
      </c>
      <c r="L496" s="10"/>
      <c r="M496" s="9"/>
      <c r="O496" s="13"/>
    </row>
    <row r="497" spans="1:15" outlineLevel="2">
      <c r="A497" s="730">
        <f t="shared" si="67"/>
        <v>489</v>
      </c>
      <c r="B497" s="9" t="s">
        <v>1585</v>
      </c>
      <c r="C497" s="15" t="s">
        <v>1615</v>
      </c>
      <c r="D497" s="10" t="s">
        <v>1616</v>
      </c>
      <c r="E497" s="11">
        <v>659368.23</v>
      </c>
      <c r="G497" s="11">
        <f t="shared" si="73"/>
        <v>659368.23</v>
      </c>
      <c r="H497" s="11">
        <v>-659368</v>
      </c>
      <c r="I497" s="11">
        <v>0</v>
      </c>
      <c r="K497" s="734">
        <f t="shared" si="74"/>
        <v>0.22999999998137355</v>
      </c>
      <c r="L497" s="796"/>
      <c r="M497" s="9"/>
      <c r="O497" s="13"/>
    </row>
    <row r="498" spans="1:15" outlineLevel="2">
      <c r="A498" s="730">
        <f t="shared" si="67"/>
        <v>490</v>
      </c>
      <c r="B498" s="9" t="s">
        <v>1585</v>
      </c>
      <c r="C498" s="10" t="s">
        <v>1617</v>
      </c>
      <c r="D498" s="10" t="s">
        <v>1618</v>
      </c>
      <c r="E498" s="11">
        <v>216162.68</v>
      </c>
      <c r="G498" s="11">
        <f t="shared" si="73"/>
        <v>216162.68</v>
      </c>
      <c r="H498" s="11">
        <v>-216163</v>
      </c>
      <c r="I498" s="11">
        <v>0</v>
      </c>
      <c r="K498" s="734">
        <f t="shared" si="74"/>
        <v>-0.32000000000698492</v>
      </c>
      <c r="M498" s="9"/>
      <c r="O498" s="13"/>
    </row>
    <row r="499" spans="1:15" s="5" customFormat="1" ht="13.5" outlineLevel="1" thickBot="1">
      <c r="A499" s="730">
        <f t="shared" si="67"/>
        <v>491</v>
      </c>
      <c r="B499" s="16" t="s">
        <v>1619</v>
      </c>
      <c r="C499" s="18"/>
      <c r="D499" s="18" t="s">
        <v>1620</v>
      </c>
      <c r="E499" s="19">
        <f>SUBTOTAL(9,E482:E498)</f>
        <v>7224725.2899999991</v>
      </c>
      <c r="F499" s="19">
        <f>SUBTOTAL(9,F482:F498)</f>
        <v>0</v>
      </c>
      <c r="G499" s="19">
        <f>SUBTOTAL(9,G482:G498)</f>
        <v>7224725.2899999991</v>
      </c>
      <c r="H499" s="19">
        <f>SUBTOTAL(9,H482:H498)</f>
        <v>-7224725</v>
      </c>
      <c r="I499" s="19">
        <f>SUBTOTAL(9,I482:I498)</f>
        <v>0</v>
      </c>
      <c r="J499" s="19"/>
      <c r="K499" s="735">
        <f>SUBTOTAL(9,K482:K498)</f>
        <v>0.29000000005908078</v>
      </c>
      <c r="L499" s="20"/>
      <c r="M499" s="3"/>
      <c r="N499" s="3"/>
      <c r="O499" s="6"/>
    </row>
    <row r="500" spans="1:15" ht="13.5" customHeight="1" outlineLevel="2" thickTop="1">
      <c r="A500" s="730">
        <f t="shared" si="67"/>
        <v>492</v>
      </c>
      <c r="B500" s="9" t="s">
        <v>1621</v>
      </c>
      <c r="C500" s="351" t="s">
        <v>1622</v>
      </c>
      <c r="D500" s="1" t="s">
        <v>1623</v>
      </c>
      <c r="E500" s="11">
        <v>287835</v>
      </c>
      <c r="G500" s="11">
        <f>E500+F500</f>
        <v>287835</v>
      </c>
      <c r="H500" s="11">
        <v>0</v>
      </c>
      <c r="I500" s="11">
        <v>0</v>
      </c>
      <c r="K500" s="734">
        <f>SUM(G500:J500)</f>
        <v>287835</v>
      </c>
      <c r="L500" s="872"/>
      <c r="M500" s="9"/>
      <c r="O500" s="13"/>
    </row>
    <row r="501" spans="1:15" s="9" customFormat="1" ht="13.5" customHeight="1" outlineLevel="2">
      <c r="A501" s="730">
        <f t="shared" si="67"/>
        <v>493</v>
      </c>
      <c r="B501" s="9" t="s">
        <v>1621</v>
      </c>
      <c r="C501" s="351" t="s">
        <v>1624</v>
      </c>
      <c r="D501" s="10" t="s">
        <v>1625</v>
      </c>
      <c r="E501" s="11">
        <v>12414412.949999999</v>
      </c>
      <c r="F501" s="11"/>
      <c r="G501" s="11">
        <f t="shared" ref="G501:G508" si="75">E501+F501</f>
        <v>12414412.949999999</v>
      </c>
      <c r="H501" s="11">
        <v>-12111804</v>
      </c>
      <c r="I501" s="11">
        <v>0</v>
      </c>
      <c r="J501" s="11"/>
      <c r="K501" s="734">
        <f t="shared" ref="K501:K508" si="76">SUM(G501:J501)</f>
        <v>302608.94999999925</v>
      </c>
      <c r="L501" s="873"/>
      <c r="O501" s="13"/>
    </row>
    <row r="502" spans="1:15" s="9" customFormat="1" ht="13.5" customHeight="1" outlineLevel="2">
      <c r="A502" s="730">
        <f t="shared" si="67"/>
        <v>494</v>
      </c>
      <c r="B502" s="9" t="s">
        <v>1621</v>
      </c>
      <c r="C502" s="351" t="s">
        <v>1624</v>
      </c>
      <c r="D502" s="10" t="s">
        <v>1625</v>
      </c>
      <c r="E502" s="11">
        <v>226392.01</v>
      </c>
      <c r="F502" s="11"/>
      <c r="G502" s="11">
        <f t="shared" si="75"/>
        <v>226392.01</v>
      </c>
      <c r="H502" s="11">
        <v>-226392</v>
      </c>
      <c r="I502" s="11"/>
      <c r="J502" s="11"/>
      <c r="K502" s="734">
        <f t="shared" si="76"/>
        <v>1.0000000009313226E-2</v>
      </c>
      <c r="L502" s="873"/>
      <c r="O502" s="13"/>
    </row>
    <row r="503" spans="1:15" s="9" customFormat="1" outlineLevel="2">
      <c r="A503" s="730">
        <f t="shared" si="67"/>
        <v>495</v>
      </c>
      <c r="B503" s="9" t="s">
        <v>1621</v>
      </c>
      <c r="C503" s="351" t="s">
        <v>1626</v>
      </c>
      <c r="D503" s="10" t="s">
        <v>1627</v>
      </c>
      <c r="E503" s="11">
        <v>2978205</v>
      </c>
      <c r="F503" s="11"/>
      <c r="G503" s="11">
        <f t="shared" si="75"/>
        <v>2978205</v>
      </c>
      <c r="H503" s="11">
        <v>0</v>
      </c>
      <c r="I503" s="11">
        <v>0</v>
      </c>
      <c r="J503" s="11"/>
      <c r="K503" s="734">
        <f t="shared" si="76"/>
        <v>2978205</v>
      </c>
      <c r="L503" s="873"/>
      <c r="O503" s="13"/>
    </row>
    <row r="504" spans="1:15" s="9" customFormat="1" outlineLevel="2">
      <c r="A504" s="730">
        <f t="shared" si="67"/>
        <v>496</v>
      </c>
      <c r="B504" s="9" t="s">
        <v>1621</v>
      </c>
      <c r="C504" s="351" t="s">
        <v>1628</v>
      </c>
      <c r="D504" s="10" t="s">
        <v>1562</v>
      </c>
      <c r="E504" s="11">
        <v>237296</v>
      </c>
      <c r="F504" s="11"/>
      <c r="G504" s="11">
        <f t="shared" si="75"/>
        <v>237296</v>
      </c>
      <c r="H504" s="11"/>
      <c r="I504" s="11"/>
      <c r="J504" s="11"/>
      <c r="K504" s="734">
        <f t="shared" si="76"/>
        <v>237296</v>
      </c>
      <c r="L504" s="873"/>
      <c r="O504" s="13"/>
    </row>
    <row r="505" spans="1:15" s="9" customFormat="1" outlineLevel="2">
      <c r="A505" s="730">
        <f t="shared" si="67"/>
        <v>497</v>
      </c>
      <c r="B505" s="9" t="s">
        <v>1621</v>
      </c>
      <c r="C505" s="351" t="s">
        <v>1629</v>
      </c>
      <c r="D505" s="10" t="s">
        <v>1630</v>
      </c>
      <c r="E505" s="11">
        <v>121495</v>
      </c>
      <c r="F505" s="11"/>
      <c r="G505" s="11">
        <f t="shared" si="75"/>
        <v>121495</v>
      </c>
      <c r="H505" s="11">
        <f>-(E505*0.75)</f>
        <v>-91121.25</v>
      </c>
      <c r="I505" s="11"/>
      <c r="J505" s="11"/>
      <c r="K505" s="734">
        <f t="shared" si="76"/>
        <v>30373.75</v>
      </c>
      <c r="L505" s="873"/>
      <c r="O505" s="13"/>
    </row>
    <row r="506" spans="1:15" s="9" customFormat="1" outlineLevel="2">
      <c r="A506" s="730">
        <f t="shared" si="67"/>
        <v>498</v>
      </c>
      <c r="B506" s="9" t="s">
        <v>1621</v>
      </c>
      <c r="C506" s="351" t="s">
        <v>1631</v>
      </c>
      <c r="D506" s="10" t="s">
        <v>1632</v>
      </c>
      <c r="E506" s="11">
        <v>692335</v>
      </c>
      <c r="F506" s="11"/>
      <c r="G506" s="11">
        <f t="shared" si="75"/>
        <v>692335</v>
      </c>
      <c r="H506" s="11">
        <f>-(E506*0.75)</f>
        <v>-519251.25</v>
      </c>
      <c r="I506" s="11"/>
      <c r="J506" s="11"/>
      <c r="K506" s="734">
        <f t="shared" si="76"/>
        <v>173083.75</v>
      </c>
      <c r="L506" s="873"/>
      <c r="O506" s="13"/>
    </row>
    <row r="507" spans="1:15" s="9" customFormat="1" outlineLevel="2">
      <c r="A507" s="730">
        <f t="shared" si="67"/>
        <v>499</v>
      </c>
      <c r="B507" s="9" t="s">
        <v>1621</v>
      </c>
      <c r="C507" s="351" t="s">
        <v>1575</v>
      </c>
      <c r="D507" s="10" t="s">
        <v>1633</v>
      </c>
      <c r="E507" s="11">
        <v>13270517.16</v>
      </c>
      <c r="F507" s="11"/>
      <c r="G507" s="11">
        <f t="shared" si="75"/>
        <v>13270517.16</v>
      </c>
      <c r="H507" s="800">
        <v>-9952887.870000001</v>
      </c>
      <c r="I507" s="11"/>
      <c r="J507" s="11"/>
      <c r="K507" s="734">
        <f t="shared" si="76"/>
        <v>3317629.2899999991</v>
      </c>
      <c r="L507" s="873"/>
      <c r="O507" s="13"/>
    </row>
    <row r="508" spans="1:15" s="9" customFormat="1" outlineLevel="2">
      <c r="A508" s="730">
        <f t="shared" si="67"/>
        <v>500</v>
      </c>
      <c r="B508" s="9" t="s">
        <v>1621</v>
      </c>
      <c r="C508" s="351" t="s">
        <v>1634</v>
      </c>
      <c r="D508" s="10" t="s">
        <v>1635</v>
      </c>
      <c r="E508" s="11">
        <v>33085.21</v>
      </c>
      <c r="F508" s="11"/>
      <c r="G508" s="11">
        <f t="shared" si="75"/>
        <v>33085.21</v>
      </c>
      <c r="H508" s="11">
        <v>-24814</v>
      </c>
      <c r="I508" s="11"/>
      <c r="J508" s="11"/>
      <c r="K508" s="734">
        <f t="shared" si="76"/>
        <v>8271.2099999999991</v>
      </c>
      <c r="L508" s="798"/>
      <c r="O508" s="13"/>
    </row>
    <row r="509" spans="1:15" s="3" customFormat="1" ht="13.5" outlineLevel="1" thickBot="1">
      <c r="A509" s="730">
        <f t="shared" si="67"/>
        <v>501</v>
      </c>
      <c r="B509" s="16" t="s">
        <v>1636</v>
      </c>
      <c r="C509" s="25"/>
      <c r="D509" s="18" t="s">
        <v>1637</v>
      </c>
      <c r="E509" s="19">
        <f>SUBTOTAL(9,E500:E508)</f>
        <v>30261573.330000002</v>
      </c>
      <c r="F509" s="19">
        <f>SUBTOTAL(9,F500:F507)</f>
        <v>0</v>
      </c>
      <c r="G509" s="19">
        <f>SUBTOTAL(9,G500:G508)</f>
        <v>30261573.330000002</v>
      </c>
      <c r="H509" s="19">
        <f>SUBTOTAL(9,H500:H507)</f>
        <v>-22901456.370000001</v>
      </c>
      <c r="I509" s="19">
        <f>SUBTOTAL(9,I500:I507)</f>
        <v>0</v>
      </c>
      <c r="J509" s="19"/>
      <c r="K509" s="735">
        <f>SUBTOTAL(9,K500:K508)</f>
        <v>7335302.9599999981</v>
      </c>
      <c r="L509" s="26"/>
      <c r="O509" s="6"/>
    </row>
    <row r="510" spans="1:15" s="9" customFormat="1" ht="13.5" outlineLevel="2" thickTop="1">
      <c r="A510" s="730">
        <f t="shared" si="67"/>
        <v>502</v>
      </c>
      <c r="B510" s="9" t="s">
        <v>405</v>
      </c>
      <c r="C510" s="13"/>
      <c r="D510" s="10" t="s">
        <v>1271</v>
      </c>
      <c r="E510" s="11">
        <v>2370872.7999999998</v>
      </c>
      <c r="F510" s="11">
        <v>63700</v>
      </c>
      <c r="G510" s="11">
        <f t="shared" ref="G510:G515" si="77">E510+F510</f>
        <v>2434572.7999999998</v>
      </c>
      <c r="H510" s="11">
        <v>-1772523</v>
      </c>
      <c r="I510" s="11"/>
      <c r="J510" s="11"/>
      <c r="K510" s="734">
        <f t="shared" ref="K510:K515" si="78">SUM(G510:J510)</f>
        <v>662049.79999999981</v>
      </c>
      <c r="O510" s="13"/>
    </row>
    <row r="511" spans="1:15" s="9" customFormat="1" outlineLevel="2">
      <c r="A511" s="730">
        <f t="shared" si="67"/>
        <v>503</v>
      </c>
      <c r="B511" s="9" t="s">
        <v>405</v>
      </c>
      <c r="C511" s="13"/>
      <c r="D511" s="10" t="s">
        <v>1638</v>
      </c>
      <c r="E511" s="11">
        <v>6186445.3200000003</v>
      </c>
      <c r="F511" s="11">
        <v>595000</v>
      </c>
      <c r="G511" s="11">
        <f t="shared" si="77"/>
        <v>6781445.3200000003</v>
      </c>
      <c r="H511" s="11">
        <v>-933623</v>
      </c>
      <c r="I511" s="11"/>
      <c r="J511" s="11"/>
      <c r="K511" s="734">
        <f t="shared" si="78"/>
        <v>5847822.3200000003</v>
      </c>
      <c r="O511" s="13"/>
    </row>
    <row r="512" spans="1:15" s="9" customFormat="1" outlineLevel="2">
      <c r="A512" s="730">
        <f t="shared" si="67"/>
        <v>504</v>
      </c>
      <c r="B512" s="9" t="s">
        <v>405</v>
      </c>
      <c r="C512" s="13"/>
      <c r="D512" s="10" t="s">
        <v>967</v>
      </c>
      <c r="E512" s="11">
        <v>25114691.530000001</v>
      </c>
      <c r="F512" s="11">
        <v>1911000</v>
      </c>
      <c r="G512" s="11">
        <f t="shared" si="77"/>
        <v>27025691.530000001</v>
      </c>
      <c r="H512" s="11">
        <v>-3244666</v>
      </c>
      <c r="I512" s="11"/>
      <c r="J512" s="11"/>
      <c r="K512" s="734">
        <f t="shared" si="78"/>
        <v>23781025.530000001</v>
      </c>
      <c r="O512" s="13"/>
    </row>
    <row r="513" spans="1:18" s="9" customFormat="1" outlineLevel="2">
      <c r="A513" s="730">
        <f t="shared" si="67"/>
        <v>505</v>
      </c>
      <c r="B513" s="9" t="s">
        <v>405</v>
      </c>
      <c r="C513" s="13"/>
      <c r="D513" s="10" t="s">
        <v>1387</v>
      </c>
      <c r="E513" s="11">
        <v>88976668.870000005</v>
      </c>
      <c r="F513" s="11"/>
      <c r="G513" s="11">
        <f t="shared" si="77"/>
        <v>88976668.870000005</v>
      </c>
      <c r="H513" s="11">
        <v>-45917715</v>
      </c>
      <c r="I513" s="11"/>
      <c r="J513" s="11"/>
      <c r="K513" s="734">
        <f t="shared" si="78"/>
        <v>43058953.870000005</v>
      </c>
      <c r="O513" s="13"/>
    </row>
    <row r="514" spans="1:18" s="9" customFormat="1" outlineLevel="2">
      <c r="A514" s="730">
        <f t="shared" si="67"/>
        <v>506</v>
      </c>
      <c r="B514" s="9" t="s">
        <v>405</v>
      </c>
      <c r="C514" s="13"/>
      <c r="D514" s="10" t="s">
        <v>1639</v>
      </c>
      <c r="E514" s="11">
        <v>11255584.4</v>
      </c>
      <c r="F514" s="11">
        <v>342300</v>
      </c>
      <c r="G514" s="11">
        <f t="shared" si="77"/>
        <v>11597884.4</v>
      </c>
      <c r="H514" s="11">
        <v>-7108375</v>
      </c>
      <c r="I514" s="11"/>
      <c r="J514" s="11"/>
      <c r="K514" s="734">
        <f t="shared" si="78"/>
        <v>4489509.4000000004</v>
      </c>
      <c r="O514" s="13"/>
    </row>
    <row r="515" spans="1:18" s="9" customFormat="1" outlineLevel="2">
      <c r="A515" s="730">
        <f t="shared" si="67"/>
        <v>507</v>
      </c>
      <c r="B515" s="9" t="s">
        <v>405</v>
      </c>
      <c r="C515" s="13"/>
      <c r="D515" s="10" t="s">
        <v>1474</v>
      </c>
      <c r="E515" s="11">
        <v>22940618.440000001</v>
      </c>
      <c r="F515" s="11">
        <v>596400</v>
      </c>
      <c r="G515" s="11">
        <f t="shared" si="77"/>
        <v>23537018.440000001</v>
      </c>
      <c r="H515" s="11">
        <v>-3557583</v>
      </c>
      <c r="I515" s="11"/>
      <c r="J515" s="11"/>
      <c r="K515" s="734">
        <f t="shared" si="78"/>
        <v>19979435.440000001</v>
      </c>
      <c r="O515" s="13"/>
    </row>
    <row r="516" spans="1:18" s="3" customFormat="1" ht="13.5" outlineLevel="1" thickBot="1">
      <c r="A516" s="730">
        <f t="shared" si="67"/>
        <v>508</v>
      </c>
      <c r="B516" s="16" t="s">
        <v>1640</v>
      </c>
      <c r="C516" s="18"/>
      <c r="D516" s="18" t="s">
        <v>1641</v>
      </c>
      <c r="E516" s="27">
        <f>SUBTOTAL(9,E510:E515)</f>
        <v>156844881.36000001</v>
      </c>
      <c r="F516" s="27">
        <f>SUBTOTAL(9,F510:F515)</f>
        <v>3508400</v>
      </c>
      <c r="G516" s="27">
        <f>SUBTOTAL(9,G510:G515)</f>
        <v>160353281.36000001</v>
      </c>
      <c r="H516" s="27">
        <f>SUBTOTAL(9,H510:H515)</f>
        <v>-62534485</v>
      </c>
      <c r="I516" s="27">
        <f>SUBTOTAL(9,I510:I515)</f>
        <v>0</v>
      </c>
      <c r="J516" s="27"/>
      <c r="K516" s="736">
        <f>SUBTOTAL(9,K510:K515)</f>
        <v>97818796.360000014</v>
      </c>
      <c r="L516" s="6"/>
    </row>
    <row r="517" spans="1:18" s="3" customFormat="1" ht="14" thickTop="1" thickBot="1">
      <c r="A517" s="730">
        <f t="shared" si="67"/>
        <v>509</v>
      </c>
      <c r="B517" s="352" t="s">
        <v>1642</v>
      </c>
      <c r="C517" s="353"/>
      <c r="D517" s="353" t="s">
        <v>1643</v>
      </c>
      <c r="E517" s="354">
        <f t="shared" ref="E517:K517" si="79">SUBTOTAL(9,E5:E515)</f>
        <v>1675427307.7710009</v>
      </c>
      <c r="F517" s="354">
        <f t="shared" si="79"/>
        <v>54555055</v>
      </c>
      <c r="G517" s="354">
        <f t="shared" si="79"/>
        <v>1729982362.7710009</v>
      </c>
      <c r="H517" s="354">
        <f t="shared" si="79"/>
        <v>-139977554.44</v>
      </c>
      <c r="I517" s="354">
        <f t="shared" si="79"/>
        <v>-16238044.68634001</v>
      </c>
      <c r="J517" s="354">
        <f t="shared" si="79"/>
        <v>-8512054</v>
      </c>
      <c r="K517" s="737">
        <f t="shared" si="79"/>
        <v>1565254709.6446595</v>
      </c>
      <c r="L517" s="6"/>
    </row>
    <row r="518" spans="1:18" s="9" customFormat="1" ht="13.5" thickTop="1">
      <c r="A518" s="730">
        <f t="shared" si="67"/>
        <v>510</v>
      </c>
      <c r="C518" s="13"/>
      <c r="D518" s="1" t="s">
        <v>1644</v>
      </c>
      <c r="E518" s="28">
        <f>E517-E516-E509</f>
        <v>1488320853.0810008</v>
      </c>
      <c r="F518" s="28">
        <f>F517-F516-F509</f>
        <v>51046655</v>
      </c>
      <c r="G518" s="28">
        <f>G517-G516-G509</f>
        <v>1539367508.0810008</v>
      </c>
      <c r="H518" s="28">
        <f>H517-H516-H509</f>
        <v>-54541613.069999993</v>
      </c>
      <c r="I518" s="29">
        <f>(I517-I516)*-1</f>
        <v>16238044.68634001</v>
      </c>
      <c r="J518" s="29">
        <f>(J517-J516)*-1</f>
        <v>8512054</v>
      </c>
      <c r="K518" s="734">
        <f>K517-K509-K516</f>
        <v>1460100610.3246593</v>
      </c>
      <c r="L518" s="10"/>
      <c r="P518" s="10"/>
      <c r="Q518" s="10"/>
    </row>
    <row r="519" spans="1:18" s="9" customFormat="1">
      <c r="A519" s="730">
        <f t="shared" si="67"/>
        <v>511</v>
      </c>
      <c r="B519" s="635" t="s">
        <v>1645</v>
      </c>
      <c r="C519" s="13"/>
      <c r="E519" s="28"/>
      <c r="F519" s="28"/>
      <c r="G519" s="28"/>
      <c r="H519" s="28"/>
      <c r="I519" s="29"/>
      <c r="J519" s="29"/>
      <c r="K519" s="734"/>
      <c r="L519" s="10"/>
      <c r="P519" s="10"/>
      <c r="Q519" s="10"/>
    </row>
    <row r="520" spans="1:18" s="9" customFormat="1">
      <c r="A520" s="730">
        <f t="shared" ref="A520:A521" si="80">A519+1</f>
        <v>512</v>
      </c>
      <c r="B520" s="635" t="s">
        <v>1646</v>
      </c>
      <c r="C520" s="13"/>
      <c r="D520" s="1"/>
      <c r="E520" s="28"/>
      <c r="F520" s="28"/>
      <c r="G520" s="28"/>
      <c r="H520" s="28"/>
      <c r="I520" s="29"/>
      <c r="J520" s="29"/>
      <c r="K520" s="734"/>
      <c r="L520" s="10"/>
      <c r="P520" s="10"/>
      <c r="Q520" s="10"/>
    </row>
    <row r="521" spans="1:18" s="9" customFormat="1" ht="13.5" thickBot="1">
      <c r="A521" s="730">
        <f t="shared" si="80"/>
        <v>513</v>
      </c>
      <c r="B521" s="738"/>
      <c r="C521" s="739"/>
      <c r="D521" s="740" t="s">
        <v>1620</v>
      </c>
      <c r="E521" s="741"/>
      <c r="F521" s="741"/>
      <c r="G521" s="741"/>
      <c r="H521" s="741">
        <f>-(H518+H516)</f>
        <v>117076098.06999999</v>
      </c>
      <c r="I521" s="741"/>
      <c r="J521" s="741"/>
      <c r="K521" s="742">
        <f>K518+K516+K500+K501+K503</f>
        <v>1561488055.6346595</v>
      </c>
      <c r="L521" s="10"/>
      <c r="P521" s="10"/>
      <c r="Q521" s="10"/>
    </row>
    <row r="522" spans="1:18" s="9" customFormat="1">
      <c r="C522" s="13"/>
      <c r="D522" s="1"/>
      <c r="E522" s="29"/>
      <c r="F522" s="29"/>
      <c r="G522" s="29"/>
      <c r="H522" s="28"/>
      <c r="I522" s="28"/>
      <c r="J522" s="28"/>
      <c r="K522" s="12"/>
      <c r="L522" s="10"/>
      <c r="P522" s="10"/>
      <c r="Q522" s="10"/>
    </row>
    <row r="523" spans="1:18">
      <c r="C523" s="10"/>
      <c r="D523" s="1"/>
      <c r="E523" s="29"/>
      <c r="F523" s="29"/>
      <c r="G523" s="29"/>
      <c r="H523" s="28"/>
      <c r="L523" s="10"/>
      <c r="M523" s="9"/>
    </row>
    <row r="524" spans="1:18">
      <c r="C524" s="10"/>
      <c r="D524" s="1"/>
      <c r="E524" s="467"/>
      <c r="F524" s="467"/>
      <c r="G524" s="467"/>
      <c r="H524" s="467"/>
      <c r="I524" s="467"/>
      <c r="J524" s="467"/>
      <c r="K524" s="467"/>
      <c r="L524" s="1"/>
      <c r="M524" s="9"/>
      <c r="R524" s="11"/>
    </row>
    <row r="525" spans="1:18">
      <c r="C525" s="10"/>
      <c r="D525" s="1"/>
      <c r="E525" s="467"/>
      <c r="F525" s="467"/>
      <c r="G525" s="467"/>
      <c r="H525" s="467"/>
      <c r="I525" s="467"/>
      <c r="J525" s="467"/>
      <c r="K525" s="467"/>
      <c r="L525" s="1"/>
      <c r="M525" s="9"/>
    </row>
    <row r="526" spans="1:18">
      <c r="C526" s="10"/>
      <c r="E526" s="12"/>
      <c r="F526" s="12"/>
      <c r="G526" s="12"/>
      <c r="H526" s="12"/>
      <c r="I526" s="12"/>
      <c r="J526" s="12"/>
      <c r="L526" s="10"/>
      <c r="M526" s="9"/>
    </row>
    <row r="527" spans="1:18">
      <c r="C527" s="10"/>
      <c r="E527" s="12"/>
      <c r="F527" s="12"/>
      <c r="G527" s="12"/>
      <c r="H527" s="12"/>
      <c r="I527" s="12"/>
      <c r="J527" s="12"/>
      <c r="L527" s="10"/>
      <c r="M527" s="9"/>
    </row>
    <row r="528" spans="1:18">
      <c r="C528" s="10"/>
      <c r="E528" s="12"/>
      <c r="F528" s="12"/>
      <c r="G528" s="12"/>
      <c r="H528" s="12"/>
      <c r="I528" s="12"/>
      <c r="J528" s="12"/>
      <c r="L528" s="10"/>
      <c r="M528" s="9"/>
    </row>
    <row r="529" spans="3:18">
      <c r="C529" s="10"/>
      <c r="E529" s="12"/>
      <c r="F529" s="12"/>
      <c r="G529" s="12"/>
      <c r="H529" s="12"/>
      <c r="I529" s="12"/>
      <c r="J529" s="12"/>
      <c r="L529" s="10"/>
      <c r="M529" s="9"/>
    </row>
    <row r="530" spans="3:18">
      <c r="C530" s="10"/>
      <c r="E530" s="12"/>
      <c r="F530" s="12"/>
      <c r="G530" s="12"/>
      <c r="H530" s="12"/>
      <c r="I530" s="12"/>
      <c r="J530" s="12"/>
      <c r="L530" s="10"/>
      <c r="M530" s="9"/>
    </row>
    <row r="531" spans="3:18">
      <c r="C531" s="10"/>
      <c r="E531" s="12"/>
      <c r="F531" s="12"/>
      <c r="G531" s="12"/>
      <c r="H531" s="12"/>
      <c r="I531" s="12"/>
      <c r="J531" s="12"/>
      <c r="L531" s="10"/>
      <c r="M531" s="9"/>
    </row>
    <row r="532" spans="3:18">
      <c r="C532" s="10"/>
      <c r="E532" s="12"/>
      <c r="F532" s="12"/>
      <c r="G532" s="12"/>
      <c r="H532" s="12"/>
      <c r="I532" s="12"/>
      <c r="J532" s="12"/>
      <c r="L532" s="10"/>
      <c r="M532" s="9"/>
    </row>
    <row r="533" spans="3:18">
      <c r="C533" s="10"/>
      <c r="E533" s="12"/>
      <c r="F533" s="12"/>
      <c r="G533" s="12"/>
      <c r="H533" s="12"/>
      <c r="I533" s="12"/>
      <c r="J533" s="12"/>
      <c r="L533" s="10"/>
      <c r="M533" s="9"/>
    </row>
    <row r="534" spans="3:18">
      <c r="C534" s="10"/>
      <c r="E534" s="12"/>
      <c r="F534" s="12"/>
      <c r="G534" s="12"/>
      <c r="H534" s="12"/>
      <c r="I534" s="12"/>
      <c r="J534" s="12"/>
      <c r="L534" s="10"/>
      <c r="M534" s="9"/>
    </row>
    <row r="535" spans="3:18">
      <c r="C535" s="10"/>
      <c r="E535" s="12"/>
      <c r="F535" s="12"/>
      <c r="G535" s="12"/>
      <c r="H535" s="12"/>
      <c r="I535" s="12"/>
      <c r="J535" s="12"/>
      <c r="L535" s="10"/>
      <c r="M535" s="9"/>
    </row>
    <row r="536" spans="3:18">
      <c r="C536" s="10"/>
      <c r="E536" s="12"/>
      <c r="F536" s="12"/>
      <c r="G536" s="12"/>
      <c r="H536" s="12"/>
      <c r="I536" s="12"/>
      <c r="J536" s="12"/>
      <c r="L536" s="10"/>
      <c r="M536" s="9"/>
    </row>
    <row r="537" spans="3:18" s="9" customFormat="1">
      <c r="C537" s="10"/>
      <c r="D537" s="10"/>
      <c r="E537" s="11"/>
      <c r="F537" s="11"/>
      <c r="G537" s="11"/>
      <c r="H537" s="11"/>
      <c r="I537" s="11"/>
      <c r="J537" s="11"/>
      <c r="K537" s="12"/>
      <c r="L537" s="10"/>
      <c r="P537" s="10"/>
      <c r="Q537" s="10"/>
      <c r="R537" s="10"/>
    </row>
    <row r="538" spans="3:18" s="9" customFormat="1">
      <c r="C538" s="10"/>
      <c r="D538" s="10"/>
      <c r="E538" s="11"/>
      <c r="F538" s="11"/>
      <c r="G538" s="11"/>
      <c r="H538" s="11"/>
      <c r="I538" s="11"/>
      <c r="J538" s="11"/>
      <c r="K538" s="12"/>
      <c r="L538" s="10"/>
      <c r="P538" s="10"/>
      <c r="Q538" s="10"/>
      <c r="R538" s="10"/>
    </row>
    <row r="539" spans="3:18" s="9" customFormat="1">
      <c r="C539" s="10"/>
      <c r="D539" s="10"/>
      <c r="E539" s="11"/>
      <c r="F539" s="11"/>
      <c r="G539" s="11"/>
      <c r="H539" s="11"/>
      <c r="I539" s="11"/>
      <c r="J539" s="11"/>
      <c r="K539" s="12"/>
      <c r="L539" s="10"/>
      <c r="P539" s="10"/>
      <c r="Q539" s="10"/>
      <c r="R539" s="10"/>
    </row>
    <row r="540" spans="3:18" s="9" customFormat="1">
      <c r="C540" s="10"/>
      <c r="D540" s="10"/>
      <c r="E540" s="11"/>
      <c r="F540" s="11"/>
      <c r="G540" s="11"/>
      <c r="H540" s="11"/>
      <c r="I540" s="11"/>
      <c r="J540" s="11"/>
      <c r="K540" s="12"/>
      <c r="L540" s="10"/>
      <c r="P540" s="10"/>
      <c r="Q540" s="10"/>
      <c r="R540" s="10"/>
    </row>
    <row r="541" spans="3:18" s="9" customFormat="1">
      <c r="C541" s="10"/>
      <c r="D541" s="10"/>
      <c r="E541" s="11"/>
      <c r="F541" s="11"/>
      <c r="G541" s="11"/>
      <c r="H541" s="11"/>
      <c r="I541" s="11"/>
      <c r="J541" s="11"/>
      <c r="K541" s="12"/>
      <c r="L541" s="10"/>
      <c r="P541" s="10"/>
      <c r="Q541" s="10"/>
      <c r="R541" s="10"/>
    </row>
    <row r="542" spans="3:18" s="9" customFormat="1">
      <c r="C542" s="10"/>
      <c r="D542" s="10"/>
      <c r="E542" s="11"/>
      <c r="F542" s="11"/>
      <c r="G542" s="11"/>
      <c r="H542" s="11"/>
      <c r="I542" s="11"/>
      <c r="J542" s="11"/>
      <c r="K542" s="12"/>
      <c r="L542" s="10"/>
      <c r="P542" s="10"/>
      <c r="Q542" s="10"/>
      <c r="R542" s="10"/>
    </row>
    <row r="543" spans="3:18" s="9" customFormat="1">
      <c r="C543" s="10"/>
      <c r="D543" s="10"/>
      <c r="E543" s="11"/>
      <c r="F543" s="11"/>
      <c r="G543" s="11"/>
      <c r="H543" s="11"/>
      <c r="I543" s="11"/>
      <c r="J543" s="11"/>
      <c r="K543" s="12"/>
      <c r="L543" s="10"/>
      <c r="P543" s="10"/>
      <c r="Q543" s="10"/>
      <c r="R543" s="10"/>
    </row>
    <row r="544" spans="3:18" s="9" customFormat="1">
      <c r="C544" s="10"/>
      <c r="D544" s="10"/>
      <c r="E544" s="11"/>
      <c r="F544" s="11"/>
      <c r="G544" s="11"/>
      <c r="H544" s="11"/>
      <c r="I544" s="11"/>
      <c r="J544" s="11"/>
      <c r="K544" s="12"/>
      <c r="L544" s="10"/>
      <c r="P544" s="10"/>
      <c r="Q544" s="10"/>
      <c r="R544" s="10"/>
    </row>
    <row r="545" spans="3:18" s="9" customFormat="1">
      <c r="C545" s="10"/>
      <c r="D545" s="10"/>
      <c r="E545" s="11"/>
      <c r="F545" s="11"/>
      <c r="G545" s="11"/>
      <c r="H545" s="11"/>
      <c r="I545" s="11"/>
      <c r="J545" s="11"/>
      <c r="K545" s="12"/>
      <c r="L545" s="10"/>
      <c r="P545" s="10"/>
      <c r="Q545" s="10"/>
      <c r="R545" s="10"/>
    </row>
    <row r="546" spans="3:18" s="9" customFormat="1">
      <c r="C546" s="10"/>
      <c r="D546" s="10"/>
      <c r="E546" s="11"/>
      <c r="F546" s="11"/>
      <c r="G546" s="11"/>
      <c r="H546" s="11"/>
      <c r="I546" s="11"/>
      <c r="J546" s="11"/>
      <c r="K546" s="12"/>
      <c r="L546" s="10"/>
      <c r="P546" s="10"/>
      <c r="Q546" s="10"/>
      <c r="R546" s="10"/>
    </row>
    <row r="547" spans="3:18" s="9" customFormat="1">
      <c r="C547" s="10"/>
      <c r="D547" s="10"/>
      <c r="E547" s="11"/>
      <c r="F547" s="11"/>
      <c r="G547" s="11"/>
      <c r="H547" s="11"/>
      <c r="I547" s="11"/>
      <c r="J547" s="11"/>
      <c r="K547" s="12"/>
      <c r="L547" s="10"/>
      <c r="P547" s="10"/>
      <c r="Q547" s="10"/>
      <c r="R547" s="10"/>
    </row>
    <row r="548" spans="3:18" s="9" customFormat="1">
      <c r="C548" s="10"/>
      <c r="D548" s="10"/>
      <c r="E548" s="11"/>
      <c r="F548" s="11"/>
      <c r="G548" s="11"/>
      <c r="H548" s="11"/>
      <c r="I548" s="11"/>
      <c r="J548" s="11"/>
      <c r="K548" s="12"/>
      <c r="L548" s="10"/>
      <c r="P548" s="10"/>
      <c r="Q548" s="10"/>
      <c r="R548" s="10"/>
    </row>
    <row r="549" spans="3:18" s="9" customFormat="1">
      <c r="C549" s="10"/>
      <c r="D549" s="10"/>
      <c r="E549" s="11"/>
      <c r="F549" s="11"/>
      <c r="G549" s="11"/>
      <c r="H549" s="11"/>
      <c r="I549" s="11"/>
      <c r="J549" s="11"/>
      <c r="K549" s="12"/>
      <c r="L549" s="10"/>
      <c r="P549" s="10"/>
      <c r="Q549" s="10"/>
      <c r="R549" s="10"/>
    </row>
    <row r="550" spans="3:18" s="9" customFormat="1">
      <c r="C550" s="10"/>
      <c r="D550" s="10"/>
      <c r="E550" s="11"/>
      <c r="F550" s="11"/>
      <c r="G550" s="11"/>
      <c r="H550" s="11"/>
      <c r="I550" s="11"/>
      <c r="J550" s="11"/>
      <c r="K550" s="12"/>
      <c r="L550" s="10"/>
      <c r="P550" s="10"/>
      <c r="Q550" s="10"/>
      <c r="R550" s="10"/>
    </row>
    <row r="551" spans="3:18" s="9" customFormat="1">
      <c r="C551" s="10"/>
      <c r="D551" s="10"/>
      <c r="E551" s="11"/>
      <c r="F551" s="11"/>
      <c r="G551" s="11"/>
      <c r="H551" s="11"/>
      <c r="I551" s="11"/>
      <c r="J551" s="11"/>
      <c r="K551" s="12"/>
      <c r="L551" s="10"/>
      <c r="P551" s="10"/>
      <c r="Q551" s="10"/>
      <c r="R551" s="10"/>
    </row>
    <row r="552" spans="3:18" s="9" customFormat="1">
      <c r="C552" s="10"/>
      <c r="D552" s="10"/>
      <c r="E552" s="11"/>
      <c r="F552" s="11"/>
      <c r="G552" s="11"/>
      <c r="H552" s="11"/>
      <c r="I552" s="11"/>
      <c r="J552" s="11"/>
      <c r="K552" s="12"/>
      <c r="L552" s="10"/>
      <c r="P552" s="10"/>
      <c r="Q552" s="10"/>
      <c r="R552" s="10"/>
    </row>
    <row r="553" spans="3:18" s="9" customFormat="1">
      <c r="C553" s="10"/>
      <c r="D553" s="10"/>
      <c r="E553" s="11"/>
      <c r="F553" s="11"/>
      <c r="G553" s="11"/>
      <c r="H553" s="11"/>
      <c r="I553" s="11"/>
      <c r="J553" s="11"/>
      <c r="K553" s="12"/>
      <c r="L553" s="10"/>
      <c r="P553" s="10"/>
      <c r="Q553" s="10"/>
      <c r="R553" s="10"/>
    </row>
    <row r="554" spans="3:18" s="9" customFormat="1">
      <c r="C554" s="10"/>
      <c r="D554" s="10"/>
      <c r="E554" s="11"/>
      <c r="F554" s="11"/>
      <c r="G554" s="11"/>
      <c r="H554" s="11"/>
      <c r="I554" s="11"/>
      <c r="J554" s="11"/>
      <c r="K554" s="12"/>
      <c r="L554" s="10"/>
      <c r="P554" s="10"/>
      <c r="Q554" s="10"/>
      <c r="R554" s="10"/>
    </row>
    <row r="555" spans="3:18" s="9" customFormat="1">
      <c r="C555" s="10"/>
      <c r="D555" s="10"/>
      <c r="E555" s="11"/>
      <c r="F555" s="11"/>
      <c r="G555" s="11"/>
      <c r="H555" s="11"/>
      <c r="I555" s="11"/>
      <c r="J555" s="11"/>
      <c r="K555" s="12"/>
      <c r="L555" s="10"/>
      <c r="P555" s="10"/>
      <c r="Q555" s="10"/>
      <c r="R555" s="10"/>
    </row>
    <row r="556" spans="3:18" s="9" customFormat="1">
      <c r="C556" s="10"/>
      <c r="D556" s="10"/>
      <c r="E556" s="11"/>
      <c r="F556" s="11"/>
      <c r="G556" s="11"/>
      <c r="H556" s="11"/>
      <c r="I556" s="11"/>
      <c r="J556" s="11"/>
      <c r="K556" s="12"/>
      <c r="L556" s="10"/>
      <c r="P556" s="10"/>
      <c r="Q556" s="10"/>
      <c r="R556" s="10"/>
    </row>
    <row r="557" spans="3:18" s="9" customFormat="1">
      <c r="C557" s="10"/>
      <c r="D557" s="10"/>
      <c r="E557" s="11"/>
      <c r="F557" s="11"/>
      <c r="G557" s="11"/>
      <c r="H557" s="11"/>
      <c r="I557" s="11"/>
      <c r="J557" s="11"/>
      <c r="K557" s="12"/>
      <c r="L557" s="10"/>
      <c r="P557" s="10"/>
      <c r="Q557" s="10"/>
      <c r="R557" s="10"/>
    </row>
    <row r="558" spans="3:18" s="9" customFormat="1">
      <c r="C558" s="10"/>
      <c r="D558" s="10"/>
      <c r="E558" s="11"/>
      <c r="F558" s="11"/>
      <c r="G558" s="11"/>
      <c r="H558" s="11"/>
      <c r="I558" s="11"/>
      <c r="J558" s="11"/>
      <c r="K558" s="12"/>
      <c r="L558" s="10"/>
      <c r="P558" s="10"/>
      <c r="Q558" s="10"/>
      <c r="R558" s="10"/>
    </row>
    <row r="559" spans="3:18" s="9" customFormat="1">
      <c r="C559" s="10"/>
      <c r="D559" s="10"/>
      <c r="E559" s="11"/>
      <c r="F559" s="11"/>
      <c r="G559" s="11"/>
      <c r="H559" s="11"/>
      <c r="I559" s="11"/>
      <c r="J559" s="11"/>
      <c r="K559" s="12"/>
      <c r="L559" s="10"/>
      <c r="P559" s="10"/>
      <c r="Q559" s="10"/>
      <c r="R559" s="10"/>
    </row>
    <row r="560" spans="3:18" s="9" customFormat="1">
      <c r="C560" s="10"/>
      <c r="D560" s="10"/>
      <c r="E560" s="11"/>
      <c r="F560" s="11"/>
      <c r="G560" s="11"/>
      <c r="H560" s="11"/>
      <c r="I560" s="11"/>
      <c r="J560" s="11"/>
      <c r="K560" s="12"/>
      <c r="L560" s="10"/>
      <c r="P560" s="10"/>
      <c r="Q560" s="10"/>
      <c r="R560" s="10"/>
    </row>
    <row r="561" spans="3:18" s="9" customFormat="1">
      <c r="C561" s="10"/>
      <c r="D561" s="10"/>
      <c r="E561" s="11"/>
      <c r="F561" s="11"/>
      <c r="G561" s="11"/>
      <c r="H561" s="11"/>
      <c r="I561" s="11"/>
      <c r="J561" s="11"/>
      <c r="K561" s="12"/>
      <c r="L561" s="10"/>
      <c r="P561" s="10"/>
      <c r="Q561" s="10"/>
      <c r="R561" s="10"/>
    </row>
    <row r="562" spans="3:18" s="9" customFormat="1">
      <c r="C562" s="10"/>
      <c r="D562" s="10"/>
      <c r="E562" s="11"/>
      <c r="F562" s="11"/>
      <c r="G562" s="11"/>
      <c r="H562" s="11"/>
      <c r="I562" s="11"/>
      <c r="J562" s="11"/>
      <c r="K562" s="12"/>
      <c r="L562" s="10"/>
      <c r="P562" s="10"/>
      <c r="Q562" s="10"/>
      <c r="R562" s="10"/>
    </row>
    <row r="563" spans="3:18" s="9" customFormat="1">
      <c r="C563" s="10"/>
      <c r="D563" s="10"/>
      <c r="E563" s="11"/>
      <c r="F563" s="11"/>
      <c r="G563" s="11"/>
      <c r="H563" s="11"/>
      <c r="I563" s="11"/>
      <c r="J563" s="11"/>
      <c r="K563" s="12"/>
      <c r="L563" s="10"/>
      <c r="P563" s="10"/>
      <c r="Q563" s="10"/>
      <c r="R563" s="10"/>
    </row>
    <row r="564" spans="3:18" s="9" customFormat="1">
      <c r="C564" s="10"/>
      <c r="D564" s="10"/>
      <c r="E564" s="11"/>
      <c r="F564" s="11"/>
      <c r="G564" s="11"/>
      <c r="H564" s="11"/>
      <c r="I564" s="11"/>
      <c r="J564" s="11"/>
      <c r="K564" s="12"/>
      <c r="L564" s="10"/>
      <c r="P564" s="10"/>
      <c r="Q564" s="10"/>
      <c r="R564" s="10"/>
    </row>
    <row r="565" spans="3:18" s="9" customFormat="1">
      <c r="C565" s="10"/>
      <c r="D565" s="10"/>
      <c r="E565" s="11"/>
      <c r="F565" s="11"/>
      <c r="G565" s="11"/>
      <c r="H565" s="11"/>
      <c r="I565" s="11"/>
      <c r="J565" s="11"/>
      <c r="K565" s="12"/>
      <c r="L565" s="10"/>
      <c r="P565" s="10"/>
      <c r="Q565" s="10"/>
      <c r="R565" s="10"/>
    </row>
    <row r="566" spans="3:18" s="9" customFormat="1">
      <c r="C566" s="10"/>
      <c r="D566" s="10"/>
      <c r="E566" s="11"/>
      <c r="F566" s="11"/>
      <c r="G566" s="11"/>
      <c r="H566" s="11"/>
      <c r="I566" s="11"/>
      <c r="J566" s="11"/>
      <c r="K566" s="12"/>
      <c r="L566" s="10"/>
      <c r="P566" s="10"/>
      <c r="Q566" s="10"/>
      <c r="R566" s="10"/>
    </row>
    <row r="567" spans="3:18" s="9" customFormat="1">
      <c r="C567" s="10"/>
      <c r="D567" s="10"/>
      <c r="E567" s="11"/>
      <c r="F567" s="11"/>
      <c r="G567" s="11"/>
      <c r="H567" s="11"/>
      <c r="I567" s="11"/>
      <c r="J567" s="11"/>
      <c r="K567" s="12"/>
      <c r="L567" s="10"/>
      <c r="P567" s="10"/>
      <c r="Q567" s="10"/>
      <c r="R567" s="10"/>
    </row>
    <row r="568" spans="3:18" s="9" customFormat="1">
      <c r="C568" s="10"/>
      <c r="D568" s="10"/>
      <c r="E568" s="11"/>
      <c r="F568" s="11"/>
      <c r="G568" s="11"/>
      <c r="H568" s="11"/>
      <c r="I568" s="11"/>
      <c r="J568" s="11"/>
      <c r="K568" s="12"/>
      <c r="L568" s="10"/>
      <c r="P568" s="10"/>
      <c r="Q568" s="10"/>
      <c r="R568" s="10"/>
    </row>
    <row r="569" spans="3:18" s="9" customFormat="1">
      <c r="C569" s="10"/>
      <c r="D569" s="10"/>
      <c r="E569" s="11"/>
      <c r="F569" s="11"/>
      <c r="G569" s="11"/>
      <c r="H569" s="11"/>
      <c r="I569" s="11"/>
      <c r="J569" s="11"/>
      <c r="K569" s="12"/>
      <c r="L569" s="10"/>
      <c r="P569" s="10"/>
      <c r="Q569" s="10"/>
      <c r="R569" s="10"/>
    </row>
    <row r="570" spans="3:18" s="9" customFormat="1">
      <c r="C570" s="10"/>
      <c r="D570" s="10"/>
      <c r="E570" s="11"/>
      <c r="F570" s="11"/>
      <c r="G570" s="11"/>
      <c r="H570" s="11"/>
      <c r="I570" s="11"/>
      <c r="J570" s="11"/>
      <c r="K570" s="12"/>
      <c r="L570" s="10"/>
      <c r="P570" s="10"/>
      <c r="Q570" s="10"/>
      <c r="R570" s="10"/>
    </row>
    <row r="571" spans="3:18" s="9" customFormat="1">
      <c r="C571" s="10"/>
      <c r="D571" s="10"/>
      <c r="E571" s="11"/>
      <c r="F571" s="11"/>
      <c r="G571" s="11"/>
      <c r="H571" s="11"/>
      <c r="I571" s="11"/>
      <c r="J571" s="11"/>
      <c r="K571" s="12"/>
      <c r="L571" s="10"/>
      <c r="P571" s="10"/>
      <c r="Q571" s="10"/>
      <c r="R571" s="10"/>
    </row>
    <row r="572" spans="3:18" s="9" customFormat="1">
      <c r="C572" s="10"/>
      <c r="D572" s="10"/>
      <c r="E572" s="11"/>
      <c r="F572" s="11"/>
      <c r="G572" s="11"/>
      <c r="H572" s="11"/>
      <c r="I572" s="11"/>
      <c r="J572" s="11"/>
      <c r="K572" s="12"/>
      <c r="L572" s="10"/>
      <c r="P572" s="10"/>
      <c r="Q572" s="10"/>
      <c r="R572" s="10"/>
    </row>
    <row r="573" spans="3:18" s="9" customFormat="1">
      <c r="C573" s="10"/>
      <c r="D573" s="10"/>
      <c r="E573" s="11"/>
      <c r="F573" s="11"/>
      <c r="G573" s="11"/>
      <c r="H573" s="11"/>
      <c r="I573" s="11"/>
      <c r="J573" s="11"/>
      <c r="K573" s="12"/>
      <c r="L573" s="10"/>
      <c r="P573" s="10"/>
      <c r="Q573" s="10"/>
      <c r="R573" s="10"/>
    </row>
    <row r="574" spans="3:18" s="9" customFormat="1">
      <c r="C574" s="10"/>
      <c r="D574" s="10"/>
      <c r="E574" s="11"/>
      <c r="F574" s="11"/>
      <c r="G574" s="11"/>
      <c r="H574" s="11"/>
      <c r="I574" s="11"/>
      <c r="J574" s="11"/>
      <c r="K574" s="12"/>
      <c r="L574" s="10"/>
      <c r="P574" s="10"/>
      <c r="Q574" s="10"/>
      <c r="R574" s="10"/>
    </row>
    <row r="575" spans="3:18" s="9" customFormat="1">
      <c r="C575" s="10"/>
      <c r="D575" s="10"/>
      <c r="E575" s="11"/>
      <c r="F575" s="11"/>
      <c r="G575" s="11"/>
      <c r="H575" s="11"/>
      <c r="I575" s="11"/>
      <c r="J575" s="11"/>
      <c r="K575" s="12"/>
      <c r="L575" s="10"/>
      <c r="P575" s="10"/>
      <c r="Q575" s="10"/>
      <c r="R575" s="10"/>
    </row>
    <row r="576" spans="3:18" s="9" customFormat="1">
      <c r="C576" s="10"/>
      <c r="D576" s="10"/>
      <c r="E576" s="11"/>
      <c r="F576" s="11"/>
      <c r="G576" s="11"/>
      <c r="H576" s="11"/>
      <c r="I576" s="11"/>
      <c r="J576" s="11"/>
      <c r="K576" s="12"/>
      <c r="L576" s="10"/>
      <c r="P576" s="10"/>
      <c r="Q576" s="10"/>
      <c r="R576" s="10"/>
    </row>
    <row r="577" spans="3:18" s="9" customFormat="1">
      <c r="C577" s="10"/>
      <c r="D577" s="10"/>
      <c r="E577" s="11"/>
      <c r="F577" s="11"/>
      <c r="G577" s="11"/>
      <c r="H577" s="11"/>
      <c r="I577" s="11"/>
      <c r="J577" s="11"/>
      <c r="K577" s="12"/>
      <c r="L577" s="10"/>
      <c r="P577" s="10"/>
      <c r="Q577" s="10"/>
      <c r="R577" s="10"/>
    </row>
    <row r="578" spans="3:18" s="9" customFormat="1">
      <c r="C578" s="10"/>
      <c r="D578" s="10"/>
      <c r="E578" s="11"/>
      <c r="F578" s="11"/>
      <c r="G578" s="11"/>
      <c r="H578" s="11"/>
      <c r="I578" s="11"/>
      <c r="J578" s="11"/>
      <c r="K578" s="12"/>
      <c r="L578" s="10"/>
      <c r="P578" s="10"/>
      <c r="Q578" s="10"/>
      <c r="R578" s="10"/>
    </row>
    <row r="579" spans="3:18" s="9" customFormat="1">
      <c r="C579" s="10"/>
      <c r="D579" s="10"/>
      <c r="E579" s="11"/>
      <c r="F579" s="11"/>
      <c r="G579" s="11"/>
      <c r="H579" s="11"/>
      <c r="I579" s="11"/>
      <c r="J579" s="11"/>
      <c r="K579" s="12"/>
      <c r="L579" s="10"/>
      <c r="P579" s="10"/>
      <c r="Q579" s="10"/>
      <c r="R579" s="10"/>
    </row>
    <row r="580" spans="3:18" s="9" customFormat="1">
      <c r="C580" s="10"/>
      <c r="D580" s="10"/>
      <c r="E580" s="11"/>
      <c r="F580" s="11"/>
      <c r="G580" s="11"/>
      <c r="H580" s="11"/>
      <c r="I580" s="11"/>
      <c r="J580" s="11"/>
      <c r="K580" s="12"/>
      <c r="L580" s="10"/>
      <c r="P580" s="10"/>
      <c r="Q580" s="10"/>
      <c r="R580" s="10"/>
    </row>
    <row r="581" spans="3:18" s="9" customFormat="1">
      <c r="C581" s="10"/>
      <c r="D581" s="10"/>
      <c r="E581" s="11"/>
      <c r="F581" s="11"/>
      <c r="G581" s="11"/>
      <c r="H581" s="11"/>
      <c r="I581" s="11"/>
      <c r="J581" s="11"/>
      <c r="K581" s="12"/>
      <c r="L581" s="10"/>
      <c r="P581" s="10"/>
      <c r="Q581" s="10"/>
      <c r="R581" s="10"/>
    </row>
    <row r="582" spans="3:18" s="9" customFormat="1">
      <c r="C582" s="10"/>
      <c r="D582" s="10"/>
      <c r="E582" s="11"/>
      <c r="F582" s="11"/>
      <c r="G582" s="11"/>
      <c r="H582" s="11"/>
      <c r="I582" s="11"/>
      <c r="J582" s="11"/>
      <c r="K582" s="12"/>
      <c r="L582" s="10"/>
      <c r="P582" s="10"/>
      <c r="Q582" s="10"/>
      <c r="R582" s="10"/>
    </row>
    <row r="583" spans="3:18" s="9" customFormat="1">
      <c r="C583" s="10"/>
      <c r="D583" s="10"/>
      <c r="E583" s="11"/>
      <c r="F583" s="11"/>
      <c r="G583" s="11"/>
      <c r="H583" s="11"/>
      <c r="I583" s="11"/>
      <c r="J583" s="11"/>
      <c r="K583" s="12"/>
      <c r="L583" s="10"/>
      <c r="P583" s="10"/>
      <c r="Q583" s="10"/>
      <c r="R583" s="10"/>
    </row>
    <row r="584" spans="3:18" s="9" customFormat="1">
      <c r="C584" s="10"/>
      <c r="D584" s="10"/>
      <c r="E584" s="11"/>
      <c r="F584" s="11"/>
      <c r="G584" s="11"/>
      <c r="H584" s="11"/>
      <c r="I584" s="11"/>
      <c r="J584" s="11"/>
      <c r="K584" s="12"/>
      <c r="L584" s="10"/>
      <c r="P584" s="10"/>
      <c r="Q584" s="10"/>
      <c r="R584" s="10"/>
    </row>
    <row r="585" spans="3:18" s="9" customFormat="1">
      <c r="C585" s="10"/>
      <c r="D585" s="10"/>
      <c r="E585" s="11"/>
      <c r="F585" s="11"/>
      <c r="G585" s="11"/>
      <c r="H585" s="11"/>
      <c r="I585" s="11"/>
      <c r="J585" s="11"/>
      <c r="K585" s="12"/>
      <c r="L585" s="10"/>
      <c r="P585" s="10"/>
      <c r="Q585" s="10"/>
      <c r="R585" s="10"/>
    </row>
    <row r="586" spans="3:18" s="9" customFormat="1">
      <c r="C586" s="10"/>
      <c r="D586" s="10"/>
      <c r="E586" s="11"/>
      <c r="F586" s="11"/>
      <c r="G586" s="11"/>
      <c r="H586" s="11"/>
      <c r="I586" s="11"/>
      <c r="J586" s="11"/>
      <c r="K586" s="12"/>
      <c r="L586" s="10"/>
      <c r="P586" s="10"/>
      <c r="Q586" s="10"/>
      <c r="R586" s="10"/>
    </row>
    <row r="587" spans="3:18" s="9" customFormat="1">
      <c r="C587" s="10"/>
      <c r="D587" s="10"/>
      <c r="E587" s="11"/>
      <c r="F587" s="11"/>
      <c r="G587" s="11"/>
      <c r="H587" s="11"/>
      <c r="I587" s="11"/>
      <c r="J587" s="11"/>
      <c r="K587" s="12"/>
      <c r="L587" s="10"/>
      <c r="P587" s="10"/>
      <c r="Q587" s="10"/>
      <c r="R587" s="10"/>
    </row>
    <row r="588" spans="3:18" s="9" customFormat="1">
      <c r="C588" s="10"/>
      <c r="D588" s="10"/>
      <c r="E588" s="11"/>
      <c r="F588" s="11"/>
      <c r="G588" s="11"/>
      <c r="H588" s="11"/>
      <c r="I588" s="11"/>
      <c r="J588" s="11"/>
      <c r="K588" s="12"/>
      <c r="L588" s="10"/>
      <c r="P588" s="10"/>
      <c r="Q588" s="10"/>
      <c r="R588" s="10"/>
    </row>
    <row r="589" spans="3:18" s="9" customFormat="1">
      <c r="C589" s="10"/>
      <c r="D589" s="10"/>
      <c r="E589" s="11"/>
      <c r="F589" s="11"/>
      <c r="G589" s="11"/>
      <c r="H589" s="11"/>
      <c r="I589" s="11"/>
      <c r="J589" s="11"/>
      <c r="K589" s="12"/>
      <c r="L589" s="10"/>
      <c r="P589" s="10"/>
      <c r="Q589" s="10"/>
      <c r="R589" s="10"/>
    </row>
    <row r="590" spans="3:18" s="9" customFormat="1">
      <c r="C590" s="10"/>
      <c r="D590" s="10"/>
      <c r="E590" s="11"/>
      <c r="F590" s="11"/>
      <c r="G590" s="11"/>
      <c r="H590" s="11"/>
      <c r="I590" s="11"/>
      <c r="J590" s="11"/>
      <c r="K590" s="12"/>
      <c r="L590" s="10"/>
      <c r="P590" s="10"/>
      <c r="Q590" s="10"/>
      <c r="R590" s="10"/>
    </row>
    <row r="591" spans="3:18" s="9" customFormat="1">
      <c r="C591" s="10"/>
      <c r="D591" s="10"/>
      <c r="E591" s="11"/>
      <c r="F591" s="11"/>
      <c r="G591" s="11"/>
      <c r="H591" s="11"/>
      <c r="I591" s="11"/>
      <c r="J591" s="11"/>
      <c r="K591" s="12"/>
      <c r="L591" s="10"/>
      <c r="P591" s="10"/>
      <c r="Q591" s="10"/>
      <c r="R591" s="10"/>
    </row>
    <row r="592" spans="3:18" s="9" customFormat="1">
      <c r="C592" s="10"/>
      <c r="D592" s="10"/>
      <c r="E592" s="11"/>
      <c r="F592" s="11"/>
      <c r="G592" s="11"/>
      <c r="H592" s="11"/>
      <c r="I592" s="11"/>
      <c r="J592" s="11"/>
      <c r="K592" s="12"/>
      <c r="L592" s="10"/>
      <c r="P592" s="10"/>
      <c r="Q592" s="10"/>
      <c r="R592" s="10"/>
    </row>
    <row r="593" spans="3:18" s="9" customFormat="1">
      <c r="C593" s="10"/>
      <c r="D593" s="10"/>
      <c r="E593" s="11"/>
      <c r="F593" s="11"/>
      <c r="G593" s="11"/>
      <c r="H593" s="11"/>
      <c r="I593" s="11"/>
      <c r="J593" s="11"/>
      <c r="K593" s="12"/>
      <c r="L593" s="10"/>
      <c r="P593" s="10"/>
      <c r="Q593" s="10"/>
      <c r="R593" s="10"/>
    </row>
    <row r="594" spans="3:18" s="9" customFormat="1">
      <c r="C594" s="10"/>
      <c r="D594" s="10"/>
      <c r="E594" s="11"/>
      <c r="F594" s="11"/>
      <c r="G594" s="11"/>
      <c r="H594" s="11"/>
      <c r="I594" s="11"/>
      <c r="J594" s="11"/>
      <c r="K594" s="12"/>
      <c r="L594" s="10"/>
      <c r="P594" s="10"/>
      <c r="Q594" s="10"/>
      <c r="R594" s="10"/>
    </row>
    <row r="595" spans="3:18" s="9" customFormat="1">
      <c r="C595" s="10"/>
      <c r="D595" s="10"/>
      <c r="E595" s="11"/>
      <c r="F595" s="11"/>
      <c r="G595" s="11"/>
      <c r="H595" s="11"/>
      <c r="I595" s="11"/>
      <c r="J595" s="11"/>
      <c r="K595" s="12"/>
      <c r="L595" s="10"/>
      <c r="P595" s="10"/>
      <c r="Q595" s="10"/>
      <c r="R595" s="10"/>
    </row>
    <row r="596" spans="3:18" s="9" customFormat="1">
      <c r="C596" s="10"/>
      <c r="D596" s="10"/>
      <c r="E596" s="11"/>
      <c r="F596" s="11"/>
      <c r="G596" s="11"/>
      <c r="H596" s="11"/>
      <c r="I596" s="11"/>
      <c r="J596" s="11"/>
      <c r="K596" s="12"/>
      <c r="L596" s="10"/>
      <c r="P596" s="10"/>
      <c r="Q596" s="10"/>
      <c r="R596" s="10"/>
    </row>
    <row r="597" spans="3:18" s="9" customFormat="1">
      <c r="C597" s="10"/>
      <c r="D597" s="10"/>
      <c r="E597" s="11"/>
      <c r="F597" s="11"/>
      <c r="G597" s="11"/>
      <c r="H597" s="11"/>
      <c r="I597" s="11"/>
      <c r="J597" s="11"/>
      <c r="K597" s="12"/>
      <c r="L597" s="10"/>
      <c r="P597" s="10"/>
      <c r="Q597" s="10"/>
      <c r="R597" s="10"/>
    </row>
    <row r="598" spans="3:18" s="9" customFormat="1">
      <c r="C598" s="10"/>
      <c r="D598" s="10"/>
      <c r="E598" s="11"/>
      <c r="F598" s="11"/>
      <c r="G598" s="11"/>
      <c r="H598" s="11"/>
      <c r="I598" s="11"/>
      <c r="J598" s="11"/>
      <c r="K598" s="12"/>
      <c r="L598" s="10"/>
      <c r="P598" s="10"/>
      <c r="Q598" s="10"/>
      <c r="R598" s="10"/>
    </row>
    <row r="599" spans="3:18" s="9" customFormat="1">
      <c r="C599" s="10"/>
      <c r="D599" s="10"/>
      <c r="E599" s="11"/>
      <c r="F599" s="11"/>
      <c r="G599" s="11"/>
      <c r="H599" s="11"/>
      <c r="I599" s="11"/>
      <c r="J599" s="11"/>
      <c r="K599" s="12"/>
      <c r="L599" s="10"/>
      <c r="P599" s="10"/>
      <c r="Q599" s="10"/>
      <c r="R599" s="10"/>
    </row>
    <row r="600" spans="3:18" s="9" customFormat="1">
      <c r="C600" s="10"/>
      <c r="D600" s="10"/>
      <c r="E600" s="11"/>
      <c r="F600" s="11"/>
      <c r="G600" s="11"/>
      <c r="H600" s="11"/>
      <c r="I600" s="11"/>
      <c r="J600" s="11"/>
      <c r="K600" s="12"/>
      <c r="L600" s="10"/>
      <c r="P600" s="10"/>
      <c r="Q600" s="10"/>
      <c r="R600" s="10"/>
    </row>
    <row r="601" spans="3:18" s="9" customFormat="1">
      <c r="C601" s="10"/>
      <c r="D601" s="10"/>
      <c r="E601" s="11"/>
      <c r="F601" s="11"/>
      <c r="G601" s="11"/>
      <c r="H601" s="11"/>
      <c r="I601" s="11"/>
      <c r="J601" s="11"/>
      <c r="K601" s="12"/>
      <c r="L601" s="15"/>
      <c r="P601" s="10"/>
      <c r="Q601" s="10"/>
      <c r="R601" s="10"/>
    </row>
    <row r="602" spans="3:18" s="9" customFormat="1">
      <c r="C602" s="10"/>
      <c r="D602" s="10"/>
      <c r="E602" s="11"/>
      <c r="F602" s="11"/>
      <c r="G602" s="11"/>
      <c r="H602" s="11"/>
      <c r="I602" s="11"/>
      <c r="J602" s="11"/>
      <c r="K602" s="12"/>
      <c r="L602" s="15"/>
      <c r="P602" s="10"/>
      <c r="Q602" s="10"/>
      <c r="R602" s="10"/>
    </row>
    <row r="603" spans="3:18" s="9" customFormat="1">
      <c r="C603" s="10"/>
      <c r="D603" s="10"/>
      <c r="E603" s="11"/>
      <c r="F603" s="11"/>
      <c r="G603" s="11"/>
      <c r="H603" s="11"/>
      <c r="I603" s="11"/>
      <c r="J603" s="11"/>
      <c r="K603" s="12"/>
      <c r="L603" s="15"/>
      <c r="P603" s="10"/>
      <c r="Q603" s="10"/>
      <c r="R603" s="10"/>
    </row>
    <row r="604" spans="3:18" s="9" customFormat="1">
      <c r="C604" s="10"/>
      <c r="D604" s="10"/>
      <c r="E604" s="11"/>
      <c r="F604" s="11"/>
      <c r="G604" s="11"/>
      <c r="H604" s="11"/>
      <c r="I604" s="11"/>
      <c r="J604" s="11"/>
      <c r="K604" s="12"/>
      <c r="L604" s="15"/>
      <c r="P604" s="10"/>
      <c r="Q604" s="10"/>
      <c r="R604" s="10"/>
    </row>
    <row r="605" spans="3:18" s="9" customFormat="1">
      <c r="C605" s="15"/>
      <c r="D605" s="10"/>
      <c r="E605" s="11"/>
      <c r="F605" s="11"/>
      <c r="G605" s="11"/>
      <c r="H605" s="11"/>
      <c r="I605" s="11"/>
      <c r="J605" s="11"/>
      <c r="K605" s="12"/>
      <c r="L605" s="15"/>
      <c r="P605" s="10"/>
      <c r="Q605" s="10"/>
      <c r="R605" s="10"/>
    </row>
  </sheetData>
  <mergeCells count="4">
    <mergeCell ref="L290:L292"/>
    <mergeCell ref="L316:L318"/>
    <mergeCell ref="L482:L484"/>
    <mergeCell ref="L500:L507"/>
  </mergeCells>
  <hyperlinks>
    <hyperlink ref="E1" location="'Cover Sheets'!A16" display="(Back to Worksheet Links)" xr:uid="{00000000-0004-0000-0800-000000000000}"/>
  </hyperlinks>
  <printOptions horizontalCentered="1"/>
  <pageMargins left="0.75" right="0.75" top="0.75" bottom="0.75" header="0.5" footer="0.5"/>
  <pageSetup scale="75" fitToHeight="14" orientation="landscape"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804"/>
  <sheetViews>
    <sheetView view="pageBreakPreview" zoomScale="80" zoomScaleNormal="100" zoomScaleSheetLayoutView="80" workbookViewId="0"/>
  </sheetViews>
  <sheetFormatPr defaultColWidth="8.54296875" defaultRowHeight="14.5"/>
  <cols>
    <col min="1" max="2" width="6.54296875" style="456" customWidth="1"/>
    <col min="3" max="3" width="25.54296875" style="426" customWidth="1"/>
    <col min="4" max="4" width="63.54296875" style="450" customWidth="1"/>
    <col min="5" max="5" width="9.54296875" style="428" hidden="1" customWidth="1"/>
    <col min="6" max="6" width="19.453125" style="434" hidden="1" customWidth="1"/>
    <col min="7" max="13" width="4.453125" style="450" customWidth="1"/>
    <col min="14" max="14" width="69.453125" style="450" customWidth="1"/>
    <col min="15" max="15" width="23" style="450" customWidth="1"/>
    <col min="16" max="16384" width="8.54296875" style="450"/>
  </cols>
  <sheetData>
    <row r="1" spans="1:14">
      <c r="A1" s="579" t="str">
        <f>'Cover Sheets'!A10:B10</f>
        <v>WAPA-UGP 2022 Rate Estimate Calculation</v>
      </c>
      <c r="B1" s="596"/>
      <c r="C1" s="580"/>
      <c r="D1" s="581"/>
      <c r="E1" s="582"/>
      <c r="F1" s="583"/>
      <c r="G1" s="581"/>
      <c r="H1" s="581"/>
      <c r="I1" s="581"/>
      <c r="J1" s="581"/>
      <c r="K1" s="581"/>
      <c r="L1" s="581"/>
      <c r="M1" s="581"/>
      <c r="N1" s="687" t="s">
        <v>43</v>
      </c>
    </row>
    <row r="2" spans="1:14">
      <c r="A2" s="597" t="s">
        <v>1647</v>
      </c>
      <c r="B2" s="585"/>
      <c r="C2" s="586"/>
      <c r="D2" s="484"/>
      <c r="E2" s="587"/>
      <c r="F2" s="588"/>
      <c r="G2" s="484"/>
      <c r="H2" s="484"/>
      <c r="I2" s="484"/>
      <c r="J2" s="484"/>
      <c r="K2" s="484"/>
      <c r="L2" s="484"/>
      <c r="M2" s="484"/>
      <c r="N2" s="589"/>
    </row>
    <row r="3" spans="1:14">
      <c r="A3" s="597" t="str">
        <f>'WS1-RateBase'!A4</f>
        <v>12 Months Ending 09/30/2022 ESTIMATE</v>
      </c>
      <c r="B3" s="585"/>
      <c r="C3" s="586"/>
      <c r="D3" s="484"/>
      <c r="E3" s="587"/>
      <c r="F3" s="588"/>
      <c r="G3" s="484"/>
      <c r="H3" s="484"/>
      <c r="I3" s="484"/>
      <c r="J3" s="484"/>
      <c r="K3" s="484"/>
      <c r="L3" s="484"/>
      <c r="M3" s="484"/>
      <c r="N3" s="589"/>
    </row>
    <row r="4" spans="1:14" ht="15" thickBot="1">
      <c r="A4" s="606"/>
      <c r="B4" s="607"/>
      <c r="C4" s="602"/>
      <c r="D4" s="603"/>
      <c r="E4" s="604"/>
      <c r="F4" s="605"/>
      <c r="G4" s="874" t="s">
        <v>1648</v>
      </c>
      <c r="H4" s="874"/>
      <c r="I4" s="874"/>
      <c r="J4" s="874"/>
      <c r="K4" s="874"/>
      <c r="L4" s="874"/>
      <c r="M4" s="874"/>
      <c r="N4" s="614"/>
    </row>
    <row r="5" spans="1:14" s="417" customFormat="1" ht="29">
      <c r="A5" s="608" t="s">
        <v>408</v>
      </c>
      <c r="B5" s="609" t="s">
        <v>592</v>
      </c>
      <c r="C5" s="610" t="s">
        <v>1649</v>
      </c>
      <c r="D5" s="609" t="s">
        <v>1650</v>
      </c>
      <c r="E5" s="609" t="s">
        <v>1651</v>
      </c>
      <c r="F5" s="611" t="s">
        <v>1652</v>
      </c>
      <c r="G5" s="612" t="s">
        <v>1653</v>
      </c>
      <c r="H5" s="612" t="s">
        <v>1654</v>
      </c>
      <c r="I5" s="612" t="s">
        <v>1655</v>
      </c>
      <c r="J5" s="612" t="s">
        <v>1656</v>
      </c>
      <c r="K5" s="612" t="s">
        <v>1657</v>
      </c>
      <c r="L5" s="612" t="s">
        <v>1658</v>
      </c>
      <c r="M5" s="612" t="s">
        <v>1659</v>
      </c>
      <c r="N5" s="613" t="s">
        <v>1660</v>
      </c>
    </row>
    <row r="6" spans="1:14" s="469" customFormat="1">
      <c r="A6" s="598"/>
      <c r="B6" s="590"/>
      <c r="C6" s="418" t="s">
        <v>1661</v>
      </c>
      <c r="D6" s="419"/>
      <c r="E6" s="420"/>
      <c r="F6" s="421"/>
      <c r="G6" s="422"/>
      <c r="H6" s="422"/>
      <c r="I6" s="423"/>
      <c r="J6" s="423"/>
      <c r="K6" s="424"/>
      <c r="L6" s="423"/>
      <c r="M6" s="423"/>
      <c r="N6" s="425"/>
    </row>
    <row r="7" spans="1:14">
      <c r="A7" s="416">
        <v>1</v>
      </c>
      <c r="B7" s="590" t="s">
        <v>872</v>
      </c>
      <c r="C7" s="426" t="s">
        <v>1662</v>
      </c>
      <c r="D7" s="427" t="s">
        <v>1663</v>
      </c>
      <c r="E7" s="428" t="s">
        <v>289</v>
      </c>
      <c r="F7" s="429">
        <v>5878984</v>
      </c>
      <c r="G7" s="430" t="s">
        <v>1664</v>
      </c>
      <c r="H7" s="431"/>
      <c r="I7" s="431"/>
      <c r="J7" s="431"/>
      <c r="K7" s="432"/>
      <c r="L7" s="431"/>
      <c r="M7" s="431"/>
      <c r="N7" s="433"/>
    </row>
    <row r="8" spans="1:14">
      <c r="A8" s="416">
        <f t="shared" ref="A8:A13" si="0">A7+1</f>
        <v>2</v>
      </c>
      <c r="B8" s="590"/>
      <c r="D8" s="427" t="s">
        <v>1665</v>
      </c>
      <c r="E8" s="428" t="s">
        <v>289</v>
      </c>
      <c r="G8" s="430" t="s">
        <v>1664</v>
      </c>
      <c r="H8" s="431"/>
      <c r="I8" s="431"/>
      <c r="J8" s="431"/>
      <c r="K8" s="432"/>
      <c r="L8" s="431"/>
      <c r="M8" s="431"/>
      <c r="N8" s="433"/>
    </row>
    <row r="9" spans="1:14">
      <c r="A9" s="416">
        <f t="shared" si="0"/>
        <v>3</v>
      </c>
      <c r="B9" s="590" t="s">
        <v>874</v>
      </c>
      <c r="C9" s="426" t="s">
        <v>1666</v>
      </c>
      <c r="D9" s="427" t="s">
        <v>1667</v>
      </c>
      <c r="E9" s="428" t="s">
        <v>289</v>
      </c>
      <c r="F9" s="434">
        <v>1117933</v>
      </c>
      <c r="G9" s="431" t="s">
        <v>1664</v>
      </c>
      <c r="H9" s="431"/>
      <c r="I9" s="431"/>
      <c r="J9" s="431"/>
      <c r="K9" s="432"/>
      <c r="L9" s="431"/>
      <c r="M9" s="431"/>
      <c r="N9" s="433"/>
    </row>
    <row r="10" spans="1:14">
      <c r="A10" s="416">
        <f t="shared" si="0"/>
        <v>4</v>
      </c>
      <c r="B10" s="590"/>
      <c r="D10" s="427" t="s">
        <v>1668</v>
      </c>
      <c r="E10" s="428" t="s">
        <v>289</v>
      </c>
      <c r="G10" s="431" t="s">
        <v>1664</v>
      </c>
      <c r="H10" s="431"/>
      <c r="I10" s="431"/>
      <c r="J10" s="431"/>
      <c r="K10" s="432"/>
      <c r="L10" s="431"/>
      <c r="M10" s="431"/>
      <c r="N10" s="433" t="s">
        <v>1669</v>
      </c>
    </row>
    <row r="11" spans="1:14">
      <c r="A11" s="416">
        <f t="shared" si="0"/>
        <v>5</v>
      </c>
      <c r="B11" s="590"/>
      <c r="D11" s="427" t="s">
        <v>1670</v>
      </c>
      <c r="E11" s="428" t="s">
        <v>289</v>
      </c>
      <c r="G11" s="431" t="s">
        <v>1664</v>
      </c>
      <c r="H11" s="431"/>
      <c r="I11" s="431"/>
      <c r="J11" s="431"/>
      <c r="K11" s="432"/>
      <c r="L11" s="431"/>
      <c r="M11" s="431"/>
      <c r="N11" s="433"/>
    </row>
    <row r="12" spans="1:14" ht="29">
      <c r="A12" s="416">
        <f t="shared" si="0"/>
        <v>6</v>
      </c>
      <c r="B12" s="590"/>
      <c r="D12" s="427" t="s">
        <v>1671</v>
      </c>
      <c r="E12" s="428" t="s">
        <v>289</v>
      </c>
      <c r="G12" s="431"/>
      <c r="H12" s="431" t="s">
        <v>1664</v>
      </c>
      <c r="I12" s="431"/>
      <c r="J12" s="431"/>
      <c r="K12" s="432"/>
      <c r="L12" s="431"/>
      <c r="M12" s="431"/>
      <c r="N12" s="435" t="s">
        <v>1672</v>
      </c>
    </row>
    <row r="13" spans="1:14" ht="19.5" customHeight="1">
      <c r="A13" s="416">
        <f t="shared" si="0"/>
        <v>7</v>
      </c>
      <c r="B13" s="590"/>
      <c r="D13" s="427" t="s">
        <v>1673</v>
      </c>
      <c r="E13" s="428" t="s">
        <v>289</v>
      </c>
      <c r="G13" s="431"/>
      <c r="H13" s="431" t="s">
        <v>1664</v>
      </c>
      <c r="I13" s="431"/>
      <c r="J13" s="431"/>
      <c r="K13" s="432"/>
      <c r="L13" s="431"/>
      <c r="M13" s="431"/>
      <c r="N13" s="435" t="s">
        <v>1674</v>
      </c>
    </row>
    <row r="14" spans="1:14">
      <c r="A14" s="416">
        <f t="shared" ref="A14:A76" si="1">A13+1</f>
        <v>8</v>
      </c>
      <c r="B14" s="590" t="s">
        <v>1675</v>
      </c>
      <c r="C14" s="426" t="s">
        <v>1676</v>
      </c>
      <c r="D14" s="427" t="s">
        <v>1677</v>
      </c>
      <c r="E14" s="428" t="s">
        <v>289</v>
      </c>
      <c r="F14" s="434">
        <v>63325</v>
      </c>
      <c r="G14" s="430" t="s">
        <v>1664</v>
      </c>
      <c r="H14" s="430"/>
      <c r="I14" s="431"/>
      <c r="J14" s="431"/>
      <c r="K14" s="432"/>
      <c r="L14" s="431"/>
      <c r="M14" s="431"/>
      <c r="N14" s="433"/>
    </row>
    <row r="15" spans="1:14">
      <c r="A15" s="416">
        <f t="shared" si="1"/>
        <v>9</v>
      </c>
      <c r="B15" s="590" t="s">
        <v>880</v>
      </c>
      <c r="C15" s="426" t="s">
        <v>1678</v>
      </c>
      <c r="D15" s="427" t="s">
        <v>1679</v>
      </c>
      <c r="E15" s="428" t="s">
        <v>289</v>
      </c>
      <c r="F15" s="434">
        <v>2775537</v>
      </c>
      <c r="G15" s="431" t="s">
        <v>1664</v>
      </c>
      <c r="H15" s="431"/>
      <c r="I15" s="431"/>
      <c r="J15" s="431"/>
      <c r="K15" s="432"/>
      <c r="L15" s="431"/>
      <c r="M15" s="431"/>
      <c r="N15" s="433"/>
    </row>
    <row r="16" spans="1:14">
      <c r="A16" s="416">
        <f t="shared" si="1"/>
        <v>10</v>
      </c>
      <c r="B16" s="590"/>
      <c r="D16" s="427" t="s">
        <v>1680</v>
      </c>
      <c r="E16" s="428" t="s">
        <v>289</v>
      </c>
      <c r="G16" s="431" t="s">
        <v>1664</v>
      </c>
      <c r="H16" s="431"/>
      <c r="I16" s="431"/>
      <c r="J16" s="431"/>
      <c r="K16" s="432"/>
      <c r="L16" s="431"/>
      <c r="M16" s="431"/>
      <c r="N16" s="433"/>
    </row>
    <row r="17" spans="1:14">
      <c r="A17" s="416">
        <f t="shared" si="1"/>
        <v>11</v>
      </c>
      <c r="B17" s="590"/>
      <c r="D17" s="427" t="s">
        <v>1681</v>
      </c>
      <c r="E17" s="428" t="s">
        <v>289</v>
      </c>
      <c r="G17" s="431" t="s">
        <v>1664</v>
      </c>
      <c r="H17" s="431"/>
      <c r="I17" s="431"/>
      <c r="J17" s="431"/>
      <c r="K17" s="432"/>
      <c r="L17" s="431"/>
      <c r="M17" s="431"/>
      <c r="N17" s="433"/>
    </row>
    <row r="18" spans="1:14">
      <c r="A18" s="416">
        <f t="shared" si="1"/>
        <v>12</v>
      </c>
      <c r="B18" s="590" t="s">
        <v>884</v>
      </c>
      <c r="C18" s="426" t="s">
        <v>1682</v>
      </c>
      <c r="D18" s="427" t="s">
        <v>1683</v>
      </c>
      <c r="E18" s="428" t="s">
        <v>289</v>
      </c>
      <c r="F18" s="434">
        <v>164986</v>
      </c>
      <c r="G18" s="431" t="s">
        <v>1664</v>
      </c>
      <c r="H18" s="431"/>
      <c r="I18" s="431"/>
      <c r="J18" s="431"/>
      <c r="K18" s="432"/>
      <c r="L18" s="431"/>
      <c r="M18" s="431"/>
      <c r="N18" s="433"/>
    </row>
    <row r="19" spans="1:14">
      <c r="A19" s="416">
        <f t="shared" si="1"/>
        <v>13</v>
      </c>
      <c r="B19" s="590" t="s">
        <v>886</v>
      </c>
      <c r="C19" s="426" t="s">
        <v>1684</v>
      </c>
      <c r="D19" s="427" t="s">
        <v>1685</v>
      </c>
      <c r="E19" s="428" t="s">
        <v>289</v>
      </c>
      <c r="F19" s="434">
        <v>13937668</v>
      </c>
      <c r="G19" s="431" t="s">
        <v>1664</v>
      </c>
      <c r="H19" s="431"/>
      <c r="I19" s="431"/>
      <c r="J19" s="431"/>
      <c r="K19" s="432"/>
      <c r="L19" s="431"/>
      <c r="M19" s="431"/>
      <c r="N19" s="433"/>
    </row>
    <row r="20" spans="1:14">
      <c r="A20" s="416">
        <f t="shared" si="1"/>
        <v>14</v>
      </c>
      <c r="B20" s="590"/>
      <c r="D20" s="427" t="s">
        <v>1686</v>
      </c>
      <c r="E20" s="428" t="s">
        <v>289</v>
      </c>
      <c r="G20" s="431" t="s">
        <v>1664</v>
      </c>
      <c r="H20" s="431"/>
      <c r="I20" s="431"/>
      <c r="J20" s="431"/>
      <c r="K20" s="432"/>
      <c r="L20" s="431"/>
      <c r="M20" s="431"/>
      <c r="N20" s="433"/>
    </row>
    <row r="21" spans="1:14">
      <c r="A21" s="416">
        <f t="shared" si="1"/>
        <v>15</v>
      </c>
      <c r="B21" s="590"/>
      <c r="D21" s="427" t="s">
        <v>1687</v>
      </c>
      <c r="E21" s="428" t="s">
        <v>289</v>
      </c>
      <c r="G21" s="431" t="s">
        <v>1664</v>
      </c>
      <c r="H21" s="431"/>
      <c r="I21" s="431"/>
      <c r="J21" s="431"/>
      <c r="K21" s="432"/>
      <c r="L21" s="431"/>
      <c r="M21" s="431"/>
      <c r="N21" s="433"/>
    </row>
    <row r="22" spans="1:14">
      <c r="A22" s="416">
        <f t="shared" si="1"/>
        <v>16</v>
      </c>
      <c r="B22" s="590"/>
      <c r="D22" s="427" t="s">
        <v>1688</v>
      </c>
      <c r="E22" s="428" t="s">
        <v>289</v>
      </c>
      <c r="G22" s="431" t="s">
        <v>1664</v>
      </c>
      <c r="H22" s="431"/>
      <c r="I22" s="431"/>
      <c r="J22" s="431"/>
      <c r="K22" s="431"/>
      <c r="L22" s="431"/>
      <c r="M22" s="431"/>
      <c r="N22" s="433"/>
    </row>
    <row r="23" spans="1:14">
      <c r="A23" s="416">
        <f t="shared" si="1"/>
        <v>17</v>
      </c>
      <c r="B23" s="590"/>
      <c r="D23" s="427" t="s">
        <v>1689</v>
      </c>
      <c r="E23" s="428" t="s">
        <v>289</v>
      </c>
      <c r="G23" s="431" t="s">
        <v>1664</v>
      </c>
      <c r="H23" s="431"/>
      <c r="I23" s="431"/>
      <c r="J23" s="431"/>
      <c r="K23" s="431"/>
      <c r="L23" s="431"/>
      <c r="M23" s="431"/>
      <c r="N23" s="433"/>
    </row>
    <row r="24" spans="1:14">
      <c r="A24" s="416">
        <f t="shared" si="1"/>
        <v>18</v>
      </c>
      <c r="B24" s="590" t="s">
        <v>888</v>
      </c>
      <c r="C24" s="426" t="s">
        <v>1690</v>
      </c>
      <c r="D24" s="427" t="s">
        <v>1691</v>
      </c>
      <c r="E24" s="428" t="s">
        <v>289</v>
      </c>
      <c r="F24" s="434">
        <v>3901175</v>
      </c>
      <c r="G24" s="431" t="s">
        <v>1664</v>
      </c>
      <c r="H24" s="431"/>
      <c r="I24" s="431"/>
      <c r="J24" s="431"/>
      <c r="K24" s="431"/>
      <c r="L24" s="431"/>
      <c r="M24" s="431"/>
      <c r="N24" s="433"/>
    </row>
    <row r="25" spans="1:14">
      <c r="A25" s="416">
        <f t="shared" si="1"/>
        <v>19</v>
      </c>
      <c r="B25" s="590"/>
      <c r="D25" s="427" t="s">
        <v>1692</v>
      </c>
      <c r="E25" s="428" t="s">
        <v>289</v>
      </c>
      <c r="G25" s="431" t="s">
        <v>1664</v>
      </c>
      <c r="H25" s="431"/>
      <c r="I25" s="431"/>
      <c r="J25" s="431"/>
      <c r="K25" s="431"/>
      <c r="L25" s="431"/>
      <c r="M25" s="431"/>
      <c r="N25" s="433"/>
    </row>
    <row r="26" spans="1:14">
      <c r="A26" s="416">
        <f t="shared" si="1"/>
        <v>20</v>
      </c>
      <c r="B26" s="590"/>
      <c r="D26" s="427" t="s">
        <v>1693</v>
      </c>
      <c r="E26" s="428" t="s">
        <v>289</v>
      </c>
      <c r="G26" s="431" t="s">
        <v>1664</v>
      </c>
      <c r="H26" s="431"/>
      <c r="I26" s="431"/>
      <c r="J26" s="431"/>
      <c r="K26" s="431"/>
      <c r="L26" s="431"/>
      <c r="M26" s="431"/>
      <c r="N26" s="433"/>
    </row>
    <row r="27" spans="1:14" ht="16.5" customHeight="1">
      <c r="A27" s="416">
        <f t="shared" si="1"/>
        <v>21</v>
      </c>
      <c r="B27" s="590"/>
      <c r="D27" s="427" t="s">
        <v>1694</v>
      </c>
      <c r="E27" s="428" t="s">
        <v>289</v>
      </c>
      <c r="G27" s="431"/>
      <c r="H27" s="431" t="s">
        <v>1664</v>
      </c>
      <c r="I27" s="431"/>
      <c r="J27" s="431"/>
      <c r="K27" s="431"/>
      <c r="L27" s="431"/>
      <c r="M27" s="431"/>
      <c r="N27" s="435" t="s">
        <v>1695</v>
      </c>
    </row>
    <row r="28" spans="1:14" ht="17.25" customHeight="1">
      <c r="A28" s="416">
        <f t="shared" si="1"/>
        <v>22</v>
      </c>
      <c r="B28" s="590"/>
      <c r="D28" s="427" t="s">
        <v>1696</v>
      </c>
      <c r="E28" s="428" t="s">
        <v>289</v>
      </c>
      <c r="G28" s="431"/>
      <c r="H28" s="431" t="s">
        <v>1664</v>
      </c>
      <c r="I28" s="431"/>
      <c r="J28" s="431"/>
      <c r="K28" s="431"/>
      <c r="L28" s="431"/>
      <c r="M28" s="431"/>
      <c r="N28" s="433" t="s">
        <v>1697</v>
      </c>
    </row>
    <row r="29" spans="1:14">
      <c r="A29" s="416">
        <f t="shared" si="1"/>
        <v>23</v>
      </c>
      <c r="B29" s="590" t="s">
        <v>890</v>
      </c>
      <c r="C29" s="426" t="s">
        <v>1698</v>
      </c>
      <c r="D29" s="427" t="s">
        <v>1699</v>
      </c>
      <c r="E29" s="428" t="s">
        <v>289</v>
      </c>
      <c r="F29" s="434">
        <v>56597</v>
      </c>
      <c r="G29" s="431" t="s">
        <v>1664</v>
      </c>
      <c r="H29" s="431"/>
      <c r="I29" s="431"/>
      <c r="J29" s="431"/>
      <c r="K29" s="431"/>
      <c r="L29" s="431"/>
      <c r="M29" s="431"/>
      <c r="N29" s="433"/>
    </row>
    <row r="30" spans="1:14" ht="29">
      <c r="A30" s="416">
        <f t="shared" si="1"/>
        <v>24</v>
      </c>
      <c r="B30" s="590" t="s">
        <v>892</v>
      </c>
      <c r="C30" s="426" t="s">
        <v>1700</v>
      </c>
      <c r="D30" s="427" t="s">
        <v>1701</v>
      </c>
      <c r="E30" s="428" t="s">
        <v>289</v>
      </c>
      <c r="F30" s="434">
        <v>15065318</v>
      </c>
      <c r="G30" s="431" t="s">
        <v>1664</v>
      </c>
      <c r="H30" s="431"/>
      <c r="I30" s="431"/>
      <c r="J30" s="431"/>
      <c r="K30" s="431"/>
      <c r="L30" s="431"/>
      <c r="M30" s="431"/>
      <c r="N30" s="433"/>
    </row>
    <row r="31" spans="1:14">
      <c r="A31" s="416">
        <f t="shared" si="1"/>
        <v>25</v>
      </c>
      <c r="B31" s="590"/>
      <c r="D31" s="427" t="s">
        <v>1702</v>
      </c>
      <c r="E31" s="428" t="s">
        <v>289</v>
      </c>
      <c r="G31" s="431" t="s">
        <v>1664</v>
      </c>
      <c r="H31" s="431"/>
      <c r="I31" s="431"/>
      <c r="J31" s="431"/>
      <c r="K31" s="431"/>
      <c r="L31" s="431"/>
      <c r="M31" s="431"/>
      <c r="N31" s="433"/>
    </row>
    <row r="32" spans="1:14">
      <c r="A32" s="416">
        <f t="shared" si="1"/>
        <v>26</v>
      </c>
      <c r="B32" s="590"/>
      <c r="D32" s="436" t="s">
        <v>1703</v>
      </c>
      <c r="E32" s="428" t="s">
        <v>289</v>
      </c>
      <c r="F32" s="437"/>
      <c r="G32" s="431" t="s">
        <v>1664</v>
      </c>
      <c r="H32" s="431"/>
      <c r="I32" s="431"/>
      <c r="J32" s="431"/>
      <c r="K32" s="431"/>
      <c r="L32" s="431"/>
      <c r="M32" s="431"/>
      <c r="N32" s="433"/>
    </row>
    <row r="33" spans="1:15">
      <c r="A33" s="416">
        <f t="shared" si="1"/>
        <v>27</v>
      </c>
      <c r="B33" s="590"/>
      <c r="D33" s="427" t="s">
        <v>1704</v>
      </c>
      <c r="E33" s="428" t="s">
        <v>289</v>
      </c>
      <c r="G33" s="431" t="s">
        <v>1664</v>
      </c>
      <c r="H33" s="431"/>
      <c r="I33" s="431"/>
      <c r="J33" s="431"/>
      <c r="K33" s="431"/>
      <c r="L33" s="431"/>
      <c r="M33" s="431"/>
      <c r="N33" s="433"/>
    </row>
    <row r="34" spans="1:15">
      <c r="A34" s="416">
        <f t="shared" si="1"/>
        <v>28</v>
      </c>
      <c r="B34" s="590"/>
      <c r="D34" s="427" t="s">
        <v>1705</v>
      </c>
      <c r="E34" s="428" t="s">
        <v>289</v>
      </c>
      <c r="G34" s="431" t="s">
        <v>1664</v>
      </c>
      <c r="H34" s="431"/>
      <c r="I34" s="431"/>
      <c r="J34" s="431"/>
      <c r="K34" s="431"/>
      <c r="L34" s="431"/>
      <c r="M34" s="431"/>
      <c r="N34" s="433" t="s">
        <v>1706</v>
      </c>
    </row>
    <row r="35" spans="1:15">
      <c r="A35" s="416">
        <f t="shared" si="1"/>
        <v>29</v>
      </c>
      <c r="B35" s="590" t="s">
        <v>896</v>
      </c>
      <c r="C35" s="426" t="s">
        <v>1707</v>
      </c>
      <c r="D35" s="427" t="s">
        <v>1708</v>
      </c>
      <c r="E35" s="428" t="s">
        <v>1709</v>
      </c>
      <c r="F35" s="434">
        <v>2316776</v>
      </c>
      <c r="G35" s="431" t="s">
        <v>1664</v>
      </c>
      <c r="H35" s="431"/>
      <c r="I35" s="431"/>
      <c r="J35" s="431"/>
      <c r="K35" s="431"/>
      <c r="L35" s="431"/>
      <c r="M35" s="431"/>
      <c r="N35" s="433"/>
    </row>
    <row r="36" spans="1:15">
      <c r="A36" s="416">
        <f t="shared" si="1"/>
        <v>30</v>
      </c>
      <c r="B36" s="590"/>
      <c r="D36" s="427" t="s">
        <v>1710</v>
      </c>
      <c r="E36" s="428" t="s">
        <v>1709</v>
      </c>
      <c r="G36" s="431" t="s">
        <v>1664</v>
      </c>
      <c r="H36" s="431"/>
      <c r="I36" s="431"/>
      <c r="J36" s="431"/>
      <c r="K36" s="431"/>
      <c r="L36" s="431"/>
      <c r="M36" s="431"/>
      <c r="N36" s="433"/>
    </row>
    <row r="37" spans="1:15">
      <c r="A37" s="416">
        <f t="shared" si="1"/>
        <v>31</v>
      </c>
      <c r="B37" s="590"/>
      <c r="D37" s="427" t="s">
        <v>1711</v>
      </c>
      <c r="E37" s="428" t="s">
        <v>1709</v>
      </c>
      <c r="G37" s="431" t="s">
        <v>1664</v>
      </c>
      <c r="H37" s="431"/>
      <c r="I37" s="431"/>
      <c r="J37" s="431"/>
      <c r="K37" s="431"/>
      <c r="L37" s="431"/>
      <c r="M37" s="431"/>
      <c r="N37" s="433"/>
    </row>
    <row r="38" spans="1:15">
      <c r="A38" s="416">
        <f t="shared" si="1"/>
        <v>32</v>
      </c>
      <c r="B38" s="590"/>
      <c r="D38" s="427" t="s">
        <v>1712</v>
      </c>
      <c r="E38" s="428" t="s">
        <v>1709</v>
      </c>
      <c r="G38" s="431" t="s">
        <v>1664</v>
      </c>
      <c r="H38" s="431"/>
      <c r="I38" s="431"/>
      <c r="J38" s="431"/>
      <c r="K38" s="431"/>
      <c r="L38" s="431"/>
      <c r="M38" s="431"/>
      <c r="N38" s="433"/>
    </row>
    <row r="39" spans="1:15">
      <c r="A39" s="416">
        <f t="shared" si="1"/>
        <v>33</v>
      </c>
      <c r="B39" s="590"/>
      <c r="D39" s="427" t="s">
        <v>1713</v>
      </c>
      <c r="E39" s="428" t="s">
        <v>1709</v>
      </c>
      <c r="G39" s="431"/>
      <c r="H39" s="431" t="s">
        <v>1664</v>
      </c>
      <c r="I39" s="431"/>
      <c r="J39" s="431"/>
      <c r="K39" s="431"/>
      <c r="L39" s="431"/>
      <c r="M39" s="431"/>
      <c r="N39" s="433" t="s">
        <v>1714</v>
      </c>
    </row>
    <row r="40" spans="1:15">
      <c r="A40" s="416">
        <f t="shared" si="1"/>
        <v>34</v>
      </c>
      <c r="B40" s="590" t="s">
        <v>898</v>
      </c>
      <c r="C40" s="426" t="s">
        <v>1715</v>
      </c>
      <c r="D40" s="427" t="s">
        <v>1716</v>
      </c>
      <c r="E40" s="428" t="s">
        <v>289</v>
      </c>
      <c r="F40" s="434">
        <v>2216942</v>
      </c>
      <c r="G40" s="431" t="s">
        <v>1664</v>
      </c>
      <c r="H40" s="431"/>
      <c r="I40" s="431"/>
      <c r="J40" s="431"/>
      <c r="K40" s="431"/>
      <c r="L40" s="431"/>
      <c r="M40" s="431"/>
      <c r="N40" s="433"/>
    </row>
    <row r="41" spans="1:15">
      <c r="A41" s="416">
        <f t="shared" si="1"/>
        <v>35</v>
      </c>
      <c r="B41" s="590"/>
      <c r="D41" s="427" t="s">
        <v>1717</v>
      </c>
      <c r="E41" s="428" t="s">
        <v>289</v>
      </c>
      <c r="G41" s="431" t="s">
        <v>1664</v>
      </c>
      <c r="H41" s="431"/>
      <c r="I41" s="431"/>
      <c r="J41" s="431"/>
      <c r="K41" s="431"/>
      <c r="L41" s="431"/>
      <c r="M41" s="431"/>
      <c r="N41" s="433"/>
      <c r="O41" s="470"/>
    </row>
    <row r="42" spans="1:15">
      <c r="A42" s="416">
        <f t="shared" si="1"/>
        <v>36</v>
      </c>
      <c r="B42" s="590"/>
      <c r="D42" s="427" t="s">
        <v>1718</v>
      </c>
      <c r="E42" s="428" t="s">
        <v>289</v>
      </c>
      <c r="G42" s="431" t="s">
        <v>1664</v>
      </c>
      <c r="H42" s="431"/>
      <c r="I42" s="431"/>
      <c r="J42" s="431"/>
      <c r="K42" s="431"/>
      <c r="L42" s="431"/>
      <c r="M42" s="431"/>
      <c r="N42" s="433"/>
    </row>
    <row r="43" spans="1:15">
      <c r="A43" s="416">
        <f t="shared" si="1"/>
        <v>37</v>
      </c>
      <c r="B43" s="590"/>
      <c r="D43" s="427" t="s">
        <v>1719</v>
      </c>
      <c r="E43" s="428" t="s">
        <v>289</v>
      </c>
      <c r="G43" s="431" t="s">
        <v>1664</v>
      </c>
      <c r="H43" s="431"/>
      <c r="I43" s="431"/>
      <c r="J43" s="431"/>
      <c r="K43" s="431"/>
      <c r="L43" s="431"/>
      <c r="M43" s="431"/>
      <c r="N43" s="433"/>
    </row>
    <row r="44" spans="1:15" ht="29">
      <c r="A44" s="416">
        <f t="shared" si="1"/>
        <v>38</v>
      </c>
      <c r="B44" s="590" t="s">
        <v>900</v>
      </c>
      <c r="C44" s="426" t="s">
        <v>1720</v>
      </c>
      <c r="D44" s="697" t="s">
        <v>1721</v>
      </c>
      <c r="E44" s="428" t="s">
        <v>289</v>
      </c>
      <c r="F44" s="434">
        <v>3573151</v>
      </c>
      <c r="G44" s="431" t="s">
        <v>1664</v>
      </c>
      <c r="H44" s="431"/>
      <c r="I44" s="431"/>
      <c r="J44" s="431"/>
      <c r="K44" s="431"/>
      <c r="L44" s="431"/>
      <c r="M44" s="431"/>
      <c r="N44" s="433"/>
    </row>
    <row r="45" spans="1:15">
      <c r="A45" s="416">
        <f t="shared" si="1"/>
        <v>39</v>
      </c>
      <c r="B45" s="590"/>
      <c r="D45" s="698" t="s">
        <v>1722</v>
      </c>
      <c r="E45" s="428" t="s">
        <v>289</v>
      </c>
      <c r="G45" s="431" t="s">
        <v>1664</v>
      </c>
      <c r="H45" s="431"/>
      <c r="I45" s="431"/>
      <c r="J45" s="431"/>
      <c r="K45" s="431"/>
      <c r="L45" s="431"/>
      <c r="M45" s="431"/>
      <c r="N45" s="433"/>
    </row>
    <row r="46" spans="1:15">
      <c r="A46" s="416">
        <f t="shared" si="1"/>
        <v>40</v>
      </c>
      <c r="B46" s="590"/>
      <c r="D46" s="427" t="s">
        <v>1723</v>
      </c>
      <c r="E46" s="428" t="s">
        <v>289</v>
      </c>
      <c r="G46" s="431" t="s">
        <v>1664</v>
      </c>
      <c r="H46" s="431"/>
      <c r="I46" s="431"/>
      <c r="J46" s="431"/>
      <c r="K46" s="431"/>
      <c r="L46" s="431"/>
      <c r="M46" s="431"/>
      <c r="N46" s="433"/>
    </row>
    <row r="47" spans="1:15" ht="29">
      <c r="A47" s="416">
        <f t="shared" si="1"/>
        <v>41</v>
      </c>
      <c r="B47" s="590"/>
      <c r="D47" s="427" t="s">
        <v>1694</v>
      </c>
      <c r="E47" s="428" t="s">
        <v>289</v>
      </c>
      <c r="G47" s="431"/>
      <c r="H47" s="431" t="s">
        <v>1664</v>
      </c>
      <c r="I47" s="431"/>
      <c r="J47" s="431"/>
      <c r="K47" s="431"/>
      <c r="L47" s="431"/>
      <c r="M47" s="431"/>
      <c r="N47" s="433" t="s">
        <v>1724</v>
      </c>
    </row>
    <row r="48" spans="1:15" ht="29">
      <c r="A48" s="416">
        <f>A47+1</f>
        <v>42</v>
      </c>
      <c r="B48" s="590"/>
      <c r="D48" s="427" t="s">
        <v>1725</v>
      </c>
      <c r="E48" s="428" t="s">
        <v>289</v>
      </c>
      <c r="G48" s="431"/>
      <c r="H48" s="431" t="s">
        <v>1664</v>
      </c>
      <c r="I48" s="431"/>
      <c r="J48" s="431"/>
      <c r="K48" s="431"/>
      <c r="L48" s="431"/>
      <c r="M48" s="431"/>
      <c r="N48" s="433" t="s">
        <v>1726</v>
      </c>
    </row>
    <row r="49" spans="1:14">
      <c r="A49" s="416">
        <f t="shared" si="1"/>
        <v>43</v>
      </c>
      <c r="B49" s="590" t="s">
        <v>1727</v>
      </c>
      <c r="C49" s="426" t="s">
        <v>1728</v>
      </c>
      <c r="D49" s="427" t="s">
        <v>1729</v>
      </c>
      <c r="G49" s="431" t="s">
        <v>1664</v>
      </c>
      <c r="H49" s="431"/>
      <c r="I49" s="431"/>
      <c r="J49" s="431"/>
      <c r="K49" s="431"/>
      <c r="L49" s="431"/>
      <c r="M49" s="431"/>
      <c r="N49" s="433"/>
    </row>
    <row r="50" spans="1:14">
      <c r="A50" s="416">
        <f t="shared" si="1"/>
        <v>44</v>
      </c>
      <c r="B50" s="590" t="s">
        <v>1730</v>
      </c>
      <c r="C50" s="426" t="s">
        <v>1731</v>
      </c>
      <c r="D50" s="427" t="s">
        <v>1732</v>
      </c>
      <c r="E50" s="428" t="s">
        <v>289</v>
      </c>
      <c r="F50" s="434">
        <v>0</v>
      </c>
      <c r="G50" s="431" t="s">
        <v>1664</v>
      </c>
      <c r="H50" s="431"/>
      <c r="I50" s="431"/>
      <c r="J50" s="431"/>
      <c r="K50" s="431"/>
      <c r="L50" s="431"/>
      <c r="M50" s="431"/>
      <c r="N50" s="433"/>
    </row>
    <row r="51" spans="1:14">
      <c r="A51" s="416">
        <f t="shared" si="1"/>
        <v>45</v>
      </c>
      <c r="B51" s="590" t="s">
        <v>904</v>
      </c>
      <c r="C51" s="426" t="s">
        <v>1733</v>
      </c>
      <c r="D51" s="427" t="s">
        <v>1734</v>
      </c>
      <c r="G51" s="431" t="s">
        <v>1664</v>
      </c>
      <c r="H51" s="431"/>
      <c r="I51" s="431"/>
      <c r="J51" s="431"/>
      <c r="K51" s="431"/>
      <c r="L51" s="431"/>
      <c r="M51" s="431"/>
      <c r="N51" s="433"/>
    </row>
    <row r="52" spans="1:14">
      <c r="A52" s="416">
        <f t="shared" si="1"/>
        <v>46</v>
      </c>
      <c r="B52" s="590" t="s">
        <v>906</v>
      </c>
      <c r="C52" s="426" t="s">
        <v>1735</v>
      </c>
      <c r="D52" s="427" t="s">
        <v>1736</v>
      </c>
      <c r="E52" s="428" t="s">
        <v>289</v>
      </c>
      <c r="F52" s="434">
        <v>2463312</v>
      </c>
      <c r="G52" s="431" t="s">
        <v>1664</v>
      </c>
      <c r="H52" s="431" t="s">
        <v>1664</v>
      </c>
      <c r="I52" s="431"/>
      <c r="J52" s="431"/>
      <c r="K52" s="431"/>
      <c r="L52" s="431"/>
      <c r="M52" s="431"/>
      <c r="N52" s="433" t="s">
        <v>1737</v>
      </c>
    </row>
    <row r="53" spans="1:14">
      <c r="A53" s="416">
        <f t="shared" si="1"/>
        <v>47</v>
      </c>
      <c r="B53" s="590"/>
      <c r="D53" s="427" t="s">
        <v>1738</v>
      </c>
      <c r="E53" s="428" t="s">
        <v>289</v>
      </c>
      <c r="G53" s="431" t="s">
        <v>1664</v>
      </c>
      <c r="H53" s="431"/>
      <c r="I53" s="431"/>
      <c r="J53" s="431"/>
      <c r="K53" s="431"/>
      <c r="L53" s="431"/>
      <c r="M53" s="431"/>
      <c r="N53" s="433"/>
    </row>
    <row r="54" spans="1:14">
      <c r="A54" s="416">
        <f t="shared" si="1"/>
        <v>48</v>
      </c>
      <c r="B54" s="590" t="s">
        <v>1739</v>
      </c>
      <c r="C54" s="426" t="s">
        <v>1740</v>
      </c>
      <c r="D54" s="427" t="s">
        <v>1741</v>
      </c>
      <c r="E54" s="428" t="s">
        <v>289</v>
      </c>
      <c r="F54" s="434">
        <v>3157165</v>
      </c>
      <c r="G54" s="431" t="s">
        <v>1664</v>
      </c>
      <c r="H54" s="431"/>
      <c r="I54" s="431"/>
      <c r="J54" s="431"/>
      <c r="K54" s="431"/>
      <c r="L54" s="431"/>
      <c r="M54" s="431"/>
      <c r="N54" s="433"/>
    </row>
    <row r="55" spans="1:14">
      <c r="A55" s="416">
        <f t="shared" si="1"/>
        <v>49</v>
      </c>
      <c r="B55" s="590"/>
      <c r="D55" s="427" t="s">
        <v>1742</v>
      </c>
      <c r="E55" s="428" t="s">
        <v>289</v>
      </c>
      <c r="G55" s="431" t="s">
        <v>1664</v>
      </c>
      <c r="H55" s="431"/>
      <c r="I55" s="431"/>
      <c r="J55" s="431"/>
      <c r="K55" s="431"/>
      <c r="L55" s="431"/>
      <c r="M55" s="431"/>
      <c r="N55" s="433"/>
    </row>
    <row r="56" spans="1:14">
      <c r="A56" s="416">
        <f t="shared" si="1"/>
        <v>50</v>
      </c>
      <c r="B56" s="590"/>
      <c r="D56" s="427" t="s">
        <v>1743</v>
      </c>
      <c r="E56" s="428" t="s">
        <v>289</v>
      </c>
      <c r="G56" s="431" t="s">
        <v>1664</v>
      </c>
      <c r="H56" s="431"/>
      <c r="I56" s="431"/>
      <c r="J56" s="431"/>
      <c r="K56" s="431"/>
      <c r="L56" s="431"/>
      <c r="M56" s="431"/>
      <c r="N56" s="433"/>
    </row>
    <row r="57" spans="1:14">
      <c r="A57" s="416">
        <f t="shared" si="1"/>
        <v>51</v>
      </c>
      <c r="B57" s="590"/>
      <c r="C57" s="426" t="s">
        <v>1744</v>
      </c>
      <c r="D57" s="427" t="s">
        <v>1745</v>
      </c>
      <c r="E57" s="428" t="s">
        <v>289</v>
      </c>
      <c r="F57" s="434">
        <v>1286118</v>
      </c>
      <c r="G57" s="431" t="s">
        <v>1664</v>
      </c>
      <c r="H57" s="431"/>
      <c r="I57" s="431"/>
      <c r="J57" s="431"/>
      <c r="K57" s="431"/>
      <c r="L57" s="431"/>
      <c r="M57" s="431"/>
      <c r="N57" s="433"/>
    </row>
    <row r="58" spans="1:14">
      <c r="A58" s="416">
        <f t="shared" si="1"/>
        <v>52</v>
      </c>
      <c r="B58" s="590" t="s">
        <v>1746</v>
      </c>
      <c r="C58" s="426" t="s">
        <v>1747</v>
      </c>
      <c r="D58" s="427" t="s">
        <v>1748</v>
      </c>
      <c r="E58" s="428" t="s">
        <v>289</v>
      </c>
      <c r="F58" s="438">
        <v>7760738</v>
      </c>
      <c r="G58" s="431" t="s">
        <v>1664</v>
      </c>
      <c r="H58" s="431"/>
      <c r="I58" s="431"/>
      <c r="J58" s="431"/>
      <c r="K58" s="431"/>
      <c r="L58" s="431"/>
      <c r="M58" s="431"/>
      <c r="N58" s="433"/>
    </row>
    <row r="59" spans="1:14">
      <c r="A59" s="416">
        <f t="shared" si="1"/>
        <v>53</v>
      </c>
      <c r="B59" s="590"/>
      <c r="D59" s="427" t="s">
        <v>1749</v>
      </c>
      <c r="E59" s="428" t="s">
        <v>289</v>
      </c>
      <c r="G59" s="431" t="s">
        <v>1664</v>
      </c>
      <c r="H59" s="431"/>
      <c r="I59" s="431"/>
      <c r="J59" s="431"/>
      <c r="K59" s="431"/>
      <c r="L59" s="431"/>
      <c r="M59" s="431"/>
      <c r="N59" s="433"/>
    </row>
    <row r="60" spans="1:14">
      <c r="A60" s="416">
        <f t="shared" si="1"/>
        <v>54</v>
      </c>
      <c r="B60" s="590"/>
      <c r="D60" s="427" t="s">
        <v>1750</v>
      </c>
      <c r="E60" s="428" t="s">
        <v>289</v>
      </c>
      <c r="G60" s="431" t="s">
        <v>1664</v>
      </c>
      <c r="H60" s="431"/>
      <c r="I60" s="431"/>
      <c r="J60" s="431"/>
      <c r="K60" s="431"/>
      <c r="L60" s="431"/>
      <c r="M60" s="431"/>
      <c r="N60" s="433"/>
    </row>
    <row r="61" spans="1:14">
      <c r="A61" s="416">
        <f t="shared" si="1"/>
        <v>55</v>
      </c>
      <c r="B61" s="590"/>
      <c r="D61" s="427" t="s">
        <v>1751</v>
      </c>
      <c r="E61" s="428" t="s">
        <v>289</v>
      </c>
      <c r="G61" s="431" t="s">
        <v>1664</v>
      </c>
      <c r="H61" s="431"/>
      <c r="I61" s="431"/>
      <c r="J61" s="431"/>
      <c r="K61" s="431"/>
      <c r="L61" s="431"/>
      <c r="M61" s="431"/>
      <c r="N61" s="433"/>
    </row>
    <row r="62" spans="1:14">
      <c r="A62" s="416">
        <f t="shared" si="1"/>
        <v>56</v>
      </c>
      <c r="B62" s="590" t="s">
        <v>914</v>
      </c>
      <c r="C62" s="426" t="s">
        <v>1752</v>
      </c>
      <c r="D62" s="427" t="s">
        <v>1753</v>
      </c>
      <c r="E62" s="428" t="s">
        <v>1709</v>
      </c>
      <c r="F62" s="434">
        <v>5320569</v>
      </c>
      <c r="G62" s="431" t="s">
        <v>1664</v>
      </c>
      <c r="H62" s="431"/>
      <c r="I62" s="431"/>
      <c r="J62" s="431"/>
      <c r="K62" s="431"/>
      <c r="L62" s="431"/>
      <c r="M62" s="431"/>
      <c r="N62" s="433"/>
    </row>
    <row r="63" spans="1:14">
      <c r="A63" s="416">
        <f t="shared" si="1"/>
        <v>57</v>
      </c>
      <c r="B63" s="590"/>
      <c r="D63" s="427" t="s">
        <v>1754</v>
      </c>
      <c r="E63" s="428" t="s">
        <v>1709</v>
      </c>
      <c r="G63" s="431" t="s">
        <v>1664</v>
      </c>
      <c r="H63" s="431"/>
      <c r="I63" s="431"/>
      <c r="J63" s="431"/>
      <c r="K63" s="431"/>
      <c r="L63" s="431"/>
      <c r="M63" s="431"/>
      <c r="N63" s="433"/>
    </row>
    <row r="64" spans="1:14">
      <c r="A64" s="416">
        <f t="shared" si="1"/>
        <v>58</v>
      </c>
      <c r="B64" s="590"/>
      <c r="D64" s="427" t="s">
        <v>1755</v>
      </c>
      <c r="E64" s="428" t="s">
        <v>1709</v>
      </c>
      <c r="G64" s="431" t="s">
        <v>1664</v>
      </c>
      <c r="H64" s="431"/>
      <c r="I64" s="431"/>
      <c r="J64" s="431"/>
      <c r="K64" s="431"/>
      <c r="L64" s="431"/>
      <c r="M64" s="431"/>
      <c r="N64" s="433"/>
    </row>
    <row r="65" spans="1:14" ht="17.25" customHeight="1">
      <c r="A65" s="416">
        <f t="shared" si="1"/>
        <v>59</v>
      </c>
      <c r="B65" s="590"/>
      <c r="D65" s="427" t="s">
        <v>1756</v>
      </c>
      <c r="E65" s="428" t="s">
        <v>1709</v>
      </c>
      <c r="G65" s="431" t="s">
        <v>1664</v>
      </c>
      <c r="H65" s="431"/>
      <c r="I65" s="431"/>
      <c r="J65" s="431"/>
      <c r="K65" s="431"/>
      <c r="L65" s="431"/>
      <c r="M65" s="431"/>
      <c r="N65" s="433"/>
    </row>
    <row r="66" spans="1:14">
      <c r="A66" s="416">
        <f t="shared" si="1"/>
        <v>60</v>
      </c>
      <c r="B66" s="590"/>
      <c r="D66" s="427" t="s">
        <v>1757</v>
      </c>
      <c r="E66" s="428" t="s">
        <v>1709</v>
      </c>
      <c r="G66" s="431" t="s">
        <v>1664</v>
      </c>
      <c r="H66" s="431"/>
      <c r="I66" s="431"/>
      <c r="J66" s="431"/>
      <c r="K66" s="431"/>
      <c r="L66" s="431"/>
      <c r="M66" s="431"/>
      <c r="N66" s="433"/>
    </row>
    <row r="67" spans="1:14" ht="29">
      <c r="A67" s="416">
        <f t="shared" si="1"/>
        <v>61</v>
      </c>
      <c r="B67" s="590" t="s">
        <v>916</v>
      </c>
      <c r="C67" s="426" t="s">
        <v>1758</v>
      </c>
      <c r="D67" s="427" t="s">
        <v>1759</v>
      </c>
      <c r="E67" s="428" t="s">
        <v>289</v>
      </c>
      <c r="F67" s="434">
        <v>8549123</v>
      </c>
      <c r="G67" s="431" t="s">
        <v>1664</v>
      </c>
      <c r="H67" s="431"/>
      <c r="I67" s="431"/>
      <c r="J67" s="431"/>
      <c r="K67" s="431"/>
      <c r="L67" s="431"/>
      <c r="M67" s="431"/>
      <c r="N67" s="433"/>
    </row>
    <row r="68" spans="1:14">
      <c r="A68" s="416">
        <f t="shared" si="1"/>
        <v>62</v>
      </c>
      <c r="B68" s="590"/>
      <c r="D68" s="427" t="s">
        <v>1760</v>
      </c>
      <c r="E68" s="428" t="s">
        <v>289</v>
      </c>
      <c r="G68" s="431" t="s">
        <v>1664</v>
      </c>
      <c r="H68" s="431"/>
      <c r="I68" s="431"/>
      <c r="J68" s="431"/>
      <c r="K68" s="431"/>
      <c r="L68" s="431"/>
      <c r="M68" s="431"/>
      <c r="N68" s="433"/>
    </row>
    <row r="69" spans="1:14">
      <c r="A69" s="416">
        <f t="shared" si="1"/>
        <v>63</v>
      </c>
      <c r="B69" s="590"/>
      <c r="D69" s="427" t="s">
        <v>1761</v>
      </c>
      <c r="E69" s="428" t="s">
        <v>289</v>
      </c>
      <c r="G69" s="431" t="s">
        <v>1664</v>
      </c>
      <c r="H69" s="431"/>
      <c r="I69" s="431"/>
      <c r="J69" s="431"/>
      <c r="K69" s="431"/>
      <c r="L69" s="431"/>
      <c r="M69" s="431"/>
      <c r="N69" s="433"/>
    </row>
    <row r="70" spans="1:14">
      <c r="A70" s="416">
        <f t="shared" si="1"/>
        <v>64</v>
      </c>
      <c r="B70" s="590"/>
      <c r="D70" s="427" t="s">
        <v>1762</v>
      </c>
      <c r="E70" s="428" t="s">
        <v>289</v>
      </c>
      <c r="G70" s="431" t="s">
        <v>1664</v>
      </c>
      <c r="H70" s="431"/>
      <c r="I70" s="431"/>
      <c r="J70" s="431"/>
      <c r="K70" s="431"/>
      <c r="L70" s="431"/>
      <c r="M70" s="431"/>
      <c r="N70" s="433"/>
    </row>
    <row r="71" spans="1:14">
      <c r="A71" s="416">
        <f t="shared" si="1"/>
        <v>65</v>
      </c>
      <c r="B71" s="590"/>
      <c r="D71" s="427" t="s">
        <v>1763</v>
      </c>
      <c r="E71" s="428" t="s">
        <v>289</v>
      </c>
      <c r="G71" s="431" t="s">
        <v>1664</v>
      </c>
      <c r="H71" s="431"/>
      <c r="I71" s="431"/>
      <c r="J71" s="431"/>
      <c r="K71" s="431"/>
      <c r="L71" s="431"/>
      <c r="M71" s="431"/>
      <c r="N71" s="433"/>
    </row>
    <row r="72" spans="1:14">
      <c r="A72" s="416">
        <f t="shared" si="1"/>
        <v>66</v>
      </c>
      <c r="B72" s="590" t="s">
        <v>918</v>
      </c>
      <c r="C72" s="426" t="s">
        <v>1764</v>
      </c>
      <c r="D72" s="427" t="s">
        <v>1765</v>
      </c>
      <c r="E72" s="428" t="s">
        <v>1709</v>
      </c>
      <c r="F72" s="434">
        <v>11177951</v>
      </c>
      <c r="G72" s="431"/>
      <c r="H72" s="431"/>
      <c r="I72" s="431" t="s">
        <v>1664</v>
      </c>
      <c r="J72" s="431"/>
      <c r="K72" s="431"/>
      <c r="L72" s="431"/>
      <c r="M72" s="431"/>
      <c r="N72" s="433" t="s">
        <v>1766</v>
      </c>
    </row>
    <row r="73" spans="1:14">
      <c r="A73" s="416">
        <f t="shared" si="1"/>
        <v>67</v>
      </c>
      <c r="B73" s="590"/>
      <c r="D73" s="427" t="s">
        <v>1767</v>
      </c>
      <c r="E73" s="428" t="s">
        <v>1709</v>
      </c>
      <c r="G73" s="431" t="s">
        <v>1664</v>
      </c>
      <c r="H73" s="431"/>
      <c r="I73" s="431"/>
      <c r="J73" s="431"/>
      <c r="K73" s="431"/>
      <c r="L73" s="431"/>
      <c r="M73" s="431"/>
      <c r="N73" s="433"/>
    </row>
    <row r="74" spans="1:14">
      <c r="A74" s="416">
        <f t="shared" si="1"/>
        <v>68</v>
      </c>
      <c r="B74" s="590"/>
      <c r="D74" s="427" t="s">
        <v>1768</v>
      </c>
      <c r="E74" s="428" t="s">
        <v>1709</v>
      </c>
      <c r="G74" s="431" t="s">
        <v>1664</v>
      </c>
      <c r="H74" s="431"/>
      <c r="I74" s="431"/>
      <c r="J74" s="431"/>
      <c r="K74" s="431"/>
      <c r="L74" s="431"/>
      <c r="M74" s="431"/>
      <c r="N74" s="433"/>
    </row>
    <row r="75" spans="1:14">
      <c r="A75" s="416">
        <f t="shared" si="1"/>
        <v>69</v>
      </c>
      <c r="B75" s="590" t="s">
        <v>920</v>
      </c>
      <c r="C75" s="426" t="s">
        <v>1769</v>
      </c>
      <c r="D75" s="427" t="s">
        <v>1770</v>
      </c>
      <c r="E75" s="428" t="s">
        <v>289</v>
      </c>
      <c r="F75" s="434">
        <v>2390851</v>
      </c>
      <c r="G75" s="431" t="s">
        <v>1664</v>
      </c>
      <c r="H75" s="431" t="s">
        <v>1664</v>
      </c>
      <c r="I75" s="431"/>
      <c r="J75" s="431"/>
      <c r="K75" s="431"/>
      <c r="L75" s="431"/>
      <c r="M75" s="431"/>
      <c r="N75" s="433" t="s">
        <v>1771</v>
      </c>
    </row>
    <row r="76" spans="1:14">
      <c r="A76" s="416">
        <f t="shared" si="1"/>
        <v>70</v>
      </c>
      <c r="B76" s="590" t="s">
        <v>922</v>
      </c>
      <c r="C76" s="426" t="s">
        <v>1772</v>
      </c>
      <c r="D76" s="427" t="s">
        <v>1753</v>
      </c>
      <c r="E76" s="428" t="s">
        <v>1709</v>
      </c>
      <c r="F76" s="434">
        <v>2575384</v>
      </c>
      <c r="G76" s="431" t="s">
        <v>1664</v>
      </c>
      <c r="H76" s="431"/>
      <c r="I76" s="431"/>
      <c r="J76" s="431"/>
      <c r="K76" s="431"/>
      <c r="L76" s="431"/>
      <c r="M76" s="431"/>
      <c r="N76" s="433"/>
    </row>
    <row r="77" spans="1:14">
      <c r="A77" s="416">
        <f t="shared" ref="A77:A140" si="2">A76+1</f>
        <v>71</v>
      </c>
      <c r="B77" s="590"/>
      <c r="D77" s="427" t="s">
        <v>1773</v>
      </c>
      <c r="E77" s="428" t="s">
        <v>1709</v>
      </c>
      <c r="G77" s="431" t="s">
        <v>1664</v>
      </c>
      <c r="H77" s="431"/>
      <c r="I77" s="431"/>
      <c r="J77" s="431"/>
      <c r="K77" s="431"/>
      <c r="L77" s="431"/>
      <c r="M77" s="431"/>
      <c r="N77" s="433"/>
    </row>
    <row r="78" spans="1:14">
      <c r="A78" s="416">
        <f t="shared" si="2"/>
        <v>72</v>
      </c>
      <c r="B78" s="590"/>
      <c r="D78" s="427" t="s">
        <v>1774</v>
      </c>
      <c r="E78" s="428" t="s">
        <v>1709</v>
      </c>
      <c r="G78" s="431" t="s">
        <v>1664</v>
      </c>
      <c r="H78" s="431"/>
      <c r="I78" s="431"/>
      <c r="J78" s="431"/>
      <c r="K78" s="431"/>
      <c r="L78" s="431"/>
      <c r="M78" s="431"/>
      <c r="N78" s="433"/>
    </row>
    <row r="79" spans="1:14">
      <c r="A79" s="416">
        <f t="shared" si="2"/>
        <v>73</v>
      </c>
      <c r="B79" s="590"/>
      <c r="D79" s="427" t="s">
        <v>1775</v>
      </c>
      <c r="E79" s="428" t="s">
        <v>1709</v>
      </c>
      <c r="G79" s="431" t="s">
        <v>1664</v>
      </c>
      <c r="H79" s="431"/>
      <c r="I79" s="431"/>
      <c r="J79" s="431"/>
      <c r="K79" s="431"/>
      <c r="L79" s="431"/>
      <c r="M79" s="431"/>
      <c r="N79" s="433"/>
    </row>
    <row r="80" spans="1:14">
      <c r="A80" s="416">
        <f t="shared" si="2"/>
        <v>74</v>
      </c>
      <c r="B80" s="590"/>
      <c r="D80" s="427" t="s">
        <v>1776</v>
      </c>
      <c r="E80" s="428" t="s">
        <v>1709</v>
      </c>
      <c r="G80" s="431" t="s">
        <v>1664</v>
      </c>
      <c r="H80" s="431"/>
      <c r="I80" s="431"/>
      <c r="J80" s="431"/>
      <c r="K80" s="431"/>
      <c r="L80" s="431"/>
      <c r="M80" s="431"/>
      <c r="N80" s="433"/>
    </row>
    <row r="81" spans="1:14">
      <c r="A81" s="416">
        <f t="shared" si="2"/>
        <v>75</v>
      </c>
      <c r="B81" s="590" t="s">
        <v>926</v>
      </c>
      <c r="C81" s="426" t="s">
        <v>1777</v>
      </c>
      <c r="D81" s="427" t="s">
        <v>1778</v>
      </c>
      <c r="E81" s="428" t="s">
        <v>289</v>
      </c>
      <c r="F81" s="434">
        <v>10656664</v>
      </c>
      <c r="G81" s="431" t="s">
        <v>1664</v>
      </c>
      <c r="H81" s="431"/>
      <c r="I81" s="431"/>
      <c r="J81" s="431"/>
      <c r="K81" s="431"/>
      <c r="L81" s="431"/>
      <c r="M81" s="431"/>
      <c r="N81" s="433"/>
    </row>
    <row r="82" spans="1:14">
      <c r="A82" s="416">
        <f t="shared" si="2"/>
        <v>76</v>
      </c>
      <c r="B82" s="590"/>
      <c r="D82" s="427" t="s">
        <v>1779</v>
      </c>
      <c r="E82" s="428" t="s">
        <v>289</v>
      </c>
      <c r="G82" s="431" t="s">
        <v>1664</v>
      </c>
      <c r="H82" s="431"/>
      <c r="I82" s="431"/>
      <c r="J82" s="431"/>
      <c r="K82" s="431"/>
      <c r="L82" s="431"/>
      <c r="M82" s="431"/>
      <c r="N82" s="433"/>
    </row>
    <row r="83" spans="1:14">
      <c r="A83" s="416">
        <f t="shared" si="2"/>
        <v>77</v>
      </c>
      <c r="B83" s="590"/>
      <c r="D83" s="427" t="s">
        <v>1780</v>
      </c>
      <c r="E83" s="428" t="s">
        <v>289</v>
      </c>
      <c r="G83" s="431" t="s">
        <v>1664</v>
      </c>
      <c r="H83" s="431"/>
      <c r="I83" s="431"/>
      <c r="J83" s="431"/>
      <c r="K83" s="431"/>
      <c r="L83" s="431"/>
      <c r="M83" s="431"/>
      <c r="N83" s="433"/>
    </row>
    <row r="84" spans="1:14">
      <c r="A84" s="416">
        <f t="shared" si="2"/>
        <v>78</v>
      </c>
      <c r="B84" s="590"/>
      <c r="D84" s="427" t="s">
        <v>1692</v>
      </c>
      <c r="E84" s="428" t="s">
        <v>289</v>
      </c>
      <c r="G84" s="431" t="s">
        <v>1664</v>
      </c>
      <c r="H84" s="431"/>
      <c r="I84" s="431"/>
      <c r="J84" s="431"/>
      <c r="K84" s="431"/>
      <c r="L84" s="431"/>
      <c r="M84" s="431"/>
      <c r="N84" s="433"/>
    </row>
    <row r="85" spans="1:14">
      <c r="A85" s="416">
        <f t="shared" si="2"/>
        <v>79</v>
      </c>
      <c r="B85" s="590"/>
      <c r="D85" s="427" t="s">
        <v>1781</v>
      </c>
      <c r="E85" s="428" t="s">
        <v>289</v>
      </c>
      <c r="G85" s="431" t="s">
        <v>1664</v>
      </c>
      <c r="H85" s="431"/>
      <c r="I85" s="431"/>
      <c r="J85" s="431"/>
      <c r="K85" s="431"/>
      <c r="L85" s="431"/>
      <c r="M85" s="431"/>
      <c r="N85" s="433"/>
    </row>
    <row r="86" spans="1:14">
      <c r="A86" s="416">
        <f t="shared" si="2"/>
        <v>80</v>
      </c>
      <c r="B86" s="590"/>
      <c r="D86" s="427" t="s">
        <v>1782</v>
      </c>
      <c r="E86" s="428" t="s">
        <v>289</v>
      </c>
      <c r="G86" s="431" t="s">
        <v>1664</v>
      </c>
      <c r="H86" s="431"/>
      <c r="I86" s="431"/>
      <c r="J86" s="431"/>
      <c r="K86" s="431"/>
      <c r="L86" s="431"/>
      <c r="M86" s="431"/>
      <c r="N86" s="433"/>
    </row>
    <row r="87" spans="1:14" ht="16.5" customHeight="1">
      <c r="A87" s="416">
        <f t="shared" si="2"/>
        <v>81</v>
      </c>
      <c r="B87" s="590"/>
      <c r="D87" s="427" t="s">
        <v>1783</v>
      </c>
      <c r="E87" s="428" t="s">
        <v>289</v>
      </c>
      <c r="G87" s="431" t="s">
        <v>1664</v>
      </c>
      <c r="H87" s="431"/>
      <c r="I87" s="431"/>
      <c r="J87" s="431"/>
      <c r="K87" s="431"/>
      <c r="L87" s="431"/>
      <c r="M87" s="431"/>
      <c r="N87" s="433"/>
    </row>
    <row r="88" spans="1:14" ht="18" customHeight="1">
      <c r="A88" s="416">
        <f t="shared" si="2"/>
        <v>82</v>
      </c>
      <c r="B88" s="590" t="s">
        <v>930</v>
      </c>
      <c r="C88" s="426" t="s">
        <v>1784</v>
      </c>
      <c r="D88" s="427" t="s">
        <v>1785</v>
      </c>
      <c r="E88" s="428" t="s">
        <v>289</v>
      </c>
      <c r="F88" s="434">
        <v>14743978</v>
      </c>
      <c r="G88" s="431" t="s">
        <v>1664</v>
      </c>
      <c r="H88" s="431"/>
      <c r="I88" s="431"/>
      <c r="J88" s="431"/>
      <c r="K88" s="431"/>
      <c r="L88" s="431"/>
      <c r="M88" s="431"/>
      <c r="N88" s="433"/>
    </row>
    <row r="89" spans="1:14">
      <c r="A89" s="416">
        <f t="shared" si="2"/>
        <v>83</v>
      </c>
      <c r="B89" s="590"/>
      <c r="D89" s="427" t="s">
        <v>1786</v>
      </c>
      <c r="E89" s="428" t="s">
        <v>289</v>
      </c>
      <c r="G89" s="431" t="s">
        <v>1664</v>
      </c>
      <c r="H89" s="431"/>
      <c r="I89" s="431"/>
      <c r="J89" s="431"/>
      <c r="K89" s="431"/>
      <c r="L89" s="431"/>
      <c r="M89" s="431"/>
      <c r="N89" s="433"/>
    </row>
    <row r="90" spans="1:14">
      <c r="A90" s="416">
        <f t="shared" si="2"/>
        <v>84</v>
      </c>
      <c r="B90" s="590"/>
      <c r="D90" s="427" t="s">
        <v>1787</v>
      </c>
      <c r="E90" s="428" t="s">
        <v>289</v>
      </c>
      <c r="G90" s="431" t="s">
        <v>1664</v>
      </c>
      <c r="H90" s="431"/>
      <c r="I90" s="431"/>
      <c r="J90" s="431"/>
      <c r="K90" s="431"/>
      <c r="L90" s="431"/>
      <c r="M90" s="431"/>
      <c r="N90" s="433"/>
    </row>
    <row r="91" spans="1:14">
      <c r="A91" s="416">
        <f t="shared" si="2"/>
        <v>85</v>
      </c>
      <c r="B91" s="590"/>
      <c r="D91" s="427" t="s">
        <v>1788</v>
      </c>
      <c r="E91" s="428" t="s">
        <v>289</v>
      </c>
      <c r="G91" s="431" t="s">
        <v>1664</v>
      </c>
      <c r="H91" s="431"/>
      <c r="I91" s="431"/>
      <c r="J91" s="431"/>
      <c r="K91" s="431"/>
      <c r="L91" s="431"/>
      <c r="M91" s="431"/>
      <c r="N91" s="433"/>
    </row>
    <row r="92" spans="1:14">
      <c r="A92" s="416">
        <f t="shared" si="2"/>
        <v>86</v>
      </c>
      <c r="B92" s="590"/>
      <c r="D92" s="427" t="s">
        <v>1789</v>
      </c>
      <c r="E92" s="428" t="s">
        <v>289</v>
      </c>
      <c r="G92" s="431" t="s">
        <v>1664</v>
      </c>
      <c r="H92" s="431"/>
      <c r="I92" s="431"/>
      <c r="J92" s="431"/>
      <c r="K92" s="431"/>
      <c r="L92" s="431"/>
      <c r="M92" s="431"/>
      <c r="N92" s="433"/>
    </row>
    <row r="93" spans="1:14" ht="29">
      <c r="A93" s="416">
        <f t="shared" si="2"/>
        <v>87</v>
      </c>
      <c r="B93" s="590"/>
      <c r="D93" s="427" t="s">
        <v>1790</v>
      </c>
      <c r="E93" s="428" t="s">
        <v>289</v>
      </c>
      <c r="G93" s="431" t="s">
        <v>1664</v>
      </c>
      <c r="H93" s="431"/>
      <c r="I93" s="431"/>
      <c r="J93" s="431"/>
      <c r="K93" s="431"/>
      <c r="L93" s="431"/>
      <c r="M93" s="431"/>
      <c r="N93" s="433"/>
    </row>
    <row r="94" spans="1:14">
      <c r="A94" s="416">
        <f t="shared" si="2"/>
        <v>88</v>
      </c>
      <c r="B94" s="590"/>
      <c r="D94" s="427" t="s">
        <v>1791</v>
      </c>
      <c r="E94" s="428" t="s">
        <v>289</v>
      </c>
      <c r="G94" s="431" t="s">
        <v>1664</v>
      </c>
      <c r="H94" s="431"/>
      <c r="I94" s="431"/>
      <c r="J94" s="431"/>
      <c r="K94" s="431"/>
      <c r="L94" s="431"/>
      <c r="M94" s="431"/>
      <c r="N94" s="433"/>
    </row>
    <row r="95" spans="1:14">
      <c r="A95" s="416">
        <f t="shared" si="2"/>
        <v>89</v>
      </c>
      <c r="B95" s="590"/>
      <c r="D95" s="427" t="s">
        <v>1792</v>
      </c>
      <c r="E95" s="428" t="s">
        <v>289</v>
      </c>
      <c r="G95" s="431" t="s">
        <v>1664</v>
      </c>
      <c r="H95" s="431"/>
      <c r="I95" s="431"/>
      <c r="J95" s="431"/>
      <c r="K95" s="431"/>
      <c r="L95" s="431"/>
      <c r="M95" s="431"/>
      <c r="N95" s="433"/>
    </row>
    <row r="96" spans="1:14">
      <c r="A96" s="416">
        <f t="shared" si="2"/>
        <v>90</v>
      </c>
      <c r="B96" s="590"/>
      <c r="D96" s="427" t="s">
        <v>1793</v>
      </c>
      <c r="E96" s="428" t="s">
        <v>289</v>
      </c>
      <c r="G96" s="431" t="s">
        <v>1664</v>
      </c>
      <c r="H96" s="431"/>
      <c r="I96" s="431"/>
      <c r="J96" s="431"/>
      <c r="K96" s="431"/>
      <c r="L96" s="431"/>
      <c r="M96" s="431"/>
      <c r="N96" s="433"/>
    </row>
    <row r="97" spans="1:14">
      <c r="A97" s="416">
        <f t="shared" si="2"/>
        <v>91</v>
      </c>
      <c r="B97" s="590" t="s">
        <v>934</v>
      </c>
      <c r="C97" s="426" t="s">
        <v>1794</v>
      </c>
      <c r="D97" s="427" t="s">
        <v>1795</v>
      </c>
      <c r="E97" s="428" t="s">
        <v>289</v>
      </c>
      <c r="F97" s="434">
        <v>2779274</v>
      </c>
      <c r="G97" s="431" t="s">
        <v>1664</v>
      </c>
      <c r="H97" s="431"/>
      <c r="I97" s="431"/>
      <c r="J97" s="431"/>
      <c r="K97" s="432"/>
      <c r="L97" s="431"/>
      <c r="M97" s="431"/>
      <c r="N97" s="433"/>
    </row>
    <row r="98" spans="1:14">
      <c r="A98" s="416">
        <f t="shared" si="2"/>
        <v>92</v>
      </c>
      <c r="B98" s="590"/>
      <c r="D98" s="427" t="s">
        <v>1796</v>
      </c>
      <c r="E98" s="428" t="s">
        <v>289</v>
      </c>
      <c r="G98" s="431" t="s">
        <v>1664</v>
      </c>
      <c r="H98" s="431"/>
      <c r="I98" s="431"/>
      <c r="J98" s="431"/>
      <c r="K98" s="432"/>
      <c r="L98" s="431"/>
      <c r="M98" s="431"/>
      <c r="N98" s="433"/>
    </row>
    <row r="99" spans="1:14">
      <c r="A99" s="416">
        <f t="shared" si="2"/>
        <v>93</v>
      </c>
      <c r="B99" s="590"/>
      <c r="D99" s="427" t="s">
        <v>1797</v>
      </c>
      <c r="E99" s="428" t="s">
        <v>289</v>
      </c>
      <c r="G99" s="431" t="s">
        <v>1664</v>
      </c>
      <c r="H99" s="431"/>
      <c r="I99" s="431"/>
      <c r="J99" s="431"/>
      <c r="K99" s="432"/>
      <c r="L99" s="431"/>
      <c r="M99" s="431"/>
      <c r="N99" s="433" t="s">
        <v>1798</v>
      </c>
    </row>
    <row r="100" spans="1:14">
      <c r="A100" s="416">
        <f t="shared" si="2"/>
        <v>94</v>
      </c>
      <c r="B100" s="590"/>
      <c r="D100" s="427" t="s">
        <v>1799</v>
      </c>
      <c r="E100" s="428" t="s">
        <v>289</v>
      </c>
      <c r="G100" s="431" t="s">
        <v>1664</v>
      </c>
      <c r="H100" s="431"/>
      <c r="I100" s="431"/>
      <c r="J100" s="431"/>
      <c r="K100" s="432"/>
      <c r="L100" s="431"/>
      <c r="M100" s="431"/>
      <c r="N100" s="433"/>
    </row>
    <row r="101" spans="1:14">
      <c r="A101" s="416">
        <f t="shared" si="2"/>
        <v>95</v>
      </c>
      <c r="B101" s="590"/>
      <c r="D101" s="427" t="s">
        <v>1800</v>
      </c>
      <c r="E101" s="428" t="s">
        <v>289</v>
      </c>
      <c r="G101" s="431" t="s">
        <v>1664</v>
      </c>
      <c r="H101" s="431"/>
      <c r="I101" s="431"/>
      <c r="J101" s="431"/>
      <c r="K101" s="432"/>
      <c r="L101" s="431"/>
      <c r="M101" s="431"/>
      <c r="N101" s="433"/>
    </row>
    <row r="102" spans="1:14">
      <c r="A102" s="416">
        <f t="shared" si="2"/>
        <v>96</v>
      </c>
      <c r="B102" s="590"/>
      <c r="D102" s="427" t="s">
        <v>1801</v>
      </c>
      <c r="E102" s="428" t="s">
        <v>289</v>
      </c>
      <c r="G102" s="431" t="s">
        <v>1664</v>
      </c>
      <c r="H102" s="431"/>
      <c r="I102" s="431"/>
      <c r="J102" s="431"/>
      <c r="K102" s="432"/>
      <c r="L102" s="431"/>
      <c r="M102" s="431"/>
      <c r="N102" s="433"/>
    </row>
    <row r="103" spans="1:14">
      <c r="A103" s="416">
        <f t="shared" si="2"/>
        <v>97</v>
      </c>
      <c r="B103" s="590"/>
      <c r="D103" s="427" t="s">
        <v>1802</v>
      </c>
      <c r="E103" s="428" t="s">
        <v>289</v>
      </c>
      <c r="G103" s="431" t="s">
        <v>1664</v>
      </c>
      <c r="H103" s="431"/>
      <c r="I103" s="431"/>
      <c r="J103" s="431"/>
      <c r="K103" s="432"/>
      <c r="L103" s="431"/>
      <c r="M103" s="431"/>
      <c r="N103" s="433" t="s">
        <v>1803</v>
      </c>
    </row>
    <row r="104" spans="1:14">
      <c r="A104" s="416">
        <f t="shared" si="2"/>
        <v>98</v>
      </c>
      <c r="B104" s="590" t="s">
        <v>942</v>
      </c>
      <c r="C104" s="426" t="s">
        <v>1804</v>
      </c>
      <c r="D104" s="427" t="s">
        <v>1805</v>
      </c>
      <c r="E104" s="428" t="s">
        <v>289</v>
      </c>
      <c r="F104" s="434">
        <v>950210</v>
      </c>
      <c r="G104" s="431" t="s">
        <v>1664</v>
      </c>
      <c r="H104" s="431"/>
      <c r="I104" s="431"/>
      <c r="J104" s="431"/>
      <c r="K104" s="432"/>
      <c r="L104" s="431"/>
      <c r="M104" s="431"/>
      <c r="N104" s="433"/>
    </row>
    <row r="105" spans="1:14">
      <c r="A105" s="416">
        <f t="shared" si="2"/>
        <v>99</v>
      </c>
      <c r="B105" s="590"/>
      <c r="D105" s="427" t="s">
        <v>1806</v>
      </c>
      <c r="G105" s="431" t="s">
        <v>1664</v>
      </c>
      <c r="H105" s="431"/>
      <c r="I105" s="431"/>
      <c r="J105" s="431"/>
      <c r="K105" s="432"/>
      <c r="L105" s="431"/>
      <c r="M105" s="431"/>
      <c r="N105" s="433"/>
    </row>
    <row r="106" spans="1:14">
      <c r="A106" s="416">
        <f t="shared" si="2"/>
        <v>100</v>
      </c>
      <c r="B106" s="590" t="s">
        <v>944</v>
      </c>
      <c r="C106" s="426" t="s">
        <v>1807</v>
      </c>
      <c r="D106" s="427" t="s">
        <v>1808</v>
      </c>
      <c r="E106" s="428" t="s">
        <v>289</v>
      </c>
      <c r="F106" s="434">
        <v>5403827</v>
      </c>
      <c r="G106" s="431" t="s">
        <v>1664</v>
      </c>
      <c r="H106" s="431"/>
      <c r="I106" s="431"/>
      <c r="J106" s="431"/>
      <c r="K106" s="432"/>
      <c r="L106" s="431"/>
      <c r="M106" s="431"/>
      <c r="N106" s="433"/>
    </row>
    <row r="107" spans="1:14">
      <c r="A107" s="416">
        <f t="shared" si="2"/>
        <v>101</v>
      </c>
      <c r="B107" s="590"/>
      <c r="D107" s="427" t="s">
        <v>1809</v>
      </c>
      <c r="E107" s="428" t="s">
        <v>289</v>
      </c>
      <c r="G107" s="431" t="s">
        <v>1664</v>
      </c>
      <c r="H107" s="431"/>
      <c r="I107" s="431"/>
      <c r="J107" s="431"/>
      <c r="K107" s="432"/>
      <c r="L107" s="431"/>
      <c r="M107" s="431"/>
      <c r="N107" s="433"/>
    </row>
    <row r="108" spans="1:14">
      <c r="A108" s="416">
        <f t="shared" si="2"/>
        <v>102</v>
      </c>
      <c r="B108" s="590"/>
      <c r="D108" s="427" t="s">
        <v>1810</v>
      </c>
      <c r="E108" s="428" t="s">
        <v>289</v>
      </c>
      <c r="G108" s="431" t="s">
        <v>1664</v>
      </c>
      <c r="H108" s="431"/>
      <c r="I108" s="431"/>
      <c r="J108" s="431"/>
      <c r="K108" s="432"/>
      <c r="L108" s="431"/>
      <c r="M108" s="431"/>
      <c r="N108" s="433"/>
    </row>
    <row r="109" spans="1:14">
      <c r="A109" s="416">
        <f t="shared" si="2"/>
        <v>103</v>
      </c>
      <c r="B109" s="590"/>
      <c r="D109" s="427" t="s">
        <v>1811</v>
      </c>
      <c r="E109" s="428" t="s">
        <v>289</v>
      </c>
      <c r="G109" s="431" t="s">
        <v>1664</v>
      </c>
      <c r="H109" s="431"/>
      <c r="I109" s="431"/>
      <c r="J109" s="431"/>
      <c r="K109" s="432"/>
      <c r="L109" s="431"/>
      <c r="M109" s="431"/>
      <c r="N109" s="433"/>
    </row>
    <row r="110" spans="1:14">
      <c r="A110" s="416">
        <f t="shared" si="2"/>
        <v>104</v>
      </c>
      <c r="B110" s="590" t="s">
        <v>946</v>
      </c>
      <c r="C110" s="426" t="s">
        <v>1812</v>
      </c>
      <c r="D110" s="427" t="s">
        <v>1813</v>
      </c>
      <c r="E110" s="428" t="s">
        <v>289</v>
      </c>
      <c r="F110" s="434">
        <v>2086660</v>
      </c>
      <c r="G110" s="431" t="s">
        <v>1664</v>
      </c>
      <c r="H110" s="431"/>
      <c r="I110" s="431"/>
      <c r="J110" s="431"/>
      <c r="K110" s="432"/>
      <c r="L110" s="431"/>
      <c r="M110" s="431"/>
      <c r="N110" s="433"/>
    </row>
    <row r="111" spans="1:14">
      <c r="A111" s="416">
        <f t="shared" si="2"/>
        <v>105</v>
      </c>
      <c r="B111" s="590"/>
      <c r="D111" s="427" t="s">
        <v>1814</v>
      </c>
      <c r="E111" s="428" t="s">
        <v>289</v>
      </c>
      <c r="G111" s="431" t="s">
        <v>1664</v>
      </c>
      <c r="H111" s="431"/>
      <c r="I111" s="431"/>
      <c r="J111" s="431"/>
      <c r="K111" s="432"/>
      <c r="L111" s="431"/>
      <c r="M111" s="431"/>
      <c r="N111" s="433"/>
    </row>
    <row r="112" spans="1:14">
      <c r="A112" s="416">
        <f t="shared" si="2"/>
        <v>106</v>
      </c>
      <c r="B112" s="590" t="s">
        <v>950</v>
      </c>
      <c r="C112" s="426" t="s">
        <v>1815</v>
      </c>
      <c r="D112" s="427" t="s">
        <v>1816</v>
      </c>
      <c r="E112" s="428" t="s">
        <v>289</v>
      </c>
      <c r="F112" s="434">
        <v>3121488</v>
      </c>
      <c r="G112" s="431" t="s">
        <v>1664</v>
      </c>
      <c r="H112" s="431"/>
      <c r="I112" s="431"/>
      <c r="J112" s="431"/>
      <c r="K112" s="432"/>
      <c r="L112" s="431"/>
      <c r="M112" s="431"/>
      <c r="N112" s="433"/>
    </row>
    <row r="113" spans="1:14">
      <c r="A113" s="416">
        <f t="shared" si="2"/>
        <v>107</v>
      </c>
      <c r="B113" s="590" t="s">
        <v>952</v>
      </c>
      <c r="C113" s="426" t="s">
        <v>1817</v>
      </c>
      <c r="D113" s="427" t="s">
        <v>1818</v>
      </c>
      <c r="E113" s="428" t="s">
        <v>289</v>
      </c>
      <c r="F113" s="434">
        <v>749768</v>
      </c>
      <c r="G113" s="431" t="s">
        <v>1664</v>
      </c>
      <c r="H113" s="431"/>
      <c r="I113" s="431"/>
      <c r="J113" s="431"/>
      <c r="K113" s="432"/>
      <c r="L113" s="431"/>
      <c r="M113" s="431"/>
      <c r="N113" s="433"/>
    </row>
    <row r="114" spans="1:14" ht="17.25" customHeight="1">
      <c r="A114" s="416">
        <f t="shared" si="2"/>
        <v>108</v>
      </c>
      <c r="B114" s="590" t="s">
        <v>954</v>
      </c>
      <c r="C114" s="426" t="s">
        <v>1819</v>
      </c>
      <c r="D114" s="427" t="s">
        <v>1820</v>
      </c>
      <c r="E114" s="428" t="s">
        <v>289</v>
      </c>
      <c r="F114" s="434">
        <v>4679262</v>
      </c>
      <c r="G114" s="431" t="s">
        <v>1664</v>
      </c>
      <c r="H114" s="431"/>
      <c r="I114" s="431"/>
      <c r="J114" s="431"/>
      <c r="K114" s="432"/>
      <c r="L114" s="431"/>
      <c r="M114" s="431"/>
      <c r="N114" s="433"/>
    </row>
    <row r="115" spans="1:14">
      <c r="A115" s="416">
        <f t="shared" si="2"/>
        <v>109</v>
      </c>
      <c r="B115" s="590"/>
      <c r="D115" s="427" t="s">
        <v>1821</v>
      </c>
      <c r="E115" s="428" t="s">
        <v>289</v>
      </c>
      <c r="G115" s="431" t="s">
        <v>1664</v>
      </c>
      <c r="H115" s="431"/>
      <c r="I115" s="431"/>
      <c r="J115" s="431"/>
      <c r="K115" s="432"/>
      <c r="L115" s="431"/>
      <c r="M115" s="431"/>
      <c r="N115" s="433"/>
    </row>
    <row r="116" spans="1:14">
      <c r="A116" s="416">
        <f t="shared" si="2"/>
        <v>110</v>
      </c>
      <c r="B116" s="590" t="s">
        <v>956</v>
      </c>
      <c r="C116" s="426" t="s">
        <v>1822</v>
      </c>
      <c r="D116" s="427" t="s">
        <v>1823</v>
      </c>
      <c r="E116" s="428" t="s">
        <v>289</v>
      </c>
      <c r="F116" s="434">
        <v>4296873</v>
      </c>
      <c r="G116" s="431" t="s">
        <v>1664</v>
      </c>
      <c r="H116" s="431"/>
      <c r="I116" s="431"/>
      <c r="J116" s="431"/>
      <c r="K116" s="432"/>
      <c r="L116" s="431"/>
      <c r="M116" s="431"/>
      <c r="N116" s="433"/>
    </row>
    <row r="117" spans="1:14">
      <c r="A117" s="416">
        <f t="shared" si="2"/>
        <v>111</v>
      </c>
      <c r="B117" s="590"/>
      <c r="D117" s="427" t="s">
        <v>1824</v>
      </c>
      <c r="E117" s="428" t="s">
        <v>289</v>
      </c>
      <c r="G117" s="431" t="s">
        <v>1664</v>
      </c>
      <c r="H117" s="431"/>
      <c r="I117" s="431"/>
      <c r="J117" s="431"/>
      <c r="K117" s="432"/>
      <c r="L117" s="431"/>
      <c r="M117" s="431"/>
      <c r="N117" s="433"/>
    </row>
    <row r="118" spans="1:14">
      <c r="A118" s="416">
        <f t="shared" si="2"/>
        <v>112</v>
      </c>
      <c r="B118" s="590" t="s">
        <v>958</v>
      </c>
      <c r="C118" s="426" t="s">
        <v>1825</v>
      </c>
      <c r="D118" s="427" t="s">
        <v>1826</v>
      </c>
      <c r="E118" s="428" t="s">
        <v>289</v>
      </c>
      <c r="F118" s="434">
        <v>757992</v>
      </c>
      <c r="G118" s="431" t="s">
        <v>1664</v>
      </c>
      <c r="H118" s="431"/>
      <c r="I118" s="431"/>
      <c r="J118" s="431"/>
      <c r="K118" s="432"/>
      <c r="L118" s="431"/>
      <c r="M118" s="431"/>
      <c r="N118" s="433"/>
    </row>
    <row r="119" spans="1:14" ht="17.25" customHeight="1">
      <c r="A119" s="416">
        <f t="shared" si="2"/>
        <v>113</v>
      </c>
      <c r="B119" s="590" t="s">
        <v>960</v>
      </c>
      <c r="C119" s="426" t="s">
        <v>1827</v>
      </c>
      <c r="D119" s="427" t="s">
        <v>1828</v>
      </c>
      <c r="E119" s="428" t="s">
        <v>289</v>
      </c>
      <c r="F119" s="434">
        <v>20373151</v>
      </c>
      <c r="G119" s="431" t="s">
        <v>1664</v>
      </c>
      <c r="H119" s="431"/>
      <c r="I119" s="431"/>
      <c r="J119" s="431"/>
      <c r="K119" s="432"/>
      <c r="L119" s="431"/>
      <c r="M119" s="431"/>
      <c r="N119" s="433"/>
    </row>
    <row r="120" spans="1:14" ht="29">
      <c r="A120" s="416">
        <f t="shared" si="2"/>
        <v>114</v>
      </c>
      <c r="B120" s="590"/>
      <c r="D120" s="427" t="s">
        <v>1829</v>
      </c>
      <c r="E120" s="428" t="s">
        <v>289</v>
      </c>
      <c r="G120" s="431" t="s">
        <v>1664</v>
      </c>
      <c r="H120" s="431"/>
      <c r="I120" s="431"/>
      <c r="J120" s="431"/>
      <c r="K120" s="432"/>
      <c r="L120" s="431"/>
      <c r="M120" s="431"/>
      <c r="N120" s="433"/>
    </row>
    <row r="121" spans="1:14">
      <c r="A121" s="416">
        <f t="shared" si="2"/>
        <v>115</v>
      </c>
      <c r="B121" s="590"/>
      <c r="D121" s="427" t="s">
        <v>1830</v>
      </c>
      <c r="E121" s="428" t="s">
        <v>289</v>
      </c>
      <c r="G121" s="431" t="s">
        <v>1664</v>
      </c>
      <c r="H121" s="431"/>
      <c r="I121" s="431"/>
      <c r="J121" s="431"/>
      <c r="K121" s="431"/>
      <c r="L121" s="431"/>
      <c r="M121" s="431"/>
      <c r="N121" s="433"/>
    </row>
    <row r="122" spans="1:14">
      <c r="A122" s="416">
        <f t="shared" si="2"/>
        <v>116</v>
      </c>
      <c r="B122" s="590"/>
      <c r="D122" s="427" t="s">
        <v>1831</v>
      </c>
      <c r="E122" s="428" t="s">
        <v>289</v>
      </c>
      <c r="G122" s="431" t="s">
        <v>1664</v>
      </c>
      <c r="H122" s="431"/>
      <c r="I122" s="431"/>
      <c r="J122" s="431"/>
      <c r="K122" s="431"/>
      <c r="L122" s="431"/>
      <c r="M122" s="431"/>
      <c r="N122" s="433"/>
    </row>
    <row r="123" spans="1:14">
      <c r="A123" s="416">
        <f t="shared" si="2"/>
        <v>117</v>
      </c>
      <c r="B123" s="590"/>
      <c r="D123" s="427" t="s">
        <v>1832</v>
      </c>
      <c r="E123" s="428" t="s">
        <v>289</v>
      </c>
      <c r="G123" s="431" t="s">
        <v>1664</v>
      </c>
      <c r="H123" s="431"/>
      <c r="I123" s="431"/>
      <c r="J123" s="431"/>
      <c r="K123" s="431"/>
      <c r="L123" s="431"/>
      <c r="M123" s="431"/>
      <c r="N123" s="433"/>
    </row>
    <row r="124" spans="1:14">
      <c r="A124" s="416">
        <f t="shared" si="2"/>
        <v>118</v>
      </c>
      <c r="B124" s="590"/>
      <c r="D124" s="427" t="s">
        <v>1833</v>
      </c>
      <c r="E124" s="428" t="s">
        <v>289</v>
      </c>
      <c r="G124" s="431"/>
      <c r="H124" s="431"/>
      <c r="I124" s="431" t="s">
        <v>1664</v>
      </c>
      <c r="J124" s="431"/>
      <c r="K124" s="431"/>
      <c r="L124" s="431"/>
      <c r="M124" s="431"/>
      <c r="N124" s="433" t="s">
        <v>1834</v>
      </c>
    </row>
    <row r="125" spans="1:14">
      <c r="A125" s="416">
        <f t="shared" si="2"/>
        <v>119</v>
      </c>
      <c r="B125" s="590"/>
      <c r="D125" s="427" t="s">
        <v>1835</v>
      </c>
      <c r="E125" s="428" t="s">
        <v>289</v>
      </c>
      <c r="G125" s="431"/>
      <c r="H125" s="431"/>
      <c r="I125" s="431" t="s">
        <v>1664</v>
      </c>
      <c r="J125" s="431"/>
      <c r="K125" s="431"/>
      <c r="L125" s="431"/>
      <c r="M125" s="431"/>
      <c r="N125" s="433" t="s">
        <v>1834</v>
      </c>
    </row>
    <row r="126" spans="1:14">
      <c r="A126" s="416">
        <f t="shared" si="2"/>
        <v>120</v>
      </c>
      <c r="B126" s="590"/>
      <c r="D126" s="427" t="s">
        <v>1836</v>
      </c>
      <c r="E126" s="428" t="s">
        <v>289</v>
      </c>
      <c r="G126" s="431"/>
      <c r="H126" s="431"/>
      <c r="I126" s="431" t="s">
        <v>1664</v>
      </c>
      <c r="J126" s="431"/>
      <c r="K126" s="431"/>
      <c r="L126" s="431"/>
      <c r="M126" s="431"/>
      <c r="N126" s="433" t="s">
        <v>1834</v>
      </c>
    </row>
    <row r="127" spans="1:14">
      <c r="A127" s="416">
        <f t="shared" si="2"/>
        <v>121</v>
      </c>
      <c r="B127" s="590"/>
      <c r="D127" s="427" t="s">
        <v>1837</v>
      </c>
      <c r="E127" s="428" t="s">
        <v>289</v>
      </c>
      <c r="G127" s="431" t="s">
        <v>1664</v>
      </c>
      <c r="H127" s="431"/>
      <c r="I127" s="431"/>
      <c r="J127" s="431"/>
      <c r="K127" s="431"/>
      <c r="L127" s="431"/>
      <c r="M127" s="431"/>
      <c r="N127" s="433"/>
    </row>
    <row r="128" spans="1:14">
      <c r="A128" s="416">
        <f t="shared" si="2"/>
        <v>122</v>
      </c>
      <c r="B128" s="590"/>
      <c r="D128" s="427" t="s">
        <v>1838</v>
      </c>
      <c r="E128" s="428" t="s">
        <v>289</v>
      </c>
      <c r="G128" s="431" t="s">
        <v>1664</v>
      </c>
      <c r="H128" s="431"/>
      <c r="I128" s="431"/>
      <c r="J128" s="431"/>
      <c r="K128" s="431"/>
      <c r="L128" s="431"/>
      <c r="M128" s="431"/>
      <c r="N128" s="433"/>
    </row>
    <row r="129" spans="1:14">
      <c r="A129" s="416">
        <f t="shared" si="2"/>
        <v>123</v>
      </c>
      <c r="B129" s="590"/>
      <c r="D129" s="427" t="s">
        <v>1839</v>
      </c>
      <c r="E129" s="428" t="s">
        <v>289</v>
      </c>
      <c r="G129" s="431" t="s">
        <v>1664</v>
      </c>
      <c r="H129" s="431"/>
      <c r="I129" s="431"/>
      <c r="J129" s="431"/>
      <c r="K129" s="431"/>
      <c r="L129" s="431"/>
      <c r="M129" s="431"/>
      <c r="N129" s="433"/>
    </row>
    <row r="130" spans="1:14">
      <c r="A130" s="416">
        <f t="shared" si="2"/>
        <v>124</v>
      </c>
      <c r="B130" s="590"/>
      <c r="D130" s="427" t="s">
        <v>1840</v>
      </c>
      <c r="E130" s="428" t="s">
        <v>289</v>
      </c>
      <c r="G130" s="431" t="s">
        <v>1664</v>
      </c>
      <c r="H130" s="431"/>
      <c r="I130" s="431"/>
      <c r="J130" s="431"/>
      <c r="K130" s="431"/>
      <c r="L130" s="431"/>
      <c r="M130" s="431"/>
      <c r="N130" s="433"/>
    </row>
    <row r="131" spans="1:14">
      <c r="A131" s="416">
        <f t="shared" si="2"/>
        <v>125</v>
      </c>
      <c r="B131" s="590" t="s">
        <v>962</v>
      </c>
      <c r="C131" s="426" t="s">
        <v>1841</v>
      </c>
      <c r="D131" s="427" t="s">
        <v>1842</v>
      </c>
      <c r="E131" s="428" t="s">
        <v>289</v>
      </c>
      <c r="F131" s="434">
        <v>4222330</v>
      </c>
      <c r="G131" s="431" t="s">
        <v>1664</v>
      </c>
      <c r="H131" s="431"/>
      <c r="I131" s="431"/>
      <c r="J131" s="431"/>
      <c r="K131" s="431"/>
      <c r="L131" s="431"/>
      <c r="M131" s="431"/>
      <c r="N131" s="433"/>
    </row>
    <row r="132" spans="1:14">
      <c r="A132" s="416">
        <f t="shared" si="2"/>
        <v>126</v>
      </c>
      <c r="B132" s="590"/>
      <c r="D132" s="427" t="s">
        <v>1843</v>
      </c>
      <c r="E132" s="428" t="s">
        <v>289</v>
      </c>
      <c r="G132" s="431" t="s">
        <v>1664</v>
      </c>
      <c r="H132" s="431"/>
      <c r="I132" s="431"/>
      <c r="J132" s="431"/>
      <c r="K132" s="431"/>
      <c r="L132" s="431"/>
      <c r="M132" s="431"/>
      <c r="N132" s="433"/>
    </row>
    <row r="133" spans="1:14">
      <c r="A133" s="416">
        <f t="shared" si="2"/>
        <v>127</v>
      </c>
      <c r="B133" s="590"/>
      <c r="D133" s="427" t="s">
        <v>1844</v>
      </c>
      <c r="E133" s="428" t="s">
        <v>289</v>
      </c>
      <c r="G133" s="431" t="s">
        <v>1664</v>
      </c>
      <c r="H133" s="431"/>
      <c r="I133" s="431"/>
      <c r="J133" s="431"/>
      <c r="K133" s="431"/>
      <c r="L133" s="431"/>
      <c r="M133" s="431"/>
      <c r="N133" s="433"/>
    </row>
    <row r="134" spans="1:14" ht="27" customHeight="1">
      <c r="A134" s="416">
        <f t="shared" si="2"/>
        <v>128</v>
      </c>
      <c r="B134" s="590"/>
      <c r="D134" s="427" t="s">
        <v>1845</v>
      </c>
      <c r="E134" s="428" t="s">
        <v>289</v>
      </c>
      <c r="G134" s="431"/>
      <c r="H134" s="431" t="s">
        <v>1664</v>
      </c>
      <c r="I134" s="431"/>
      <c r="J134" s="431"/>
      <c r="K134" s="431"/>
      <c r="L134" s="431"/>
      <c r="M134" s="431"/>
      <c r="N134" s="433" t="s">
        <v>1846</v>
      </c>
    </row>
    <row r="135" spans="1:14" ht="27" customHeight="1">
      <c r="A135" s="416">
        <f t="shared" si="2"/>
        <v>129</v>
      </c>
      <c r="B135" s="590"/>
      <c r="D135" s="427" t="s">
        <v>1847</v>
      </c>
      <c r="E135" s="428" t="s">
        <v>289</v>
      </c>
      <c r="G135" s="431"/>
      <c r="H135" s="431" t="s">
        <v>1664</v>
      </c>
      <c r="I135" s="431"/>
      <c r="J135" s="431"/>
      <c r="K135" s="431"/>
      <c r="L135" s="431"/>
      <c r="M135" s="431"/>
      <c r="N135" s="433" t="s">
        <v>1848</v>
      </c>
    </row>
    <row r="136" spans="1:14">
      <c r="A136" s="416">
        <f t="shared" si="2"/>
        <v>130</v>
      </c>
      <c r="B136" s="590" t="s">
        <v>964</v>
      </c>
      <c r="C136" s="426" t="s">
        <v>1849</v>
      </c>
      <c r="D136" s="436" t="s">
        <v>1850</v>
      </c>
      <c r="E136" s="428" t="s">
        <v>289</v>
      </c>
      <c r="F136" s="434">
        <v>5313905</v>
      </c>
      <c r="G136" s="431" t="s">
        <v>1664</v>
      </c>
      <c r="H136" s="431"/>
      <c r="I136" s="431"/>
      <c r="J136" s="431"/>
      <c r="K136" s="431"/>
      <c r="L136" s="431"/>
      <c r="M136" s="431"/>
      <c r="N136" s="433"/>
    </row>
    <row r="137" spans="1:14">
      <c r="A137" s="416">
        <f t="shared" si="2"/>
        <v>131</v>
      </c>
      <c r="B137" s="590"/>
      <c r="D137" s="427" t="s">
        <v>1851</v>
      </c>
      <c r="E137" s="428" t="s">
        <v>289</v>
      </c>
      <c r="G137" s="431" t="s">
        <v>1664</v>
      </c>
      <c r="H137" s="431"/>
      <c r="I137" s="431"/>
      <c r="J137" s="431"/>
      <c r="K137" s="431"/>
      <c r="L137" s="431"/>
      <c r="M137" s="431"/>
      <c r="N137" s="433"/>
    </row>
    <row r="138" spans="1:14">
      <c r="A138" s="416">
        <f t="shared" si="2"/>
        <v>132</v>
      </c>
      <c r="B138" s="590"/>
      <c r="D138" s="427" t="s">
        <v>1852</v>
      </c>
      <c r="E138" s="428" t="s">
        <v>289</v>
      </c>
      <c r="G138" s="431" t="s">
        <v>1664</v>
      </c>
      <c r="H138" s="431"/>
      <c r="I138" s="431"/>
      <c r="J138" s="431"/>
      <c r="K138" s="431"/>
      <c r="L138" s="431"/>
      <c r="M138" s="431"/>
      <c r="N138" s="433"/>
    </row>
    <row r="139" spans="1:14">
      <c r="A139" s="416">
        <f t="shared" si="2"/>
        <v>133</v>
      </c>
      <c r="B139" s="590"/>
      <c r="D139" s="427" t="s">
        <v>1853</v>
      </c>
      <c r="E139" s="428" t="s">
        <v>289</v>
      </c>
      <c r="G139" s="431" t="s">
        <v>1664</v>
      </c>
      <c r="H139" s="431"/>
      <c r="I139" s="431"/>
      <c r="J139" s="431"/>
      <c r="K139" s="431"/>
      <c r="L139" s="431"/>
      <c r="M139" s="431"/>
      <c r="N139" s="433"/>
    </row>
    <row r="140" spans="1:14">
      <c r="A140" s="416">
        <f t="shared" si="2"/>
        <v>134</v>
      </c>
      <c r="B140" s="590"/>
      <c r="D140" s="427" t="s">
        <v>1854</v>
      </c>
      <c r="E140" s="428" t="s">
        <v>289</v>
      </c>
      <c r="G140" s="431" t="s">
        <v>1664</v>
      </c>
      <c r="H140" s="431"/>
      <c r="I140" s="431"/>
      <c r="J140" s="431"/>
      <c r="K140" s="431"/>
      <c r="L140" s="431"/>
      <c r="M140" s="431"/>
      <c r="N140" s="433"/>
    </row>
    <row r="141" spans="1:14">
      <c r="A141" s="416">
        <f t="shared" ref="A141:A204" si="3">A140+1</f>
        <v>135</v>
      </c>
      <c r="B141" s="590"/>
      <c r="D141" s="427" t="s">
        <v>1855</v>
      </c>
      <c r="E141" s="428" t="s">
        <v>289</v>
      </c>
      <c r="G141" s="431" t="s">
        <v>1664</v>
      </c>
      <c r="H141" s="431"/>
      <c r="I141" s="431"/>
      <c r="J141" s="431"/>
      <c r="K141" s="431"/>
      <c r="L141" s="431"/>
      <c r="M141" s="431"/>
      <c r="N141" s="433"/>
    </row>
    <row r="142" spans="1:14" ht="43.5">
      <c r="A142" s="416">
        <f t="shared" si="3"/>
        <v>136</v>
      </c>
      <c r="B142" s="590" t="s">
        <v>970</v>
      </c>
      <c r="C142" s="426" t="s">
        <v>1856</v>
      </c>
      <c r="D142" s="427" t="s">
        <v>1857</v>
      </c>
      <c r="E142" s="428" t="s">
        <v>289</v>
      </c>
      <c r="F142" s="434">
        <v>15371304</v>
      </c>
      <c r="G142" s="431" t="s">
        <v>1664</v>
      </c>
      <c r="H142" s="431"/>
      <c r="I142" s="431"/>
      <c r="J142" s="431"/>
      <c r="K142" s="431"/>
      <c r="L142" s="431"/>
      <c r="M142" s="431"/>
      <c r="N142" s="433"/>
    </row>
    <row r="143" spans="1:14">
      <c r="A143" s="416">
        <f t="shared" si="3"/>
        <v>137</v>
      </c>
      <c r="B143" s="590"/>
      <c r="D143" s="427" t="s">
        <v>1858</v>
      </c>
      <c r="E143" s="428" t="s">
        <v>289</v>
      </c>
      <c r="G143" s="431" t="s">
        <v>1664</v>
      </c>
      <c r="H143" s="431"/>
      <c r="I143" s="431"/>
      <c r="J143" s="431"/>
      <c r="K143" s="431"/>
      <c r="L143" s="431"/>
      <c r="M143" s="431"/>
      <c r="N143" s="433"/>
    </row>
    <row r="144" spans="1:14">
      <c r="A144" s="416">
        <f t="shared" si="3"/>
        <v>138</v>
      </c>
      <c r="B144" s="590"/>
      <c r="D144" s="427" t="s">
        <v>1859</v>
      </c>
      <c r="E144" s="428" t="s">
        <v>289</v>
      </c>
      <c r="G144" s="431" t="s">
        <v>1664</v>
      </c>
      <c r="H144" s="431"/>
      <c r="I144" s="431"/>
      <c r="J144" s="431"/>
      <c r="K144" s="431"/>
      <c r="L144" s="431"/>
      <c r="M144" s="431"/>
      <c r="N144" s="433"/>
    </row>
    <row r="145" spans="1:14">
      <c r="A145" s="416">
        <f t="shared" si="3"/>
        <v>139</v>
      </c>
      <c r="B145" s="590"/>
      <c r="D145" s="427" t="s">
        <v>1860</v>
      </c>
      <c r="E145" s="428" t="s">
        <v>289</v>
      </c>
      <c r="G145" s="431" t="s">
        <v>1664</v>
      </c>
      <c r="H145" s="431"/>
      <c r="I145" s="431"/>
      <c r="J145" s="431"/>
      <c r="K145" s="431"/>
      <c r="L145" s="431"/>
      <c r="M145" s="431"/>
      <c r="N145" s="433"/>
    </row>
    <row r="146" spans="1:14">
      <c r="A146" s="416">
        <f t="shared" si="3"/>
        <v>140</v>
      </c>
      <c r="B146" s="590"/>
      <c r="D146" s="427" t="s">
        <v>1861</v>
      </c>
      <c r="E146" s="428" t="s">
        <v>289</v>
      </c>
      <c r="G146" s="431" t="s">
        <v>1664</v>
      </c>
      <c r="H146" s="431"/>
      <c r="I146" s="431"/>
      <c r="J146" s="431"/>
      <c r="K146" s="431"/>
      <c r="L146" s="431"/>
      <c r="M146" s="431"/>
      <c r="N146" s="433"/>
    </row>
    <row r="147" spans="1:14">
      <c r="A147" s="416">
        <f t="shared" si="3"/>
        <v>141</v>
      </c>
      <c r="B147" s="590"/>
      <c r="D147" s="427" t="s">
        <v>1862</v>
      </c>
      <c r="E147" s="428" t="s">
        <v>289</v>
      </c>
      <c r="G147" s="431" t="s">
        <v>1664</v>
      </c>
      <c r="H147" s="431"/>
      <c r="I147" s="431"/>
      <c r="J147" s="431"/>
      <c r="K147" s="431"/>
      <c r="L147" s="431"/>
      <c r="M147" s="431"/>
      <c r="N147" s="433"/>
    </row>
    <row r="148" spans="1:14">
      <c r="A148" s="416">
        <f t="shared" si="3"/>
        <v>142</v>
      </c>
      <c r="B148" s="590" t="s">
        <v>968</v>
      </c>
      <c r="C148" s="426" t="s">
        <v>1863</v>
      </c>
      <c r="D148" s="427" t="s">
        <v>1864</v>
      </c>
      <c r="E148" s="428" t="s">
        <v>289</v>
      </c>
      <c r="F148" s="434">
        <v>10761312</v>
      </c>
      <c r="G148" s="431" t="s">
        <v>1664</v>
      </c>
      <c r="H148" s="431"/>
      <c r="I148" s="431"/>
      <c r="J148" s="431"/>
      <c r="K148" s="431"/>
      <c r="L148" s="431"/>
      <c r="M148" s="431"/>
      <c r="N148" s="433"/>
    </row>
    <row r="149" spans="1:14">
      <c r="A149" s="416">
        <f t="shared" si="3"/>
        <v>143</v>
      </c>
      <c r="B149" s="590"/>
      <c r="D149" s="427" t="s">
        <v>1865</v>
      </c>
      <c r="E149" s="428" t="s">
        <v>289</v>
      </c>
      <c r="G149" s="431" t="s">
        <v>1664</v>
      </c>
      <c r="H149" s="431"/>
      <c r="I149" s="431"/>
      <c r="J149" s="431"/>
      <c r="K149" s="431"/>
      <c r="L149" s="431"/>
      <c r="M149" s="431"/>
      <c r="N149" s="433"/>
    </row>
    <row r="150" spans="1:14">
      <c r="A150" s="416">
        <f t="shared" si="3"/>
        <v>144</v>
      </c>
      <c r="B150" s="590"/>
      <c r="D150" s="427" t="s">
        <v>1866</v>
      </c>
      <c r="E150" s="428" t="s">
        <v>289</v>
      </c>
      <c r="G150" s="431" t="s">
        <v>1664</v>
      </c>
      <c r="H150" s="431"/>
      <c r="I150" s="431"/>
      <c r="J150" s="431"/>
      <c r="K150" s="431"/>
      <c r="L150" s="431"/>
      <c r="M150" s="431"/>
      <c r="N150" s="433"/>
    </row>
    <row r="151" spans="1:14">
      <c r="A151" s="416">
        <f t="shared" si="3"/>
        <v>145</v>
      </c>
      <c r="B151" s="590"/>
      <c r="D151" s="427" t="s">
        <v>1867</v>
      </c>
      <c r="E151" s="428" t="s">
        <v>289</v>
      </c>
      <c r="G151" s="431" t="s">
        <v>1664</v>
      </c>
      <c r="H151" s="431"/>
      <c r="I151" s="431"/>
      <c r="J151" s="431"/>
      <c r="K151" s="431"/>
      <c r="L151" s="431"/>
      <c r="M151" s="431"/>
      <c r="N151" s="433"/>
    </row>
    <row r="152" spans="1:14">
      <c r="A152" s="416">
        <f t="shared" si="3"/>
        <v>146</v>
      </c>
      <c r="B152" s="590"/>
      <c r="D152" s="427" t="s">
        <v>1868</v>
      </c>
      <c r="E152" s="428" t="s">
        <v>289</v>
      </c>
      <c r="G152" s="431" t="s">
        <v>1664</v>
      </c>
      <c r="H152" s="431"/>
      <c r="I152" s="431"/>
      <c r="J152" s="431"/>
      <c r="K152" s="431"/>
      <c r="L152" s="431"/>
      <c r="M152" s="431"/>
      <c r="N152" s="433"/>
    </row>
    <row r="153" spans="1:14">
      <c r="A153" s="416">
        <f t="shared" si="3"/>
        <v>147</v>
      </c>
      <c r="B153" s="590"/>
      <c r="D153" s="427" t="s">
        <v>1869</v>
      </c>
      <c r="E153" s="428" t="s">
        <v>289</v>
      </c>
      <c r="G153" s="431" t="s">
        <v>1664</v>
      </c>
      <c r="H153" s="431"/>
      <c r="I153" s="431"/>
      <c r="J153" s="431"/>
      <c r="K153" s="431"/>
      <c r="L153" s="431"/>
      <c r="M153" s="431"/>
      <c r="N153" s="433"/>
    </row>
    <row r="154" spans="1:14">
      <c r="A154" s="416">
        <f t="shared" si="3"/>
        <v>148</v>
      </c>
      <c r="B154" s="590"/>
      <c r="D154" s="427" t="s">
        <v>1870</v>
      </c>
      <c r="E154" s="428" t="s">
        <v>289</v>
      </c>
      <c r="G154" s="431" t="s">
        <v>1664</v>
      </c>
      <c r="H154" s="431"/>
      <c r="I154" s="431"/>
      <c r="J154" s="431"/>
      <c r="K154" s="431"/>
      <c r="L154" s="431"/>
      <c r="M154" s="431"/>
      <c r="N154" s="433"/>
    </row>
    <row r="155" spans="1:14">
      <c r="A155" s="416">
        <f t="shared" si="3"/>
        <v>149</v>
      </c>
      <c r="B155" s="590"/>
      <c r="D155" s="427" t="s">
        <v>1871</v>
      </c>
      <c r="E155" s="428" t="s">
        <v>289</v>
      </c>
      <c r="G155" s="431" t="s">
        <v>1664</v>
      </c>
      <c r="H155" s="431"/>
      <c r="I155" s="431"/>
      <c r="J155" s="431"/>
      <c r="K155" s="431"/>
      <c r="L155" s="431"/>
      <c r="M155" s="431"/>
      <c r="N155" s="433"/>
    </row>
    <row r="156" spans="1:14">
      <c r="A156" s="416">
        <f t="shared" si="3"/>
        <v>150</v>
      </c>
      <c r="B156" s="590" t="s">
        <v>972</v>
      </c>
      <c r="C156" s="426" t="s">
        <v>1872</v>
      </c>
      <c r="D156" s="427" t="s">
        <v>1873</v>
      </c>
      <c r="E156" s="428" t="s">
        <v>289</v>
      </c>
      <c r="F156" s="434">
        <v>1725310</v>
      </c>
      <c r="G156" s="431" t="s">
        <v>1664</v>
      </c>
      <c r="H156" s="431"/>
      <c r="I156" s="431"/>
      <c r="J156" s="431"/>
      <c r="K156" s="431"/>
      <c r="L156" s="431"/>
      <c r="M156" s="431"/>
      <c r="N156" s="433"/>
    </row>
    <row r="157" spans="1:14">
      <c r="A157" s="416">
        <f t="shared" si="3"/>
        <v>151</v>
      </c>
      <c r="B157" s="590"/>
      <c r="D157" s="427" t="s">
        <v>1874</v>
      </c>
      <c r="E157" s="428" t="s">
        <v>289</v>
      </c>
      <c r="G157" s="431"/>
      <c r="H157" s="431" t="s">
        <v>1664</v>
      </c>
      <c r="I157" s="431"/>
      <c r="J157" s="431"/>
      <c r="K157" s="431"/>
      <c r="L157" s="431"/>
      <c r="M157" s="431"/>
      <c r="N157" s="433" t="s">
        <v>1875</v>
      </c>
    </row>
    <row r="158" spans="1:14">
      <c r="A158" s="416">
        <f t="shared" si="3"/>
        <v>152</v>
      </c>
      <c r="B158" s="590"/>
      <c r="D158" s="427" t="s">
        <v>1876</v>
      </c>
      <c r="E158" s="428" t="s">
        <v>289</v>
      </c>
      <c r="G158" s="431"/>
      <c r="H158" s="431" t="s">
        <v>1664</v>
      </c>
      <c r="I158" s="431"/>
      <c r="J158" s="431"/>
      <c r="K158" s="431"/>
      <c r="L158" s="431"/>
      <c r="M158" s="431"/>
      <c r="N158" s="433" t="s">
        <v>1875</v>
      </c>
    </row>
    <row r="159" spans="1:14" ht="29">
      <c r="A159" s="416">
        <f t="shared" si="3"/>
        <v>153</v>
      </c>
      <c r="B159" s="590" t="s">
        <v>974</v>
      </c>
      <c r="C159" s="426" t="s">
        <v>1877</v>
      </c>
      <c r="D159" s="427" t="s">
        <v>1878</v>
      </c>
      <c r="E159" s="428" t="s">
        <v>289</v>
      </c>
      <c r="F159" s="434">
        <v>10146043</v>
      </c>
      <c r="G159" s="431" t="s">
        <v>1664</v>
      </c>
      <c r="H159" s="431"/>
      <c r="I159" s="431"/>
      <c r="J159" s="431"/>
      <c r="K159" s="431"/>
      <c r="L159" s="431"/>
      <c r="M159" s="431"/>
      <c r="N159" s="433"/>
    </row>
    <row r="160" spans="1:14">
      <c r="A160" s="416">
        <f t="shared" si="3"/>
        <v>154</v>
      </c>
      <c r="B160" s="590"/>
      <c r="D160" s="427" t="s">
        <v>1754</v>
      </c>
      <c r="E160" s="428" t="s">
        <v>289</v>
      </c>
      <c r="G160" s="431" t="s">
        <v>1664</v>
      </c>
      <c r="H160" s="431"/>
      <c r="I160" s="431"/>
      <c r="J160" s="431"/>
      <c r="K160" s="431"/>
      <c r="L160" s="431"/>
      <c r="M160" s="431"/>
      <c r="N160" s="433"/>
    </row>
    <row r="161" spans="1:14">
      <c r="A161" s="416">
        <f t="shared" si="3"/>
        <v>155</v>
      </c>
      <c r="B161" s="590"/>
      <c r="D161" s="427" t="s">
        <v>1879</v>
      </c>
      <c r="E161" s="428" t="s">
        <v>289</v>
      </c>
      <c r="G161" s="431" t="s">
        <v>1664</v>
      </c>
      <c r="H161" s="431"/>
      <c r="I161" s="431"/>
      <c r="J161" s="431"/>
      <c r="K161" s="431"/>
      <c r="L161" s="431"/>
      <c r="M161" s="431"/>
      <c r="N161" s="433"/>
    </row>
    <row r="162" spans="1:14">
      <c r="A162" s="416">
        <f t="shared" si="3"/>
        <v>156</v>
      </c>
      <c r="B162" s="590"/>
      <c r="D162" s="427" t="s">
        <v>1880</v>
      </c>
      <c r="E162" s="428" t="s">
        <v>289</v>
      </c>
      <c r="G162" s="431" t="s">
        <v>1664</v>
      </c>
      <c r="H162" s="431"/>
      <c r="I162" s="431"/>
      <c r="J162" s="431"/>
      <c r="K162" s="431"/>
      <c r="L162" s="431"/>
      <c r="M162" s="431"/>
      <c r="N162" s="433"/>
    </row>
    <row r="163" spans="1:14">
      <c r="A163" s="416">
        <f t="shared" si="3"/>
        <v>157</v>
      </c>
      <c r="B163" s="590"/>
      <c r="D163" s="427" t="s">
        <v>1881</v>
      </c>
      <c r="E163" s="428" t="s">
        <v>289</v>
      </c>
      <c r="G163" s="431" t="s">
        <v>1664</v>
      </c>
      <c r="H163" s="431"/>
      <c r="I163" s="431"/>
      <c r="J163" s="431"/>
      <c r="K163" s="431"/>
      <c r="L163" s="431"/>
      <c r="M163" s="431"/>
      <c r="N163" s="433"/>
    </row>
    <row r="164" spans="1:14">
      <c r="A164" s="416">
        <f t="shared" si="3"/>
        <v>158</v>
      </c>
      <c r="B164" s="590"/>
      <c r="D164" s="427" t="s">
        <v>1882</v>
      </c>
      <c r="E164" s="428" t="s">
        <v>289</v>
      </c>
      <c r="G164" s="431" t="s">
        <v>1664</v>
      </c>
      <c r="H164" s="431"/>
      <c r="I164" s="431"/>
      <c r="J164" s="431"/>
      <c r="K164" s="431"/>
      <c r="L164" s="431"/>
      <c r="M164" s="431"/>
      <c r="N164" s="433"/>
    </row>
    <row r="165" spans="1:14" ht="29">
      <c r="A165" s="416">
        <f t="shared" si="3"/>
        <v>159</v>
      </c>
      <c r="B165" s="590"/>
      <c r="D165" s="427" t="s">
        <v>1883</v>
      </c>
      <c r="E165" s="428" t="s">
        <v>289</v>
      </c>
      <c r="G165" s="431"/>
      <c r="H165" s="431"/>
      <c r="I165" s="431" t="s">
        <v>1664</v>
      </c>
      <c r="J165" s="431"/>
      <c r="K165" s="431"/>
      <c r="L165" s="431"/>
      <c r="M165" s="431"/>
      <c r="N165" s="433" t="s">
        <v>1884</v>
      </c>
    </row>
    <row r="166" spans="1:14">
      <c r="A166" s="416">
        <f t="shared" si="3"/>
        <v>160</v>
      </c>
      <c r="B166" s="590"/>
      <c r="D166" s="427" t="s">
        <v>1885</v>
      </c>
      <c r="E166" s="428" t="s">
        <v>289</v>
      </c>
      <c r="G166" s="431" t="s">
        <v>1664</v>
      </c>
      <c r="H166" s="431"/>
      <c r="I166" s="431"/>
      <c r="J166" s="431"/>
      <c r="K166" s="431"/>
      <c r="L166" s="431"/>
      <c r="M166" s="431"/>
      <c r="N166" s="433"/>
    </row>
    <row r="167" spans="1:14" ht="29">
      <c r="A167" s="416">
        <f t="shared" si="3"/>
        <v>161</v>
      </c>
      <c r="B167" s="590" t="s">
        <v>976</v>
      </c>
      <c r="C167" s="426" t="s">
        <v>1886</v>
      </c>
      <c r="D167" s="427" t="s">
        <v>1887</v>
      </c>
      <c r="E167" s="428" t="s">
        <v>289</v>
      </c>
      <c r="F167" s="434">
        <v>12342545</v>
      </c>
      <c r="G167" s="431" t="s">
        <v>1664</v>
      </c>
      <c r="H167" s="431"/>
      <c r="I167" s="431"/>
      <c r="J167" s="431"/>
      <c r="K167" s="431"/>
      <c r="L167" s="431"/>
      <c r="M167" s="431"/>
      <c r="N167" s="433"/>
    </row>
    <row r="168" spans="1:14">
      <c r="A168" s="416">
        <f t="shared" si="3"/>
        <v>162</v>
      </c>
      <c r="B168" s="590"/>
      <c r="D168" s="427" t="s">
        <v>1888</v>
      </c>
      <c r="E168" s="428" t="s">
        <v>289</v>
      </c>
      <c r="G168" s="431" t="s">
        <v>1664</v>
      </c>
      <c r="H168" s="431"/>
      <c r="I168" s="431"/>
      <c r="J168" s="431"/>
      <c r="K168" s="432"/>
      <c r="L168" s="431"/>
      <c r="M168" s="431"/>
      <c r="N168" s="433"/>
    </row>
    <row r="169" spans="1:14">
      <c r="A169" s="416">
        <f t="shared" si="3"/>
        <v>163</v>
      </c>
      <c r="B169" s="590"/>
      <c r="D169" s="427" t="s">
        <v>1889</v>
      </c>
      <c r="E169" s="428" t="s">
        <v>289</v>
      </c>
      <c r="G169" s="431" t="s">
        <v>1664</v>
      </c>
      <c r="H169" s="431"/>
      <c r="I169" s="431"/>
      <c r="J169" s="431"/>
      <c r="K169" s="432"/>
      <c r="L169" s="431"/>
      <c r="M169" s="431"/>
      <c r="N169" s="433"/>
    </row>
    <row r="170" spans="1:14">
      <c r="A170" s="416">
        <f t="shared" si="3"/>
        <v>164</v>
      </c>
      <c r="B170" s="590"/>
      <c r="D170" s="427" t="s">
        <v>1890</v>
      </c>
      <c r="E170" s="428" t="s">
        <v>289</v>
      </c>
      <c r="G170" s="431" t="s">
        <v>1664</v>
      </c>
      <c r="H170" s="431"/>
      <c r="I170" s="431"/>
      <c r="J170" s="431"/>
      <c r="K170" s="432"/>
      <c r="L170" s="431"/>
      <c r="M170" s="431"/>
      <c r="N170" s="433"/>
    </row>
    <row r="171" spans="1:14">
      <c r="A171" s="416">
        <f t="shared" si="3"/>
        <v>165</v>
      </c>
      <c r="B171" s="590"/>
      <c r="D171" s="427" t="s">
        <v>1891</v>
      </c>
      <c r="E171" s="428" t="s">
        <v>289</v>
      </c>
      <c r="G171" s="431" t="s">
        <v>1664</v>
      </c>
      <c r="H171" s="431"/>
      <c r="I171" s="431"/>
      <c r="J171" s="431"/>
      <c r="K171" s="432"/>
      <c r="L171" s="431"/>
      <c r="M171" s="431"/>
      <c r="N171" s="433"/>
    </row>
    <row r="172" spans="1:14">
      <c r="A172" s="416">
        <f t="shared" si="3"/>
        <v>166</v>
      </c>
      <c r="B172" s="590"/>
      <c r="D172" s="427" t="s">
        <v>1892</v>
      </c>
      <c r="E172" s="428" t="s">
        <v>289</v>
      </c>
      <c r="G172" s="431" t="s">
        <v>1664</v>
      </c>
      <c r="H172" s="431"/>
      <c r="I172" s="431"/>
      <c r="J172" s="431"/>
      <c r="K172" s="432"/>
      <c r="L172" s="431"/>
      <c r="M172" s="431"/>
      <c r="N172" s="433"/>
    </row>
    <row r="173" spans="1:14">
      <c r="A173" s="416">
        <f t="shared" si="3"/>
        <v>167</v>
      </c>
      <c r="B173" s="590" t="s">
        <v>978</v>
      </c>
      <c r="C173" s="426" t="s">
        <v>1893</v>
      </c>
      <c r="D173" s="427" t="s">
        <v>1894</v>
      </c>
      <c r="G173" s="431" t="s">
        <v>1664</v>
      </c>
      <c r="H173" s="431"/>
      <c r="I173" s="431"/>
      <c r="J173" s="431"/>
      <c r="K173" s="432"/>
      <c r="L173" s="431"/>
      <c r="M173" s="431"/>
      <c r="N173" s="433"/>
    </row>
    <row r="174" spans="1:14">
      <c r="A174" s="416">
        <f t="shared" si="3"/>
        <v>168</v>
      </c>
      <c r="B174" s="590"/>
      <c r="D174" s="427" t="s">
        <v>1895</v>
      </c>
      <c r="G174" s="431" t="s">
        <v>1664</v>
      </c>
      <c r="H174" s="431"/>
      <c r="I174" s="431"/>
      <c r="J174" s="431"/>
      <c r="K174" s="432"/>
      <c r="L174" s="431"/>
      <c r="M174" s="431"/>
      <c r="N174" s="433"/>
    </row>
    <row r="175" spans="1:14" ht="29">
      <c r="A175" s="416">
        <f t="shared" si="3"/>
        <v>169</v>
      </c>
      <c r="B175" s="590" t="s">
        <v>980</v>
      </c>
      <c r="C175" s="426" t="s">
        <v>1896</v>
      </c>
      <c r="D175" s="427" t="s">
        <v>1897</v>
      </c>
      <c r="E175" s="428" t="s">
        <v>289</v>
      </c>
      <c r="F175" s="434">
        <v>19532694</v>
      </c>
      <c r="G175" s="431" t="s">
        <v>1664</v>
      </c>
      <c r="H175" s="431"/>
      <c r="I175" s="431"/>
      <c r="J175" s="431"/>
      <c r="K175" s="432"/>
      <c r="L175" s="431"/>
      <c r="M175" s="431"/>
      <c r="N175" s="433"/>
    </row>
    <row r="176" spans="1:14">
      <c r="A176" s="416">
        <f t="shared" si="3"/>
        <v>170</v>
      </c>
      <c r="B176" s="590"/>
      <c r="D176" s="427" t="s">
        <v>1898</v>
      </c>
      <c r="E176" s="428" t="s">
        <v>289</v>
      </c>
      <c r="G176" s="431" t="s">
        <v>1664</v>
      </c>
      <c r="H176" s="431"/>
      <c r="I176" s="431"/>
      <c r="J176" s="431"/>
      <c r="K176" s="432"/>
      <c r="L176" s="431"/>
      <c r="M176" s="431"/>
      <c r="N176" s="433"/>
    </row>
    <row r="177" spans="1:14">
      <c r="A177" s="416">
        <f t="shared" si="3"/>
        <v>171</v>
      </c>
      <c r="B177" s="590"/>
      <c r="D177" s="427" t="s">
        <v>1899</v>
      </c>
      <c r="E177" s="428" t="s">
        <v>289</v>
      </c>
      <c r="G177" s="431" t="s">
        <v>1664</v>
      </c>
      <c r="H177" s="431"/>
      <c r="I177" s="431"/>
      <c r="J177" s="431"/>
      <c r="K177" s="432"/>
      <c r="L177" s="431"/>
      <c r="M177" s="431"/>
      <c r="N177" s="433"/>
    </row>
    <row r="178" spans="1:14">
      <c r="A178" s="416">
        <f t="shared" si="3"/>
        <v>172</v>
      </c>
      <c r="B178" s="590"/>
      <c r="D178" s="427" t="s">
        <v>1702</v>
      </c>
      <c r="E178" s="428" t="s">
        <v>289</v>
      </c>
      <c r="G178" s="431" t="s">
        <v>1664</v>
      </c>
      <c r="H178" s="431"/>
      <c r="I178" s="431"/>
      <c r="J178" s="431"/>
      <c r="K178" s="432"/>
      <c r="L178" s="431"/>
      <c r="M178" s="431"/>
      <c r="N178" s="433"/>
    </row>
    <row r="179" spans="1:14">
      <c r="A179" s="416">
        <f t="shared" si="3"/>
        <v>173</v>
      </c>
      <c r="B179" s="590"/>
      <c r="D179" s="427" t="s">
        <v>1900</v>
      </c>
      <c r="E179" s="428" t="s">
        <v>289</v>
      </c>
      <c r="G179" s="431" t="s">
        <v>1664</v>
      </c>
      <c r="H179" s="431"/>
      <c r="I179" s="431"/>
      <c r="J179" s="431"/>
      <c r="K179" s="432"/>
      <c r="L179" s="431"/>
      <c r="M179" s="431"/>
      <c r="N179" s="433"/>
    </row>
    <row r="180" spans="1:14" ht="29">
      <c r="A180" s="416">
        <f t="shared" si="3"/>
        <v>174</v>
      </c>
      <c r="B180" s="590"/>
      <c r="D180" s="427" t="s">
        <v>1901</v>
      </c>
      <c r="E180" s="428" t="s">
        <v>289</v>
      </c>
      <c r="G180" s="431" t="s">
        <v>1664</v>
      </c>
      <c r="H180" s="431"/>
      <c r="I180" s="431"/>
      <c r="J180" s="431"/>
      <c r="K180" s="431"/>
      <c r="L180" s="431"/>
      <c r="M180" s="431"/>
      <c r="N180" s="433"/>
    </row>
    <row r="181" spans="1:14" ht="18" customHeight="1">
      <c r="A181" s="416">
        <f t="shared" si="3"/>
        <v>175</v>
      </c>
      <c r="B181" s="590"/>
      <c r="D181" s="427" t="s">
        <v>1902</v>
      </c>
      <c r="E181" s="428" t="s">
        <v>289</v>
      </c>
      <c r="G181" s="431" t="s">
        <v>1664</v>
      </c>
      <c r="H181" s="431"/>
      <c r="I181" s="431"/>
      <c r="J181" s="431"/>
      <c r="K181" s="431"/>
      <c r="L181" s="431"/>
      <c r="M181" s="431"/>
      <c r="N181" s="433"/>
    </row>
    <row r="182" spans="1:14">
      <c r="A182" s="416">
        <f t="shared" si="3"/>
        <v>176</v>
      </c>
      <c r="B182" s="590"/>
      <c r="D182" s="427" t="s">
        <v>1903</v>
      </c>
      <c r="E182" s="428" t="s">
        <v>289</v>
      </c>
      <c r="G182" s="431" t="s">
        <v>1664</v>
      </c>
      <c r="H182" s="431"/>
      <c r="I182" s="431"/>
      <c r="J182" s="431"/>
      <c r="K182" s="431"/>
      <c r="L182" s="431"/>
      <c r="M182" s="431"/>
      <c r="N182" s="433"/>
    </row>
    <row r="183" spans="1:14">
      <c r="A183" s="416">
        <f t="shared" si="3"/>
        <v>177</v>
      </c>
      <c r="B183" s="590"/>
      <c r="D183" s="427" t="s">
        <v>1904</v>
      </c>
      <c r="E183" s="428" t="s">
        <v>289</v>
      </c>
      <c r="G183" s="431" t="s">
        <v>1664</v>
      </c>
      <c r="H183" s="431"/>
      <c r="I183" s="431"/>
      <c r="J183" s="431"/>
      <c r="K183" s="431"/>
      <c r="L183" s="431"/>
      <c r="M183" s="431"/>
      <c r="N183" s="433"/>
    </row>
    <row r="184" spans="1:14">
      <c r="A184" s="416">
        <f t="shared" si="3"/>
        <v>178</v>
      </c>
      <c r="B184" s="590"/>
      <c r="D184" s="427" t="s">
        <v>1905</v>
      </c>
      <c r="E184" s="428" t="s">
        <v>289</v>
      </c>
      <c r="G184" s="431" t="s">
        <v>1664</v>
      </c>
      <c r="H184" s="431"/>
      <c r="I184" s="431"/>
      <c r="J184" s="431"/>
      <c r="K184" s="431"/>
      <c r="L184" s="431"/>
      <c r="M184" s="431"/>
      <c r="N184" s="433"/>
    </row>
    <row r="185" spans="1:14">
      <c r="A185" s="416">
        <f t="shared" si="3"/>
        <v>179</v>
      </c>
      <c r="B185" s="590"/>
      <c r="D185" s="427" t="s">
        <v>1906</v>
      </c>
      <c r="E185" s="428" t="s">
        <v>289</v>
      </c>
      <c r="G185" s="431" t="s">
        <v>1664</v>
      </c>
      <c r="H185" s="431"/>
      <c r="I185" s="431"/>
      <c r="J185" s="431"/>
      <c r="K185" s="431"/>
      <c r="L185" s="431"/>
      <c r="M185" s="431"/>
      <c r="N185" s="433"/>
    </row>
    <row r="186" spans="1:14">
      <c r="A186" s="416">
        <f t="shared" si="3"/>
        <v>180</v>
      </c>
      <c r="B186" s="590" t="s">
        <v>982</v>
      </c>
      <c r="C186" s="426" t="s">
        <v>1907</v>
      </c>
      <c r="D186" s="427" t="s">
        <v>1908</v>
      </c>
      <c r="E186" s="428" t="s">
        <v>1709</v>
      </c>
      <c r="F186" s="434">
        <v>8188497</v>
      </c>
      <c r="G186" s="431"/>
      <c r="H186" s="431"/>
      <c r="I186" s="431" t="s">
        <v>1664</v>
      </c>
      <c r="J186" s="431"/>
      <c r="K186" s="431"/>
      <c r="L186" s="431"/>
      <c r="M186" s="431"/>
      <c r="N186" s="433" t="s">
        <v>1909</v>
      </c>
    </row>
    <row r="187" spans="1:14">
      <c r="A187" s="416">
        <f t="shared" si="3"/>
        <v>181</v>
      </c>
      <c r="B187" s="590"/>
      <c r="D187" s="427" t="s">
        <v>1910</v>
      </c>
      <c r="E187" s="428" t="s">
        <v>1709</v>
      </c>
      <c r="G187" s="431"/>
      <c r="H187" s="431"/>
      <c r="I187" s="431" t="s">
        <v>1664</v>
      </c>
      <c r="J187" s="431"/>
      <c r="K187" s="431"/>
      <c r="L187" s="431"/>
      <c r="M187" s="431"/>
      <c r="N187" s="433" t="s">
        <v>1909</v>
      </c>
    </row>
    <row r="188" spans="1:14">
      <c r="A188" s="416">
        <f t="shared" si="3"/>
        <v>182</v>
      </c>
      <c r="B188" s="590"/>
      <c r="D188" s="427" t="s">
        <v>1787</v>
      </c>
      <c r="E188" s="428" t="s">
        <v>1709</v>
      </c>
      <c r="G188" s="431" t="s">
        <v>1664</v>
      </c>
      <c r="H188" s="431"/>
      <c r="I188" s="431"/>
      <c r="J188" s="431"/>
      <c r="K188" s="431"/>
      <c r="L188" s="431"/>
      <c r="M188" s="431"/>
      <c r="N188" s="433"/>
    </row>
    <row r="189" spans="1:14">
      <c r="A189" s="416">
        <f t="shared" si="3"/>
        <v>183</v>
      </c>
      <c r="B189" s="590"/>
      <c r="D189" s="427" t="s">
        <v>1911</v>
      </c>
      <c r="E189" s="428" t="s">
        <v>1709</v>
      </c>
      <c r="G189" s="431" t="s">
        <v>1664</v>
      </c>
      <c r="H189" s="431"/>
      <c r="I189" s="431"/>
      <c r="J189" s="431"/>
      <c r="K189" s="431"/>
      <c r="L189" s="431"/>
      <c r="M189" s="431"/>
      <c r="N189" s="433"/>
    </row>
    <row r="190" spans="1:14">
      <c r="A190" s="416">
        <f t="shared" si="3"/>
        <v>184</v>
      </c>
      <c r="B190" s="590"/>
      <c r="D190" s="427" t="s">
        <v>1912</v>
      </c>
      <c r="E190" s="428" t="s">
        <v>1709</v>
      </c>
      <c r="G190" s="431" t="s">
        <v>1664</v>
      </c>
      <c r="H190" s="431"/>
      <c r="I190" s="431"/>
      <c r="J190" s="431"/>
      <c r="K190" s="431"/>
      <c r="L190" s="431"/>
      <c r="M190" s="431"/>
      <c r="N190" s="433"/>
    </row>
    <row r="191" spans="1:14">
      <c r="A191" s="416">
        <f t="shared" si="3"/>
        <v>185</v>
      </c>
      <c r="B191" s="590" t="s">
        <v>984</v>
      </c>
      <c r="C191" s="426" t="s">
        <v>1913</v>
      </c>
      <c r="D191" s="427" t="s">
        <v>1914</v>
      </c>
      <c r="E191" s="428" t="s">
        <v>289</v>
      </c>
      <c r="F191" s="434">
        <v>1506124</v>
      </c>
      <c r="G191" s="431" t="s">
        <v>1664</v>
      </c>
      <c r="H191" s="431"/>
      <c r="I191" s="431"/>
      <c r="J191" s="431"/>
      <c r="K191" s="431"/>
      <c r="L191" s="431"/>
      <c r="M191" s="431"/>
      <c r="N191" s="433"/>
    </row>
    <row r="192" spans="1:14">
      <c r="A192" s="416">
        <f t="shared" si="3"/>
        <v>186</v>
      </c>
      <c r="B192" s="590"/>
      <c r="D192" s="427" t="s">
        <v>1915</v>
      </c>
      <c r="E192" s="428" t="s">
        <v>289</v>
      </c>
      <c r="G192" s="431" t="s">
        <v>1664</v>
      </c>
      <c r="H192" s="431"/>
      <c r="I192" s="431"/>
      <c r="J192" s="431"/>
      <c r="K192" s="431"/>
      <c r="L192" s="431"/>
      <c r="M192" s="431"/>
      <c r="N192" s="433"/>
    </row>
    <row r="193" spans="1:14" ht="29">
      <c r="A193" s="416">
        <f t="shared" si="3"/>
        <v>187</v>
      </c>
      <c r="B193" s="590" t="s">
        <v>986</v>
      </c>
      <c r="C193" s="426" t="s">
        <v>1916</v>
      </c>
      <c r="D193" s="427" t="s">
        <v>1917</v>
      </c>
      <c r="E193" s="428" t="s">
        <v>289</v>
      </c>
      <c r="F193" s="434">
        <v>4239318</v>
      </c>
      <c r="G193" s="431" t="s">
        <v>1664</v>
      </c>
      <c r="H193" s="431"/>
      <c r="I193" s="431"/>
      <c r="J193" s="431"/>
      <c r="K193" s="431"/>
      <c r="L193" s="431"/>
      <c r="M193" s="431"/>
      <c r="N193" s="433" t="s">
        <v>1918</v>
      </c>
    </row>
    <row r="194" spans="1:14">
      <c r="A194" s="416">
        <f t="shared" si="3"/>
        <v>188</v>
      </c>
      <c r="B194" s="590"/>
      <c r="D194" s="427" t="s">
        <v>1919</v>
      </c>
      <c r="E194" s="428" t="s">
        <v>289</v>
      </c>
      <c r="G194" s="431" t="s">
        <v>1664</v>
      </c>
      <c r="H194" s="431"/>
      <c r="I194" s="431"/>
      <c r="J194" s="431"/>
      <c r="K194" s="431"/>
      <c r="L194" s="431"/>
      <c r="M194" s="431"/>
      <c r="N194" s="433"/>
    </row>
    <row r="195" spans="1:14">
      <c r="A195" s="416">
        <f t="shared" si="3"/>
        <v>189</v>
      </c>
      <c r="B195" s="590"/>
      <c r="D195" s="427" t="s">
        <v>1920</v>
      </c>
      <c r="E195" s="428" t="s">
        <v>289</v>
      </c>
      <c r="G195" s="431"/>
      <c r="H195" s="431" t="s">
        <v>1664</v>
      </c>
      <c r="I195" s="431"/>
      <c r="J195" s="431"/>
      <c r="K195" s="431"/>
      <c r="L195" s="431"/>
      <c r="M195" s="431"/>
      <c r="N195" s="433" t="s">
        <v>1921</v>
      </c>
    </row>
    <row r="196" spans="1:14">
      <c r="A196" s="416">
        <f t="shared" si="3"/>
        <v>190</v>
      </c>
      <c r="B196" s="590"/>
      <c r="D196" s="427" t="s">
        <v>1922</v>
      </c>
      <c r="G196" s="431" t="s">
        <v>1664</v>
      </c>
      <c r="H196" s="431"/>
      <c r="I196" s="431"/>
      <c r="J196" s="431"/>
      <c r="K196" s="431"/>
      <c r="L196" s="431"/>
      <c r="M196" s="431"/>
      <c r="N196" s="433"/>
    </row>
    <row r="197" spans="1:14">
      <c r="A197" s="416">
        <f t="shared" si="3"/>
        <v>191</v>
      </c>
      <c r="B197" s="590"/>
      <c r="D197" s="427" t="s">
        <v>1923</v>
      </c>
      <c r="G197" s="431" t="s">
        <v>1664</v>
      </c>
      <c r="H197" s="431"/>
      <c r="I197" s="431"/>
      <c r="J197" s="431"/>
      <c r="K197" s="431"/>
      <c r="L197" s="431"/>
      <c r="M197" s="431"/>
      <c r="N197" s="433" t="s">
        <v>1924</v>
      </c>
    </row>
    <row r="198" spans="1:14">
      <c r="A198" s="416">
        <f t="shared" si="3"/>
        <v>192</v>
      </c>
      <c r="B198" s="590"/>
      <c r="D198" s="427" t="s">
        <v>1925</v>
      </c>
      <c r="G198" s="431" t="s">
        <v>1664</v>
      </c>
      <c r="H198" s="431"/>
      <c r="I198" s="431"/>
      <c r="J198" s="431"/>
      <c r="K198" s="431"/>
      <c r="L198" s="431"/>
      <c r="M198" s="431"/>
      <c r="N198" s="433" t="s">
        <v>1926</v>
      </c>
    </row>
    <row r="199" spans="1:14" ht="29">
      <c r="A199" s="416">
        <f t="shared" si="3"/>
        <v>193</v>
      </c>
      <c r="B199" s="590" t="s">
        <v>988</v>
      </c>
      <c r="C199" s="426" t="s">
        <v>1927</v>
      </c>
      <c r="D199" s="427" t="s">
        <v>1928</v>
      </c>
      <c r="G199" s="431" t="s">
        <v>1664</v>
      </c>
      <c r="H199" s="431"/>
      <c r="I199" s="431"/>
      <c r="J199" s="431"/>
      <c r="K199" s="431"/>
      <c r="L199" s="431"/>
      <c r="M199" s="431"/>
      <c r="N199" s="433"/>
    </row>
    <row r="200" spans="1:14">
      <c r="A200" s="416">
        <f t="shared" si="3"/>
        <v>194</v>
      </c>
      <c r="B200" s="590" t="s">
        <v>992</v>
      </c>
      <c r="C200" s="426" t="s">
        <v>1929</v>
      </c>
      <c r="D200" s="427" t="s">
        <v>1930</v>
      </c>
      <c r="E200" s="428" t="s">
        <v>1709</v>
      </c>
      <c r="F200" s="434">
        <v>10685663</v>
      </c>
      <c r="G200" s="431" t="s">
        <v>1664</v>
      </c>
      <c r="H200" s="431"/>
      <c r="I200" s="431"/>
      <c r="J200" s="431"/>
      <c r="K200" s="431"/>
      <c r="L200" s="431"/>
      <c r="M200" s="431"/>
      <c r="N200" s="433"/>
    </row>
    <row r="201" spans="1:14">
      <c r="A201" s="416">
        <f t="shared" si="3"/>
        <v>195</v>
      </c>
      <c r="B201" s="590"/>
      <c r="D201" s="427" t="s">
        <v>1931</v>
      </c>
      <c r="E201" s="428" t="s">
        <v>1709</v>
      </c>
      <c r="G201" s="431"/>
      <c r="H201" s="431" t="s">
        <v>1664</v>
      </c>
      <c r="I201" s="431"/>
      <c r="J201" s="431"/>
      <c r="K201" s="431"/>
      <c r="L201" s="431"/>
      <c r="M201" s="431"/>
      <c r="N201" s="433" t="s">
        <v>1932</v>
      </c>
    </row>
    <row r="202" spans="1:14">
      <c r="A202" s="416">
        <f t="shared" si="3"/>
        <v>196</v>
      </c>
      <c r="B202" s="590"/>
      <c r="D202" s="427" t="s">
        <v>1933</v>
      </c>
      <c r="E202" s="428" t="s">
        <v>1709</v>
      </c>
      <c r="G202" s="431" t="s">
        <v>1664</v>
      </c>
      <c r="H202" s="431"/>
      <c r="I202" s="431"/>
      <c r="J202" s="431"/>
      <c r="K202" s="431"/>
      <c r="L202" s="431"/>
      <c r="M202" s="431"/>
      <c r="N202" s="433"/>
    </row>
    <row r="203" spans="1:14">
      <c r="A203" s="416">
        <f t="shared" si="3"/>
        <v>197</v>
      </c>
      <c r="B203" s="590"/>
      <c r="D203" s="427" t="s">
        <v>1934</v>
      </c>
      <c r="E203" s="428" t="s">
        <v>1709</v>
      </c>
      <c r="G203" s="431" t="s">
        <v>1664</v>
      </c>
      <c r="H203" s="431"/>
      <c r="I203" s="431"/>
      <c r="J203" s="431"/>
      <c r="K203" s="431"/>
      <c r="L203" s="431"/>
      <c r="M203" s="431"/>
      <c r="N203" s="433"/>
    </row>
    <row r="204" spans="1:14">
      <c r="A204" s="416">
        <f t="shared" si="3"/>
        <v>198</v>
      </c>
      <c r="B204" s="590"/>
      <c r="D204" s="427" t="s">
        <v>1935</v>
      </c>
      <c r="E204" s="428" t="s">
        <v>1709</v>
      </c>
      <c r="G204" s="431" t="s">
        <v>1664</v>
      </c>
      <c r="H204" s="431"/>
      <c r="I204" s="431"/>
      <c r="J204" s="431"/>
      <c r="K204" s="431"/>
      <c r="L204" s="431"/>
      <c r="M204" s="431"/>
      <c r="N204" s="433"/>
    </row>
    <row r="205" spans="1:14">
      <c r="A205" s="416">
        <f t="shared" ref="A205:A269" si="4">A204+1</f>
        <v>199</v>
      </c>
      <c r="B205" s="590"/>
      <c r="D205" s="427" t="s">
        <v>1936</v>
      </c>
      <c r="E205" s="428" t="s">
        <v>1709</v>
      </c>
      <c r="G205" s="431" t="s">
        <v>1664</v>
      </c>
      <c r="H205" s="431"/>
      <c r="I205" s="431"/>
      <c r="J205" s="431"/>
      <c r="K205" s="431"/>
      <c r="L205" s="431"/>
      <c r="M205" s="431"/>
      <c r="N205" s="433"/>
    </row>
    <row r="206" spans="1:14">
      <c r="A206" s="416">
        <f t="shared" si="4"/>
        <v>200</v>
      </c>
      <c r="B206" s="590" t="s">
        <v>994</v>
      </c>
      <c r="C206" s="426" t="s">
        <v>1937</v>
      </c>
      <c r="D206" s="427" t="s">
        <v>1938</v>
      </c>
      <c r="G206" s="431" t="s">
        <v>1664</v>
      </c>
      <c r="H206" s="431"/>
      <c r="I206" s="431"/>
      <c r="J206" s="431"/>
      <c r="K206" s="431"/>
      <c r="L206" s="431"/>
      <c r="M206" s="431"/>
      <c r="N206" s="433"/>
    </row>
    <row r="207" spans="1:14">
      <c r="A207" s="416">
        <f t="shared" si="4"/>
        <v>201</v>
      </c>
      <c r="B207" s="590" t="s">
        <v>998</v>
      </c>
      <c r="C207" s="426" t="s">
        <v>1939</v>
      </c>
      <c r="D207" s="427" t="s">
        <v>1940</v>
      </c>
      <c r="E207" s="428" t="s">
        <v>289</v>
      </c>
      <c r="F207" s="434">
        <v>3684814</v>
      </c>
      <c r="G207" s="431" t="s">
        <v>1664</v>
      </c>
      <c r="H207" s="431"/>
      <c r="I207" s="431"/>
      <c r="J207" s="431"/>
      <c r="K207" s="431"/>
      <c r="L207" s="431"/>
      <c r="M207" s="431"/>
      <c r="N207" s="439"/>
    </row>
    <row r="208" spans="1:14" ht="29">
      <c r="A208" s="416">
        <f t="shared" si="4"/>
        <v>202</v>
      </c>
      <c r="B208" s="590" t="s">
        <v>1000</v>
      </c>
      <c r="C208" s="426" t="s">
        <v>1941</v>
      </c>
      <c r="D208" s="427" t="s">
        <v>1942</v>
      </c>
      <c r="E208" s="428" t="s">
        <v>289</v>
      </c>
      <c r="F208" s="434">
        <v>10553364</v>
      </c>
      <c r="G208" s="431" t="s">
        <v>1664</v>
      </c>
      <c r="H208" s="431"/>
      <c r="I208" s="431"/>
      <c r="J208" s="431"/>
      <c r="K208" s="431"/>
      <c r="L208" s="431"/>
      <c r="M208" s="431"/>
      <c r="N208" s="433"/>
    </row>
    <row r="209" spans="1:14">
      <c r="A209" s="416">
        <f t="shared" si="4"/>
        <v>203</v>
      </c>
      <c r="B209" s="590"/>
      <c r="D209" s="427" t="s">
        <v>1943</v>
      </c>
      <c r="E209" s="428" t="s">
        <v>289</v>
      </c>
      <c r="G209" s="431" t="s">
        <v>1664</v>
      </c>
      <c r="H209" s="431"/>
      <c r="I209" s="431"/>
      <c r="J209" s="431"/>
      <c r="K209" s="431"/>
      <c r="L209" s="431"/>
      <c r="M209" s="431"/>
      <c r="N209" s="433"/>
    </row>
    <row r="210" spans="1:14">
      <c r="A210" s="416">
        <f t="shared" si="4"/>
        <v>204</v>
      </c>
      <c r="B210" s="590"/>
      <c r="D210" s="427" t="s">
        <v>1944</v>
      </c>
      <c r="E210" s="428" t="s">
        <v>289</v>
      </c>
      <c r="G210" s="431" t="s">
        <v>1664</v>
      </c>
      <c r="H210" s="431"/>
      <c r="I210" s="431"/>
      <c r="J210" s="431"/>
      <c r="K210" s="431"/>
      <c r="L210" s="431"/>
      <c r="M210" s="431"/>
      <c r="N210" s="433"/>
    </row>
    <row r="211" spans="1:14">
      <c r="A211" s="416">
        <f t="shared" si="4"/>
        <v>205</v>
      </c>
      <c r="B211" s="590"/>
      <c r="D211" s="427" t="s">
        <v>1945</v>
      </c>
      <c r="E211" s="428" t="s">
        <v>289</v>
      </c>
      <c r="G211" s="431" t="s">
        <v>1664</v>
      </c>
      <c r="H211" s="431"/>
      <c r="I211" s="431"/>
      <c r="J211" s="431"/>
      <c r="K211" s="431"/>
      <c r="L211" s="431"/>
      <c r="M211" s="431"/>
      <c r="N211" s="433"/>
    </row>
    <row r="212" spans="1:14" ht="29">
      <c r="A212" s="416">
        <f t="shared" si="4"/>
        <v>206</v>
      </c>
      <c r="B212" s="590"/>
      <c r="D212" s="427" t="s">
        <v>1946</v>
      </c>
      <c r="E212" s="428" t="s">
        <v>289</v>
      </c>
      <c r="G212" s="431" t="s">
        <v>1664</v>
      </c>
      <c r="H212" s="431"/>
      <c r="I212" s="431"/>
      <c r="J212" s="431"/>
      <c r="K212" s="431"/>
      <c r="L212" s="431"/>
      <c r="M212" s="431"/>
      <c r="N212" s="433"/>
    </row>
    <row r="213" spans="1:14" ht="29">
      <c r="A213" s="416">
        <f t="shared" si="4"/>
        <v>207</v>
      </c>
      <c r="B213" s="590" t="s">
        <v>1947</v>
      </c>
      <c r="C213" s="426" t="s">
        <v>1948</v>
      </c>
      <c r="D213" s="427" t="s">
        <v>1949</v>
      </c>
      <c r="E213" s="428" t="s">
        <v>289</v>
      </c>
      <c r="F213" s="434">
        <v>17106123</v>
      </c>
      <c r="G213" s="431" t="s">
        <v>1664</v>
      </c>
      <c r="H213" s="431"/>
      <c r="I213" s="431"/>
      <c r="J213" s="431"/>
      <c r="K213" s="431"/>
      <c r="L213" s="431"/>
      <c r="M213" s="431"/>
      <c r="N213" s="433"/>
    </row>
    <row r="214" spans="1:14" ht="29">
      <c r="A214" s="416">
        <f t="shared" si="4"/>
        <v>208</v>
      </c>
      <c r="B214" s="590"/>
      <c r="D214" s="427" t="s">
        <v>1950</v>
      </c>
      <c r="E214" s="428" t="s">
        <v>289</v>
      </c>
      <c r="G214" s="431" t="s">
        <v>1664</v>
      </c>
      <c r="H214" s="431"/>
      <c r="I214" s="431"/>
      <c r="J214" s="431"/>
      <c r="K214" s="431"/>
      <c r="L214" s="431"/>
      <c r="M214" s="431"/>
      <c r="N214" s="433" t="s">
        <v>1951</v>
      </c>
    </row>
    <row r="215" spans="1:14">
      <c r="A215" s="416">
        <f t="shared" si="4"/>
        <v>209</v>
      </c>
      <c r="B215" s="590"/>
      <c r="D215" s="427" t="s">
        <v>1952</v>
      </c>
      <c r="E215" s="428" t="s">
        <v>289</v>
      </c>
      <c r="G215" s="431" t="s">
        <v>1664</v>
      </c>
      <c r="H215" s="431"/>
      <c r="I215" s="431"/>
      <c r="J215" s="431"/>
      <c r="K215" s="431"/>
      <c r="L215" s="431"/>
      <c r="M215" s="431"/>
      <c r="N215" s="433"/>
    </row>
    <row r="216" spans="1:14">
      <c r="A216" s="416">
        <f t="shared" si="4"/>
        <v>210</v>
      </c>
      <c r="B216" s="590"/>
      <c r="D216" s="427" t="s">
        <v>1953</v>
      </c>
      <c r="E216" s="428" t="s">
        <v>289</v>
      </c>
      <c r="G216" s="431" t="s">
        <v>1664</v>
      </c>
      <c r="H216" s="431"/>
      <c r="I216" s="431"/>
      <c r="J216" s="431"/>
      <c r="K216" s="431"/>
      <c r="L216" s="431"/>
      <c r="M216" s="431"/>
      <c r="N216" s="433"/>
    </row>
    <row r="217" spans="1:14">
      <c r="A217" s="416">
        <f t="shared" si="4"/>
        <v>211</v>
      </c>
      <c r="B217" s="590"/>
      <c r="D217" s="427" t="s">
        <v>1954</v>
      </c>
      <c r="E217" s="428" t="s">
        <v>289</v>
      </c>
      <c r="G217" s="431" t="s">
        <v>1664</v>
      </c>
      <c r="H217" s="431"/>
      <c r="I217" s="431"/>
      <c r="J217" s="431"/>
      <c r="K217" s="431"/>
      <c r="L217" s="431"/>
      <c r="M217" s="431"/>
      <c r="N217" s="433"/>
    </row>
    <row r="218" spans="1:14">
      <c r="A218" s="416">
        <f t="shared" si="4"/>
        <v>212</v>
      </c>
      <c r="B218" s="590"/>
      <c r="D218" s="427" t="s">
        <v>1955</v>
      </c>
      <c r="E218" s="428" t="s">
        <v>289</v>
      </c>
      <c r="G218" s="431" t="s">
        <v>1664</v>
      </c>
      <c r="H218" s="431"/>
      <c r="I218" s="431"/>
      <c r="J218" s="431"/>
      <c r="K218" s="431"/>
      <c r="L218" s="431"/>
      <c r="M218" s="431"/>
      <c r="N218" s="433"/>
    </row>
    <row r="219" spans="1:14">
      <c r="A219" s="416">
        <f t="shared" si="4"/>
        <v>213</v>
      </c>
      <c r="B219" s="590"/>
      <c r="D219" s="427" t="s">
        <v>1956</v>
      </c>
      <c r="E219" s="428" t="s">
        <v>289</v>
      </c>
      <c r="G219" s="431" t="s">
        <v>1664</v>
      </c>
      <c r="H219" s="431"/>
      <c r="I219" s="431"/>
      <c r="J219" s="431"/>
      <c r="K219" s="431"/>
      <c r="L219" s="431"/>
      <c r="M219" s="431"/>
      <c r="N219" s="433"/>
    </row>
    <row r="220" spans="1:14">
      <c r="A220" s="416">
        <f t="shared" si="4"/>
        <v>214</v>
      </c>
      <c r="B220" s="590"/>
      <c r="D220" s="427" t="s">
        <v>1957</v>
      </c>
      <c r="E220" s="428" t="s">
        <v>289</v>
      </c>
      <c r="G220" s="431" t="s">
        <v>1664</v>
      </c>
      <c r="H220" s="431"/>
      <c r="I220" s="431"/>
      <c r="J220" s="431"/>
      <c r="K220" s="431"/>
      <c r="L220" s="431"/>
      <c r="M220" s="431"/>
      <c r="N220" s="433"/>
    </row>
    <row r="221" spans="1:14">
      <c r="A221" s="416">
        <f t="shared" si="4"/>
        <v>215</v>
      </c>
      <c r="B221" s="590"/>
      <c r="D221" s="427" t="s">
        <v>1958</v>
      </c>
      <c r="E221" s="428" t="s">
        <v>289</v>
      </c>
      <c r="G221" s="431" t="s">
        <v>1664</v>
      </c>
      <c r="H221" s="431"/>
      <c r="I221" s="431"/>
      <c r="J221" s="431"/>
      <c r="K221" s="431"/>
      <c r="L221" s="431"/>
      <c r="M221" s="431"/>
      <c r="N221" s="433"/>
    </row>
    <row r="222" spans="1:14">
      <c r="A222" s="416">
        <f t="shared" si="4"/>
        <v>216</v>
      </c>
      <c r="B222" s="590" t="s">
        <v>1004</v>
      </c>
      <c r="C222" s="426" t="s">
        <v>1959</v>
      </c>
      <c r="D222" s="427" t="s">
        <v>1960</v>
      </c>
      <c r="E222" s="428" t="s">
        <v>289</v>
      </c>
      <c r="F222" s="434">
        <v>6032465</v>
      </c>
      <c r="G222" s="431" t="s">
        <v>1664</v>
      </c>
      <c r="H222" s="431"/>
      <c r="I222" s="431"/>
      <c r="J222" s="431"/>
      <c r="K222" s="431"/>
      <c r="L222" s="431"/>
      <c r="M222" s="431"/>
      <c r="N222" s="433"/>
    </row>
    <row r="223" spans="1:14">
      <c r="A223" s="416">
        <f t="shared" si="4"/>
        <v>217</v>
      </c>
      <c r="B223" s="590"/>
      <c r="D223" s="427" t="s">
        <v>1961</v>
      </c>
      <c r="G223" s="431" t="s">
        <v>1664</v>
      </c>
      <c r="H223" s="431"/>
      <c r="I223" s="431"/>
      <c r="J223" s="431"/>
      <c r="K223" s="431"/>
      <c r="L223" s="431"/>
      <c r="M223" s="431"/>
      <c r="N223" s="433"/>
    </row>
    <row r="224" spans="1:14">
      <c r="A224" s="416">
        <f t="shared" si="4"/>
        <v>218</v>
      </c>
      <c r="B224" s="590"/>
      <c r="D224" s="427" t="s">
        <v>1962</v>
      </c>
      <c r="E224" s="428" t="s">
        <v>289</v>
      </c>
      <c r="G224" s="431" t="s">
        <v>1664</v>
      </c>
      <c r="H224" s="431"/>
      <c r="I224" s="431"/>
      <c r="J224" s="431"/>
      <c r="K224" s="431"/>
      <c r="L224" s="431"/>
      <c r="M224" s="431"/>
      <c r="N224" s="433"/>
    </row>
    <row r="225" spans="1:14">
      <c r="A225" s="416">
        <f t="shared" si="4"/>
        <v>219</v>
      </c>
      <c r="B225" s="590" t="s">
        <v>1006</v>
      </c>
      <c r="C225" s="426" t="s">
        <v>1963</v>
      </c>
      <c r="D225" s="427" t="s">
        <v>1964</v>
      </c>
      <c r="E225" s="428" t="s">
        <v>289</v>
      </c>
      <c r="F225" s="434">
        <v>2709424</v>
      </c>
      <c r="G225" s="431" t="s">
        <v>1664</v>
      </c>
      <c r="H225" s="431"/>
      <c r="I225" s="431"/>
      <c r="J225" s="431"/>
      <c r="K225" s="431"/>
      <c r="L225" s="431"/>
      <c r="M225" s="431"/>
      <c r="N225" s="433"/>
    </row>
    <row r="226" spans="1:14">
      <c r="A226" s="416">
        <f t="shared" si="4"/>
        <v>220</v>
      </c>
      <c r="B226" s="590"/>
      <c r="D226" s="427" t="s">
        <v>1965</v>
      </c>
      <c r="E226" s="428" t="s">
        <v>289</v>
      </c>
      <c r="G226" s="431" t="s">
        <v>1664</v>
      </c>
      <c r="H226" s="431"/>
      <c r="I226" s="431"/>
      <c r="J226" s="431"/>
      <c r="K226" s="431"/>
      <c r="L226" s="431"/>
      <c r="M226" s="431"/>
      <c r="N226" s="433"/>
    </row>
    <row r="227" spans="1:14">
      <c r="A227" s="416">
        <f t="shared" si="4"/>
        <v>221</v>
      </c>
      <c r="B227" s="590" t="s">
        <v>1008</v>
      </c>
      <c r="C227" s="426" t="s">
        <v>1966</v>
      </c>
      <c r="D227" s="427" t="s">
        <v>1967</v>
      </c>
      <c r="E227" s="428" t="s">
        <v>289</v>
      </c>
      <c r="F227" s="434">
        <v>3760923</v>
      </c>
      <c r="G227" s="431" t="s">
        <v>1664</v>
      </c>
      <c r="H227" s="431"/>
      <c r="I227" s="431"/>
      <c r="J227" s="431"/>
      <c r="K227" s="431"/>
      <c r="L227" s="431"/>
      <c r="M227" s="431"/>
      <c r="N227" s="433"/>
    </row>
    <row r="228" spans="1:14">
      <c r="A228" s="416">
        <f t="shared" si="4"/>
        <v>222</v>
      </c>
      <c r="B228" s="590"/>
      <c r="D228" s="427" t="s">
        <v>1968</v>
      </c>
      <c r="E228" s="428" t="s">
        <v>289</v>
      </c>
      <c r="G228" s="431" t="s">
        <v>1664</v>
      </c>
      <c r="H228" s="431"/>
      <c r="I228" s="431"/>
      <c r="J228" s="431"/>
      <c r="K228" s="431"/>
      <c r="L228" s="431"/>
      <c r="M228" s="431"/>
      <c r="N228" s="433"/>
    </row>
    <row r="229" spans="1:14">
      <c r="A229" s="416">
        <f t="shared" si="4"/>
        <v>223</v>
      </c>
      <c r="B229" s="590"/>
      <c r="D229" s="427" t="s">
        <v>1969</v>
      </c>
      <c r="E229" s="428" t="s">
        <v>289</v>
      </c>
      <c r="G229" s="431" t="s">
        <v>1664</v>
      </c>
      <c r="H229" s="431"/>
      <c r="I229" s="431"/>
      <c r="J229" s="431"/>
      <c r="K229" s="431"/>
      <c r="L229" s="431"/>
      <c r="M229" s="431"/>
      <c r="N229" s="433"/>
    </row>
    <row r="230" spans="1:14">
      <c r="A230" s="416">
        <f t="shared" si="4"/>
        <v>224</v>
      </c>
      <c r="B230" s="590"/>
      <c r="D230" s="427" t="s">
        <v>1970</v>
      </c>
      <c r="E230" s="428" t="s">
        <v>289</v>
      </c>
      <c r="G230" s="431" t="s">
        <v>1664</v>
      </c>
      <c r="H230" s="431"/>
      <c r="I230" s="431"/>
      <c r="J230" s="431"/>
      <c r="K230" s="431"/>
      <c r="L230" s="431"/>
      <c r="M230" s="431"/>
      <c r="N230" s="433"/>
    </row>
    <row r="231" spans="1:14">
      <c r="A231" s="416">
        <f t="shared" si="4"/>
        <v>225</v>
      </c>
      <c r="B231" s="590"/>
      <c r="D231" s="427" t="s">
        <v>1971</v>
      </c>
      <c r="E231" s="428" t="s">
        <v>289</v>
      </c>
      <c r="G231" s="431" t="s">
        <v>1664</v>
      </c>
      <c r="H231" s="431"/>
      <c r="I231" s="431"/>
      <c r="J231" s="431"/>
      <c r="K231" s="431"/>
      <c r="L231" s="431"/>
      <c r="M231" s="431"/>
      <c r="N231" s="433"/>
    </row>
    <row r="232" spans="1:14">
      <c r="A232" s="416">
        <f t="shared" si="4"/>
        <v>226</v>
      </c>
      <c r="B232" s="590" t="s">
        <v>1010</v>
      </c>
      <c r="C232" s="426" t="s">
        <v>1972</v>
      </c>
      <c r="D232" s="427" t="s">
        <v>1973</v>
      </c>
      <c r="E232" s="428" t="s">
        <v>289</v>
      </c>
      <c r="F232" s="434">
        <v>10852062</v>
      </c>
      <c r="G232" s="431" t="s">
        <v>1664</v>
      </c>
      <c r="H232" s="431"/>
      <c r="I232" s="431"/>
      <c r="J232" s="431"/>
      <c r="K232" s="431"/>
      <c r="L232" s="431"/>
      <c r="M232" s="431"/>
      <c r="N232" s="433" t="s">
        <v>1974</v>
      </c>
    </row>
    <row r="233" spans="1:14">
      <c r="A233" s="416">
        <f t="shared" si="4"/>
        <v>227</v>
      </c>
      <c r="B233" s="590"/>
      <c r="D233" s="427" t="s">
        <v>1975</v>
      </c>
      <c r="E233" s="428" t="s">
        <v>289</v>
      </c>
      <c r="G233" s="431" t="s">
        <v>1664</v>
      </c>
      <c r="H233" s="431"/>
      <c r="I233" s="431"/>
      <c r="J233" s="431"/>
      <c r="K233" s="431"/>
      <c r="L233" s="431"/>
      <c r="M233" s="431"/>
      <c r="N233" s="433"/>
    </row>
    <row r="234" spans="1:14">
      <c r="A234" s="416">
        <f t="shared" si="4"/>
        <v>228</v>
      </c>
      <c r="B234" s="590"/>
      <c r="D234" s="427" t="s">
        <v>1976</v>
      </c>
      <c r="E234" s="428" t="s">
        <v>289</v>
      </c>
      <c r="G234" s="431" t="s">
        <v>1664</v>
      </c>
      <c r="H234" s="431"/>
      <c r="I234" s="431"/>
      <c r="J234" s="431"/>
      <c r="K234" s="431"/>
      <c r="L234" s="431"/>
      <c r="M234" s="431"/>
      <c r="N234" s="433"/>
    </row>
    <row r="235" spans="1:14">
      <c r="A235" s="416">
        <f t="shared" si="4"/>
        <v>229</v>
      </c>
      <c r="B235" s="590"/>
      <c r="D235" s="427" t="s">
        <v>1977</v>
      </c>
      <c r="E235" s="428" t="s">
        <v>289</v>
      </c>
      <c r="G235" s="431" t="s">
        <v>1664</v>
      </c>
      <c r="H235" s="431"/>
      <c r="I235" s="431"/>
      <c r="J235" s="431"/>
      <c r="K235" s="431"/>
      <c r="L235" s="431"/>
      <c r="M235" s="431"/>
      <c r="N235" s="433"/>
    </row>
    <row r="236" spans="1:14" ht="29">
      <c r="A236" s="416">
        <f t="shared" si="4"/>
        <v>230</v>
      </c>
      <c r="B236" s="590" t="s">
        <v>1018</v>
      </c>
      <c r="C236" s="426" t="s">
        <v>1978</v>
      </c>
      <c r="D236" s="697" t="s">
        <v>1979</v>
      </c>
      <c r="E236" s="428" t="s">
        <v>289</v>
      </c>
      <c r="F236" s="434">
        <v>845694</v>
      </c>
      <c r="G236" s="431" t="s">
        <v>1664</v>
      </c>
      <c r="H236" s="431"/>
      <c r="I236" s="431"/>
      <c r="J236" s="431"/>
      <c r="K236" s="431"/>
      <c r="L236" s="431"/>
      <c r="M236" s="431"/>
      <c r="N236" s="433"/>
    </row>
    <row r="237" spans="1:14">
      <c r="A237" s="416">
        <f t="shared" si="4"/>
        <v>231</v>
      </c>
      <c r="B237" s="590"/>
      <c r="D237" s="698" t="s">
        <v>1980</v>
      </c>
      <c r="E237" s="428" t="s">
        <v>289</v>
      </c>
      <c r="G237" s="431" t="s">
        <v>1664</v>
      </c>
      <c r="H237" s="431"/>
      <c r="I237" s="431"/>
      <c r="J237" s="431"/>
      <c r="K237" s="431"/>
      <c r="L237" s="431"/>
      <c r="M237" s="431"/>
      <c r="N237" s="433"/>
    </row>
    <row r="238" spans="1:14">
      <c r="A238" s="416">
        <f t="shared" si="4"/>
        <v>232</v>
      </c>
      <c r="B238" s="590" t="s">
        <v>1020</v>
      </c>
      <c r="C238" s="426" t="s">
        <v>1981</v>
      </c>
      <c r="D238" s="427" t="s">
        <v>1982</v>
      </c>
      <c r="E238" s="428" t="s">
        <v>289</v>
      </c>
      <c r="F238" s="434">
        <v>7737533</v>
      </c>
      <c r="G238" s="431" t="s">
        <v>1664</v>
      </c>
      <c r="H238" s="431"/>
      <c r="I238" s="431"/>
      <c r="J238" s="431"/>
      <c r="K238" s="431"/>
      <c r="L238" s="431"/>
      <c r="M238" s="431"/>
      <c r="N238" s="433"/>
    </row>
    <row r="239" spans="1:14">
      <c r="A239" s="416">
        <f t="shared" si="4"/>
        <v>233</v>
      </c>
      <c r="B239" s="590"/>
      <c r="D239" s="427" t="s">
        <v>1754</v>
      </c>
      <c r="E239" s="428" t="s">
        <v>289</v>
      </c>
      <c r="G239" s="431" t="s">
        <v>1664</v>
      </c>
      <c r="H239" s="431"/>
      <c r="I239" s="431"/>
      <c r="J239" s="431"/>
      <c r="K239" s="431"/>
      <c r="L239" s="431"/>
      <c r="M239" s="431"/>
      <c r="N239" s="433"/>
    </row>
    <row r="240" spans="1:14">
      <c r="A240" s="416">
        <f t="shared" si="4"/>
        <v>234</v>
      </c>
      <c r="B240" s="590"/>
      <c r="D240" s="427" t="s">
        <v>1983</v>
      </c>
      <c r="G240" s="431" t="s">
        <v>1664</v>
      </c>
      <c r="H240" s="431"/>
      <c r="I240" s="431"/>
      <c r="J240" s="431"/>
      <c r="K240" s="431"/>
      <c r="L240" s="431"/>
      <c r="M240" s="431"/>
      <c r="N240" s="433"/>
    </row>
    <row r="241" spans="1:15">
      <c r="A241" s="416">
        <f t="shared" si="4"/>
        <v>235</v>
      </c>
      <c r="B241" s="590"/>
      <c r="D241" s="427" t="s">
        <v>1984</v>
      </c>
      <c r="E241" s="428" t="s">
        <v>289</v>
      </c>
      <c r="G241" s="431" t="s">
        <v>1664</v>
      </c>
      <c r="H241" s="431"/>
      <c r="I241" s="431"/>
      <c r="J241" s="431"/>
      <c r="K241" s="431"/>
      <c r="L241" s="431"/>
      <c r="M241" s="431"/>
      <c r="N241" s="433"/>
    </row>
    <row r="242" spans="1:15">
      <c r="A242" s="416">
        <f t="shared" si="4"/>
        <v>236</v>
      </c>
      <c r="B242" s="590"/>
      <c r="D242" s="427" t="s">
        <v>1985</v>
      </c>
      <c r="E242" s="428" t="s">
        <v>289</v>
      </c>
      <c r="G242" s="431" t="s">
        <v>1664</v>
      </c>
      <c r="H242" s="431"/>
      <c r="I242" s="431"/>
      <c r="J242" s="431"/>
      <c r="K242" s="431"/>
      <c r="L242" s="431"/>
      <c r="M242" s="431"/>
      <c r="N242" s="433"/>
    </row>
    <row r="243" spans="1:15">
      <c r="A243" s="416">
        <f t="shared" si="4"/>
        <v>237</v>
      </c>
      <c r="B243" s="590"/>
      <c r="D243" s="427" t="s">
        <v>1986</v>
      </c>
      <c r="E243" s="428" t="s">
        <v>289</v>
      </c>
      <c r="G243" s="431" t="s">
        <v>1664</v>
      </c>
      <c r="H243" s="431"/>
      <c r="I243" s="431"/>
      <c r="J243" s="431"/>
      <c r="K243" s="431"/>
      <c r="L243" s="431"/>
      <c r="M243" s="431"/>
      <c r="N243" s="433"/>
    </row>
    <row r="244" spans="1:15">
      <c r="A244" s="416">
        <f t="shared" si="4"/>
        <v>238</v>
      </c>
      <c r="B244" s="590"/>
      <c r="D244" s="427" t="s">
        <v>1987</v>
      </c>
      <c r="E244" s="428" t="s">
        <v>289</v>
      </c>
      <c r="G244" s="431" t="s">
        <v>1664</v>
      </c>
      <c r="H244" s="431"/>
      <c r="I244" s="431"/>
      <c r="J244" s="431"/>
      <c r="K244" s="431"/>
      <c r="L244" s="431"/>
      <c r="M244" s="431"/>
      <c r="N244" s="433"/>
    </row>
    <row r="245" spans="1:15">
      <c r="A245" s="416">
        <f t="shared" si="4"/>
        <v>239</v>
      </c>
      <c r="B245" s="590" t="s">
        <v>1022</v>
      </c>
      <c r="C245" s="426" t="s">
        <v>1988</v>
      </c>
      <c r="D245" s="427" t="s">
        <v>1989</v>
      </c>
      <c r="E245" s="428" t="s">
        <v>289</v>
      </c>
      <c r="F245" s="434">
        <v>689069</v>
      </c>
      <c r="G245" s="431" t="s">
        <v>1664</v>
      </c>
      <c r="H245" s="431"/>
      <c r="I245" s="431"/>
      <c r="J245" s="431"/>
      <c r="K245" s="431"/>
      <c r="L245" s="431"/>
      <c r="M245" s="431"/>
      <c r="N245" s="433"/>
    </row>
    <row r="246" spans="1:15">
      <c r="A246" s="416">
        <f t="shared" si="4"/>
        <v>240</v>
      </c>
      <c r="B246" s="590"/>
      <c r="D246" s="427" t="s">
        <v>1990</v>
      </c>
      <c r="E246" s="428" t="s">
        <v>289</v>
      </c>
      <c r="G246" s="431" t="s">
        <v>1664</v>
      </c>
      <c r="H246" s="431"/>
      <c r="I246" s="431"/>
      <c r="J246" s="431"/>
      <c r="K246" s="431"/>
      <c r="L246" s="431"/>
      <c r="M246" s="431"/>
      <c r="N246" s="433"/>
    </row>
    <row r="247" spans="1:15">
      <c r="A247" s="416">
        <f t="shared" si="4"/>
        <v>241</v>
      </c>
      <c r="B247" s="590" t="s">
        <v>1028</v>
      </c>
      <c r="C247" s="426" t="s">
        <v>1991</v>
      </c>
      <c r="D247" s="427" t="s">
        <v>1992</v>
      </c>
      <c r="E247" s="428" t="s">
        <v>289</v>
      </c>
      <c r="F247" s="434">
        <v>875329</v>
      </c>
      <c r="G247" s="431"/>
      <c r="H247" s="431" t="s">
        <v>1664</v>
      </c>
      <c r="I247" s="431" t="s">
        <v>1664</v>
      </c>
      <c r="J247" s="431"/>
      <c r="K247" s="431"/>
      <c r="L247" s="431"/>
      <c r="M247" s="431"/>
      <c r="N247" s="433" t="s">
        <v>1993</v>
      </c>
    </row>
    <row r="248" spans="1:15">
      <c r="A248" s="416">
        <f t="shared" si="4"/>
        <v>242</v>
      </c>
      <c r="B248" s="590" t="s">
        <v>1024</v>
      </c>
      <c r="C248" s="426" t="s">
        <v>1994</v>
      </c>
      <c r="D248" s="427" t="s">
        <v>1995</v>
      </c>
      <c r="E248" s="428" t="s">
        <v>289</v>
      </c>
      <c r="F248" s="434">
        <v>6387656</v>
      </c>
      <c r="G248" s="431" t="s">
        <v>1664</v>
      </c>
      <c r="H248" s="431"/>
      <c r="I248" s="431"/>
      <c r="J248" s="431"/>
      <c r="K248" s="431"/>
      <c r="L248" s="431"/>
      <c r="M248" s="431"/>
      <c r="N248" s="433"/>
    </row>
    <row r="249" spans="1:15">
      <c r="A249" s="416">
        <f t="shared" si="4"/>
        <v>243</v>
      </c>
      <c r="B249" s="590"/>
      <c r="D249" s="427" t="s">
        <v>1754</v>
      </c>
      <c r="E249" s="428" t="s">
        <v>289</v>
      </c>
      <c r="G249" s="431" t="s">
        <v>1664</v>
      </c>
      <c r="H249" s="431"/>
      <c r="I249" s="431"/>
      <c r="J249" s="431"/>
      <c r="K249" s="431"/>
      <c r="L249" s="431"/>
      <c r="M249" s="431"/>
      <c r="N249" s="433"/>
    </row>
    <row r="250" spans="1:15" ht="29">
      <c r="A250" s="416">
        <f t="shared" si="4"/>
        <v>244</v>
      </c>
      <c r="B250" s="590"/>
      <c r="D250" s="427" t="s">
        <v>1996</v>
      </c>
      <c r="E250" s="428" t="s">
        <v>289</v>
      </c>
      <c r="G250" s="431" t="s">
        <v>1664</v>
      </c>
      <c r="H250" s="431"/>
      <c r="I250" s="431"/>
      <c r="J250" s="431"/>
      <c r="K250" s="431"/>
      <c r="L250" s="431"/>
      <c r="M250" s="431"/>
      <c r="N250" s="433"/>
    </row>
    <row r="251" spans="1:15">
      <c r="A251" s="416">
        <f t="shared" si="4"/>
        <v>245</v>
      </c>
      <c r="B251" s="590"/>
      <c r="D251" s="427" t="s">
        <v>1997</v>
      </c>
      <c r="E251" s="428" t="s">
        <v>289</v>
      </c>
      <c r="G251" s="431" t="s">
        <v>1664</v>
      </c>
      <c r="H251" s="431"/>
      <c r="I251" s="431"/>
      <c r="J251" s="431"/>
      <c r="K251" s="431"/>
      <c r="L251" s="431"/>
      <c r="M251" s="431"/>
      <c r="N251" s="433"/>
    </row>
    <row r="252" spans="1:15" ht="18" customHeight="1">
      <c r="A252" s="641">
        <f>A251+1</f>
        <v>246</v>
      </c>
      <c r="B252" s="699"/>
      <c r="C252" s="700"/>
      <c r="D252" s="701" t="s">
        <v>1998</v>
      </c>
      <c r="E252" s="702"/>
      <c r="F252" s="703"/>
      <c r="G252" s="642" t="s">
        <v>1664</v>
      </c>
      <c r="H252" s="642"/>
      <c r="I252" s="642"/>
      <c r="J252" s="642"/>
      <c r="K252" s="642"/>
      <c r="L252" s="642"/>
      <c r="M252" s="642"/>
      <c r="N252" s="643"/>
      <c r="O252" s="644"/>
    </row>
    <row r="253" spans="1:15">
      <c r="A253" s="416">
        <f>A252+1</f>
        <v>247</v>
      </c>
      <c r="B253" s="590"/>
      <c r="D253" s="427" t="s">
        <v>1999</v>
      </c>
      <c r="E253" s="428" t="s">
        <v>289</v>
      </c>
      <c r="G253" s="431" t="s">
        <v>1664</v>
      </c>
      <c r="H253" s="431"/>
      <c r="I253" s="431"/>
      <c r="J253" s="431"/>
      <c r="K253" s="431"/>
      <c r="L253" s="431"/>
      <c r="M253" s="431"/>
      <c r="N253" s="433"/>
    </row>
    <row r="254" spans="1:15">
      <c r="A254" s="416">
        <f t="shared" si="4"/>
        <v>248</v>
      </c>
      <c r="B254" s="590"/>
      <c r="D254" s="427" t="s">
        <v>2000</v>
      </c>
      <c r="E254" s="428" t="s">
        <v>289</v>
      </c>
      <c r="G254" s="431" t="s">
        <v>1664</v>
      </c>
      <c r="H254" s="431"/>
      <c r="I254" s="431"/>
      <c r="J254" s="431"/>
      <c r="K254" s="431"/>
      <c r="L254" s="431"/>
      <c r="M254" s="431"/>
      <c r="N254" s="433"/>
    </row>
    <row r="255" spans="1:15">
      <c r="A255" s="416">
        <f t="shared" si="4"/>
        <v>249</v>
      </c>
      <c r="B255" s="590" t="s">
        <v>1026</v>
      </c>
      <c r="C255" s="426" t="s">
        <v>2001</v>
      </c>
      <c r="D255" s="427" t="s">
        <v>2002</v>
      </c>
      <c r="E255" s="428" t="s">
        <v>1709</v>
      </c>
      <c r="F255" s="434">
        <v>1895702</v>
      </c>
      <c r="G255" s="431" t="s">
        <v>1664</v>
      </c>
      <c r="H255" s="431"/>
      <c r="I255" s="431"/>
      <c r="J255" s="431"/>
      <c r="K255" s="431"/>
      <c r="L255" s="431"/>
      <c r="M255" s="431"/>
      <c r="N255" s="433"/>
    </row>
    <row r="256" spans="1:15" ht="16.5" customHeight="1">
      <c r="A256" s="416">
        <f t="shared" si="4"/>
        <v>250</v>
      </c>
      <c r="B256" s="590" t="s">
        <v>1030</v>
      </c>
      <c r="C256" s="426" t="s">
        <v>2003</v>
      </c>
      <c r="D256" s="427" t="s">
        <v>2004</v>
      </c>
      <c r="G256" s="431" t="s">
        <v>1664</v>
      </c>
      <c r="H256" s="431"/>
      <c r="I256" s="431"/>
      <c r="J256" s="431"/>
      <c r="K256" s="431"/>
      <c r="L256" s="431"/>
      <c r="M256" s="431"/>
      <c r="N256" s="433"/>
    </row>
    <row r="257" spans="1:14">
      <c r="A257" s="416">
        <f t="shared" si="4"/>
        <v>251</v>
      </c>
      <c r="B257" s="590"/>
      <c r="D257" s="427" t="s">
        <v>2005</v>
      </c>
      <c r="F257" s="429"/>
      <c r="G257" s="440" t="s">
        <v>1664</v>
      </c>
      <c r="H257" s="440"/>
      <c r="I257" s="441"/>
      <c r="J257" s="441"/>
      <c r="K257" s="440"/>
      <c r="L257" s="442"/>
      <c r="M257" s="443"/>
      <c r="N257" s="433"/>
    </row>
    <row r="258" spans="1:14">
      <c r="A258" s="416">
        <f t="shared" si="4"/>
        <v>252</v>
      </c>
      <c r="B258" s="590" t="s">
        <v>1032</v>
      </c>
      <c r="C258" s="426" t="s">
        <v>2006</v>
      </c>
      <c r="D258" s="427" t="s">
        <v>2007</v>
      </c>
      <c r="E258" s="428" t="s">
        <v>289</v>
      </c>
      <c r="F258" s="434">
        <v>2888367</v>
      </c>
      <c r="G258" s="431" t="s">
        <v>1664</v>
      </c>
      <c r="H258" s="431"/>
      <c r="I258" s="431"/>
      <c r="J258" s="431"/>
      <c r="K258" s="431"/>
      <c r="L258" s="431"/>
      <c r="M258" s="431"/>
      <c r="N258" s="433"/>
    </row>
    <row r="259" spans="1:14">
      <c r="A259" s="416">
        <f t="shared" si="4"/>
        <v>253</v>
      </c>
      <c r="B259" s="590"/>
      <c r="D259" s="427" t="s">
        <v>2008</v>
      </c>
      <c r="E259" s="428" t="s">
        <v>289</v>
      </c>
      <c r="G259" s="431" t="s">
        <v>1664</v>
      </c>
      <c r="H259" s="431"/>
      <c r="I259" s="431"/>
      <c r="J259" s="431"/>
      <c r="K259" s="431"/>
      <c r="L259" s="431"/>
      <c r="M259" s="431"/>
      <c r="N259" s="433"/>
    </row>
    <row r="260" spans="1:14">
      <c r="A260" s="416">
        <f t="shared" si="4"/>
        <v>254</v>
      </c>
      <c r="B260" s="590"/>
      <c r="D260" s="427" t="s">
        <v>2009</v>
      </c>
      <c r="E260" s="428" t="s">
        <v>289</v>
      </c>
      <c r="G260" s="431" t="s">
        <v>1664</v>
      </c>
      <c r="H260" s="431"/>
      <c r="I260" s="431"/>
      <c r="J260" s="431"/>
      <c r="K260" s="432"/>
      <c r="L260" s="431"/>
      <c r="M260" s="431"/>
      <c r="N260" s="433"/>
    </row>
    <row r="261" spans="1:14">
      <c r="A261" s="416">
        <f t="shared" si="4"/>
        <v>255</v>
      </c>
      <c r="B261" s="590"/>
      <c r="D261" s="427" t="s">
        <v>2010</v>
      </c>
      <c r="E261" s="428" t="s">
        <v>289</v>
      </c>
      <c r="G261" s="431" t="s">
        <v>1664</v>
      </c>
      <c r="H261" s="431"/>
      <c r="I261" s="431"/>
      <c r="J261" s="431"/>
      <c r="K261" s="432"/>
      <c r="L261" s="431"/>
      <c r="M261" s="431"/>
      <c r="N261" s="433"/>
    </row>
    <row r="262" spans="1:14">
      <c r="A262" s="416">
        <f t="shared" si="4"/>
        <v>256</v>
      </c>
      <c r="B262" s="590"/>
      <c r="D262" s="427" t="s">
        <v>2011</v>
      </c>
      <c r="E262" s="428" t="s">
        <v>289</v>
      </c>
      <c r="G262" s="431" t="s">
        <v>1664</v>
      </c>
      <c r="H262" s="431"/>
      <c r="I262" s="431"/>
      <c r="J262" s="431"/>
      <c r="K262" s="432"/>
      <c r="L262" s="431"/>
      <c r="M262" s="431"/>
      <c r="N262" s="433"/>
    </row>
    <row r="263" spans="1:14">
      <c r="A263" s="416">
        <f t="shared" si="4"/>
        <v>257</v>
      </c>
      <c r="B263" s="590" t="s">
        <v>1034</v>
      </c>
      <c r="C263" s="426" t="s">
        <v>2012</v>
      </c>
      <c r="D263" s="427" t="s">
        <v>2013</v>
      </c>
      <c r="E263" s="428" t="s">
        <v>289</v>
      </c>
      <c r="F263" s="434">
        <v>7229447</v>
      </c>
      <c r="G263" s="431" t="s">
        <v>1664</v>
      </c>
      <c r="H263" s="431"/>
      <c r="I263" s="431"/>
      <c r="J263" s="431"/>
      <c r="K263" s="432"/>
      <c r="L263" s="431"/>
      <c r="M263" s="431"/>
      <c r="N263" s="433"/>
    </row>
    <row r="264" spans="1:14">
      <c r="A264" s="416">
        <f t="shared" si="4"/>
        <v>258</v>
      </c>
      <c r="B264" s="590"/>
      <c r="D264" s="427" t="s">
        <v>1754</v>
      </c>
      <c r="E264" s="428" t="s">
        <v>289</v>
      </c>
      <c r="G264" s="431" t="s">
        <v>1664</v>
      </c>
      <c r="H264" s="431"/>
      <c r="I264" s="431"/>
      <c r="J264" s="431"/>
      <c r="K264" s="432"/>
      <c r="L264" s="431"/>
      <c r="M264" s="431"/>
      <c r="N264" s="433"/>
    </row>
    <row r="265" spans="1:14">
      <c r="A265" s="416">
        <f t="shared" si="4"/>
        <v>259</v>
      </c>
      <c r="B265" s="590"/>
      <c r="D265" s="427" t="s">
        <v>2014</v>
      </c>
      <c r="E265" s="428" t="s">
        <v>289</v>
      </c>
      <c r="G265" s="431" t="s">
        <v>1664</v>
      </c>
      <c r="H265" s="431"/>
      <c r="I265" s="431"/>
      <c r="J265" s="431"/>
      <c r="K265" s="432"/>
      <c r="L265" s="431"/>
      <c r="M265" s="431"/>
      <c r="N265" s="433"/>
    </row>
    <row r="266" spans="1:14">
      <c r="A266" s="416">
        <f t="shared" si="4"/>
        <v>260</v>
      </c>
      <c r="B266" s="590"/>
      <c r="D266" s="427" t="s">
        <v>2015</v>
      </c>
      <c r="E266" s="428" t="s">
        <v>289</v>
      </c>
      <c r="G266" s="431" t="s">
        <v>1664</v>
      </c>
      <c r="H266" s="431"/>
      <c r="I266" s="431"/>
      <c r="J266" s="431"/>
      <c r="K266" s="444"/>
      <c r="L266" s="431"/>
      <c r="M266" s="431"/>
      <c r="N266" s="433"/>
    </row>
    <row r="267" spans="1:14">
      <c r="A267" s="416">
        <f t="shared" si="4"/>
        <v>261</v>
      </c>
      <c r="B267" s="590" t="s">
        <v>1036</v>
      </c>
      <c r="C267" s="426" t="s">
        <v>2016</v>
      </c>
      <c r="D267" s="427" t="s">
        <v>2017</v>
      </c>
      <c r="E267" s="428" t="s">
        <v>289</v>
      </c>
      <c r="F267" s="434">
        <v>1769604</v>
      </c>
      <c r="G267" s="431" t="s">
        <v>1664</v>
      </c>
      <c r="H267" s="431"/>
      <c r="I267" s="431"/>
      <c r="J267" s="431"/>
      <c r="K267" s="444"/>
      <c r="L267" s="431"/>
      <c r="M267" s="431"/>
      <c r="N267" s="433"/>
    </row>
    <row r="268" spans="1:14">
      <c r="A268" s="416">
        <f t="shared" si="4"/>
        <v>262</v>
      </c>
      <c r="B268" s="590"/>
      <c r="D268" s="427" t="s">
        <v>2018</v>
      </c>
      <c r="E268" s="428" t="s">
        <v>289</v>
      </c>
      <c r="G268" s="431" t="s">
        <v>1664</v>
      </c>
      <c r="H268" s="431"/>
      <c r="I268" s="431"/>
      <c r="J268" s="431"/>
      <c r="K268" s="432"/>
      <c r="L268" s="431"/>
      <c r="M268" s="431"/>
      <c r="N268" s="433"/>
    </row>
    <row r="269" spans="1:14" ht="29">
      <c r="A269" s="416">
        <f t="shared" si="4"/>
        <v>263</v>
      </c>
      <c r="B269" s="590"/>
      <c r="D269" s="427" t="s">
        <v>1671</v>
      </c>
      <c r="E269" s="428" t="s">
        <v>289</v>
      </c>
      <c r="G269" s="431"/>
      <c r="H269" s="431" t="s">
        <v>1664</v>
      </c>
      <c r="I269" s="431"/>
      <c r="J269" s="431"/>
      <c r="K269" s="432"/>
      <c r="L269" s="431"/>
      <c r="M269" s="431"/>
      <c r="N269" s="433" t="s">
        <v>2019</v>
      </c>
    </row>
    <row r="270" spans="1:14">
      <c r="A270" s="416">
        <f t="shared" ref="A270:A333" si="5">A269+1</f>
        <v>264</v>
      </c>
      <c r="B270" s="590" t="s">
        <v>1039</v>
      </c>
      <c r="C270" s="426" t="s">
        <v>2020</v>
      </c>
      <c r="D270" s="427" t="s">
        <v>1818</v>
      </c>
      <c r="E270" s="428" t="s">
        <v>289</v>
      </c>
      <c r="F270" s="434">
        <v>1910050</v>
      </c>
      <c r="G270" s="431" t="s">
        <v>1664</v>
      </c>
      <c r="H270" s="431"/>
      <c r="I270" s="431"/>
      <c r="J270" s="431"/>
      <c r="K270" s="432"/>
      <c r="L270" s="431"/>
      <c r="M270" s="431"/>
      <c r="N270" s="433"/>
    </row>
    <row r="271" spans="1:14" ht="29">
      <c r="A271" s="416">
        <f t="shared" si="5"/>
        <v>265</v>
      </c>
      <c r="B271" s="590" t="s">
        <v>1041</v>
      </c>
      <c r="C271" s="426" t="s">
        <v>2021</v>
      </c>
      <c r="D271" s="427" t="s">
        <v>2022</v>
      </c>
      <c r="E271" s="428" t="s">
        <v>289</v>
      </c>
      <c r="F271" s="434">
        <v>16311512</v>
      </c>
      <c r="G271" s="431" t="s">
        <v>1664</v>
      </c>
      <c r="H271" s="431"/>
      <c r="I271" s="431"/>
      <c r="J271" s="431"/>
      <c r="K271" s="432"/>
      <c r="L271" s="431"/>
      <c r="M271" s="431"/>
      <c r="N271" s="433"/>
    </row>
    <row r="272" spans="1:14">
      <c r="A272" s="416">
        <f t="shared" si="5"/>
        <v>266</v>
      </c>
      <c r="B272" s="590"/>
      <c r="D272" s="427" t="s">
        <v>2023</v>
      </c>
      <c r="E272" s="428" t="s">
        <v>289</v>
      </c>
      <c r="G272" s="431" t="s">
        <v>1664</v>
      </c>
      <c r="H272" s="431"/>
      <c r="I272" s="431"/>
      <c r="J272" s="431"/>
      <c r="K272" s="432"/>
      <c r="L272" s="431"/>
      <c r="M272" s="431"/>
      <c r="N272" s="433"/>
    </row>
    <row r="273" spans="1:14">
      <c r="A273" s="416">
        <f t="shared" si="5"/>
        <v>267</v>
      </c>
      <c r="B273" s="590"/>
      <c r="D273" s="427" t="s">
        <v>2024</v>
      </c>
      <c r="E273" s="428" t="s">
        <v>289</v>
      </c>
      <c r="G273" s="431" t="s">
        <v>1664</v>
      </c>
      <c r="H273" s="431"/>
      <c r="I273" s="431"/>
      <c r="J273" s="431"/>
      <c r="K273" s="432"/>
      <c r="L273" s="431"/>
      <c r="M273" s="431"/>
      <c r="N273" s="433"/>
    </row>
    <row r="274" spans="1:14" ht="29">
      <c r="A274" s="416">
        <f t="shared" si="5"/>
        <v>268</v>
      </c>
      <c r="B274" s="590"/>
      <c r="D274" s="427" t="s">
        <v>2025</v>
      </c>
      <c r="E274" s="428" t="s">
        <v>289</v>
      </c>
      <c r="G274" s="431" t="s">
        <v>1664</v>
      </c>
      <c r="H274" s="431"/>
      <c r="I274" s="431"/>
      <c r="J274" s="431"/>
      <c r="K274" s="432"/>
      <c r="L274" s="431"/>
      <c r="M274" s="431"/>
      <c r="N274" s="433"/>
    </row>
    <row r="275" spans="1:14">
      <c r="A275" s="416">
        <f t="shared" si="5"/>
        <v>269</v>
      </c>
      <c r="B275" s="590"/>
      <c r="D275" s="427" t="s">
        <v>2026</v>
      </c>
      <c r="E275" s="428" t="s">
        <v>289</v>
      </c>
      <c r="G275" s="431" t="s">
        <v>1664</v>
      </c>
      <c r="H275" s="431"/>
      <c r="I275" s="431"/>
      <c r="J275" s="431"/>
      <c r="K275" s="432"/>
      <c r="L275" s="431"/>
      <c r="M275" s="431"/>
      <c r="N275" s="433"/>
    </row>
    <row r="276" spans="1:14">
      <c r="A276" s="416">
        <f t="shared" si="5"/>
        <v>270</v>
      </c>
      <c r="B276" s="590"/>
      <c r="D276" s="427" t="s">
        <v>2027</v>
      </c>
      <c r="E276" s="428" t="s">
        <v>289</v>
      </c>
      <c r="G276" s="431" t="s">
        <v>1664</v>
      </c>
      <c r="H276" s="431"/>
      <c r="I276" s="431"/>
      <c r="J276" s="431"/>
      <c r="K276" s="432"/>
      <c r="L276" s="431"/>
      <c r="M276" s="431"/>
      <c r="N276" s="433"/>
    </row>
    <row r="277" spans="1:14">
      <c r="A277" s="416">
        <f t="shared" si="5"/>
        <v>271</v>
      </c>
      <c r="B277" s="590"/>
      <c r="D277" s="427" t="s">
        <v>1861</v>
      </c>
      <c r="E277" s="428" t="s">
        <v>289</v>
      </c>
      <c r="G277" s="431" t="s">
        <v>1664</v>
      </c>
      <c r="H277" s="431"/>
      <c r="I277" s="431"/>
      <c r="J277" s="431"/>
      <c r="K277" s="432"/>
      <c r="L277" s="431"/>
      <c r="M277" s="431"/>
      <c r="N277" s="433"/>
    </row>
    <row r="278" spans="1:14">
      <c r="A278" s="416">
        <f t="shared" si="5"/>
        <v>272</v>
      </c>
      <c r="B278" s="590" t="s">
        <v>1043</v>
      </c>
      <c r="C278" s="426" t="s">
        <v>2028</v>
      </c>
      <c r="D278" s="427" t="s">
        <v>2029</v>
      </c>
      <c r="E278" s="428" t="s">
        <v>289</v>
      </c>
      <c r="F278" s="434">
        <v>722677</v>
      </c>
      <c r="G278" s="431" t="s">
        <v>1664</v>
      </c>
      <c r="H278" s="431"/>
      <c r="I278" s="431"/>
      <c r="J278" s="431"/>
      <c r="K278" s="432"/>
      <c r="L278" s="431"/>
      <c r="M278" s="431"/>
      <c r="N278" s="433"/>
    </row>
    <row r="279" spans="1:14">
      <c r="A279" s="416">
        <f t="shared" si="5"/>
        <v>273</v>
      </c>
      <c r="B279" s="590"/>
      <c r="D279" s="427" t="s">
        <v>1845</v>
      </c>
      <c r="E279" s="428" t="s">
        <v>289</v>
      </c>
      <c r="G279" s="431"/>
      <c r="H279" s="431" t="s">
        <v>1664</v>
      </c>
      <c r="I279" s="431"/>
      <c r="J279" s="431"/>
      <c r="K279" s="432"/>
      <c r="L279" s="431"/>
      <c r="M279" s="431"/>
      <c r="N279" s="433" t="s">
        <v>2030</v>
      </c>
    </row>
    <row r="280" spans="1:14">
      <c r="A280" s="416">
        <f t="shared" si="5"/>
        <v>274</v>
      </c>
      <c r="B280" s="590"/>
      <c r="D280" s="427" t="s">
        <v>2031</v>
      </c>
      <c r="G280" s="431" t="s">
        <v>1664</v>
      </c>
      <c r="H280" s="431"/>
      <c r="I280" s="431"/>
      <c r="J280" s="431"/>
      <c r="K280" s="432"/>
      <c r="L280" s="431"/>
      <c r="M280" s="431"/>
      <c r="N280" s="433"/>
    </row>
    <row r="281" spans="1:14">
      <c r="A281" s="416">
        <f t="shared" si="5"/>
        <v>275</v>
      </c>
      <c r="B281" s="590" t="s">
        <v>1045</v>
      </c>
      <c r="C281" s="426" t="s">
        <v>2032</v>
      </c>
      <c r="D281" s="427" t="s">
        <v>2033</v>
      </c>
      <c r="E281" s="428" t="s">
        <v>289</v>
      </c>
      <c r="F281" s="434">
        <v>1673183</v>
      </c>
      <c r="G281" s="431" t="s">
        <v>1664</v>
      </c>
      <c r="H281" s="431"/>
      <c r="I281" s="431"/>
      <c r="J281" s="431"/>
      <c r="K281" s="432"/>
      <c r="L281" s="431"/>
      <c r="M281" s="431"/>
      <c r="N281" s="433"/>
    </row>
    <row r="282" spans="1:14">
      <c r="A282" s="416">
        <f t="shared" si="5"/>
        <v>276</v>
      </c>
      <c r="B282" s="590"/>
      <c r="D282" s="427" t="s">
        <v>1845</v>
      </c>
      <c r="E282" s="428" t="s">
        <v>289</v>
      </c>
      <c r="G282" s="431"/>
      <c r="H282" s="431" t="s">
        <v>1664</v>
      </c>
      <c r="I282" s="431"/>
      <c r="J282" s="431"/>
      <c r="K282" s="432"/>
      <c r="L282" s="431"/>
      <c r="M282" s="431"/>
      <c r="N282" s="433" t="s">
        <v>2034</v>
      </c>
    </row>
    <row r="283" spans="1:14">
      <c r="A283" s="416">
        <f t="shared" si="5"/>
        <v>277</v>
      </c>
      <c r="B283" s="590"/>
      <c r="D283" s="427" t="s">
        <v>2035</v>
      </c>
      <c r="E283" s="428" t="s">
        <v>289</v>
      </c>
      <c r="G283" s="431"/>
      <c r="H283" s="431" t="s">
        <v>1664</v>
      </c>
      <c r="I283" s="431"/>
      <c r="J283" s="431"/>
      <c r="K283" s="432"/>
      <c r="L283" s="431"/>
      <c r="M283" s="431"/>
      <c r="N283" s="433" t="s">
        <v>2034</v>
      </c>
    </row>
    <row r="284" spans="1:14">
      <c r="A284" s="416">
        <f t="shared" si="5"/>
        <v>278</v>
      </c>
      <c r="B284" s="590"/>
      <c r="D284" s="427" t="s">
        <v>2036</v>
      </c>
      <c r="G284" s="431" t="s">
        <v>1664</v>
      </c>
      <c r="H284" s="431"/>
      <c r="I284" s="431"/>
      <c r="J284" s="431"/>
      <c r="K284" s="432"/>
      <c r="L284" s="431"/>
      <c r="M284" s="431"/>
      <c r="N284" s="433"/>
    </row>
    <row r="285" spans="1:14">
      <c r="A285" s="416">
        <f t="shared" si="5"/>
        <v>279</v>
      </c>
      <c r="B285" s="590" t="s">
        <v>1631</v>
      </c>
      <c r="C285" s="426" t="s">
        <v>2037</v>
      </c>
      <c r="D285" s="427" t="s">
        <v>2038</v>
      </c>
      <c r="E285" s="428" t="s">
        <v>1709</v>
      </c>
      <c r="G285" s="431" t="s">
        <v>1664</v>
      </c>
      <c r="H285" s="431"/>
      <c r="I285" s="431"/>
      <c r="J285" s="431"/>
      <c r="K285" s="432"/>
      <c r="L285" s="431"/>
      <c r="M285" s="431"/>
      <c r="N285" s="433"/>
    </row>
    <row r="286" spans="1:14">
      <c r="A286" s="416">
        <f t="shared" si="5"/>
        <v>280</v>
      </c>
      <c r="B286" s="590" t="s">
        <v>1051</v>
      </c>
      <c r="C286" s="426" t="s">
        <v>2039</v>
      </c>
      <c r="D286" s="427" t="s">
        <v>2040</v>
      </c>
      <c r="E286" s="428" t="s">
        <v>289</v>
      </c>
      <c r="F286" s="434">
        <v>1663692</v>
      </c>
      <c r="G286" s="431" t="s">
        <v>1664</v>
      </c>
      <c r="H286" s="431"/>
      <c r="I286" s="431"/>
      <c r="J286" s="431"/>
      <c r="K286" s="432"/>
      <c r="L286" s="431"/>
      <c r="M286" s="431"/>
      <c r="N286" s="433"/>
    </row>
    <row r="287" spans="1:14">
      <c r="A287" s="416">
        <f t="shared" si="5"/>
        <v>281</v>
      </c>
      <c r="B287" s="590"/>
      <c r="D287" s="427" t="s">
        <v>2041</v>
      </c>
      <c r="E287" s="428" t="s">
        <v>289</v>
      </c>
      <c r="G287" s="431" t="s">
        <v>1664</v>
      </c>
      <c r="H287" s="431"/>
      <c r="I287" s="431"/>
      <c r="J287" s="431"/>
      <c r="K287" s="432"/>
      <c r="L287" s="431"/>
      <c r="M287" s="431"/>
      <c r="N287" s="433"/>
    </row>
    <row r="288" spans="1:14">
      <c r="A288" s="416">
        <f t="shared" si="5"/>
        <v>282</v>
      </c>
      <c r="B288" s="590" t="s">
        <v>1053</v>
      </c>
      <c r="C288" s="426" t="s">
        <v>2042</v>
      </c>
      <c r="D288" s="427" t="s">
        <v>2043</v>
      </c>
      <c r="E288" s="428" t="s">
        <v>289</v>
      </c>
      <c r="F288" s="434">
        <v>3881526</v>
      </c>
      <c r="G288" s="431" t="s">
        <v>1664</v>
      </c>
      <c r="H288" s="431"/>
      <c r="I288" s="431"/>
      <c r="J288" s="431"/>
      <c r="K288" s="432"/>
      <c r="L288" s="431"/>
      <c r="M288" s="431"/>
      <c r="N288" s="433"/>
    </row>
    <row r="289" spans="1:14">
      <c r="A289" s="416">
        <f t="shared" si="5"/>
        <v>283</v>
      </c>
      <c r="B289" s="590"/>
      <c r="D289" s="427" t="s">
        <v>2044</v>
      </c>
      <c r="E289" s="428" t="s">
        <v>289</v>
      </c>
      <c r="G289" s="431" t="s">
        <v>1664</v>
      </c>
      <c r="H289" s="431"/>
      <c r="I289" s="431"/>
      <c r="J289" s="431"/>
      <c r="K289" s="432"/>
      <c r="L289" s="431"/>
      <c r="M289" s="431"/>
      <c r="N289" s="433"/>
    </row>
    <row r="290" spans="1:14">
      <c r="A290" s="416">
        <f t="shared" si="5"/>
        <v>284</v>
      </c>
      <c r="B290" s="590"/>
      <c r="D290" s="427" t="s">
        <v>2045</v>
      </c>
      <c r="E290" s="428" t="s">
        <v>289</v>
      </c>
      <c r="G290" s="431" t="s">
        <v>1664</v>
      </c>
      <c r="H290" s="431"/>
      <c r="I290" s="431"/>
      <c r="J290" s="431"/>
      <c r="K290" s="432"/>
      <c r="L290" s="431"/>
      <c r="M290" s="431"/>
      <c r="N290" s="433"/>
    </row>
    <row r="291" spans="1:14" ht="29">
      <c r="A291" s="416">
        <f t="shared" si="5"/>
        <v>285</v>
      </c>
      <c r="B291" s="590"/>
      <c r="D291" s="427" t="s">
        <v>2046</v>
      </c>
      <c r="E291" s="428" t="s">
        <v>289</v>
      </c>
      <c r="G291" s="431"/>
      <c r="H291" s="431" t="s">
        <v>1664</v>
      </c>
      <c r="I291" s="431"/>
      <c r="J291" s="431"/>
      <c r="K291" s="432"/>
      <c r="L291" s="431"/>
      <c r="M291" s="431"/>
      <c r="N291" s="433" t="s">
        <v>2047</v>
      </c>
    </row>
    <row r="292" spans="1:14">
      <c r="A292" s="416">
        <f t="shared" si="5"/>
        <v>286</v>
      </c>
      <c r="B292" s="590"/>
      <c r="D292" s="427" t="s">
        <v>2048</v>
      </c>
      <c r="G292" s="431" t="s">
        <v>1664</v>
      </c>
      <c r="H292" s="431"/>
      <c r="I292" s="431"/>
      <c r="J292" s="431"/>
      <c r="K292" s="432"/>
      <c r="L292" s="431"/>
      <c r="M292" s="431"/>
      <c r="N292" s="433"/>
    </row>
    <row r="293" spans="1:14" ht="29">
      <c r="A293" s="416">
        <f t="shared" si="5"/>
        <v>287</v>
      </c>
      <c r="B293" s="590" t="s">
        <v>1059</v>
      </c>
      <c r="C293" s="426" t="s">
        <v>2049</v>
      </c>
      <c r="D293" s="427" t="s">
        <v>2050</v>
      </c>
      <c r="E293" s="428" t="s">
        <v>289</v>
      </c>
      <c r="F293" s="434">
        <v>4281555</v>
      </c>
      <c r="G293" s="431" t="s">
        <v>1664</v>
      </c>
      <c r="H293" s="431"/>
      <c r="I293" s="431"/>
      <c r="J293" s="431"/>
      <c r="K293" s="431"/>
      <c r="L293" s="431"/>
      <c r="M293" s="431"/>
      <c r="N293" s="433"/>
    </row>
    <row r="294" spans="1:14">
      <c r="A294" s="416">
        <f t="shared" si="5"/>
        <v>288</v>
      </c>
      <c r="B294" s="590"/>
      <c r="D294" s="427" t="s">
        <v>2051</v>
      </c>
      <c r="E294" s="428" t="s">
        <v>289</v>
      </c>
      <c r="G294" s="431" t="s">
        <v>1664</v>
      </c>
      <c r="H294" s="431"/>
      <c r="I294" s="431"/>
      <c r="J294" s="431"/>
      <c r="K294" s="431"/>
      <c r="L294" s="431"/>
      <c r="M294" s="431"/>
      <c r="N294" s="433"/>
    </row>
    <row r="295" spans="1:14">
      <c r="A295" s="416">
        <f t="shared" si="5"/>
        <v>289</v>
      </c>
      <c r="B295" s="590"/>
      <c r="D295" s="427" t="s">
        <v>2052</v>
      </c>
      <c r="E295" s="428" t="s">
        <v>289</v>
      </c>
      <c r="G295" s="431" t="s">
        <v>1664</v>
      </c>
      <c r="H295" s="431"/>
      <c r="I295" s="431"/>
      <c r="J295" s="431"/>
      <c r="K295" s="431"/>
      <c r="L295" s="431"/>
      <c r="M295" s="431"/>
      <c r="N295" s="433"/>
    </row>
    <row r="296" spans="1:14">
      <c r="A296" s="416">
        <f t="shared" si="5"/>
        <v>290</v>
      </c>
      <c r="B296" s="590"/>
      <c r="D296" s="427" t="s">
        <v>2053</v>
      </c>
      <c r="E296" s="428" t="s">
        <v>289</v>
      </c>
      <c r="G296" s="431" t="s">
        <v>1664</v>
      </c>
      <c r="H296" s="431"/>
      <c r="I296" s="431"/>
      <c r="J296" s="431"/>
      <c r="K296" s="431"/>
      <c r="L296" s="431"/>
      <c r="M296" s="431"/>
      <c r="N296" s="433"/>
    </row>
    <row r="297" spans="1:14">
      <c r="A297" s="416">
        <f t="shared" si="5"/>
        <v>291</v>
      </c>
      <c r="B297" s="590" t="s">
        <v>599</v>
      </c>
      <c r="C297" s="426" t="s">
        <v>2054</v>
      </c>
      <c r="D297" s="427" t="s">
        <v>2055</v>
      </c>
      <c r="G297" s="431" t="s">
        <v>1664</v>
      </c>
      <c r="H297" s="431"/>
      <c r="I297" s="431"/>
      <c r="J297" s="431"/>
      <c r="K297" s="431"/>
      <c r="L297" s="431"/>
      <c r="M297" s="431"/>
      <c r="N297" s="433"/>
    </row>
    <row r="298" spans="1:14">
      <c r="A298" s="416">
        <f t="shared" si="5"/>
        <v>292</v>
      </c>
      <c r="B298" s="590"/>
      <c r="D298" s="427" t="s">
        <v>2056</v>
      </c>
      <c r="G298" s="431" t="s">
        <v>1664</v>
      </c>
      <c r="H298" s="431"/>
      <c r="I298" s="431"/>
      <c r="J298" s="431"/>
      <c r="K298" s="431"/>
      <c r="L298" s="431"/>
      <c r="M298" s="431"/>
      <c r="N298" s="433"/>
    </row>
    <row r="299" spans="1:14">
      <c r="A299" s="416">
        <f t="shared" si="5"/>
        <v>293</v>
      </c>
      <c r="B299" s="590"/>
      <c r="D299" s="427" t="s">
        <v>2057</v>
      </c>
      <c r="G299" s="431" t="s">
        <v>1664</v>
      </c>
      <c r="H299" s="431"/>
      <c r="I299" s="431"/>
      <c r="J299" s="431"/>
      <c r="K299" s="431"/>
      <c r="L299" s="431"/>
      <c r="M299" s="431"/>
      <c r="N299" s="433"/>
    </row>
    <row r="300" spans="1:14">
      <c r="A300" s="416">
        <f t="shared" si="5"/>
        <v>294</v>
      </c>
      <c r="B300" s="590" t="s">
        <v>1064</v>
      </c>
      <c r="C300" s="426" t="s">
        <v>2058</v>
      </c>
      <c r="D300" s="427" t="s">
        <v>2059</v>
      </c>
      <c r="E300" s="428" t="s">
        <v>289</v>
      </c>
      <c r="F300" s="434">
        <v>623513</v>
      </c>
      <c r="G300" s="431" t="s">
        <v>1664</v>
      </c>
      <c r="H300" s="431"/>
      <c r="I300" s="431"/>
      <c r="J300" s="431"/>
      <c r="K300" s="431"/>
      <c r="L300" s="431"/>
      <c r="M300" s="431"/>
      <c r="N300" s="433"/>
    </row>
    <row r="301" spans="1:14">
      <c r="A301" s="416">
        <f t="shared" si="5"/>
        <v>295</v>
      </c>
      <c r="B301" s="590" t="s">
        <v>1066</v>
      </c>
      <c r="C301" s="426" t="s">
        <v>2060</v>
      </c>
      <c r="D301" s="427" t="s">
        <v>2061</v>
      </c>
      <c r="E301" s="428" t="s">
        <v>1709</v>
      </c>
      <c r="F301" s="434">
        <v>1147874</v>
      </c>
      <c r="G301" s="431" t="s">
        <v>1664</v>
      </c>
      <c r="H301" s="431"/>
      <c r="I301" s="431"/>
      <c r="J301" s="431"/>
      <c r="K301" s="431"/>
      <c r="L301" s="431"/>
      <c r="M301" s="431"/>
      <c r="N301" s="433"/>
    </row>
    <row r="302" spans="1:14">
      <c r="A302" s="416">
        <f t="shared" si="5"/>
        <v>296</v>
      </c>
      <c r="B302" s="590"/>
      <c r="D302" s="427" t="s">
        <v>2062</v>
      </c>
      <c r="E302" s="428" t="s">
        <v>1709</v>
      </c>
      <c r="G302" s="431" t="s">
        <v>1664</v>
      </c>
      <c r="H302" s="431"/>
      <c r="I302" s="431"/>
      <c r="J302" s="431"/>
      <c r="K302" s="431"/>
      <c r="L302" s="431"/>
      <c r="M302" s="431"/>
      <c r="N302" s="433"/>
    </row>
    <row r="303" spans="1:14" ht="29">
      <c r="A303" s="416">
        <f t="shared" si="5"/>
        <v>297</v>
      </c>
      <c r="B303" s="590" t="s">
        <v>1068</v>
      </c>
      <c r="C303" s="426" t="s">
        <v>2063</v>
      </c>
      <c r="D303" s="427" t="s">
        <v>2064</v>
      </c>
      <c r="E303" s="428" t="s">
        <v>289</v>
      </c>
      <c r="F303" s="434">
        <v>5686832</v>
      </c>
      <c r="G303" s="431" t="s">
        <v>1664</v>
      </c>
      <c r="H303" s="431"/>
      <c r="I303" s="431"/>
      <c r="J303" s="431"/>
      <c r="K303" s="431"/>
      <c r="L303" s="431"/>
      <c r="M303" s="431"/>
      <c r="N303" s="433"/>
    </row>
    <row r="304" spans="1:14">
      <c r="A304" s="416">
        <f t="shared" si="5"/>
        <v>298</v>
      </c>
      <c r="B304" s="590"/>
      <c r="D304" s="427" t="s">
        <v>2065</v>
      </c>
      <c r="E304" s="428" t="s">
        <v>289</v>
      </c>
      <c r="G304" s="431" t="s">
        <v>1664</v>
      </c>
      <c r="H304" s="431"/>
      <c r="I304" s="431"/>
      <c r="J304" s="431"/>
      <c r="K304" s="431"/>
      <c r="L304" s="431"/>
      <c r="M304" s="431"/>
      <c r="N304" s="433"/>
    </row>
    <row r="305" spans="1:14">
      <c r="A305" s="416">
        <f t="shared" si="5"/>
        <v>299</v>
      </c>
      <c r="B305" s="590"/>
      <c r="D305" s="427" t="s">
        <v>2066</v>
      </c>
      <c r="E305" s="428" t="s">
        <v>289</v>
      </c>
      <c r="G305" s="431" t="s">
        <v>1664</v>
      </c>
      <c r="H305" s="431"/>
      <c r="I305" s="431"/>
      <c r="J305" s="431"/>
      <c r="K305" s="431"/>
      <c r="L305" s="431"/>
      <c r="M305" s="431"/>
      <c r="N305" s="433"/>
    </row>
    <row r="306" spans="1:14">
      <c r="A306" s="416">
        <f t="shared" si="5"/>
        <v>300</v>
      </c>
      <c r="B306" s="590"/>
      <c r="D306" s="427" t="s">
        <v>2067</v>
      </c>
      <c r="G306" s="431" t="s">
        <v>1664</v>
      </c>
      <c r="H306" s="431"/>
      <c r="I306" s="431"/>
      <c r="J306" s="431"/>
      <c r="K306" s="431"/>
      <c r="L306" s="431"/>
      <c r="M306" s="431"/>
      <c r="N306" s="433"/>
    </row>
    <row r="307" spans="1:14" ht="29">
      <c r="A307" s="416">
        <f t="shared" si="5"/>
        <v>301</v>
      </c>
      <c r="B307" s="590" t="s">
        <v>1074</v>
      </c>
      <c r="C307" s="426" t="s">
        <v>2068</v>
      </c>
      <c r="D307" s="427" t="s">
        <v>2069</v>
      </c>
      <c r="E307" s="428" t="s">
        <v>1709</v>
      </c>
      <c r="F307" s="434">
        <v>5035255</v>
      </c>
      <c r="G307" s="431" t="s">
        <v>1664</v>
      </c>
      <c r="H307" s="431"/>
      <c r="I307" s="431"/>
      <c r="J307" s="431"/>
      <c r="K307" s="431"/>
      <c r="L307" s="431"/>
      <c r="M307" s="431"/>
      <c r="N307" s="433"/>
    </row>
    <row r="308" spans="1:14">
      <c r="A308" s="416">
        <f t="shared" si="5"/>
        <v>302</v>
      </c>
      <c r="B308" s="590"/>
      <c r="D308" s="427" t="s">
        <v>1975</v>
      </c>
      <c r="E308" s="428" t="s">
        <v>1709</v>
      </c>
      <c r="G308" s="431" t="s">
        <v>1664</v>
      </c>
      <c r="H308" s="431"/>
      <c r="I308" s="431"/>
      <c r="J308" s="431"/>
      <c r="K308" s="431"/>
      <c r="L308" s="431"/>
      <c r="M308" s="431"/>
      <c r="N308" s="433"/>
    </row>
    <row r="309" spans="1:14">
      <c r="A309" s="416">
        <f t="shared" si="5"/>
        <v>303</v>
      </c>
      <c r="B309" s="590"/>
      <c r="D309" s="427" t="s">
        <v>2070</v>
      </c>
      <c r="E309" s="428" t="s">
        <v>1709</v>
      </c>
      <c r="G309" s="431" t="s">
        <v>1664</v>
      </c>
      <c r="H309" s="431"/>
      <c r="I309" s="431"/>
      <c r="J309" s="431"/>
      <c r="K309" s="431"/>
      <c r="L309" s="431"/>
      <c r="M309" s="431"/>
      <c r="N309" s="433"/>
    </row>
    <row r="310" spans="1:14">
      <c r="A310" s="416">
        <f t="shared" si="5"/>
        <v>304</v>
      </c>
      <c r="B310" s="590"/>
      <c r="D310" s="427" t="s">
        <v>1773</v>
      </c>
      <c r="E310" s="428" t="s">
        <v>1709</v>
      </c>
      <c r="G310" s="431" t="s">
        <v>1664</v>
      </c>
      <c r="H310" s="431"/>
      <c r="I310" s="431"/>
      <c r="J310" s="431"/>
      <c r="K310" s="431"/>
      <c r="L310" s="431"/>
      <c r="M310" s="431"/>
      <c r="N310" s="433"/>
    </row>
    <row r="311" spans="1:14">
      <c r="A311" s="416">
        <f t="shared" si="5"/>
        <v>305</v>
      </c>
      <c r="B311" s="590"/>
      <c r="D311" s="427" t="s">
        <v>2071</v>
      </c>
      <c r="E311" s="428" t="s">
        <v>1709</v>
      </c>
      <c r="G311" s="431" t="s">
        <v>1664</v>
      </c>
      <c r="H311" s="431"/>
      <c r="I311" s="431"/>
      <c r="J311" s="431"/>
      <c r="K311" s="431"/>
      <c r="L311" s="431"/>
      <c r="M311" s="431"/>
      <c r="N311" s="433"/>
    </row>
    <row r="312" spans="1:14" ht="29">
      <c r="A312" s="416">
        <f t="shared" si="5"/>
        <v>306</v>
      </c>
      <c r="B312" s="590" t="s">
        <v>2072</v>
      </c>
      <c r="C312" s="426" t="s">
        <v>2073</v>
      </c>
      <c r="D312" s="427" t="s">
        <v>2074</v>
      </c>
      <c r="E312" s="428" t="s">
        <v>289</v>
      </c>
      <c r="F312" s="434">
        <v>16733099</v>
      </c>
      <c r="G312" s="431" t="s">
        <v>1664</v>
      </c>
      <c r="H312" s="431"/>
      <c r="I312" s="431"/>
      <c r="J312" s="431"/>
      <c r="K312" s="431"/>
      <c r="L312" s="431"/>
      <c r="M312" s="431"/>
      <c r="N312" s="433"/>
    </row>
    <row r="313" spans="1:14">
      <c r="A313" s="416">
        <f t="shared" si="5"/>
        <v>307</v>
      </c>
      <c r="B313" s="590"/>
      <c r="D313" s="427" t="s">
        <v>2075</v>
      </c>
      <c r="E313" s="428" t="s">
        <v>289</v>
      </c>
      <c r="G313" s="431" t="s">
        <v>1664</v>
      </c>
      <c r="H313" s="431"/>
      <c r="I313" s="431"/>
      <c r="J313" s="431"/>
      <c r="K313" s="431"/>
      <c r="L313" s="431"/>
      <c r="M313" s="431"/>
      <c r="N313" s="433"/>
    </row>
    <row r="314" spans="1:14">
      <c r="A314" s="416">
        <f t="shared" si="5"/>
        <v>308</v>
      </c>
      <c r="B314" s="590"/>
      <c r="D314" s="427" t="s">
        <v>2076</v>
      </c>
      <c r="E314" s="428" t="s">
        <v>289</v>
      </c>
      <c r="G314" s="431" t="s">
        <v>1664</v>
      </c>
      <c r="H314" s="431"/>
      <c r="I314" s="431"/>
      <c r="J314" s="431"/>
      <c r="K314" s="431"/>
      <c r="L314" s="431"/>
      <c r="M314" s="431"/>
      <c r="N314" s="433"/>
    </row>
    <row r="315" spans="1:14">
      <c r="A315" s="416">
        <f t="shared" si="5"/>
        <v>309</v>
      </c>
      <c r="B315" s="590"/>
      <c r="D315" s="427" t="s">
        <v>2077</v>
      </c>
      <c r="E315" s="428" t="s">
        <v>289</v>
      </c>
      <c r="G315" s="431" t="s">
        <v>1664</v>
      </c>
      <c r="H315" s="431"/>
      <c r="I315" s="431"/>
      <c r="J315" s="431"/>
      <c r="K315" s="431"/>
      <c r="L315" s="431"/>
      <c r="M315" s="431"/>
      <c r="N315" s="433"/>
    </row>
    <row r="316" spans="1:14">
      <c r="A316" s="416">
        <f t="shared" si="5"/>
        <v>310</v>
      </c>
      <c r="B316" s="590"/>
      <c r="D316" s="427" t="s">
        <v>2078</v>
      </c>
      <c r="E316" s="428" t="s">
        <v>289</v>
      </c>
      <c r="G316" s="431" t="s">
        <v>1664</v>
      </c>
      <c r="H316" s="431"/>
      <c r="I316" s="431"/>
      <c r="J316" s="431"/>
      <c r="K316" s="431"/>
      <c r="L316" s="431"/>
      <c r="M316" s="431"/>
      <c r="N316" s="433"/>
    </row>
    <row r="317" spans="1:14">
      <c r="A317" s="416">
        <f t="shared" si="5"/>
        <v>311</v>
      </c>
      <c r="B317" s="590"/>
      <c r="D317" s="427" t="s">
        <v>2079</v>
      </c>
      <c r="E317" s="428" t="s">
        <v>289</v>
      </c>
      <c r="G317" s="431" t="s">
        <v>1664</v>
      </c>
      <c r="H317" s="431" t="s">
        <v>1664</v>
      </c>
      <c r="I317" s="431"/>
      <c r="J317" s="431"/>
      <c r="K317" s="431"/>
      <c r="L317" s="431"/>
      <c r="M317" s="431"/>
      <c r="N317" s="433" t="s">
        <v>2080</v>
      </c>
    </row>
    <row r="318" spans="1:14">
      <c r="A318" s="416">
        <f t="shared" si="5"/>
        <v>312</v>
      </c>
      <c r="B318" s="590" t="s">
        <v>1078</v>
      </c>
      <c r="C318" s="426" t="s">
        <v>2081</v>
      </c>
      <c r="D318" s="427" t="s">
        <v>2082</v>
      </c>
      <c r="E318" s="428" t="s">
        <v>289</v>
      </c>
      <c r="F318" s="434">
        <v>11004091</v>
      </c>
      <c r="G318" s="431" t="s">
        <v>1664</v>
      </c>
      <c r="H318" s="431"/>
      <c r="I318" s="431"/>
      <c r="J318" s="431"/>
      <c r="K318" s="431"/>
      <c r="L318" s="431"/>
      <c r="M318" s="431"/>
      <c r="N318" s="433"/>
    </row>
    <row r="319" spans="1:14">
      <c r="A319" s="416">
        <f t="shared" si="5"/>
        <v>313</v>
      </c>
      <c r="B319" s="590"/>
      <c r="D319" s="427" t="s">
        <v>2083</v>
      </c>
      <c r="E319" s="428" t="s">
        <v>289</v>
      </c>
      <c r="G319" s="431" t="s">
        <v>1664</v>
      </c>
      <c r="H319" s="431"/>
      <c r="I319" s="431"/>
      <c r="J319" s="431"/>
      <c r="K319" s="431"/>
      <c r="L319" s="431"/>
      <c r="M319" s="431"/>
      <c r="N319" s="433"/>
    </row>
    <row r="320" spans="1:14">
      <c r="A320" s="416">
        <f t="shared" si="5"/>
        <v>314</v>
      </c>
      <c r="B320" s="590"/>
      <c r="D320" s="427" t="s">
        <v>2084</v>
      </c>
      <c r="E320" s="428" t="s">
        <v>289</v>
      </c>
      <c r="G320" s="431" t="s">
        <v>1664</v>
      </c>
      <c r="H320" s="431"/>
      <c r="I320" s="431"/>
      <c r="J320" s="431"/>
      <c r="K320" s="431"/>
      <c r="L320" s="431"/>
      <c r="M320" s="431"/>
      <c r="N320" s="433"/>
    </row>
    <row r="321" spans="1:14">
      <c r="A321" s="416">
        <f t="shared" si="5"/>
        <v>315</v>
      </c>
      <c r="B321" s="590"/>
      <c r="D321" s="427" t="s">
        <v>2085</v>
      </c>
      <c r="E321" s="428" t="s">
        <v>289</v>
      </c>
      <c r="G321" s="431" t="s">
        <v>1664</v>
      </c>
      <c r="H321" s="431"/>
      <c r="I321" s="431"/>
      <c r="J321" s="431"/>
      <c r="K321" s="431"/>
      <c r="L321" s="431"/>
      <c r="M321" s="431"/>
      <c r="N321" s="433"/>
    </row>
    <row r="322" spans="1:14">
      <c r="A322" s="416">
        <f t="shared" si="5"/>
        <v>316</v>
      </c>
      <c r="B322" s="590"/>
      <c r="D322" s="427" t="s">
        <v>2086</v>
      </c>
      <c r="E322" s="428" t="s">
        <v>289</v>
      </c>
      <c r="G322" s="431" t="s">
        <v>1664</v>
      </c>
      <c r="H322" s="431"/>
      <c r="I322" s="431"/>
      <c r="J322" s="431"/>
      <c r="K322" s="431"/>
      <c r="L322" s="431"/>
      <c r="M322" s="431"/>
      <c r="N322" s="433"/>
    </row>
    <row r="323" spans="1:14">
      <c r="A323" s="416">
        <f t="shared" si="5"/>
        <v>317</v>
      </c>
      <c r="B323" s="590"/>
      <c r="D323" s="427" t="s">
        <v>2087</v>
      </c>
      <c r="E323" s="428" t="s">
        <v>289</v>
      </c>
      <c r="G323" s="431" t="s">
        <v>1664</v>
      </c>
      <c r="H323" s="431"/>
      <c r="I323" s="431"/>
      <c r="J323" s="431"/>
      <c r="K323" s="431"/>
      <c r="L323" s="431"/>
      <c r="M323" s="431"/>
      <c r="N323" s="433"/>
    </row>
    <row r="324" spans="1:14" ht="29">
      <c r="A324" s="416">
        <f t="shared" si="5"/>
        <v>318</v>
      </c>
      <c r="B324" s="590" t="s">
        <v>1082</v>
      </c>
      <c r="C324" s="426" t="s">
        <v>2088</v>
      </c>
      <c r="D324" s="427" t="s">
        <v>2089</v>
      </c>
      <c r="E324" s="428" t="s">
        <v>289</v>
      </c>
      <c r="F324" s="434">
        <v>12916958</v>
      </c>
      <c r="G324" s="431" t="s">
        <v>1664</v>
      </c>
      <c r="H324" s="431"/>
      <c r="I324" s="431"/>
      <c r="J324" s="431"/>
      <c r="K324" s="431"/>
      <c r="L324" s="431"/>
      <c r="M324" s="431"/>
      <c r="N324" s="433"/>
    </row>
    <row r="325" spans="1:14">
      <c r="A325" s="416">
        <f t="shared" si="5"/>
        <v>319</v>
      </c>
      <c r="B325" s="590"/>
      <c r="D325" s="427" t="s">
        <v>2090</v>
      </c>
      <c r="E325" s="428" t="s">
        <v>289</v>
      </c>
      <c r="G325" s="431" t="s">
        <v>1664</v>
      </c>
      <c r="H325" s="431"/>
      <c r="I325" s="431"/>
      <c r="J325" s="431"/>
      <c r="K325" s="431"/>
      <c r="L325" s="431"/>
      <c r="M325" s="431"/>
      <c r="N325" s="433"/>
    </row>
    <row r="326" spans="1:14">
      <c r="A326" s="416">
        <f t="shared" si="5"/>
        <v>320</v>
      </c>
      <c r="B326" s="590"/>
      <c r="D326" s="427" t="s">
        <v>2091</v>
      </c>
      <c r="E326" s="428" t="s">
        <v>289</v>
      </c>
      <c r="G326" s="431" t="s">
        <v>1664</v>
      </c>
      <c r="H326" s="431"/>
      <c r="I326" s="431"/>
      <c r="J326" s="431"/>
      <c r="K326" s="431"/>
      <c r="L326" s="431"/>
      <c r="M326" s="431"/>
      <c r="N326" s="433"/>
    </row>
    <row r="327" spans="1:14">
      <c r="A327" s="416">
        <f t="shared" si="5"/>
        <v>321</v>
      </c>
      <c r="B327" s="590"/>
      <c r="D327" s="427" t="s">
        <v>2092</v>
      </c>
      <c r="E327" s="428" t="s">
        <v>289</v>
      </c>
      <c r="G327" s="431" t="s">
        <v>1664</v>
      </c>
      <c r="H327" s="431"/>
      <c r="I327" s="431"/>
      <c r="J327" s="431"/>
      <c r="K327" s="431"/>
      <c r="L327" s="431"/>
      <c r="M327" s="431"/>
      <c r="N327" s="433"/>
    </row>
    <row r="328" spans="1:14">
      <c r="A328" s="416">
        <f t="shared" si="5"/>
        <v>322</v>
      </c>
      <c r="B328" s="590"/>
      <c r="D328" s="427" t="s">
        <v>2093</v>
      </c>
      <c r="E328" s="428" t="s">
        <v>289</v>
      </c>
      <c r="G328" s="431" t="s">
        <v>1664</v>
      </c>
      <c r="H328" s="431"/>
      <c r="I328" s="431"/>
      <c r="J328" s="431"/>
      <c r="K328" s="431"/>
      <c r="L328" s="431"/>
      <c r="M328" s="431"/>
      <c r="N328" s="433"/>
    </row>
    <row r="329" spans="1:14" ht="29">
      <c r="A329" s="416">
        <f t="shared" si="5"/>
        <v>323</v>
      </c>
      <c r="B329" s="590"/>
      <c r="D329" s="427" t="s">
        <v>2094</v>
      </c>
      <c r="E329" s="428" t="s">
        <v>289</v>
      </c>
      <c r="G329" s="431" t="s">
        <v>1664</v>
      </c>
      <c r="H329" s="431"/>
      <c r="I329" s="431"/>
      <c r="J329" s="431"/>
      <c r="K329" s="431"/>
      <c r="L329" s="431"/>
      <c r="M329" s="431"/>
      <c r="N329" s="433"/>
    </row>
    <row r="330" spans="1:14">
      <c r="A330" s="416">
        <f t="shared" si="5"/>
        <v>324</v>
      </c>
      <c r="B330" s="590" t="s">
        <v>1084</v>
      </c>
      <c r="C330" s="426" t="s">
        <v>2095</v>
      </c>
      <c r="D330" s="427" t="s">
        <v>2096</v>
      </c>
      <c r="E330" s="428" t="s">
        <v>289</v>
      </c>
      <c r="F330" s="434">
        <v>2518646</v>
      </c>
      <c r="G330" s="431" t="s">
        <v>1664</v>
      </c>
      <c r="H330" s="431"/>
      <c r="I330" s="431"/>
      <c r="J330" s="431"/>
      <c r="K330" s="431"/>
      <c r="L330" s="431"/>
      <c r="M330" s="431"/>
      <c r="N330" s="433"/>
    </row>
    <row r="331" spans="1:14">
      <c r="A331" s="416">
        <f t="shared" si="5"/>
        <v>325</v>
      </c>
      <c r="B331" s="590"/>
      <c r="D331" s="427" t="s">
        <v>2097</v>
      </c>
      <c r="E331" s="428" t="s">
        <v>289</v>
      </c>
      <c r="G331" s="431" t="s">
        <v>1664</v>
      </c>
      <c r="H331" s="431"/>
      <c r="I331" s="431"/>
      <c r="J331" s="431"/>
      <c r="K331" s="431"/>
      <c r="L331" s="431"/>
      <c r="M331" s="431"/>
      <c r="N331" s="433"/>
    </row>
    <row r="332" spans="1:14">
      <c r="A332" s="416">
        <f t="shared" si="5"/>
        <v>326</v>
      </c>
      <c r="B332" s="590"/>
      <c r="D332" s="427" t="s">
        <v>2098</v>
      </c>
      <c r="E332" s="428" t="s">
        <v>289</v>
      </c>
      <c r="G332" s="431" t="s">
        <v>1664</v>
      </c>
      <c r="H332" s="431"/>
      <c r="I332" s="431"/>
      <c r="J332" s="431"/>
      <c r="K332" s="431"/>
      <c r="L332" s="431"/>
      <c r="M332" s="431"/>
      <c r="N332" s="433"/>
    </row>
    <row r="333" spans="1:14">
      <c r="A333" s="416">
        <f t="shared" si="5"/>
        <v>327</v>
      </c>
      <c r="B333" s="590"/>
      <c r="D333" s="427" t="s">
        <v>2099</v>
      </c>
      <c r="E333" s="428" t="s">
        <v>289</v>
      </c>
      <c r="G333" s="431" t="s">
        <v>1664</v>
      </c>
      <c r="H333" s="431" t="s">
        <v>1664</v>
      </c>
      <c r="I333" s="431"/>
      <c r="J333" s="431"/>
      <c r="K333" s="431"/>
      <c r="L333" s="431"/>
      <c r="M333" s="431"/>
      <c r="N333" s="433" t="s">
        <v>2100</v>
      </c>
    </row>
    <row r="334" spans="1:14">
      <c r="A334" s="416">
        <f t="shared" ref="A334:A398" si="6">A333+1</f>
        <v>328</v>
      </c>
      <c r="B334" s="590"/>
      <c r="D334" s="427" t="s">
        <v>2101</v>
      </c>
      <c r="E334" s="428" t="s">
        <v>289</v>
      </c>
      <c r="G334" s="431" t="s">
        <v>1664</v>
      </c>
      <c r="H334" s="431"/>
      <c r="I334" s="431"/>
      <c r="J334" s="431"/>
      <c r="K334" s="431"/>
      <c r="L334" s="431"/>
      <c r="M334" s="431"/>
      <c r="N334" s="433"/>
    </row>
    <row r="335" spans="1:14">
      <c r="A335" s="416">
        <f t="shared" si="6"/>
        <v>329</v>
      </c>
      <c r="B335" s="590"/>
      <c r="C335" s="426" t="s">
        <v>2102</v>
      </c>
      <c r="D335" s="445" t="s">
        <v>2103</v>
      </c>
      <c r="G335" s="431" t="s">
        <v>1664</v>
      </c>
      <c r="H335" s="431"/>
      <c r="I335" s="431"/>
      <c r="J335" s="431"/>
      <c r="K335" s="431"/>
      <c r="L335" s="431"/>
      <c r="M335" s="431"/>
      <c r="N335" s="433"/>
    </row>
    <row r="336" spans="1:14">
      <c r="A336" s="416">
        <f t="shared" si="6"/>
        <v>330</v>
      </c>
      <c r="B336" s="590"/>
      <c r="D336" s="445" t="s">
        <v>2104</v>
      </c>
      <c r="G336" s="431" t="s">
        <v>1664</v>
      </c>
      <c r="H336" s="431"/>
      <c r="I336" s="431"/>
      <c r="J336" s="431"/>
      <c r="K336" s="431"/>
      <c r="L336" s="431"/>
      <c r="M336" s="431"/>
      <c r="N336" s="433"/>
    </row>
    <row r="337" spans="1:15" ht="29">
      <c r="A337" s="641">
        <f>A336+1</f>
        <v>331</v>
      </c>
      <c r="B337" s="699" t="s">
        <v>1090</v>
      </c>
      <c r="C337" s="700" t="s">
        <v>2105</v>
      </c>
      <c r="D337" s="701" t="s">
        <v>2106</v>
      </c>
      <c r="E337" s="702"/>
      <c r="F337" s="703"/>
      <c r="G337" s="642" t="s">
        <v>1664</v>
      </c>
      <c r="H337" s="642"/>
      <c r="I337" s="642"/>
      <c r="J337" s="642"/>
      <c r="K337" s="642"/>
      <c r="L337" s="642"/>
      <c r="M337" s="642"/>
      <c r="N337" s="643"/>
      <c r="O337" s="644"/>
    </row>
    <row r="338" spans="1:15" ht="18" customHeight="1">
      <c r="A338" s="416">
        <f>A337+1</f>
        <v>332</v>
      </c>
      <c r="B338" s="590" t="s">
        <v>1092</v>
      </c>
      <c r="C338" s="426" t="s">
        <v>2107</v>
      </c>
      <c r="D338" s="427" t="s">
        <v>2108</v>
      </c>
      <c r="E338" s="428" t="s">
        <v>289</v>
      </c>
      <c r="F338" s="434">
        <v>2344448</v>
      </c>
      <c r="G338" s="431" t="s">
        <v>1664</v>
      </c>
      <c r="H338" s="431"/>
      <c r="I338" s="431"/>
      <c r="J338" s="431"/>
      <c r="K338" s="431"/>
      <c r="L338" s="431"/>
      <c r="M338" s="431"/>
      <c r="N338" s="433"/>
    </row>
    <row r="339" spans="1:15">
      <c r="A339" s="416">
        <f t="shared" si="6"/>
        <v>333</v>
      </c>
      <c r="B339" s="590"/>
      <c r="D339" s="427" t="s">
        <v>2109</v>
      </c>
      <c r="E339" s="428" t="s">
        <v>289</v>
      </c>
      <c r="G339" s="431" t="s">
        <v>1664</v>
      </c>
      <c r="H339" s="431"/>
      <c r="I339" s="431"/>
      <c r="J339" s="431"/>
      <c r="K339" s="431"/>
      <c r="L339" s="431"/>
      <c r="M339" s="431"/>
      <c r="N339" s="433"/>
    </row>
    <row r="340" spans="1:15" ht="29">
      <c r="A340" s="416">
        <f t="shared" si="6"/>
        <v>334</v>
      </c>
      <c r="B340" s="590"/>
      <c r="D340" s="427" t="s">
        <v>1671</v>
      </c>
      <c r="E340" s="428" t="s">
        <v>289</v>
      </c>
      <c r="G340" s="431"/>
      <c r="H340" s="431" t="s">
        <v>1664</v>
      </c>
      <c r="I340" s="431"/>
      <c r="J340" s="431"/>
      <c r="K340" s="431"/>
      <c r="L340" s="431"/>
      <c r="M340" s="431"/>
      <c r="N340" s="433" t="s">
        <v>2110</v>
      </c>
    </row>
    <row r="341" spans="1:15" ht="29">
      <c r="A341" s="416">
        <f t="shared" si="6"/>
        <v>335</v>
      </c>
      <c r="B341" s="590"/>
      <c r="D341" s="427" t="s">
        <v>2111</v>
      </c>
      <c r="E341" s="428" t="s">
        <v>289</v>
      </c>
      <c r="G341" s="431"/>
      <c r="H341" s="431" t="s">
        <v>1664</v>
      </c>
      <c r="I341" s="431"/>
      <c r="J341" s="431"/>
      <c r="K341" s="431"/>
      <c r="L341" s="431"/>
      <c r="M341" s="431"/>
      <c r="N341" s="433" t="s">
        <v>2112</v>
      </c>
    </row>
    <row r="342" spans="1:15">
      <c r="A342" s="416">
        <f t="shared" si="6"/>
        <v>336</v>
      </c>
      <c r="B342" s="590" t="s">
        <v>1615</v>
      </c>
      <c r="C342" s="426" t="s">
        <v>2113</v>
      </c>
      <c r="D342" s="427" t="s">
        <v>2114</v>
      </c>
      <c r="E342" s="428" t="s">
        <v>1709</v>
      </c>
      <c r="G342" s="431"/>
      <c r="H342" s="431" t="s">
        <v>1664</v>
      </c>
      <c r="I342" s="431"/>
      <c r="J342" s="431"/>
      <c r="K342" s="431"/>
      <c r="L342" s="431"/>
      <c r="M342" s="431"/>
      <c r="N342" s="433" t="s">
        <v>2115</v>
      </c>
    </row>
    <row r="343" spans="1:15" ht="29">
      <c r="A343" s="416">
        <f t="shared" si="6"/>
        <v>337</v>
      </c>
      <c r="B343" s="590" t="s">
        <v>1098</v>
      </c>
      <c r="C343" s="426" t="s">
        <v>2116</v>
      </c>
      <c r="D343" s="698" t="s">
        <v>2117</v>
      </c>
      <c r="G343" s="431" t="s">
        <v>1664</v>
      </c>
      <c r="H343" s="431"/>
      <c r="I343" s="431"/>
      <c r="J343" s="431"/>
      <c r="K343" s="431"/>
      <c r="L343" s="431"/>
      <c r="M343" s="431"/>
      <c r="N343" s="433"/>
    </row>
    <row r="344" spans="1:15">
      <c r="A344" s="416">
        <f t="shared" si="6"/>
        <v>338</v>
      </c>
      <c r="B344" s="590"/>
      <c r="D344" s="427" t="s">
        <v>2118</v>
      </c>
      <c r="G344" s="431" t="s">
        <v>1664</v>
      </c>
      <c r="H344" s="431"/>
      <c r="I344" s="431"/>
      <c r="J344" s="431"/>
      <c r="K344" s="431"/>
      <c r="L344" s="431"/>
      <c r="M344" s="431"/>
      <c r="N344" s="433"/>
    </row>
    <row r="345" spans="1:15">
      <c r="A345" s="416">
        <f t="shared" si="6"/>
        <v>339</v>
      </c>
      <c r="B345" s="590" t="s">
        <v>1100</v>
      </c>
      <c r="C345" s="426" t="s">
        <v>2119</v>
      </c>
      <c r="D345" s="427" t="s">
        <v>2120</v>
      </c>
      <c r="E345" s="428" t="s">
        <v>289</v>
      </c>
      <c r="F345" s="434">
        <v>882074</v>
      </c>
      <c r="G345" s="431" t="s">
        <v>1664</v>
      </c>
      <c r="H345" s="431"/>
      <c r="I345" s="431"/>
      <c r="J345" s="431"/>
      <c r="K345" s="431"/>
      <c r="L345" s="431"/>
      <c r="M345" s="431"/>
      <c r="N345" s="433"/>
    </row>
    <row r="346" spans="1:15">
      <c r="A346" s="416">
        <f t="shared" si="6"/>
        <v>340</v>
      </c>
      <c r="B346" s="590"/>
      <c r="D346" s="427" t="s">
        <v>2121</v>
      </c>
      <c r="E346" s="428" t="s">
        <v>289</v>
      </c>
      <c r="G346" s="431" t="s">
        <v>1664</v>
      </c>
      <c r="H346" s="431"/>
      <c r="I346" s="431"/>
      <c r="J346" s="431"/>
      <c r="K346" s="431"/>
      <c r="L346" s="431"/>
      <c r="M346" s="431"/>
      <c r="N346" s="433"/>
    </row>
    <row r="347" spans="1:15" ht="16.5" customHeight="1">
      <c r="A347" s="416">
        <f t="shared" si="6"/>
        <v>341</v>
      </c>
      <c r="B347" s="590" t="s">
        <v>1102</v>
      </c>
      <c r="C347" s="426" t="s">
        <v>2122</v>
      </c>
      <c r="D347" s="698" t="s">
        <v>2123</v>
      </c>
      <c r="E347" s="428" t="s">
        <v>289</v>
      </c>
      <c r="F347" s="434">
        <v>12863876</v>
      </c>
      <c r="G347" s="431" t="s">
        <v>1664</v>
      </c>
      <c r="H347" s="431"/>
      <c r="I347" s="431"/>
      <c r="J347" s="431"/>
      <c r="K347" s="431"/>
      <c r="L347" s="431"/>
      <c r="M347" s="431"/>
      <c r="N347" s="433"/>
    </row>
    <row r="348" spans="1:15">
      <c r="A348" s="416">
        <f t="shared" si="6"/>
        <v>342</v>
      </c>
      <c r="B348" s="590"/>
      <c r="D348" s="427" t="s">
        <v>1975</v>
      </c>
      <c r="E348" s="428" t="s">
        <v>289</v>
      </c>
      <c r="G348" s="431" t="s">
        <v>1664</v>
      </c>
      <c r="H348" s="431"/>
      <c r="I348" s="431"/>
      <c r="J348" s="431"/>
      <c r="K348" s="431"/>
      <c r="L348" s="431"/>
      <c r="M348" s="431"/>
      <c r="N348" s="433"/>
    </row>
    <row r="349" spans="1:15">
      <c r="A349" s="416">
        <f t="shared" si="6"/>
        <v>343</v>
      </c>
      <c r="B349" s="590"/>
      <c r="D349" s="427" t="s">
        <v>2124</v>
      </c>
      <c r="E349" s="428" t="s">
        <v>289</v>
      </c>
      <c r="G349" s="431" t="s">
        <v>1664</v>
      </c>
      <c r="H349" s="431"/>
      <c r="I349" s="431"/>
      <c r="J349" s="431"/>
      <c r="K349" s="431"/>
      <c r="L349" s="431"/>
      <c r="M349" s="431"/>
      <c r="N349" s="433"/>
    </row>
    <row r="350" spans="1:15">
      <c r="A350" s="416">
        <f t="shared" si="6"/>
        <v>344</v>
      </c>
      <c r="B350" s="590"/>
      <c r="D350" s="427" t="s">
        <v>2125</v>
      </c>
      <c r="E350" s="428" t="s">
        <v>289</v>
      </c>
      <c r="G350" s="431" t="s">
        <v>1664</v>
      </c>
      <c r="H350" s="431"/>
      <c r="I350" s="431"/>
      <c r="J350" s="431"/>
      <c r="K350" s="431"/>
      <c r="L350" s="431"/>
      <c r="M350" s="431"/>
      <c r="N350" s="433"/>
    </row>
    <row r="351" spans="1:15">
      <c r="A351" s="416">
        <f t="shared" si="6"/>
        <v>345</v>
      </c>
      <c r="B351" s="590" t="s">
        <v>1106</v>
      </c>
      <c r="C351" s="426" t="s">
        <v>2126</v>
      </c>
      <c r="D351" s="427" t="s">
        <v>2127</v>
      </c>
      <c r="E351" s="428" t="s">
        <v>289</v>
      </c>
      <c r="F351" s="434">
        <v>3786849</v>
      </c>
      <c r="G351" s="431" t="s">
        <v>1664</v>
      </c>
      <c r="H351" s="431"/>
      <c r="I351" s="431"/>
      <c r="J351" s="431"/>
      <c r="K351" s="431"/>
      <c r="L351" s="431"/>
      <c r="M351" s="431"/>
      <c r="N351" s="433"/>
    </row>
    <row r="352" spans="1:15">
      <c r="A352" s="416">
        <f t="shared" si="6"/>
        <v>346</v>
      </c>
      <c r="B352" s="590"/>
      <c r="D352" s="427" t="s">
        <v>1845</v>
      </c>
      <c r="E352" s="428" t="s">
        <v>289</v>
      </c>
      <c r="G352" s="431"/>
      <c r="H352" s="431" t="s">
        <v>1664</v>
      </c>
      <c r="I352" s="431" t="s">
        <v>1664</v>
      </c>
      <c r="J352" s="431"/>
      <c r="K352" s="431"/>
      <c r="L352" s="431"/>
      <c r="M352" s="431"/>
      <c r="N352" s="433" t="s">
        <v>2128</v>
      </c>
    </row>
    <row r="353" spans="1:14">
      <c r="A353" s="416">
        <f t="shared" si="6"/>
        <v>347</v>
      </c>
      <c r="B353" s="590"/>
      <c r="D353" s="427" t="s">
        <v>2129</v>
      </c>
      <c r="E353" s="428" t="s">
        <v>289</v>
      </c>
      <c r="G353" s="431" t="s">
        <v>1664</v>
      </c>
      <c r="H353" s="431"/>
      <c r="I353" s="431"/>
      <c r="J353" s="431"/>
      <c r="K353" s="431"/>
      <c r="L353" s="431"/>
      <c r="M353" s="431"/>
      <c r="N353" s="433"/>
    </row>
    <row r="354" spans="1:14">
      <c r="A354" s="416">
        <f t="shared" si="6"/>
        <v>348</v>
      </c>
      <c r="B354" s="590" t="s">
        <v>1112</v>
      </c>
      <c r="C354" s="426" t="s">
        <v>2130</v>
      </c>
      <c r="D354" s="427" t="s">
        <v>2131</v>
      </c>
      <c r="E354" s="428" t="s">
        <v>289</v>
      </c>
      <c r="F354" s="434">
        <v>3206763</v>
      </c>
      <c r="G354" s="431" t="s">
        <v>1664</v>
      </c>
      <c r="H354" s="431"/>
      <c r="I354" s="431"/>
      <c r="J354" s="431"/>
      <c r="K354" s="431"/>
      <c r="L354" s="431"/>
      <c r="M354" s="431"/>
      <c r="N354" s="433"/>
    </row>
    <row r="355" spans="1:14">
      <c r="A355" s="416">
        <f t="shared" si="6"/>
        <v>349</v>
      </c>
      <c r="B355" s="590"/>
      <c r="D355" s="427" t="s">
        <v>2132</v>
      </c>
      <c r="G355" s="431" t="s">
        <v>1664</v>
      </c>
      <c r="H355" s="431"/>
      <c r="I355" s="431"/>
      <c r="J355" s="431"/>
      <c r="K355" s="431"/>
      <c r="L355" s="431"/>
      <c r="M355" s="431"/>
      <c r="N355" s="433"/>
    </row>
    <row r="356" spans="1:14">
      <c r="A356" s="416">
        <f t="shared" si="6"/>
        <v>350</v>
      </c>
      <c r="B356" s="590" t="s">
        <v>1104</v>
      </c>
      <c r="C356" s="426" t="s">
        <v>2133</v>
      </c>
      <c r="D356" s="427" t="s">
        <v>2134</v>
      </c>
      <c r="G356" s="431" t="s">
        <v>1664</v>
      </c>
      <c r="H356" s="431"/>
      <c r="I356" s="431"/>
      <c r="J356" s="431"/>
      <c r="K356" s="431"/>
      <c r="L356" s="431"/>
      <c r="M356" s="431"/>
      <c r="N356" s="433"/>
    </row>
    <row r="357" spans="1:14">
      <c r="A357" s="416">
        <f t="shared" si="6"/>
        <v>351</v>
      </c>
      <c r="B357" s="590"/>
      <c r="D357" s="427" t="s">
        <v>2135</v>
      </c>
      <c r="G357" s="431" t="s">
        <v>1664</v>
      </c>
      <c r="H357" s="431"/>
      <c r="I357" s="431"/>
      <c r="J357" s="431"/>
      <c r="K357" s="431"/>
      <c r="L357" s="431"/>
      <c r="M357" s="431"/>
      <c r="N357" s="433"/>
    </row>
    <row r="358" spans="1:14">
      <c r="A358" s="416">
        <f t="shared" si="6"/>
        <v>352</v>
      </c>
      <c r="B358" s="590"/>
      <c r="D358" s="427" t="s">
        <v>2136</v>
      </c>
      <c r="G358" s="431" t="s">
        <v>1664</v>
      </c>
      <c r="H358" s="431"/>
      <c r="I358" s="431"/>
      <c r="J358" s="431"/>
      <c r="K358" s="431"/>
      <c r="L358" s="431"/>
      <c r="M358" s="431"/>
      <c r="N358" s="433"/>
    </row>
    <row r="359" spans="1:14">
      <c r="A359" s="416">
        <f t="shared" si="6"/>
        <v>353</v>
      </c>
      <c r="B359" s="590"/>
      <c r="D359" s="427" t="s">
        <v>2137</v>
      </c>
      <c r="G359" s="431" t="s">
        <v>1664</v>
      </c>
      <c r="H359" s="431"/>
      <c r="I359" s="431"/>
      <c r="J359" s="431"/>
      <c r="K359" s="431"/>
      <c r="L359" s="431"/>
      <c r="M359" s="431"/>
      <c r="N359" s="433"/>
    </row>
    <row r="360" spans="1:14">
      <c r="A360" s="416">
        <f t="shared" si="6"/>
        <v>354</v>
      </c>
      <c r="B360" s="590" t="s">
        <v>1114</v>
      </c>
      <c r="C360" s="426" t="s">
        <v>2138</v>
      </c>
      <c r="D360" s="427" t="s">
        <v>2139</v>
      </c>
      <c r="E360" s="428" t="s">
        <v>289</v>
      </c>
      <c r="F360" s="434">
        <v>770265</v>
      </c>
      <c r="G360" s="431" t="s">
        <v>1664</v>
      </c>
      <c r="H360" s="431"/>
      <c r="I360" s="431"/>
      <c r="J360" s="431"/>
      <c r="K360" s="431"/>
      <c r="L360" s="431"/>
      <c r="M360" s="431"/>
      <c r="N360" s="433"/>
    </row>
    <row r="361" spans="1:14">
      <c r="A361" s="416">
        <f t="shared" si="6"/>
        <v>355</v>
      </c>
      <c r="B361" s="590"/>
      <c r="D361" s="427" t="s">
        <v>2140</v>
      </c>
      <c r="E361" s="428" t="s">
        <v>289</v>
      </c>
      <c r="G361" s="431" t="s">
        <v>1664</v>
      </c>
      <c r="H361" s="431"/>
      <c r="I361" s="431"/>
      <c r="J361" s="431"/>
      <c r="K361" s="431"/>
      <c r="L361" s="431"/>
      <c r="M361" s="431"/>
      <c r="N361" s="433"/>
    </row>
    <row r="362" spans="1:14">
      <c r="A362" s="416">
        <f t="shared" si="6"/>
        <v>356</v>
      </c>
      <c r="B362" s="590" t="s">
        <v>1116</v>
      </c>
      <c r="C362" s="426" t="s">
        <v>2141</v>
      </c>
      <c r="D362" s="427" t="s">
        <v>2142</v>
      </c>
      <c r="F362" s="429"/>
      <c r="G362" s="440" t="s">
        <v>1664</v>
      </c>
      <c r="H362" s="440"/>
      <c r="I362" s="441"/>
      <c r="J362" s="441"/>
      <c r="K362" s="440"/>
      <c r="L362" s="442"/>
      <c r="M362" s="446"/>
      <c r="N362" s="447" t="s">
        <v>2143</v>
      </c>
    </row>
    <row r="363" spans="1:14">
      <c r="A363" s="416">
        <f t="shared" si="6"/>
        <v>357</v>
      </c>
      <c r="B363" s="590" t="s">
        <v>1118</v>
      </c>
      <c r="C363" s="426" t="s">
        <v>2144</v>
      </c>
      <c r="D363" s="427" t="s">
        <v>2145</v>
      </c>
      <c r="E363" s="428" t="s">
        <v>289</v>
      </c>
      <c r="F363" s="434">
        <v>3111719</v>
      </c>
      <c r="G363" s="440" t="s">
        <v>1664</v>
      </c>
      <c r="H363" s="440"/>
      <c r="I363" s="440"/>
      <c r="J363" s="440"/>
      <c r="K363" s="448"/>
      <c r="L363" s="440"/>
      <c r="M363" s="440"/>
      <c r="N363" s="449"/>
    </row>
    <row r="364" spans="1:14">
      <c r="A364" s="416">
        <f t="shared" si="6"/>
        <v>358</v>
      </c>
      <c r="B364" s="590"/>
      <c r="D364" s="427" t="s">
        <v>2146</v>
      </c>
      <c r="F364" s="429"/>
      <c r="G364" s="440" t="s">
        <v>1664</v>
      </c>
      <c r="H364" s="440"/>
      <c r="I364" s="441"/>
      <c r="J364" s="441"/>
      <c r="K364" s="448"/>
      <c r="L364" s="442"/>
      <c r="M364" s="446"/>
      <c r="N364" s="449" t="s">
        <v>2143</v>
      </c>
    </row>
    <row r="365" spans="1:14">
      <c r="A365" s="416">
        <f t="shared" si="6"/>
        <v>359</v>
      </c>
      <c r="B365" s="590" t="s">
        <v>1120</v>
      </c>
      <c r="C365" s="426" t="s">
        <v>2147</v>
      </c>
      <c r="D365" s="427" t="s">
        <v>2148</v>
      </c>
      <c r="E365" s="428" t="s">
        <v>289</v>
      </c>
      <c r="F365" s="434">
        <v>1115828</v>
      </c>
      <c r="G365" s="431" t="s">
        <v>1664</v>
      </c>
      <c r="H365" s="431"/>
      <c r="I365" s="431"/>
      <c r="J365" s="440"/>
      <c r="K365" s="432"/>
      <c r="L365" s="440"/>
      <c r="M365" s="431"/>
      <c r="N365" s="433"/>
    </row>
    <row r="366" spans="1:14">
      <c r="A366" s="416">
        <f t="shared" si="6"/>
        <v>360</v>
      </c>
      <c r="B366" s="590"/>
      <c r="D366" s="427" t="s">
        <v>2149</v>
      </c>
      <c r="E366" s="428" t="s">
        <v>289</v>
      </c>
      <c r="G366" s="431" t="s">
        <v>1664</v>
      </c>
      <c r="H366" s="431"/>
      <c r="I366" s="431"/>
      <c r="J366" s="431"/>
      <c r="K366" s="432"/>
      <c r="L366" s="431"/>
      <c r="M366" s="431"/>
      <c r="N366" s="433"/>
    </row>
    <row r="367" spans="1:14" ht="29">
      <c r="A367" s="416">
        <f t="shared" si="6"/>
        <v>361</v>
      </c>
      <c r="B367" s="590" t="s">
        <v>1126</v>
      </c>
      <c r="C367" s="426" t="s">
        <v>2150</v>
      </c>
      <c r="D367" s="427" t="s">
        <v>2151</v>
      </c>
      <c r="E367" s="428" t="s">
        <v>289</v>
      </c>
      <c r="F367" s="434">
        <v>14589532</v>
      </c>
      <c r="G367" s="431" t="s">
        <v>1664</v>
      </c>
      <c r="H367" s="431"/>
      <c r="I367" s="431"/>
      <c r="J367" s="431"/>
      <c r="K367" s="432"/>
      <c r="L367" s="431"/>
      <c r="M367" s="431"/>
      <c r="N367" s="433"/>
    </row>
    <row r="368" spans="1:14">
      <c r="A368" s="416">
        <f t="shared" si="6"/>
        <v>362</v>
      </c>
      <c r="B368" s="590"/>
      <c r="D368" s="427" t="s">
        <v>2152</v>
      </c>
      <c r="E368" s="428" t="s">
        <v>289</v>
      </c>
      <c r="G368" s="431" t="s">
        <v>1664</v>
      </c>
      <c r="H368" s="431"/>
      <c r="I368" s="431"/>
      <c r="J368" s="431"/>
      <c r="K368" s="432"/>
      <c r="L368" s="431"/>
      <c r="M368" s="431"/>
      <c r="N368" s="433"/>
    </row>
    <row r="369" spans="1:14">
      <c r="A369" s="416">
        <f t="shared" si="6"/>
        <v>363</v>
      </c>
      <c r="B369" s="590"/>
      <c r="D369" s="427" t="s">
        <v>2153</v>
      </c>
      <c r="E369" s="428" t="s">
        <v>289</v>
      </c>
      <c r="G369" s="431" t="s">
        <v>1664</v>
      </c>
      <c r="H369" s="431"/>
      <c r="I369" s="431"/>
      <c r="J369" s="431"/>
      <c r="K369" s="432"/>
      <c r="L369" s="431"/>
      <c r="M369" s="431"/>
      <c r="N369" s="433"/>
    </row>
    <row r="370" spans="1:14">
      <c r="A370" s="416">
        <f t="shared" si="6"/>
        <v>364</v>
      </c>
      <c r="B370" s="590"/>
      <c r="D370" s="427" t="s">
        <v>2154</v>
      </c>
      <c r="E370" s="428" t="s">
        <v>289</v>
      </c>
      <c r="G370" s="431" t="s">
        <v>1664</v>
      </c>
      <c r="H370" s="431"/>
      <c r="I370" s="431"/>
      <c r="J370" s="431"/>
      <c r="K370" s="432"/>
      <c r="L370" s="431"/>
      <c r="M370" s="431"/>
      <c r="N370" s="433"/>
    </row>
    <row r="371" spans="1:14" ht="29">
      <c r="A371" s="416">
        <f t="shared" si="6"/>
        <v>365</v>
      </c>
      <c r="B371" s="590"/>
      <c r="D371" s="427" t="s">
        <v>2155</v>
      </c>
      <c r="E371" s="428" t="s">
        <v>289</v>
      </c>
      <c r="G371" s="431" t="s">
        <v>1664</v>
      </c>
      <c r="H371" s="431" t="s">
        <v>1664</v>
      </c>
      <c r="I371" s="431"/>
      <c r="J371" s="431"/>
      <c r="K371" s="432"/>
      <c r="L371" s="431"/>
      <c r="M371" s="431"/>
      <c r="N371" s="433" t="s">
        <v>2156</v>
      </c>
    </row>
    <row r="372" spans="1:14">
      <c r="A372" s="416">
        <f t="shared" si="6"/>
        <v>366</v>
      </c>
      <c r="B372" s="590"/>
      <c r="D372" s="427" t="s">
        <v>2157</v>
      </c>
      <c r="E372" s="428" t="s">
        <v>289</v>
      </c>
      <c r="G372" s="431" t="s">
        <v>1664</v>
      </c>
      <c r="H372" s="431"/>
      <c r="I372" s="431"/>
      <c r="J372" s="431"/>
      <c r="K372" s="432"/>
      <c r="L372" s="431"/>
      <c r="M372" s="431"/>
      <c r="N372" s="433"/>
    </row>
    <row r="373" spans="1:14">
      <c r="A373" s="416">
        <f t="shared" si="6"/>
        <v>367</v>
      </c>
      <c r="B373" s="590"/>
      <c r="D373" s="427" t="s">
        <v>2158</v>
      </c>
      <c r="E373" s="428" t="s">
        <v>289</v>
      </c>
      <c r="G373" s="431" t="s">
        <v>1664</v>
      </c>
      <c r="H373" s="431"/>
      <c r="I373" s="431"/>
      <c r="J373" s="431"/>
      <c r="K373" s="432"/>
      <c r="L373" s="431"/>
      <c r="M373" s="431"/>
      <c r="N373" s="433"/>
    </row>
    <row r="374" spans="1:14">
      <c r="A374" s="416">
        <f t="shared" si="6"/>
        <v>368</v>
      </c>
      <c r="B374" s="590"/>
      <c r="D374" s="427" t="s">
        <v>2159</v>
      </c>
      <c r="E374" s="428" t="s">
        <v>289</v>
      </c>
      <c r="G374" s="431" t="s">
        <v>1664</v>
      </c>
      <c r="H374" s="431"/>
      <c r="I374" s="431"/>
      <c r="J374" s="431"/>
      <c r="K374" s="432"/>
      <c r="L374" s="431"/>
      <c r="M374" s="431"/>
      <c r="N374" s="433"/>
    </row>
    <row r="375" spans="1:14" ht="17.25" customHeight="1">
      <c r="A375" s="416">
        <f t="shared" si="6"/>
        <v>369</v>
      </c>
      <c r="B375" s="590"/>
      <c r="D375" s="427" t="s">
        <v>2160</v>
      </c>
      <c r="E375" s="428" t="s">
        <v>289</v>
      </c>
      <c r="G375" s="431"/>
      <c r="H375" s="431" t="s">
        <v>1664</v>
      </c>
      <c r="I375" s="431"/>
      <c r="J375" s="431"/>
      <c r="K375" s="432"/>
      <c r="L375" s="431"/>
      <c r="M375" s="431"/>
      <c r="N375" s="435" t="s">
        <v>2161</v>
      </c>
    </row>
    <row r="376" spans="1:14">
      <c r="A376" s="416">
        <f t="shared" si="6"/>
        <v>370</v>
      </c>
      <c r="B376" s="590"/>
      <c r="D376" s="427" t="s">
        <v>2162</v>
      </c>
      <c r="E376" s="428" t="s">
        <v>289</v>
      </c>
      <c r="G376" s="431"/>
      <c r="H376" s="431" t="s">
        <v>1664</v>
      </c>
      <c r="I376" s="431"/>
      <c r="J376" s="431"/>
      <c r="K376" s="432"/>
      <c r="L376" s="431"/>
      <c r="M376" s="431"/>
      <c r="N376" s="433" t="s">
        <v>2163</v>
      </c>
    </row>
    <row r="377" spans="1:14">
      <c r="A377" s="416">
        <f t="shared" si="6"/>
        <v>371</v>
      </c>
      <c r="B377" s="590" t="s">
        <v>1122</v>
      </c>
      <c r="C377" s="426" t="s">
        <v>2164</v>
      </c>
      <c r="D377" s="427" t="s">
        <v>2165</v>
      </c>
      <c r="E377" s="428" t="s">
        <v>289</v>
      </c>
      <c r="F377" s="434">
        <v>2900981</v>
      </c>
      <c r="G377" s="431" t="s">
        <v>1664</v>
      </c>
      <c r="H377" s="431"/>
      <c r="I377" s="431"/>
      <c r="J377" s="431"/>
      <c r="K377" s="432"/>
      <c r="L377" s="431"/>
      <c r="M377" s="431"/>
      <c r="N377" s="433"/>
    </row>
    <row r="378" spans="1:14">
      <c r="A378" s="416">
        <f t="shared" si="6"/>
        <v>372</v>
      </c>
      <c r="B378" s="590"/>
      <c r="D378" s="427" t="s">
        <v>2166</v>
      </c>
      <c r="E378" s="428" t="s">
        <v>289</v>
      </c>
      <c r="G378" s="431" t="s">
        <v>1664</v>
      </c>
      <c r="H378" s="431"/>
      <c r="I378" s="431"/>
      <c r="J378" s="431"/>
      <c r="K378" s="432"/>
      <c r="L378" s="431"/>
      <c r="M378" s="431"/>
      <c r="N378" s="433"/>
    </row>
    <row r="379" spans="1:14">
      <c r="A379" s="416">
        <f t="shared" si="6"/>
        <v>373</v>
      </c>
      <c r="B379" s="590" t="s">
        <v>1124</v>
      </c>
      <c r="C379" s="426" t="s">
        <v>2167</v>
      </c>
      <c r="D379" s="427" t="s">
        <v>2002</v>
      </c>
      <c r="E379" s="428" t="s">
        <v>289</v>
      </c>
      <c r="F379" s="434">
        <v>11751835</v>
      </c>
      <c r="G379" s="431" t="s">
        <v>1664</v>
      </c>
      <c r="H379" s="431"/>
      <c r="I379" s="431"/>
      <c r="J379" s="431"/>
      <c r="K379" s="432"/>
      <c r="L379" s="431"/>
      <c r="M379" s="431"/>
      <c r="N379" s="433"/>
    </row>
    <row r="380" spans="1:14">
      <c r="A380" s="416">
        <f t="shared" si="6"/>
        <v>374</v>
      </c>
      <c r="B380" s="590" t="s">
        <v>1128</v>
      </c>
      <c r="C380" s="426" t="s">
        <v>2168</v>
      </c>
      <c r="D380" s="427" t="s">
        <v>2169</v>
      </c>
      <c r="E380" s="428" t="s">
        <v>289</v>
      </c>
      <c r="F380" s="434">
        <v>7130269</v>
      </c>
      <c r="G380" s="431" t="s">
        <v>1664</v>
      </c>
      <c r="H380" s="431"/>
      <c r="I380" s="431"/>
      <c r="J380" s="431"/>
      <c r="K380" s="432"/>
      <c r="L380" s="431"/>
      <c r="M380" s="431"/>
      <c r="N380" s="433"/>
    </row>
    <row r="381" spans="1:14">
      <c r="A381" s="416">
        <f t="shared" si="6"/>
        <v>375</v>
      </c>
      <c r="B381" s="590"/>
      <c r="D381" s="427" t="s">
        <v>2170</v>
      </c>
      <c r="E381" s="428" t="s">
        <v>289</v>
      </c>
      <c r="G381" s="431" t="s">
        <v>1664</v>
      </c>
      <c r="H381" s="431"/>
      <c r="I381" s="431"/>
      <c r="J381" s="431"/>
      <c r="K381" s="432"/>
      <c r="L381" s="431"/>
      <c r="M381" s="431"/>
      <c r="N381" s="433"/>
    </row>
    <row r="382" spans="1:14">
      <c r="A382" s="416">
        <f t="shared" si="6"/>
        <v>376</v>
      </c>
      <c r="B382" s="590"/>
      <c r="D382" s="427" t="s">
        <v>2171</v>
      </c>
      <c r="E382" s="428" t="s">
        <v>289</v>
      </c>
      <c r="G382" s="431" t="s">
        <v>1664</v>
      </c>
      <c r="H382" s="431"/>
      <c r="I382" s="431"/>
      <c r="J382" s="431"/>
      <c r="K382" s="432"/>
      <c r="L382" s="431"/>
      <c r="M382" s="431"/>
      <c r="N382" s="433"/>
    </row>
    <row r="383" spans="1:14">
      <c r="A383" s="416">
        <f t="shared" si="6"/>
        <v>377</v>
      </c>
      <c r="B383" s="590"/>
      <c r="D383" s="427" t="s">
        <v>2172</v>
      </c>
      <c r="E383" s="428" t="s">
        <v>289</v>
      </c>
      <c r="G383" s="431" t="s">
        <v>1664</v>
      </c>
      <c r="H383" s="431"/>
      <c r="I383" s="431"/>
      <c r="J383" s="431"/>
      <c r="K383" s="432"/>
      <c r="L383" s="431"/>
      <c r="M383" s="431"/>
      <c r="N383" s="433"/>
    </row>
    <row r="384" spans="1:14">
      <c r="A384" s="416">
        <f t="shared" si="6"/>
        <v>378</v>
      </c>
      <c r="B384" s="590"/>
      <c r="D384" s="427" t="s">
        <v>2173</v>
      </c>
      <c r="E384" s="428" t="s">
        <v>289</v>
      </c>
      <c r="G384" s="431" t="s">
        <v>1664</v>
      </c>
      <c r="H384" s="431"/>
      <c r="I384" s="431"/>
      <c r="J384" s="431"/>
      <c r="K384" s="432"/>
      <c r="L384" s="431"/>
      <c r="M384" s="431"/>
      <c r="N384" s="433"/>
    </row>
    <row r="385" spans="1:14">
      <c r="A385" s="416">
        <f t="shared" si="6"/>
        <v>379</v>
      </c>
      <c r="B385" s="590"/>
      <c r="D385" s="427" t="s">
        <v>2174</v>
      </c>
      <c r="E385" s="428" t="s">
        <v>289</v>
      </c>
      <c r="G385" s="431" t="s">
        <v>1664</v>
      </c>
      <c r="H385" s="431"/>
      <c r="I385" s="431"/>
      <c r="J385" s="431"/>
      <c r="K385" s="432"/>
      <c r="L385" s="431"/>
      <c r="M385" s="431"/>
      <c r="N385" s="433"/>
    </row>
    <row r="386" spans="1:14">
      <c r="A386" s="416">
        <f t="shared" si="6"/>
        <v>380</v>
      </c>
      <c r="B386" s="590"/>
      <c r="D386" s="427" t="s">
        <v>2175</v>
      </c>
      <c r="E386" s="428" t="s">
        <v>289</v>
      </c>
      <c r="G386" s="431" t="s">
        <v>1664</v>
      </c>
      <c r="H386" s="431"/>
      <c r="I386" s="431"/>
      <c r="J386" s="431"/>
      <c r="K386" s="432"/>
      <c r="L386" s="431"/>
      <c r="M386" s="431"/>
      <c r="N386" s="433"/>
    </row>
    <row r="387" spans="1:14">
      <c r="A387" s="416">
        <f t="shared" si="6"/>
        <v>381</v>
      </c>
      <c r="B387" s="590"/>
      <c r="D387" s="427" t="s">
        <v>2176</v>
      </c>
      <c r="E387" s="428" t="s">
        <v>289</v>
      </c>
      <c r="G387" s="431" t="s">
        <v>1664</v>
      </c>
      <c r="H387" s="431"/>
      <c r="I387" s="431"/>
      <c r="J387" s="431"/>
      <c r="K387" s="432"/>
      <c r="L387" s="431"/>
      <c r="M387" s="431"/>
      <c r="N387" s="433"/>
    </row>
    <row r="388" spans="1:14">
      <c r="A388" s="416">
        <f t="shared" si="6"/>
        <v>382</v>
      </c>
      <c r="B388" s="590"/>
      <c r="D388" s="427" t="s">
        <v>2177</v>
      </c>
      <c r="F388" s="429"/>
      <c r="G388" s="440"/>
      <c r="H388" s="440"/>
      <c r="I388" s="441" t="s">
        <v>1664</v>
      </c>
      <c r="J388" s="441"/>
      <c r="K388" s="448"/>
      <c r="L388" s="442"/>
      <c r="M388" s="446"/>
      <c r="N388" s="447" t="s">
        <v>2178</v>
      </c>
    </row>
    <row r="389" spans="1:14">
      <c r="A389" s="416">
        <f t="shared" si="6"/>
        <v>383</v>
      </c>
      <c r="B389" s="590" t="s">
        <v>1130</v>
      </c>
      <c r="C389" s="426" t="s">
        <v>2179</v>
      </c>
      <c r="D389" s="427" t="s">
        <v>2180</v>
      </c>
      <c r="E389" s="428" t="s">
        <v>289</v>
      </c>
      <c r="F389" s="434">
        <v>5041642</v>
      </c>
      <c r="G389" s="431" t="s">
        <v>1664</v>
      </c>
      <c r="H389" s="431"/>
      <c r="I389" s="431"/>
      <c r="J389" s="431"/>
      <c r="K389" s="431"/>
      <c r="L389" s="431"/>
      <c r="M389" s="431"/>
      <c r="N389" s="433"/>
    </row>
    <row r="390" spans="1:14">
      <c r="A390" s="416">
        <f t="shared" si="6"/>
        <v>384</v>
      </c>
      <c r="B390" s="590"/>
      <c r="D390" s="427" t="s">
        <v>2181</v>
      </c>
      <c r="G390" s="431" t="s">
        <v>1664</v>
      </c>
      <c r="H390" s="431"/>
      <c r="I390" s="431"/>
      <c r="J390" s="431"/>
      <c r="K390" s="431"/>
      <c r="L390" s="431"/>
      <c r="M390" s="431"/>
      <c r="N390" s="433"/>
    </row>
    <row r="391" spans="1:14">
      <c r="A391" s="416">
        <f t="shared" si="6"/>
        <v>385</v>
      </c>
      <c r="B391" s="590" t="s">
        <v>2182</v>
      </c>
      <c r="C391" s="426" t="s">
        <v>2183</v>
      </c>
      <c r="D391" s="450" t="s">
        <v>2184</v>
      </c>
      <c r="E391" s="428" t="s">
        <v>1709</v>
      </c>
      <c r="F391" s="434">
        <v>55663</v>
      </c>
      <c r="G391" s="431" t="s">
        <v>1664</v>
      </c>
      <c r="H391" s="431"/>
      <c r="I391" s="431"/>
      <c r="J391" s="431"/>
      <c r="K391" s="431"/>
      <c r="L391" s="431"/>
      <c r="M391" s="431"/>
      <c r="N391" s="433"/>
    </row>
    <row r="392" spans="1:14" ht="17.25" customHeight="1">
      <c r="A392" s="416">
        <f t="shared" si="6"/>
        <v>386</v>
      </c>
      <c r="B392" s="590" t="s">
        <v>1136</v>
      </c>
      <c r="C392" s="426" t="s">
        <v>2185</v>
      </c>
      <c r="D392" s="427" t="s">
        <v>2186</v>
      </c>
      <c r="E392" s="428" t="s">
        <v>289</v>
      </c>
      <c r="F392" s="434">
        <v>10936510</v>
      </c>
      <c r="G392" s="431" t="s">
        <v>1664</v>
      </c>
      <c r="H392" s="431"/>
      <c r="I392" s="431"/>
      <c r="J392" s="431"/>
      <c r="K392" s="431"/>
      <c r="L392" s="431"/>
      <c r="M392" s="431"/>
      <c r="N392" s="433"/>
    </row>
    <row r="393" spans="1:14">
      <c r="A393" s="416">
        <f t="shared" si="6"/>
        <v>387</v>
      </c>
      <c r="B393" s="590"/>
      <c r="D393" s="427" t="s">
        <v>2187</v>
      </c>
      <c r="E393" s="428" t="s">
        <v>289</v>
      </c>
      <c r="G393" s="431" t="s">
        <v>1664</v>
      </c>
      <c r="H393" s="431"/>
      <c r="I393" s="431"/>
      <c r="J393" s="431"/>
      <c r="K393" s="431"/>
      <c r="L393" s="431"/>
      <c r="M393" s="431"/>
      <c r="N393" s="433"/>
    </row>
    <row r="394" spans="1:14">
      <c r="A394" s="416">
        <f t="shared" si="6"/>
        <v>388</v>
      </c>
      <c r="B394" s="590"/>
      <c r="D394" s="427" t="s">
        <v>2188</v>
      </c>
      <c r="E394" s="428" t="s">
        <v>289</v>
      </c>
      <c r="G394" s="431" t="s">
        <v>1664</v>
      </c>
      <c r="H394" s="431"/>
      <c r="I394" s="431"/>
      <c r="J394" s="431"/>
      <c r="K394" s="431"/>
      <c r="L394" s="431"/>
      <c r="M394" s="431"/>
      <c r="N394" s="433"/>
    </row>
    <row r="395" spans="1:14">
      <c r="A395" s="416">
        <f t="shared" si="6"/>
        <v>389</v>
      </c>
      <c r="B395" s="590"/>
      <c r="D395" s="427" t="s">
        <v>2189</v>
      </c>
      <c r="E395" s="428" t="s">
        <v>289</v>
      </c>
      <c r="G395" s="431" t="s">
        <v>1664</v>
      </c>
      <c r="H395" s="431"/>
      <c r="I395" s="431"/>
      <c r="J395" s="431"/>
      <c r="K395" s="431"/>
      <c r="L395" s="431"/>
      <c r="M395" s="431"/>
      <c r="N395" s="433"/>
    </row>
    <row r="396" spans="1:14">
      <c r="A396" s="416">
        <f t="shared" si="6"/>
        <v>390</v>
      </c>
      <c r="B396" s="590"/>
      <c r="D396" s="427" t="s">
        <v>1986</v>
      </c>
      <c r="E396" s="428" t="s">
        <v>289</v>
      </c>
      <c r="G396" s="431" t="s">
        <v>1664</v>
      </c>
      <c r="H396" s="431"/>
      <c r="I396" s="431"/>
      <c r="J396" s="431"/>
      <c r="K396" s="431"/>
      <c r="L396" s="431"/>
      <c r="M396" s="431"/>
      <c r="N396" s="433"/>
    </row>
    <row r="397" spans="1:14">
      <c r="A397" s="416">
        <f t="shared" si="6"/>
        <v>391</v>
      </c>
      <c r="B397" s="590" t="s">
        <v>1138</v>
      </c>
      <c r="C397" s="426" t="s">
        <v>2190</v>
      </c>
      <c r="D397" s="427" t="s">
        <v>2191</v>
      </c>
      <c r="E397" s="428" t="s">
        <v>289</v>
      </c>
      <c r="F397" s="434">
        <v>613605</v>
      </c>
      <c r="G397" s="431" t="s">
        <v>1664</v>
      </c>
      <c r="H397" s="431"/>
      <c r="I397" s="431"/>
      <c r="J397" s="431"/>
      <c r="K397" s="431"/>
      <c r="L397" s="431"/>
      <c r="M397" s="431"/>
      <c r="N397" s="433"/>
    </row>
    <row r="398" spans="1:14" ht="29">
      <c r="A398" s="416">
        <f t="shared" si="6"/>
        <v>392</v>
      </c>
      <c r="B398" s="590" t="s">
        <v>602</v>
      </c>
      <c r="C398" s="426" t="s">
        <v>2192</v>
      </c>
      <c r="D398" s="427" t="s">
        <v>2193</v>
      </c>
      <c r="E398" s="428" t="s">
        <v>289</v>
      </c>
      <c r="F398" s="434">
        <v>7852641</v>
      </c>
      <c r="G398" s="431" t="s">
        <v>1664</v>
      </c>
      <c r="H398" s="431"/>
      <c r="I398" s="431"/>
      <c r="J398" s="431"/>
      <c r="K398" s="431"/>
      <c r="L398" s="431"/>
      <c r="M398" s="431"/>
      <c r="N398" s="433"/>
    </row>
    <row r="399" spans="1:14">
      <c r="A399" s="416">
        <f t="shared" ref="A399:A462" si="7">A398+1</f>
        <v>393</v>
      </c>
      <c r="B399" s="590"/>
      <c r="D399" s="427" t="s">
        <v>2194</v>
      </c>
      <c r="E399" s="428" t="s">
        <v>289</v>
      </c>
      <c r="G399" s="431"/>
      <c r="H399" s="431"/>
      <c r="I399" s="431" t="s">
        <v>1664</v>
      </c>
      <c r="J399" s="431"/>
      <c r="K399" s="431"/>
      <c r="L399" s="431"/>
      <c r="M399" s="431"/>
      <c r="N399" s="433" t="s">
        <v>2195</v>
      </c>
    </row>
    <row r="400" spans="1:14">
      <c r="A400" s="416">
        <f t="shared" si="7"/>
        <v>394</v>
      </c>
      <c r="B400" s="590"/>
      <c r="D400" s="427" t="s">
        <v>2196</v>
      </c>
      <c r="E400" s="428" t="s">
        <v>289</v>
      </c>
      <c r="G400" s="431"/>
      <c r="H400" s="431"/>
      <c r="I400" s="431" t="s">
        <v>1664</v>
      </c>
      <c r="J400" s="431"/>
      <c r="K400" s="431"/>
      <c r="L400" s="431"/>
      <c r="M400" s="431"/>
      <c r="N400" s="433" t="s">
        <v>2195</v>
      </c>
    </row>
    <row r="401" spans="1:14">
      <c r="A401" s="416">
        <f t="shared" si="7"/>
        <v>395</v>
      </c>
      <c r="B401" s="590" t="s">
        <v>1140</v>
      </c>
      <c r="C401" s="426" t="s">
        <v>2197</v>
      </c>
      <c r="D401" s="427" t="s">
        <v>2198</v>
      </c>
      <c r="E401" s="428" t="s">
        <v>289</v>
      </c>
      <c r="F401" s="434">
        <v>15292177</v>
      </c>
      <c r="G401" s="431" t="s">
        <v>1664</v>
      </c>
      <c r="H401" s="431"/>
      <c r="I401" s="431"/>
      <c r="J401" s="431"/>
      <c r="K401" s="431"/>
      <c r="L401" s="431"/>
      <c r="M401" s="431"/>
      <c r="N401" s="433"/>
    </row>
    <row r="402" spans="1:14" ht="29">
      <c r="A402" s="416">
        <f t="shared" si="7"/>
        <v>396</v>
      </c>
      <c r="B402" s="590"/>
      <c r="D402" s="427" t="s">
        <v>2199</v>
      </c>
      <c r="E402" s="428" t="s">
        <v>289</v>
      </c>
      <c r="G402" s="431" t="s">
        <v>1664</v>
      </c>
      <c r="H402" s="431"/>
      <c r="I402" s="431"/>
      <c r="J402" s="431"/>
      <c r="K402" s="431"/>
      <c r="L402" s="431"/>
      <c r="M402" s="431"/>
      <c r="N402" s="433"/>
    </row>
    <row r="403" spans="1:14" ht="29">
      <c r="A403" s="416">
        <f t="shared" si="7"/>
        <v>397</v>
      </c>
      <c r="B403" s="590"/>
      <c r="D403" s="427" t="s">
        <v>2200</v>
      </c>
      <c r="G403" s="431" t="s">
        <v>1664</v>
      </c>
      <c r="H403" s="431"/>
      <c r="I403" s="431"/>
      <c r="J403" s="431"/>
      <c r="K403" s="431"/>
      <c r="L403" s="431"/>
      <c r="M403" s="431"/>
      <c r="N403" s="433"/>
    </row>
    <row r="404" spans="1:14">
      <c r="A404" s="416">
        <f t="shared" si="7"/>
        <v>398</v>
      </c>
      <c r="B404" s="590"/>
      <c r="D404" s="427" t="s">
        <v>2201</v>
      </c>
      <c r="E404" s="428" t="s">
        <v>289</v>
      </c>
      <c r="G404" s="431" t="s">
        <v>1664</v>
      </c>
      <c r="H404" s="431"/>
      <c r="I404" s="431"/>
      <c r="J404" s="431"/>
      <c r="K404" s="431"/>
      <c r="L404" s="431"/>
      <c r="M404" s="431"/>
      <c r="N404" s="433"/>
    </row>
    <row r="405" spans="1:14" ht="17.25" customHeight="1">
      <c r="A405" s="416">
        <f t="shared" si="7"/>
        <v>399</v>
      </c>
      <c r="B405" s="590" t="s">
        <v>1143</v>
      </c>
      <c r="C405" s="426" t="s">
        <v>2202</v>
      </c>
      <c r="D405" s="427" t="s">
        <v>2203</v>
      </c>
      <c r="E405" s="428" t="s">
        <v>289</v>
      </c>
      <c r="F405" s="434">
        <v>3120406</v>
      </c>
      <c r="G405" s="431" t="s">
        <v>1664</v>
      </c>
      <c r="H405" s="431"/>
      <c r="I405" s="431"/>
      <c r="J405" s="431"/>
      <c r="K405" s="431"/>
      <c r="L405" s="431"/>
      <c r="M405" s="431"/>
      <c r="N405" s="433"/>
    </row>
    <row r="406" spans="1:14">
      <c r="A406" s="416">
        <f t="shared" si="7"/>
        <v>400</v>
      </c>
      <c r="B406" s="590"/>
      <c r="D406" s="427" t="s">
        <v>2204</v>
      </c>
      <c r="E406" s="428" t="s">
        <v>289</v>
      </c>
      <c r="G406" s="431" t="s">
        <v>1664</v>
      </c>
      <c r="H406" s="431"/>
      <c r="I406" s="431"/>
      <c r="J406" s="431"/>
      <c r="K406" s="431"/>
      <c r="L406" s="431"/>
      <c r="M406" s="431"/>
      <c r="N406" s="433"/>
    </row>
    <row r="407" spans="1:14">
      <c r="A407" s="416">
        <f t="shared" si="7"/>
        <v>401</v>
      </c>
      <c r="B407" s="590"/>
      <c r="D407" s="427" t="s">
        <v>2205</v>
      </c>
      <c r="E407" s="428" t="s">
        <v>289</v>
      </c>
      <c r="G407" s="431" t="s">
        <v>1664</v>
      </c>
      <c r="H407" s="431"/>
      <c r="I407" s="431"/>
      <c r="J407" s="431"/>
      <c r="K407" s="431"/>
      <c r="L407" s="431"/>
      <c r="M407" s="431"/>
      <c r="N407" s="433"/>
    </row>
    <row r="408" spans="1:14" ht="29">
      <c r="A408" s="416">
        <f t="shared" si="7"/>
        <v>402</v>
      </c>
      <c r="B408" s="590" t="s">
        <v>1147</v>
      </c>
      <c r="C408" s="426" t="s">
        <v>2206</v>
      </c>
      <c r="D408" s="427" t="s">
        <v>2207</v>
      </c>
      <c r="E408" s="428" t="s">
        <v>289</v>
      </c>
      <c r="F408" s="434">
        <v>6003327</v>
      </c>
      <c r="G408" s="431" t="s">
        <v>1664</v>
      </c>
      <c r="H408" s="431"/>
      <c r="I408" s="431"/>
      <c r="J408" s="431"/>
      <c r="K408" s="431"/>
      <c r="L408" s="431"/>
      <c r="M408" s="431"/>
      <c r="N408" s="433"/>
    </row>
    <row r="409" spans="1:14">
      <c r="A409" s="416">
        <f t="shared" si="7"/>
        <v>403</v>
      </c>
      <c r="B409" s="590"/>
      <c r="D409" s="427" t="s">
        <v>2208</v>
      </c>
      <c r="E409" s="428" t="s">
        <v>289</v>
      </c>
      <c r="G409" s="431" t="s">
        <v>1664</v>
      </c>
      <c r="H409" s="431"/>
      <c r="I409" s="431"/>
      <c r="J409" s="431"/>
      <c r="K409" s="431"/>
      <c r="L409" s="431"/>
      <c r="M409" s="431"/>
      <c r="N409" s="433"/>
    </row>
    <row r="410" spans="1:14">
      <c r="A410" s="416">
        <f t="shared" si="7"/>
        <v>404</v>
      </c>
      <c r="B410" s="590" t="s">
        <v>1149</v>
      </c>
      <c r="C410" s="426" t="s">
        <v>2209</v>
      </c>
      <c r="D410" s="427" t="s">
        <v>2210</v>
      </c>
      <c r="E410" s="428" t="s">
        <v>289</v>
      </c>
      <c r="F410" s="434">
        <v>1315661</v>
      </c>
      <c r="G410" s="431" t="s">
        <v>1664</v>
      </c>
      <c r="H410" s="431"/>
      <c r="I410" s="431"/>
      <c r="J410" s="431"/>
      <c r="K410" s="431"/>
      <c r="L410" s="431"/>
      <c r="M410" s="431"/>
      <c r="N410" s="433"/>
    </row>
    <row r="411" spans="1:14">
      <c r="A411" s="416">
        <f t="shared" si="7"/>
        <v>405</v>
      </c>
      <c r="B411" s="590"/>
      <c r="D411" s="427" t="s">
        <v>2211</v>
      </c>
      <c r="E411" s="428" t="s">
        <v>289</v>
      </c>
      <c r="G411" s="431" t="s">
        <v>1664</v>
      </c>
      <c r="H411" s="431"/>
      <c r="I411" s="431"/>
      <c r="J411" s="431"/>
      <c r="K411" s="431"/>
      <c r="L411" s="431"/>
      <c r="M411" s="431"/>
      <c r="N411" s="433"/>
    </row>
    <row r="412" spans="1:14">
      <c r="A412" s="416">
        <f t="shared" si="7"/>
        <v>406</v>
      </c>
      <c r="B412" s="590"/>
      <c r="D412" s="427"/>
      <c r="G412" s="431"/>
      <c r="H412" s="431"/>
      <c r="I412" s="431"/>
      <c r="J412" s="431"/>
      <c r="K412" s="431"/>
      <c r="L412" s="431"/>
      <c r="M412" s="431"/>
      <c r="N412" s="433"/>
    </row>
    <row r="413" spans="1:14">
      <c r="A413" s="416">
        <f t="shared" si="7"/>
        <v>407</v>
      </c>
      <c r="B413" s="590"/>
      <c r="C413" s="451" t="s">
        <v>2212</v>
      </c>
      <c r="D413" s="427"/>
      <c r="G413" s="431"/>
      <c r="H413" s="431"/>
      <c r="I413" s="431"/>
      <c r="J413" s="431"/>
      <c r="K413" s="431"/>
      <c r="L413" s="431"/>
      <c r="M413" s="431"/>
      <c r="N413" s="433"/>
    </row>
    <row r="414" spans="1:14" ht="29">
      <c r="A414" s="416">
        <f t="shared" si="7"/>
        <v>408</v>
      </c>
      <c r="B414" s="590"/>
      <c r="C414" s="452" t="s">
        <v>636</v>
      </c>
      <c r="D414" s="427"/>
      <c r="E414" s="428" t="s">
        <v>289</v>
      </c>
      <c r="F414" s="434">
        <v>133158</v>
      </c>
      <c r="G414" s="431" t="s">
        <v>1664</v>
      </c>
      <c r="H414" s="431"/>
      <c r="I414" s="431"/>
      <c r="J414" s="431"/>
      <c r="K414" s="431"/>
      <c r="L414" s="431"/>
      <c r="M414" s="431"/>
      <c r="N414" s="433"/>
    </row>
    <row r="415" spans="1:14" ht="29">
      <c r="A415" s="416">
        <f t="shared" si="7"/>
        <v>409</v>
      </c>
      <c r="B415" s="590"/>
      <c r="C415" s="452" t="s">
        <v>638</v>
      </c>
      <c r="D415" s="427"/>
      <c r="E415" s="428" t="s">
        <v>289</v>
      </c>
      <c r="F415" s="434">
        <v>96623</v>
      </c>
      <c r="G415" s="431" t="s">
        <v>1664</v>
      </c>
      <c r="H415" s="431"/>
      <c r="I415" s="431"/>
      <c r="J415" s="431"/>
      <c r="K415" s="431"/>
      <c r="L415" s="431"/>
      <c r="M415" s="431"/>
      <c r="N415" s="433"/>
    </row>
    <row r="416" spans="1:14">
      <c r="A416" s="416">
        <f t="shared" si="7"/>
        <v>410</v>
      </c>
      <c r="B416" s="590"/>
      <c r="C416" s="452" t="s">
        <v>640</v>
      </c>
      <c r="D416" s="427"/>
      <c r="E416" s="428" t="s">
        <v>289</v>
      </c>
      <c r="F416" s="434">
        <v>459778</v>
      </c>
      <c r="G416" s="431" t="s">
        <v>1664</v>
      </c>
      <c r="H416" s="431"/>
      <c r="I416" s="431"/>
      <c r="J416" s="431"/>
      <c r="K416" s="431"/>
      <c r="L416" s="431"/>
      <c r="M416" s="431"/>
      <c r="N416" s="433"/>
    </row>
    <row r="417" spans="1:14">
      <c r="A417" s="416">
        <f t="shared" si="7"/>
        <v>411</v>
      </c>
      <c r="B417" s="590"/>
      <c r="C417" s="452" t="s">
        <v>642</v>
      </c>
      <c r="D417" s="427"/>
      <c r="E417" s="428" t="s">
        <v>289</v>
      </c>
      <c r="F417" s="434">
        <v>351685</v>
      </c>
      <c r="G417" s="431" t="s">
        <v>1664</v>
      </c>
      <c r="H417" s="431"/>
      <c r="I417" s="431"/>
      <c r="J417" s="431"/>
      <c r="K417" s="431"/>
      <c r="L417" s="431"/>
      <c r="M417" s="431"/>
      <c r="N417" s="433"/>
    </row>
    <row r="418" spans="1:14">
      <c r="A418" s="416">
        <f t="shared" si="7"/>
        <v>412</v>
      </c>
      <c r="B418" s="590"/>
      <c r="C418" s="452" t="s">
        <v>644</v>
      </c>
      <c r="D418" s="427"/>
      <c r="E418" s="428" t="s">
        <v>289</v>
      </c>
      <c r="F418" s="434">
        <v>5000750</v>
      </c>
      <c r="G418" s="431" t="s">
        <v>1664</v>
      </c>
      <c r="H418" s="431"/>
      <c r="I418" s="431"/>
      <c r="J418" s="431"/>
      <c r="K418" s="431"/>
      <c r="L418" s="431"/>
      <c r="M418" s="431"/>
      <c r="N418" s="433"/>
    </row>
    <row r="419" spans="1:14" ht="15.75" customHeight="1">
      <c r="A419" s="416">
        <f t="shared" si="7"/>
        <v>413</v>
      </c>
      <c r="B419" s="590"/>
      <c r="C419" s="452" t="s">
        <v>646</v>
      </c>
      <c r="D419" s="427"/>
      <c r="E419" s="428" t="s">
        <v>289</v>
      </c>
      <c r="F419" s="434">
        <v>5697945</v>
      </c>
      <c r="G419" s="431" t="s">
        <v>1664</v>
      </c>
      <c r="H419" s="431"/>
      <c r="I419" s="431"/>
      <c r="J419" s="431"/>
      <c r="K419" s="431"/>
      <c r="L419" s="431"/>
      <c r="M419" s="431"/>
      <c r="N419" s="433"/>
    </row>
    <row r="420" spans="1:14" ht="15.75" customHeight="1">
      <c r="A420" s="416">
        <f t="shared" si="7"/>
        <v>414</v>
      </c>
      <c r="B420" s="590"/>
      <c r="C420" s="452" t="s">
        <v>648</v>
      </c>
      <c r="D420" s="427"/>
      <c r="E420" s="428" t="s">
        <v>289</v>
      </c>
      <c r="F420" s="434">
        <v>4229572</v>
      </c>
      <c r="G420" s="431" t="s">
        <v>1664</v>
      </c>
      <c r="H420" s="431"/>
      <c r="I420" s="431"/>
      <c r="J420" s="431"/>
      <c r="K420" s="431"/>
      <c r="L420" s="431"/>
      <c r="M420" s="431"/>
      <c r="N420" s="433"/>
    </row>
    <row r="421" spans="1:14">
      <c r="A421" s="416">
        <f t="shared" si="7"/>
        <v>415</v>
      </c>
      <c r="B421" s="590"/>
      <c r="C421" s="452" t="s">
        <v>650</v>
      </c>
      <c r="D421" s="436"/>
      <c r="E421" s="428" t="s">
        <v>289</v>
      </c>
      <c r="F421" s="437">
        <v>7763675</v>
      </c>
      <c r="G421" s="431" t="s">
        <v>1664</v>
      </c>
      <c r="H421" s="431"/>
      <c r="I421" s="431"/>
      <c r="J421" s="431"/>
      <c r="K421" s="431"/>
      <c r="L421" s="431"/>
      <c r="M421" s="431"/>
      <c r="N421" s="433"/>
    </row>
    <row r="422" spans="1:14">
      <c r="A422" s="416">
        <f t="shared" si="7"/>
        <v>416</v>
      </c>
      <c r="B422" s="590"/>
      <c r="C422" s="452" t="s">
        <v>652</v>
      </c>
      <c r="D422" s="436"/>
      <c r="E422" s="428" t="s">
        <v>289</v>
      </c>
      <c r="F422" s="437">
        <v>1954466</v>
      </c>
      <c r="G422" s="431" t="s">
        <v>1664</v>
      </c>
      <c r="H422" s="431"/>
      <c r="I422" s="431"/>
      <c r="J422" s="431"/>
      <c r="K422" s="431"/>
      <c r="L422" s="431"/>
      <c r="M422" s="431"/>
      <c r="N422" s="433"/>
    </row>
    <row r="423" spans="1:14" ht="29">
      <c r="A423" s="416">
        <f t="shared" si="7"/>
        <v>417</v>
      </c>
      <c r="B423" s="590"/>
      <c r="C423" s="452" t="s">
        <v>654</v>
      </c>
      <c r="D423" s="436"/>
      <c r="E423" s="428" t="s">
        <v>289</v>
      </c>
      <c r="F423" s="437">
        <v>1718240</v>
      </c>
      <c r="G423" s="431" t="s">
        <v>1664</v>
      </c>
      <c r="H423" s="431"/>
      <c r="I423" s="431"/>
      <c r="J423" s="431"/>
      <c r="K423" s="431"/>
      <c r="L423" s="431"/>
      <c r="M423" s="431"/>
      <c r="N423" s="433"/>
    </row>
    <row r="424" spans="1:14" ht="29">
      <c r="A424" s="416">
        <f t="shared" si="7"/>
        <v>418</v>
      </c>
      <c r="B424" s="590"/>
      <c r="C424" s="452" t="s">
        <v>656</v>
      </c>
      <c r="D424" s="436"/>
      <c r="E424" s="428" t="s">
        <v>289</v>
      </c>
      <c r="F424" s="437">
        <v>3318558</v>
      </c>
      <c r="G424" s="431" t="s">
        <v>1664</v>
      </c>
      <c r="H424" s="431"/>
      <c r="I424" s="431"/>
      <c r="J424" s="431"/>
      <c r="K424" s="431"/>
      <c r="L424" s="431"/>
      <c r="M424" s="431"/>
      <c r="N424" s="433"/>
    </row>
    <row r="425" spans="1:14" ht="29">
      <c r="A425" s="416">
        <f t="shared" si="7"/>
        <v>419</v>
      </c>
      <c r="B425" s="590"/>
      <c r="C425" s="452" t="s">
        <v>658</v>
      </c>
      <c r="D425" s="436"/>
      <c r="E425" s="428" t="s">
        <v>289</v>
      </c>
      <c r="F425" s="437">
        <v>2952237</v>
      </c>
      <c r="G425" s="431" t="s">
        <v>1664</v>
      </c>
      <c r="H425" s="431"/>
      <c r="I425" s="431"/>
      <c r="J425" s="431"/>
      <c r="K425" s="431"/>
      <c r="L425" s="431"/>
      <c r="M425" s="431"/>
      <c r="N425" s="433"/>
    </row>
    <row r="426" spans="1:14" ht="16.5" customHeight="1">
      <c r="A426" s="416">
        <f t="shared" si="7"/>
        <v>420</v>
      </c>
      <c r="B426" s="590"/>
      <c r="C426" s="452" t="s">
        <v>2213</v>
      </c>
      <c r="D426" s="436"/>
      <c r="E426" s="428" t="s">
        <v>1709</v>
      </c>
      <c r="F426" s="437"/>
      <c r="G426" s="431" t="s">
        <v>1664</v>
      </c>
      <c r="H426" s="431"/>
      <c r="I426" s="431"/>
      <c r="J426" s="431"/>
      <c r="K426" s="431"/>
      <c r="L426" s="431"/>
      <c r="M426" s="431"/>
      <c r="N426" s="433"/>
    </row>
    <row r="427" spans="1:14">
      <c r="A427" s="416">
        <f t="shared" si="7"/>
        <v>421</v>
      </c>
      <c r="B427" s="590"/>
      <c r="C427" s="452" t="s">
        <v>660</v>
      </c>
      <c r="D427" s="436"/>
      <c r="E427" s="428" t="s">
        <v>289</v>
      </c>
      <c r="F427" s="437">
        <v>1259668</v>
      </c>
      <c r="G427" s="431" t="s">
        <v>1664</v>
      </c>
      <c r="H427" s="431"/>
      <c r="I427" s="431"/>
      <c r="J427" s="431"/>
      <c r="K427" s="431"/>
      <c r="L427" s="431"/>
      <c r="M427" s="431"/>
      <c r="N427" s="433"/>
    </row>
    <row r="428" spans="1:14" ht="29">
      <c r="A428" s="416">
        <f t="shared" si="7"/>
        <v>422</v>
      </c>
      <c r="B428" s="590"/>
      <c r="C428" s="452" t="s">
        <v>662</v>
      </c>
      <c r="D428" s="436"/>
      <c r="E428" s="428" t="s">
        <v>289</v>
      </c>
      <c r="F428" s="437">
        <v>7750195</v>
      </c>
      <c r="G428" s="431" t="s">
        <v>1664</v>
      </c>
      <c r="H428" s="431"/>
      <c r="I428" s="431"/>
      <c r="J428" s="431"/>
      <c r="K428" s="431"/>
      <c r="L428" s="431"/>
      <c r="M428" s="431"/>
      <c r="N428" s="433"/>
    </row>
    <row r="429" spans="1:14">
      <c r="A429" s="416">
        <f t="shared" si="7"/>
        <v>423</v>
      </c>
      <c r="B429" s="590"/>
      <c r="C429" s="452" t="s">
        <v>664</v>
      </c>
      <c r="D429" s="436"/>
      <c r="E429" s="428" t="s">
        <v>289</v>
      </c>
      <c r="F429" s="437">
        <v>14513308</v>
      </c>
      <c r="G429" s="431" t="s">
        <v>1664</v>
      </c>
      <c r="H429" s="431"/>
      <c r="I429" s="431"/>
      <c r="J429" s="431"/>
      <c r="K429" s="431"/>
      <c r="L429" s="431"/>
      <c r="M429" s="431"/>
      <c r="N429" s="433"/>
    </row>
    <row r="430" spans="1:14">
      <c r="A430" s="416">
        <f t="shared" si="7"/>
        <v>424</v>
      </c>
      <c r="B430" s="590"/>
      <c r="C430" s="452" t="s">
        <v>2214</v>
      </c>
      <c r="D430" s="436"/>
      <c r="E430" s="428" t="s">
        <v>289</v>
      </c>
      <c r="F430" s="437">
        <v>4705536</v>
      </c>
      <c r="G430" s="431" t="s">
        <v>1664</v>
      </c>
      <c r="H430" s="431"/>
      <c r="I430" s="431"/>
      <c r="J430" s="431"/>
      <c r="K430" s="431"/>
      <c r="L430" s="431"/>
      <c r="M430" s="431"/>
      <c r="N430" s="433"/>
    </row>
    <row r="431" spans="1:14">
      <c r="A431" s="416">
        <f t="shared" si="7"/>
        <v>425</v>
      </c>
      <c r="B431" s="590"/>
      <c r="C431" s="452" t="s">
        <v>668</v>
      </c>
      <c r="D431" s="427" t="s">
        <v>2215</v>
      </c>
      <c r="E431" s="428" t="s">
        <v>1709</v>
      </c>
      <c r="F431" s="434">
        <v>5804318</v>
      </c>
      <c r="G431" s="431" t="s">
        <v>1664</v>
      </c>
      <c r="H431" s="431"/>
      <c r="I431" s="431"/>
      <c r="J431" s="431"/>
      <c r="K431" s="431"/>
      <c r="L431" s="431"/>
      <c r="M431" s="431"/>
      <c r="N431" s="433"/>
    </row>
    <row r="432" spans="1:14">
      <c r="A432" s="416">
        <f t="shared" si="7"/>
        <v>426</v>
      </c>
      <c r="B432" s="590"/>
      <c r="C432" s="452" t="s">
        <v>670</v>
      </c>
      <c r="D432" s="427"/>
      <c r="E432" s="428" t="s">
        <v>289</v>
      </c>
      <c r="F432" s="434">
        <v>1366481</v>
      </c>
      <c r="G432" s="431" t="s">
        <v>1664</v>
      </c>
      <c r="H432" s="431"/>
      <c r="I432" s="431"/>
      <c r="J432" s="431"/>
      <c r="K432" s="431"/>
      <c r="L432" s="431"/>
      <c r="M432" s="431"/>
      <c r="N432" s="433"/>
    </row>
    <row r="433" spans="1:14" ht="29">
      <c r="A433" s="416">
        <f t="shared" si="7"/>
        <v>427</v>
      </c>
      <c r="B433" s="590"/>
      <c r="C433" s="452" t="s">
        <v>672</v>
      </c>
      <c r="D433" s="427"/>
      <c r="E433" s="428" t="s">
        <v>289</v>
      </c>
      <c r="F433" s="434">
        <v>2605678</v>
      </c>
      <c r="G433" s="431" t="s">
        <v>1664</v>
      </c>
      <c r="H433" s="431"/>
      <c r="I433" s="431"/>
      <c r="J433" s="431"/>
      <c r="K433" s="431"/>
      <c r="L433" s="431"/>
      <c r="M433" s="431"/>
      <c r="N433" s="433"/>
    </row>
    <row r="434" spans="1:14">
      <c r="A434" s="416">
        <f t="shared" si="7"/>
        <v>428</v>
      </c>
      <c r="B434" s="590"/>
      <c r="C434" s="452" t="s">
        <v>674</v>
      </c>
      <c r="D434" s="427"/>
      <c r="E434" s="428" t="s">
        <v>289</v>
      </c>
      <c r="F434" s="434">
        <v>553800</v>
      </c>
      <c r="G434" s="431" t="s">
        <v>1664</v>
      </c>
      <c r="H434" s="431"/>
      <c r="I434" s="431"/>
      <c r="J434" s="431"/>
      <c r="K434" s="431"/>
      <c r="L434" s="431"/>
      <c r="M434" s="431"/>
      <c r="N434" s="433"/>
    </row>
    <row r="435" spans="1:14">
      <c r="A435" s="416">
        <f t="shared" si="7"/>
        <v>429</v>
      </c>
      <c r="B435" s="590"/>
      <c r="C435" s="452" t="s">
        <v>676</v>
      </c>
      <c r="D435" s="427"/>
      <c r="E435" s="428" t="s">
        <v>289</v>
      </c>
      <c r="F435" s="434">
        <v>2867800</v>
      </c>
      <c r="G435" s="431" t="s">
        <v>1664</v>
      </c>
      <c r="H435" s="431"/>
      <c r="I435" s="431"/>
      <c r="J435" s="431"/>
      <c r="K435" s="431"/>
      <c r="L435" s="431"/>
      <c r="M435" s="431"/>
      <c r="N435" s="433"/>
    </row>
    <row r="436" spans="1:14">
      <c r="A436" s="416">
        <f t="shared" si="7"/>
        <v>430</v>
      </c>
      <c r="B436" s="590"/>
      <c r="C436" s="452" t="s">
        <v>678</v>
      </c>
      <c r="D436" s="427"/>
      <c r="E436" s="428" t="s">
        <v>289</v>
      </c>
      <c r="F436" s="434">
        <v>918676</v>
      </c>
      <c r="G436" s="431" t="s">
        <v>1664</v>
      </c>
      <c r="H436" s="431"/>
      <c r="I436" s="431"/>
      <c r="J436" s="431"/>
      <c r="K436" s="431"/>
      <c r="L436" s="431"/>
      <c r="M436" s="431"/>
      <c r="N436" s="433"/>
    </row>
    <row r="437" spans="1:14">
      <c r="A437" s="416">
        <f t="shared" si="7"/>
        <v>431</v>
      </c>
      <c r="B437" s="590"/>
      <c r="C437" s="452" t="s">
        <v>680</v>
      </c>
      <c r="D437" s="427"/>
      <c r="E437" s="428" t="s">
        <v>289</v>
      </c>
      <c r="F437" s="434">
        <v>1258900</v>
      </c>
      <c r="G437" s="431" t="s">
        <v>1664</v>
      </c>
      <c r="H437" s="431"/>
      <c r="I437" s="431"/>
      <c r="J437" s="431"/>
      <c r="K437" s="431"/>
      <c r="L437" s="431"/>
      <c r="M437" s="431"/>
      <c r="N437" s="433"/>
    </row>
    <row r="438" spans="1:14">
      <c r="A438" s="416">
        <f t="shared" si="7"/>
        <v>432</v>
      </c>
      <c r="B438" s="590"/>
      <c r="C438" s="452" t="s">
        <v>682</v>
      </c>
      <c r="D438" s="427"/>
      <c r="E438" s="428" t="s">
        <v>289</v>
      </c>
      <c r="F438" s="434">
        <v>21014624</v>
      </c>
      <c r="G438" s="431" t="s">
        <v>1664</v>
      </c>
      <c r="H438" s="431"/>
      <c r="I438" s="431"/>
      <c r="J438" s="431"/>
      <c r="K438" s="431"/>
      <c r="L438" s="431"/>
      <c r="M438" s="431"/>
      <c r="N438" s="433"/>
    </row>
    <row r="439" spans="1:14">
      <c r="A439" s="416">
        <f t="shared" si="7"/>
        <v>433</v>
      </c>
      <c r="B439" s="590"/>
      <c r="C439" s="452" t="s">
        <v>684</v>
      </c>
      <c r="D439" s="427"/>
      <c r="E439" s="428" t="s">
        <v>289</v>
      </c>
      <c r="F439" s="434">
        <v>8311002</v>
      </c>
      <c r="G439" s="431" t="s">
        <v>1664</v>
      </c>
      <c r="H439" s="431"/>
      <c r="I439" s="431"/>
      <c r="J439" s="431"/>
      <c r="K439" s="431"/>
      <c r="L439" s="431"/>
      <c r="M439" s="431"/>
      <c r="N439" s="433"/>
    </row>
    <row r="440" spans="1:14">
      <c r="A440" s="416">
        <f t="shared" si="7"/>
        <v>434</v>
      </c>
      <c r="B440" s="590"/>
      <c r="C440" s="452" t="s">
        <v>686</v>
      </c>
      <c r="D440" s="427"/>
      <c r="E440" s="428" t="s">
        <v>289</v>
      </c>
      <c r="F440" s="434">
        <v>1872142</v>
      </c>
      <c r="G440" s="431" t="s">
        <v>1664</v>
      </c>
      <c r="H440" s="431"/>
      <c r="I440" s="431"/>
      <c r="J440" s="431"/>
      <c r="K440" s="431"/>
      <c r="L440" s="431"/>
      <c r="M440" s="431"/>
      <c r="N440" s="433"/>
    </row>
    <row r="441" spans="1:14">
      <c r="A441" s="416">
        <f t="shared" si="7"/>
        <v>435</v>
      </c>
      <c r="B441" s="590"/>
      <c r="C441" s="452" t="s">
        <v>688</v>
      </c>
      <c r="D441" s="427"/>
      <c r="E441" s="428" t="s">
        <v>289</v>
      </c>
      <c r="F441" s="434">
        <v>375316</v>
      </c>
      <c r="G441" s="431" t="s">
        <v>1664</v>
      </c>
      <c r="H441" s="431"/>
      <c r="I441" s="431"/>
      <c r="J441" s="431"/>
      <c r="K441" s="431"/>
      <c r="L441" s="431"/>
      <c r="M441" s="431"/>
      <c r="N441" s="433"/>
    </row>
    <row r="442" spans="1:14">
      <c r="A442" s="416">
        <f t="shared" si="7"/>
        <v>436</v>
      </c>
      <c r="B442" s="590"/>
      <c r="C442" s="452" t="s">
        <v>690</v>
      </c>
      <c r="D442" s="427"/>
      <c r="E442" s="428" t="s">
        <v>289</v>
      </c>
      <c r="F442" s="434">
        <v>771572</v>
      </c>
      <c r="G442" s="431" t="s">
        <v>1664</v>
      </c>
      <c r="H442" s="431"/>
      <c r="I442" s="431"/>
      <c r="J442" s="431"/>
      <c r="K442" s="431"/>
      <c r="L442" s="431"/>
      <c r="M442" s="431"/>
      <c r="N442" s="433"/>
    </row>
    <row r="443" spans="1:14" ht="29">
      <c r="A443" s="416">
        <f t="shared" si="7"/>
        <v>437</v>
      </c>
      <c r="B443" s="590"/>
      <c r="C443" s="452" t="s">
        <v>692</v>
      </c>
      <c r="D443" s="427"/>
      <c r="E443" s="428" t="s">
        <v>289</v>
      </c>
      <c r="F443" s="434">
        <v>60704</v>
      </c>
      <c r="G443" s="431" t="s">
        <v>1664</v>
      </c>
      <c r="H443" s="431"/>
      <c r="I443" s="431"/>
      <c r="J443" s="431"/>
      <c r="K443" s="431"/>
      <c r="L443" s="431"/>
      <c r="M443" s="431"/>
      <c r="N443" s="433"/>
    </row>
    <row r="444" spans="1:14">
      <c r="A444" s="416">
        <f t="shared" si="7"/>
        <v>438</v>
      </c>
      <c r="B444" s="590"/>
      <c r="C444" s="452" t="s">
        <v>694</v>
      </c>
      <c r="D444" s="427"/>
      <c r="E444" s="428" t="s">
        <v>289</v>
      </c>
      <c r="F444" s="434">
        <v>2369098</v>
      </c>
      <c r="G444" s="431" t="s">
        <v>1664</v>
      </c>
      <c r="H444" s="431"/>
      <c r="I444" s="431"/>
      <c r="J444" s="431"/>
      <c r="K444" s="431"/>
      <c r="L444" s="431"/>
      <c r="M444" s="431"/>
      <c r="N444" s="433"/>
    </row>
    <row r="445" spans="1:14">
      <c r="A445" s="416">
        <f t="shared" si="7"/>
        <v>439</v>
      </c>
      <c r="B445" s="590"/>
      <c r="C445" s="452" t="s">
        <v>696</v>
      </c>
      <c r="D445" s="427"/>
      <c r="E445" s="428" t="s">
        <v>289</v>
      </c>
      <c r="F445" s="434">
        <v>7305877</v>
      </c>
      <c r="G445" s="431" t="s">
        <v>1664</v>
      </c>
      <c r="H445" s="431"/>
      <c r="I445" s="431"/>
      <c r="J445" s="431"/>
      <c r="K445" s="431"/>
      <c r="L445" s="431"/>
      <c r="M445" s="431"/>
      <c r="N445" s="433"/>
    </row>
    <row r="446" spans="1:14" ht="29">
      <c r="A446" s="416">
        <f t="shared" si="7"/>
        <v>440</v>
      </c>
      <c r="B446" s="590"/>
      <c r="C446" s="452" t="s">
        <v>700</v>
      </c>
      <c r="D446" s="427"/>
      <c r="E446" s="428" t="s">
        <v>289</v>
      </c>
      <c r="F446" s="434">
        <v>922098</v>
      </c>
      <c r="G446" s="431" t="s">
        <v>1664</v>
      </c>
      <c r="H446" s="431"/>
      <c r="I446" s="431"/>
      <c r="J446" s="431"/>
      <c r="K446" s="431"/>
      <c r="L446" s="431"/>
      <c r="M446" s="431"/>
      <c r="N446" s="433"/>
    </row>
    <row r="447" spans="1:14" ht="16.5" customHeight="1">
      <c r="A447" s="416">
        <f t="shared" si="7"/>
        <v>441</v>
      </c>
      <c r="B447" s="590"/>
      <c r="C447" s="452" t="s">
        <v>702</v>
      </c>
      <c r="D447" s="427"/>
      <c r="E447" s="428" t="s">
        <v>289</v>
      </c>
      <c r="F447" s="434">
        <v>3440115</v>
      </c>
      <c r="G447" s="431" t="s">
        <v>1664</v>
      </c>
      <c r="H447" s="431"/>
      <c r="I447" s="431"/>
      <c r="J447" s="431"/>
      <c r="K447" s="431"/>
      <c r="L447" s="431"/>
      <c r="M447" s="431"/>
      <c r="N447" s="433"/>
    </row>
    <row r="448" spans="1:14">
      <c r="A448" s="416">
        <f t="shared" si="7"/>
        <v>442</v>
      </c>
      <c r="B448" s="590"/>
      <c r="C448" s="452" t="s">
        <v>2216</v>
      </c>
      <c r="D448" s="427"/>
      <c r="E448" s="428" t="s">
        <v>289</v>
      </c>
      <c r="F448" s="434">
        <v>444780</v>
      </c>
      <c r="G448" s="431" t="s">
        <v>1664</v>
      </c>
      <c r="H448" s="431"/>
      <c r="I448" s="431"/>
      <c r="J448" s="431"/>
      <c r="K448" s="431"/>
      <c r="L448" s="431"/>
      <c r="M448" s="431"/>
      <c r="N448" s="433"/>
    </row>
    <row r="449" spans="1:14">
      <c r="A449" s="416">
        <f t="shared" si="7"/>
        <v>443</v>
      </c>
      <c r="B449" s="590"/>
      <c r="C449" s="452" t="s">
        <v>2217</v>
      </c>
      <c r="D449" s="427"/>
      <c r="E449" s="428" t="s">
        <v>289</v>
      </c>
      <c r="F449" s="434">
        <v>7919832</v>
      </c>
      <c r="G449" s="431" t="s">
        <v>1664</v>
      </c>
      <c r="H449" s="431"/>
      <c r="I449" s="431"/>
      <c r="J449" s="431"/>
      <c r="K449" s="431"/>
      <c r="L449" s="431"/>
      <c r="M449" s="431"/>
      <c r="N449" s="433"/>
    </row>
    <row r="450" spans="1:14">
      <c r="A450" s="416">
        <f t="shared" si="7"/>
        <v>444</v>
      </c>
      <c r="B450" s="590"/>
      <c r="C450" s="452" t="s">
        <v>708</v>
      </c>
      <c r="D450" s="427" t="s">
        <v>2218</v>
      </c>
      <c r="E450" s="428" t="s">
        <v>1709</v>
      </c>
      <c r="F450" s="434">
        <v>28806330</v>
      </c>
      <c r="G450" s="431" t="s">
        <v>1664</v>
      </c>
      <c r="H450" s="431"/>
      <c r="I450" s="431"/>
      <c r="J450" s="431"/>
      <c r="K450" s="431"/>
      <c r="L450" s="431"/>
      <c r="M450" s="431"/>
      <c r="N450" s="433"/>
    </row>
    <row r="451" spans="1:14">
      <c r="A451" s="416">
        <f t="shared" si="7"/>
        <v>445</v>
      </c>
      <c r="B451" s="590"/>
      <c r="C451" s="452" t="s">
        <v>710</v>
      </c>
      <c r="D451" s="427" t="s">
        <v>2219</v>
      </c>
      <c r="E451" s="428" t="s">
        <v>1709</v>
      </c>
      <c r="F451" s="434">
        <v>157876</v>
      </c>
      <c r="G451" s="431" t="s">
        <v>1664</v>
      </c>
      <c r="H451" s="431"/>
      <c r="I451" s="431"/>
      <c r="J451" s="431"/>
      <c r="K451" s="431"/>
      <c r="L451" s="431"/>
      <c r="M451" s="431"/>
      <c r="N451" s="433"/>
    </row>
    <row r="452" spans="1:14">
      <c r="A452" s="416">
        <f t="shared" si="7"/>
        <v>446</v>
      </c>
      <c r="B452" s="590"/>
      <c r="C452" s="452" t="s">
        <v>712</v>
      </c>
      <c r="D452" s="427"/>
      <c r="E452" s="428" t="s">
        <v>289</v>
      </c>
      <c r="F452" s="434">
        <v>10096097</v>
      </c>
      <c r="G452" s="431" t="s">
        <v>1664</v>
      </c>
      <c r="H452" s="431"/>
      <c r="I452" s="431"/>
      <c r="J452" s="431"/>
      <c r="K452" s="431"/>
      <c r="L452" s="431"/>
      <c r="M452" s="431"/>
      <c r="N452" s="433"/>
    </row>
    <row r="453" spans="1:14">
      <c r="A453" s="416">
        <f t="shared" si="7"/>
        <v>447</v>
      </c>
      <c r="B453" s="590"/>
      <c r="C453" s="452" t="s">
        <v>714</v>
      </c>
      <c r="D453" s="427"/>
      <c r="E453" s="428" t="s">
        <v>289</v>
      </c>
      <c r="F453" s="434">
        <v>7554492</v>
      </c>
      <c r="G453" s="431" t="s">
        <v>1664</v>
      </c>
      <c r="H453" s="431"/>
      <c r="I453" s="431"/>
      <c r="J453" s="431"/>
      <c r="K453" s="431"/>
      <c r="L453" s="431"/>
      <c r="M453" s="431"/>
      <c r="N453" s="433"/>
    </row>
    <row r="454" spans="1:14" ht="29">
      <c r="A454" s="416">
        <f t="shared" si="7"/>
        <v>448</v>
      </c>
      <c r="B454" s="590"/>
      <c r="C454" s="452" t="s">
        <v>716</v>
      </c>
      <c r="D454" s="427"/>
      <c r="E454" s="428" t="s">
        <v>289</v>
      </c>
      <c r="F454" s="434">
        <v>7326839</v>
      </c>
      <c r="G454" s="431" t="s">
        <v>1664</v>
      </c>
      <c r="H454" s="431"/>
      <c r="I454" s="431"/>
      <c r="J454" s="431"/>
      <c r="K454" s="431"/>
      <c r="L454" s="431"/>
      <c r="M454" s="431"/>
      <c r="N454" s="433"/>
    </row>
    <row r="455" spans="1:14" ht="15.75" customHeight="1">
      <c r="A455" s="416">
        <f t="shared" si="7"/>
        <v>449</v>
      </c>
      <c r="B455" s="590"/>
      <c r="C455" s="452" t="s">
        <v>718</v>
      </c>
      <c r="D455" s="427"/>
      <c r="E455" s="428" t="s">
        <v>289</v>
      </c>
      <c r="F455" s="434">
        <v>2262949</v>
      </c>
      <c r="G455" s="431" t="s">
        <v>1664</v>
      </c>
      <c r="H455" s="431"/>
      <c r="I455" s="431"/>
      <c r="J455" s="431"/>
      <c r="K455" s="431"/>
      <c r="L455" s="431"/>
      <c r="M455" s="431"/>
      <c r="N455" s="433"/>
    </row>
    <row r="456" spans="1:14">
      <c r="A456" s="416">
        <f t="shared" si="7"/>
        <v>450</v>
      </c>
      <c r="B456" s="590"/>
      <c r="C456" s="452" t="s">
        <v>720</v>
      </c>
      <c r="D456" s="427"/>
      <c r="E456" s="428" t="s">
        <v>289</v>
      </c>
      <c r="F456" s="434">
        <v>777327</v>
      </c>
      <c r="G456" s="431" t="s">
        <v>1664</v>
      </c>
      <c r="H456" s="431"/>
      <c r="I456" s="431"/>
      <c r="J456" s="431"/>
      <c r="K456" s="431"/>
      <c r="L456" s="431"/>
      <c r="M456" s="431"/>
      <c r="N456" s="433"/>
    </row>
    <row r="457" spans="1:14" ht="18" customHeight="1">
      <c r="A457" s="416">
        <f t="shared" si="7"/>
        <v>451</v>
      </c>
      <c r="B457" s="590"/>
      <c r="C457" s="452" t="s">
        <v>722</v>
      </c>
      <c r="D457" s="427"/>
      <c r="E457" s="428" t="s">
        <v>289</v>
      </c>
      <c r="F457" s="434">
        <v>967828</v>
      </c>
      <c r="G457" s="431" t="s">
        <v>1664</v>
      </c>
      <c r="H457" s="431"/>
      <c r="I457" s="431"/>
      <c r="J457" s="431"/>
      <c r="K457" s="431"/>
      <c r="L457" s="431"/>
      <c r="M457" s="431"/>
      <c r="N457" s="433"/>
    </row>
    <row r="458" spans="1:14">
      <c r="A458" s="416">
        <f t="shared" si="7"/>
        <v>452</v>
      </c>
      <c r="B458" s="590"/>
      <c r="C458" s="452" t="s">
        <v>724</v>
      </c>
      <c r="D458" s="427"/>
      <c r="E458" s="428" t="s">
        <v>289</v>
      </c>
      <c r="F458" s="434">
        <v>679540</v>
      </c>
      <c r="G458" s="431" t="s">
        <v>1664</v>
      </c>
      <c r="H458" s="431"/>
      <c r="I458" s="431"/>
      <c r="J458" s="431"/>
      <c r="K458" s="431"/>
      <c r="L458" s="431"/>
      <c r="M458" s="431"/>
      <c r="N458" s="433"/>
    </row>
    <row r="459" spans="1:14" ht="29">
      <c r="A459" s="416">
        <f t="shared" si="7"/>
        <v>453</v>
      </c>
      <c r="B459" s="590"/>
      <c r="C459" s="452" t="s">
        <v>726</v>
      </c>
      <c r="D459" s="427"/>
      <c r="E459" s="428" t="s">
        <v>289</v>
      </c>
      <c r="F459" s="434">
        <v>10230863</v>
      </c>
      <c r="G459" s="431" t="s">
        <v>1664</v>
      </c>
      <c r="H459" s="431"/>
      <c r="I459" s="431"/>
      <c r="J459" s="431"/>
      <c r="K459" s="431"/>
      <c r="L459" s="431"/>
      <c r="M459" s="431"/>
      <c r="N459" s="433"/>
    </row>
    <row r="460" spans="1:14" ht="29">
      <c r="A460" s="416">
        <f t="shared" si="7"/>
        <v>454</v>
      </c>
      <c r="B460" s="590"/>
      <c r="C460" s="452" t="s">
        <v>728</v>
      </c>
      <c r="D460" s="427"/>
      <c r="E460" s="428" t="s">
        <v>289</v>
      </c>
      <c r="F460" s="434">
        <v>16397505</v>
      </c>
      <c r="G460" s="431" t="s">
        <v>1664</v>
      </c>
      <c r="H460" s="431"/>
      <c r="I460" s="431"/>
      <c r="J460" s="431"/>
      <c r="K460" s="431"/>
      <c r="L460" s="431"/>
      <c r="M460" s="431"/>
      <c r="N460" s="433"/>
    </row>
    <row r="461" spans="1:14" ht="29">
      <c r="A461" s="416">
        <f t="shared" si="7"/>
        <v>455</v>
      </c>
      <c r="B461" s="590"/>
      <c r="C461" s="452" t="s">
        <v>730</v>
      </c>
      <c r="D461" s="427"/>
      <c r="E461" s="428" t="s">
        <v>289</v>
      </c>
      <c r="F461" s="434">
        <v>5033030</v>
      </c>
      <c r="G461" s="431" t="s">
        <v>1664</v>
      </c>
      <c r="H461" s="431"/>
      <c r="I461" s="431"/>
      <c r="J461" s="431"/>
      <c r="K461" s="431"/>
      <c r="L461" s="431"/>
      <c r="M461" s="431"/>
      <c r="N461" s="433"/>
    </row>
    <row r="462" spans="1:14" ht="29">
      <c r="A462" s="416">
        <f t="shared" si="7"/>
        <v>456</v>
      </c>
      <c r="B462" s="590"/>
      <c r="C462" s="452" t="s">
        <v>732</v>
      </c>
      <c r="D462" s="427"/>
      <c r="E462" s="428" t="s">
        <v>289</v>
      </c>
      <c r="F462" s="434">
        <v>10035507</v>
      </c>
      <c r="G462" s="431" t="s">
        <v>1664</v>
      </c>
      <c r="H462" s="431"/>
      <c r="I462" s="431"/>
      <c r="J462" s="431"/>
      <c r="K462" s="431"/>
      <c r="L462" s="431"/>
      <c r="M462" s="431"/>
      <c r="N462" s="433"/>
    </row>
    <row r="463" spans="1:14" ht="29">
      <c r="A463" s="416">
        <f t="shared" ref="A463:A478" si="8">A462+1</f>
        <v>457</v>
      </c>
      <c r="B463" s="590"/>
      <c r="C463" s="452" t="s">
        <v>734</v>
      </c>
      <c r="D463" s="427"/>
      <c r="E463" s="428" t="s">
        <v>289</v>
      </c>
      <c r="F463" s="434">
        <v>6133398</v>
      </c>
      <c r="G463" s="431" t="s">
        <v>1664</v>
      </c>
      <c r="H463" s="431"/>
      <c r="I463" s="431"/>
      <c r="J463" s="431"/>
      <c r="K463" s="431"/>
      <c r="L463" s="431"/>
      <c r="M463" s="431"/>
      <c r="N463" s="433"/>
    </row>
    <row r="464" spans="1:14">
      <c r="A464" s="416">
        <f t="shared" si="8"/>
        <v>458</v>
      </c>
      <c r="B464" s="590"/>
      <c r="C464" s="452" t="s">
        <v>736</v>
      </c>
      <c r="D464" s="427"/>
      <c r="E464" s="428" t="s">
        <v>289</v>
      </c>
      <c r="F464" s="434">
        <v>4306775</v>
      </c>
      <c r="G464" s="431" t="s">
        <v>1664</v>
      </c>
      <c r="H464" s="431"/>
      <c r="I464" s="431"/>
      <c r="J464" s="431"/>
      <c r="K464" s="431"/>
      <c r="L464" s="431"/>
      <c r="M464" s="431"/>
      <c r="N464" s="433"/>
    </row>
    <row r="465" spans="1:14">
      <c r="A465" s="416">
        <f t="shared" si="8"/>
        <v>459</v>
      </c>
      <c r="B465" s="590"/>
      <c r="C465" s="452" t="s">
        <v>738</v>
      </c>
      <c r="D465" s="427"/>
      <c r="E465" s="428" t="s">
        <v>289</v>
      </c>
      <c r="F465" s="434">
        <v>1993083</v>
      </c>
      <c r="G465" s="431" t="s">
        <v>1664</v>
      </c>
      <c r="H465" s="431"/>
      <c r="I465" s="431"/>
      <c r="J465" s="431"/>
      <c r="K465" s="431"/>
      <c r="L465" s="431"/>
      <c r="M465" s="431"/>
      <c r="N465" s="433"/>
    </row>
    <row r="466" spans="1:14">
      <c r="A466" s="416">
        <f t="shared" si="8"/>
        <v>460</v>
      </c>
      <c r="B466" s="590"/>
      <c r="C466" s="452" t="s">
        <v>740</v>
      </c>
      <c r="D466" s="427"/>
      <c r="E466" s="428" t="s">
        <v>289</v>
      </c>
      <c r="F466" s="434">
        <v>1540944</v>
      </c>
      <c r="G466" s="431" t="s">
        <v>1664</v>
      </c>
      <c r="H466" s="431"/>
      <c r="I466" s="431"/>
      <c r="J466" s="431"/>
      <c r="K466" s="431"/>
      <c r="L466" s="431"/>
      <c r="M466" s="431"/>
      <c r="N466" s="433"/>
    </row>
    <row r="467" spans="1:14">
      <c r="A467" s="416">
        <f t="shared" si="8"/>
        <v>461</v>
      </c>
      <c r="B467" s="590"/>
      <c r="C467" s="452" t="s">
        <v>742</v>
      </c>
      <c r="D467" s="427"/>
      <c r="E467" s="428" t="s">
        <v>289</v>
      </c>
      <c r="F467" s="434">
        <v>455727</v>
      </c>
      <c r="G467" s="431" t="s">
        <v>1664</v>
      </c>
      <c r="H467" s="431"/>
      <c r="I467" s="431"/>
      <c r="J467" s="431"/>
      <c r="K467" s="431"/>
      <c r="L467" s="431"/>
      <c r="M467" s="431"/>
      <c r="N467" s="433"/>
    </row>
    <row r="468" spans="1:14" ht="16.5" customHeight="1">
      <c r="A468" s="416">
        <f t="shared" si="8"/>
        <v>462</v>
      </c>
      <c r="B468" s="590"/>
      <c r="C468" s="452" t="s">
        <v>744</v>
      </c>
      <c r="D468" s="427"/>
      <c r="E468" s="428" t="s">
        <v>289</v>
      </c>
      <c r="F468" s="434">
        <v>2348919</v>
      </c>
      <c r="G468" s="431" t="s">
        <v>1664</v>
      </c>
      <c r="H468" s="431"/>
      <c r="I468" s="431"/>
      <c r="J468" s="431"/>
      <c r="K468" s="431"/>
      <c r="L468" s="431"/>
      <c r="M468" s="431"/>
      <c r="N468" s="433"/>
    </row>
    <row r="469" spans="1:14">
      <c r="A469" s="416">
        <f t="shared" si="8"/>
        <v>463</v>
      </c>
      <c r="B469" s="590"/>
      <c r="C469" s="452" t="s">
        <v>746</v>
      </c>
      <c r="D469" s="427"/>
      <c r="E469" s="428" t="s">
        <v>289</v>
      </c>
      <c r="F469" s="434">
        <v>3279089</v>
      </c>
      <c r="G469" s="431" t="s">
        <v>1664</v>
      </c>
      <c r="H469" s="431"/>
      <c r="I469" s="431"/>
      <c r="J469" s="431"/>
      <c r="K469" s="431"/>
      <c r="L469" s="431"/>
      <c r="M469" s="431"/>
      <c r="N469" s="433"/>
    </row>
    <row r="470" spans="1:14" ht="29">
      <c r="A470" s="416">
        <f t="shared" si="8"/>
        <v>464</v>
      </c>
      <c r="B470" s="590"/>
      <c r="C470" s="452" t="s">
        <v>748</v>
      </c>
      <c r="D470" s="427"/>
      <c r="E470" s="428" t="s">
        <v>289</v>
      </c>
      <c r="F470" s="434">
        <v>156778</v>
      </c>
      <c r="G470" s="431" t="s">
        <v>1664</v>
      </c>
      <c r="H470" s="431"/>
      <c r="I470" s="431"/>
      <c r="J470" s="431"/>
      <c r="K470" s="431"/>
      <c r="L470" s="431"/>
      <c r="M470" s="431"/>
      <c r="N470" s="433"/>
    </row>
    <row r="471" spans="1:14">
      <c r="A471" s="416">
        <f t="shared" si="8"/>
        <v>465</v>
      </c>
      <c r="B471" s="590"/>
      <c r="C471" s="452" t="s">
        <v>750</v>
      </c>
      <c r="D471" s="427" t="s">
        <v>2215</v>
      </c>
      <c r="E471" s="428" t="s">
        <v>1709</v>
      </c>
      <c r="F471" s="434">
        <v>12744945</v>
      </c>
      <c r="G471" s="431" t="s">
        <v>1664</v>
      </c>
      <c r="H471" s="431"/>
      <c r="I471" s="431"/>
      <c r="J471" s="431"/>
      <c r="K471" s="431"/>
      <c r="L471" s="431"/>
      <c r="M471" s="431"/>
      <c r="N471" s="433"/>
    </row>
    <row r="472" spans="1:14">
      <c r="A472" s="416">
        <f t="shared" si="8"/>
        <v>466</v>
      </c>
      <c r="B472" s="590"/>
      <c r="C472" s="452" t="s">
        <v>752</v>
      </c>
      <c r="D472" s="427"/>
      <c r="E472" s="428" t="s">
        <v>289</v>
      </c>
      <c r="F472" s="434">
        <v>2010227</v>
      </c>
      <c r="G472" s="431" t="s">
        <v>1664</v>
      </c>
      <c r="H472" s="431"/>
      <c r="I472" s="431"/>
      <c r="J472" s="431"/>
      <c r="K472" s="431"/>
      <c r="L472" s="431"/>
      <c r="M472" s="431"/>
      <c r="N472" s="433"/>
    </row>
    <row r="473" spans="1:14">
      <c r="A473" s="416">
        <f t="shared" si="8"/>
        <v>467</v>
      </c>
      <c r="B473" s="590"/>
      <c r="C473" s="452" t="s">
        <v>754</v>
      </c>
      <c r="D473" s="427"/>
      <c r="E473" s="428" t="s">
        <v>289</v>
      </c>
      <c r="F473" s="434">
        <v>1212199</v>
      </c>
      <c r="G473" s="431" t="s">
        <v>1664</v>
      </c>
      <c r="H473" s="431"/>
      <c r="I473" s="431"/>
      <c r="J473" s="431"/>
      <c r="K473" s="431"/>
      <c r="L473" s="431"/>
      <c r="M473" s="431"/>
      <c r="N473" s="433"/>
    </row>
    <row r="474" spans="1:14">
      <c r="A474" s="416">
        <f t="shared" si="8"/>
        <v>468</v>
      </c>
      <c r="B474" s="590"/>
      <c r="C474" s="452" t="s">
        <v>756</v>
      </c>
      <c r="D474" s="427"/>
      <c r="E474" s="428" t="s">
        <v>289</v>
      </c>
      <c r="F474" s="434">
        <v>3176751</v>
      </c>
      <c r="G474" s="431" t="s">
        <v>1664</v>
      </c>
      <c r="H474" s="431"/>
      <c r="I474" s="431"/>
      <c r="J474" s="431"/>
      <c r="K474" s="431"/>
      <c r="L474" s="431"/>
      <c r="M474" s="431"/>
      <c r="N474" s="433"/>
    </row>
    <row r="475" spans="1:14">
      <c r="A475" s="416">
        <f t="shared" si="8"/>
        <v>469</v>
      </c>
      <c r="B475" s="590"/>
      <c r="C475" s="452" t="s">
        <v>2220</v>
      </c>
      <c r="D475" s="427" t="s">
        <v>2218</v>
      </c>
      <c r="E475" s="428" t="s">
        <v>1709</v>
      </c>
      <c r="F475" s="434">
        <v>8685923</v>
      </c>
      <c r="G475" s="431" t="s">
        <v>1664</v>
      </c>
      <c r="H475" s="431"/>
      <c r="I475" s="431"/>
      <c r="J475" s="431"/>
      <c r="K475" s="431"/>
      <c r="L475" s="431"/>
      <c r="M475" s="431"/>
      <c r="N475" s="433"/>
    </row>
    <row r="476" spans="1:14">
      <c r="A476" s="416">
        <f t="shared" si="8"/>
        <v>470</v>
      </c>
      <c r="B476" s="590"/>
      <c r="C476" s="452" t="s">
        <v>760</v>
      </c>
      <c r="D476" s="427" t="s">
        <v>2221</v>
      </c>
      <c r="E476" s="428" t="s">
        <v>1709</v>
      </c>
      <c r="F476" s="434">
        <v>5561905</v>
      </c>
      <c r="G476" s="431" t="s">
        <v>1664</v>
      </c>
      <c r="H476" s="431"/>
      <c r="I476" s="431"/>
      <c r="J476" s="431"/>
      <c r="K476" s="431"/>
      <c r="L476" s="431"/>
      <c r="M476" s="431"/>
      <c r="N476" s="433"/>
    </row>
    <row r="477" spans="1:14">
      <c r="A477" s="416">
        <f t="shared" si="8"/>
        <v>471</v>
      </c>
      <c r="B477" s="590"/>
      <c r="C477" s="452" t="s">
        <v>762</v>
      </c>
      <c r="D477" s="427"/>
      <c r="E477" s="428" t="s">
        <v>289</v>
      </c>
      <c r="F477" s="434">
        <v>2270236</v>
      </c>
      <c r="G477" s="431" t="s">
        <v>1664</v>
      </c>
      <c r="H477" s="431"/>
      <c r="I477" s="431"/>
      <c r="J477" s="431"/>
      <c r="K477" s="431"/>
      <c r="L477" s="431"/>
      <c r="M477" s="431"/>
      <c r="N477" s="433"/>
    </row>
    <row r="478" spans="1:14" ht="29">
      <c r="A478" s="416">
        <f t="shared" si="8"/>
        <v>472</v>
      </c>
      <c r="B478" s="590"/>
      <c r="C478" s="452" t="s">
        <v>764</v>
      </c>
      <c r="D478" s="427"/>
      <c r="E478" s="428" t="s">
        <v>289</v>
      </c>
      <c r="F478" s="434">
        <v>11228663</v>
      </c>
      <c r="G478" s="431" t="s">
        <v>1664</v>
      </c>
      <c r="H478" s="431"/>
      <c r="I478" s="431"/>
      <c r="J478" s="431"/>
      <c r="K478" s="431"/>
      <c r="L478" s="431"/>
      <c r="M478" s="431"/>
      <c r="N478" s="433"/>
    </row>
    <row r="479" spans="1:14">
      <c r="A479" s="416">
        <f t="shared" ref="A479:A484" si="9">A478+1</f>
        <v>473</v>
      </c>
      <c r="B479" s="590"/>
      <c r="C479" s="452" t="s">
        <v>766</v>
      </c>
      <c r="D479" s="427"/>
      <c r="E479" s="428" t="s">
        <v>289</v>
      </c>
      <c r="F479" s="434">
        <v>617623</v>
      </c>
      <c r="G479" s="431" t="s">
        <v>1664</v>
      </c>
      <c r="H479" s="431"/>
      <c r="I479" s="431"/>
      <c r="J479" s="431"/>
      <c r="K479" s="431"/>
      <c r="L479" s="431"/>
      <c r="M479" s="431"/>
      <c r="N479" s="433"/>
    </row>
    <row r="480" spans="1:14" ht="29">
      <c r="A480" s="416">
        <f t="shared" si="9"/>
        <v>474</v>
      </c>
      <c r="B480" s="590"/>
      <c r="C480" s="452" t="s">
        <v>768</v>
      </c>
      <c r="D480" s="427"/>
      <c r="E480" s="428" t="s">
        <v>289</v>
      </c>
      <c r="F480" s="434">
        <v>6319622</v>
      </c>
      <c r="G480" s="431" t="s">
        <v>1664</v>
      </c>
      <c r="H480" s="431"/>
      <c r="I480" s="431"/>
      <c r="J480" s="431"/>
      <c r="K480" s="431"/>
      <c r="L480" s="431"/>
      <c r="M480" s="431"/>
      <c r="N480" s="433"/>
    </row>
    <row r="481" spans="1:14">
      <c r="A481" s="416">
        <f t="shared" si="9"/>
        <v>475</v>
      </c>
      <c r="B481" s="590"/>
      <c r="C481" s="452" t="s">
        <v>770</v>
      </c>
      <c r="D481" s="427"/>
      <c r="E481" s="428" t="s">
        <v>289</v>
      </c>
      <c r="F481" s="434">
        <v>324360</v>
      </c>
      <c r="G481" s="431" t="s">
        <v>1664</v>
      </c>
      <c r="H481" s="431"/>
      <c r="I481" s="431"/>
      <c r="J481" s="431"/>
      <c r="K481" s="431"/>
      <c r="L481" s="431"/>
      <c r="M481" s="431"/>
      <c r="N481" s="433"/>
    </row>
    <row r="482" spans="1:14">
      <c r="A482" s="416">
        <f t="shared" si="9"/>
        <v>476</v>
      </c>
      <c r="B482" s="590"/>
      <c r="C482" s="452" t="s">
        <v>772</v>
      </c>
      <c r="D482" s="427"/>
      <c r="E482" s="428" t="s">
        <v>289</v>
      </c>
      <c r="F482" s="434">
        <v>4941649</v>
      </c>
      <c r="G482" s="431" t="s">
        <v>1664</v>
      </c>
      <c r="H482" s="431"/>
      <c r="I482" s="431"/>
      <c r="J482" s="431"/>
      <c r="K482" s="431"/>
      <c r="L482" s="431"/>
      <c r="M482" s="431"/>
      <c r="N482" s="433"/>
    </row>
    <row r="483" spans="1:14">
      <c r="A483" s="416">
        <f t="shared" si="9"/>
        <v>477</v>
      </c>
      <c r="B483" s="590"/>
      <c r="C483" s="452" t="s">
        <v>774</v>
      </c>
      <c r="D483" s="427"/>
      <c r="E483" s="428" t="s">
        <v>289</v>
      </c>
      <c r="F483" s="434">
        <v>3155850</v>
      </c>
      <c r="G483" s="431" t="s">
        <v>1664</v>
      </c>
      <c r="H483" s="431"/>
      <c r="I483" s="431"/>
      <c r="J483" s="431"/>
      <c r="K483" s="431"/>
      <c r="L483" s="431"/>
      <c r="M483" s="431"/>
      <c r="N483" s="433"/>
    </row>
    <row r="484" spans="1:14" ht="17.25" customHeight="1">
      <c r="A484" s="416">
        <f t="shared" si="9"/>
        <v>478</v>
      </c>
      <c r="B484" s="590"/>
      <c r="C484" s="452" t="s">
        <v>776</v>
      </c>
      <c r="D484" s="427"/>
      <c r="E484" s="428" t="s">
        <v>289</v>
      </c>
      <c r="F484" s="434">
        <v>22285708</v>
      </c>
      <c r="G484" s="431" t="s">
        <v>1664</v>
      </c>
      <c r="H484" s="431"/>
      <c r="I484" s="431"/>
      <c r="J484" s="431"/>
      <c r="K484" s="431"/>
      <c r="L484" s="431"/>
      <c r="M484" s="431"/>
      <c r="N484" s="433"/>
    </row>
    <row r="485" spans="1:14">
      <c r="A485" s="416">
        <f t="shared" ref="A485:A506" si="10">A484+1</f>
        <v>479</v>
      </c>
      <c r="B485" s="590"/>
      <c r="C485" s="452" t="s">
        <v>778</v>
      </c>
      <c r="D485" s="427"/>
      <c r="E485" s="428" t="s">
        <v>289</v>
      </c>
      <c r="F485" s="434">
        <v>1055414</v>
      </c>
      <c r="G485" s="431" t="s">
        <v>1664</v>
      </c>
      <c r="H485" s="431"/>
      <c r="I485" s="431"/>
      <c r="J485" s="431"/>
      <c r="K485" s="431"/>
      <c r="L485" s="431"/>
      <c r="M485" s="431"/>
      <c r="N485" s="433"/>
    </row>
    <row r="486" spans="1:14">
      <c r="A486" s="416">
        <f t="shared" si="10"/>
        <v>480</v>
      </c>
      <c r="B486" s="590"/>
      <c r="C486" s="452" t="s">
        <v>784</v>
      </c>
      <c r="D486" s="427"/>
      <c r="E486" s="428" t="s">
        <v>289</v>
      </c>
      <c r="F486" s="434">
        <v>8982948</v>
      </c>
      <c r="G486" s="431" t="s">
        <v>1664</v>
      </c>
      <c r="H486" s="431"/>
      <c r="I486" s="431"/>
      <c r="J486" s="431"/>
      <c r="K486" s="431"/>
      <c r="L486" s="431"/>
      <c r="M486" s="431"/>
      <c r="N486" s="433"/>
    </row>
    <row r="487" spans="1:14">
      <c r="A487" s="416">
        <f t="shared" si="10"/>
        <v>481</v>
      </c>
      <c r="B487" s="590"/>
      <c r="C487" s="452" t="s">
        <v>786</v>
      </c>
      <c r="D487" s="427"/>
      <c r="E487" s="428" t="s">
        <v>289</v>
      </c>
      <c r="F487" s="434">
        <v>2038631</v>
      </c>
      <c r="G487" s="431" t="s">
        <v>1664</v>
      </c>
      <c r="H487" s="431"/>
      <c r="I487" s="431"/>
      <c r="J487" s="431"/>
      <c r="K487" s="431"/>
      <c r="L487" s="431"/>
      <c r="M487" s="431"/>
      <c r="N487" s="433"/>
    </row>
    <row r="488" spans="1:14">
      <c r="A488" s="416">
        <f t="shared" si="10"/>
        <v>482</v>
      </c>
      <c r="B488" s="590"/>
      <c r="C488" s="452" t="s">
        <v>790</v>
      </c>
      <c r="D488" s="427"/>
      <c r="E488" s="428" t="s">
        <v>289</v>
      </c>
      <c r="F488" s="434">
        <v>1089083</v>
      </c>
      <c r="G488" s="431" t="s">
        <v>1664</v>
      </c>
      <c r="H488" s="431"/>
      <c r="I488" s="431"/>
      <c r="J488" s="431"/>
      <c r="K488" s="431"/>
      <c r="L488" s="431"/>
      <c r="M488" s="431"/>
      <c r="N488" s="433"/>
    </row>
    <row r="489" spans="1:14">
      <c r="A489" s="416">
        <f t="shared" si="10"/>
        <v>483</v>
      </c>
      <c r="B489" s="590"/>
      <c r="C489" s="452" t="s">
        <v>792</v>
      </c>
      <c r="D489" s="427"/>
      <c r="E489" s="428" t="s">
        <v>289</v>
      </c>
      <c r="F489" s="434">
        <v>1816904</v>
      </c>
      <c r="G489" s="431" t="s">
        <v>1664</v>
      </c>
      <c r="H489" s="431"/>
      <c r="I489" s="431"/>
      <c r="J489" s="431"/>
      <c r="K489" s="431"/>
      <c r="L489" s="431"/>
      <c r="M489" s="431"/>
      <c r="N489" s="433"/>
    </row>
    <row r="490" spans="1:14">
      <c r="A490" s="416">
        <f t="shared" si="10"/>
        <v>484</v>
      </c>
      <c r="B490" s="590"/>
      <c r="C490" s="452" t="s">
        <v>794</v>
      </c>
      <c r="D490" s="427"/>
      <c r="E490" s="428" t="s">
        <v>289</v>
      </c>
      <c r="F490" s="434">
        <v>1790108</v>
      </c>
      <c r="G490" s="431" t="s">
        <v>1664</v>
      </c>
      <c r="H490" s="431"/>
      <c r="I490" s="431"/>
      <c r="J490" s="431"/>
      <c r="K490" s="431"/>
      <c r="L490" s="431"/>
      <c r="M490" s="431"/>
      <c r="N490" s="433"/>
    </row>
    <row r="491" spans="1:14">
      <c r="A491" s="416">
        <f t="shared" si="10"/>
        <v>485</v>
      </c>
      <c r="B491" s="590"/>
      <c r="C491" s="452" t="s">
        <v>796</v>
      </c>
      <c r="D491" s="427"/>
      <c r="E491" s="428" t="s">
        <v>289</v>
      </c>
      <c r="F491" s="434">
        <v>6346264</v>
      </c>
      <c r="G491" s="431" t="s">
        <v>1664</v>
      </c>
      <c r="H491" s="431"/>
      <c r="I491" s="431"/>
      <c r="J491" s="431"/>
      <c r="K491" s="431"/>
      <c r="L491" s="431"/>
      <c r="M491" s="431"/>
      <c r="N491" s="433"/>
    </row>
    <row r="492" spans="1:14">
      <c r="A492" s="416">
        <f t="shared" si="10"/>
        <v>486</v>
      </c>
      <c r="B492" s="590"/>
      <c r="C492" s="452" t="s">
        <v>798</v>
      </c>
      <c r="D492" s="427"/>
      <c r="E492" s="428" t="s">
        <v>289</v>
      </c>
      <c r="F492" s="434">
        <v>10569338</v>
      </c>
      <c r="G492" s="431" t="s">
        <v>1664</v>
      </c>
      <c r="H492" s="431"/>
      <c r="I492" s="431"/>
      <c r="J492" s="431"/>
      <c r="K492" s="431"/>
      <c r="L492" s="431"/>
      <c r="M492" s="431"/>
      <c r="N492" s="433"/>
    </row>
    <row r="493" spans="1:14">
      <c r="A493" s="416">
        <f t="shared" si="10"/>
        <v>487</v>
      </c>
      <c r="B493" s="590"/>
      <c r="C493" s="452" t="s">
        <v>800</v>
      </c>
      <c r="D493" s="427" t="s">
        <v>2215</v>
      </c>
      <c r="E493" s="428" t="s">
        <v>1709</v>
      </c>
      <c r="F493" s="434">
        <v>3750704</v>
      </c>
      <c r="G493" s="431" t="s">
        <v>1664</v>
      </c>
      <c r="H493" s="431"/>
      <c r="I493" s="431"/>
      <c r="J493" s="431"/>
      <c r="K493" s="431"/>
      <c r="L493" s="431"/>
      <c r="M493" s="431"/>
      <c r="N493" s="433"/>
    </row>
    <row r="494" spans="1:14">
      <c r="A494" s="416">
        <f t="shared" si="10"/>
        <v>488</v>
      </c>
      <c r="B494" s="590"/>
      <c r="C494" s="452" t="s">
        <v>802</v>
      </c>
      <c r="D494" s="427"/>
      <c r="E494" s="428" t="s">
        <v>289</v>
      </c>
      <c r="F494" s="434">
        <v>2720853</v>
      </c>
      <c r="G494" s="431" t="s">
        <v>1664</v>
      </c>
      <c r="H494" s="431"/>
      <c r="I494" s="431"/>
      <c r="J494" s="431"/>
      <c r="K494" s="431"/>
      <c r="L494" s="431"/>
      <c r="M494" s="431"/>
      <c r="N494" s="433"/>
    </row>
    <row r="495" spans="1:14" ht="29">
      <c r="A495" s="416">
        <f t="shared" si="10"/>
        <v>489</v>
      </c>
      <c r="B495" s="590"/>
      <c r="C495" s="452" t="s">
        <v>804</v>
      </c>
      <c r="D495" s="427"/>
      <c r="E495" s="428" t="s">
        <v>289</v>
      </c>
      <c r="F495" s="434">
        <v>1132486</v>
      </c>
      <c r="G495" s="431" t="s">
        <v>1664</v>
      </c>
      <c r="H495" s="431"/>
      <c r="I495" s="431"/>
      <c r="J495" s="431"/>
      <c r="K495" s="431"/>
      <c r="L495" s="431"/>
      <c r="M495" s="431"/>
      <c r="N495" s="433"/>
    </row>
    <row r="496" spans="1:14" ht="29">
      <c r="A496" s="416">
        <f t="shared" si="10"/>
        <v>490</v>
      </c>
      <c r="B496" s="590"/>
      <c r="C496" s="452" t="s">
        <v>806</v>
      </c>
      <c r="D496" s="427"/>
      <c r="E496" s="428" t="s">
        <v>289</v>
      </c>
      <c r="F496" s="434">
        <v>309991</v>
      </c>
      <c r="G496" s="431" t="s">
        <v>1664</v>
      </c>
      <c r="H496" s="431"/>
      <c r="I496" s="431"/>
      <c r="J496" s="431"/>
      <c r="K496" s="431"/>
      <c r="L496" s="431"/>
      <c r="M496" s="431"/>
      <c r="N496" s="433"/>
    </row>
    <row r="497" spans="1:14" ht="29">
      <c r="A497" s="416">
        <f t="shared" si="10"/>
        <v>491</v>
      </c>
      <c r="B497" s="590"/>
      <c r="C497" s="452" t="s">
        <v>808</v>
      </c>
      <c r="D497" s="427"/>
      <c r="E497" s="428" t="s">
        <v>289</v>
      </c>
      <c r="F497" s="434">
        <v>2651860</v>
      </c>
      <c r="G497" s="431" t="s">
        <v>1664</v>
      </c>
      <c r="H497" s="431"/>
      <c r="I497" s="431"/>
      <c r="J497" s="431"/>
      <c r="K497" s="431"/>
      <c r="L497" s="431"/>
      <c r="M497" s="431"/>
      <c r="N497" s="433"/>
    </row>
    <row r="498" spans="1:14" ht="29">
      <c r="A498" s="416">
        <f t="shared" si="10"/>
        <v>492</v>
      </c>
      <c r="B498" s="590"/>
      <c r="C498" s="452" t="s">
        <v>810</v>
      </c>
      <c r="D498" s="427"/>
      <c r="E498" s="428" t="s">
        <v>289</v>
      </c>
      <c r="F498" s="434">
        <v>3850393</v>
      </c>
      <c r="G498" s="431" t="s">
        <v>1664</v>
      </c>
      <c r="H498" s="431"/>
      <c r="I498" s="431"/>
      <c r="J498" s="431"/>
      <c r="K498" s="431"/>
      <c r="L498" s="431"/>
      <c r="M498" s="431"/>
      <c r="N498" s="433"/>
    </row>
    <row r="499" spans="1:14" ht="29">
      <c r="A499" s="416">
        <f t="shared" si="10"/>
        <v>493</v>
      </c>
      <c r="B499" s="590"/>
      <c r="C499" s="452" t="s">
        <v>812</v>
      </c>
      <c r="D499" s="427"/>
      <c r="E499" s="428" t="s">
        <v>289</v>
      </c>
      <c r="F499" s="434">
        <v>5119119</v>
      </c>
      <c r="G499" s="431" t="s">
        <v>1664</v>
      </c>
      <c r="H499" s="431"/>
      <c r="I499" s="431"/>
      <c r="J499" s="431"/>
      <c r="K499" s="431"/>
      <c r="L499" s="431"/>
      <c r="M499" s="431"/>
      <c r="N499" s="433"/>
    </row>
    <row r="500" spans="1:14">
      <c r="A500" s="416">
        <f t="shared" si="10"/>
        <v>494</v>
      </c>
      <c r="B500" s="590"/>
      <c r="C500" s="452" t="s">
        <v>814</v>
      </c>
      <c r="D500" s="427"/>
      <c r="E500" s="428" t="s">
        <v>289</v>
      </c>
      <c r="F500" s="434">
        <v>5768280</v>
      </c>
      <c r="G500" s="431" t="s">
        <v>1664</v>
      </c>
      <c r="H500" s="431"/>
      <c r="I500" s="431"/>
      <c r="J500" s="431"/>
      <c r="K500" s="431"/>
      <c r="L500" s="431"/>
      <c r="M500" s="431"/>
      <c r="N500" s="433"/>
    </row>
    <row r="501" spans="1:14">
      <c r="A501" s="416">
        <f t="shared" si="10"/>
        <v>495</v>
      </c>
      <c r="B501" s="590"/>
      <c r="C501" s="452" t="s">
        <v>816</v>
      </c>
      <c r="D501" s="427"/>
      <c r="E501" s="428" t="s">
        <v>289</v>
      </c>
      <c r="F501" s="434">
        <v>1967901</v>
      </c>
      <c r="G501" s="431" t="s">
        <v>1664</v>
      </c>
      <c r="H501" s="431"/>
      <c r="I501" s="431"/>
      <c r="J501" s="431"/>
      <c r="K501" s="431"/>
      <c r="L501" s="431"/>
      <c r="M501" s="431"/>
      <c r="N501" s="433"/>
    </row>
    <row r="502" spans="1:14">
      <c r="A502" s="416">
        <f t="shared" si="10"/>
        <v>496</v>
      </c>
      <c r="B502" s="590"/>
      <c r="C502" s="452" t="s">
        <v>818</v>
      </c>
      <c r="D502" s="427"/>
      <c r="E502" s="428" t="s">
        <v>289</v>
      </c>
      <c r="F502" s="434">
        <v>6683770</v>
      </c>
      <c r="G502" s="431" t="s">
        <v>1664</v>
      </c>
      <c r="H502" s="431"/>
      <c r="I502" s="431"/>
      <c r="J502" s="431"/>
      <c r="K502" s="431"/>
      <c r="L502" s="431"/>
      <c r="M502" s="431"/>
      <c r="N502" s="433"/>
    </row>
    <row r="503" spans="1:14">
      <c r="A503" s="416">
        <f t="shared" si="10"/>
        <v>497</v>
      </c>
      <c r="B503" s="590"/>
      <c r="C503" s="452" t="s">
        <v>820</v>
      </c>
      <c r="D503" s="427"/>
      <c r="E503" s="428" t="s">
        <v>289</v>
      </c>
      <c r="F503" s="434">
        <v>388816</v>
      </c>
      <c r="G503" s="431" t="s">
        <v>1664</v>
      </c>
      <c r="H503" s="431"/>
      <c r="I503" s="431"/>
      <c r="J503" s="431"/>
      <c r="K503" s="431"/>
      <c r="L503" s="431"/>
      <c r="M503" s="431"/>
      <c r="N503" s="433"/>
    </row>
    <row r="504" spans="1:14" ht="16.5" customHeight="1">
      <c r="A504" s="416">
        <f t="shared" si="10"/>
        <v>498</v>
      </c>
      <c r="B504" s="590"/>
      <c r="C504" s="452" t="s">
        <v>822</v>
      </c>
      <c r="D504" s="427"/>
      <c r="E504" s="428" t="s">
        <v>289</v>
      </c>
      <c r="F504" s="434">
        <v>2488318</v>
      </c>
      <c r="G504" s="431" t="s">
        <v>1664</v>
      </c>
      <c r="H504" s="431"/>
      <c r="I504" s="431"/>
      <c r="J504" s="431"/>
      <c r="K504" s="431"/>
      <c r="L504" s="431"/>
      <c r="M504" s="431"/>
      <c r="N504" s="433"/>
    </row>
    <row r="505" spans="1:14">
      <c r="A505" s="416">
        <f t="shared" si="10"/>
        <v>499</v>
      </c>
      <c r="B505" s="590"/>
      <c r="C505" s="452" t="s">
        <v>824</v>
      </c>
      <c r="D505" s="427"/>
      <c r="E505" s="428" t="s">
        <v>289</v>
      </c>
      <c r="F505" s="434">
        <v>1187034</v>
      </c>
      <c r="G505" s="431" t="s">
        <v>1664</v>
      </c>
      <c r="H505" s="431"/>
      <c r="I505" s="431"/>
      <c r="J505" s="431"/>
      <c r="K505" s="431"/>
      <c r="L505" s="431"/>
      <c r="M505" s="431"/>
      <c r="N505" s="433"/>
    </row>
    <row r="506" spans="1:14">
      <c r="A506" s="416">
        <f t="shared" si="10"/>
        <v>500</v>
      </c>
      <c r="B506" s="590"/>
      <c r="C506" s="452" t="s">
        <v>826</v>
      </c>
      <c r="D506" s="427"/>
      <c r="G506" s="431" t="s">
        <v>1664</v>
      </c>
      <c r="H506" s="431"/>
      <c r="I506" s="431"/>
      <c r="J506" s="431"/>
      <c r="K506" s="431"/>
      <c r="L506" s="431"/>
      <c r="M506" s="431"/>
      <c r="N506" s="433"/>
    </row>
    <row r="507" spans="1:14" ht="29">
      <c r="A507" s="416">
        <f t="shared" ref="A507:A512" si="11">A506+1</f>
        <v>501</v>
      </c>
      <c r="B507" s="590"/>
      <c r="C507" s="452" t="s">
        <v>828</v>
      </c>
      <c r="D507" s="427"/>
      <c r="E507" s="428" t="s">
        <v>289</v>
      </c>
      <c r="F507" s="434">
        <v>52064</v>
      </c>
      <c r="G507" s="431" t="s">
        <v>1664</v>
      </c>
      <c r="H507" s="431"/>
      <c r="I507" s="431"/>
      <c r="J507" s="431"/>
      <c r="K507" s="431"/>
      <c r="L507" s="431"/>
      <c r="M507" s="431"/>
      <c r="N507" s="433"/>
    </row>
    <row r="508" spans="1:14">
      <c r="A508" s="416">
        <f t="shared" si="11"/>
        <v>502</v>
      </c>
      <c r="B508" s="590"/>
      <c r="C508" s="452" t="s">
        <v>832</v>
      </c>
      <c r="D508" s="427"/>
      <c r="E508" s="428" t="s">
        <v>289</v>
      </c>
      <c r="F508" s="434">
        <v>2235655</v>
      </c>
      <c r="G508" s="431" t="s">
        <v>1664</v>
      </c>
      <c r="H508" s="431"/>
      <c r="I508" s="431"/>
      <c r="J508" s="431"/>
      <c r="K508" s="431"/>
      <c r="L508" s="431"/>
      <c r="M508" s="431"/>
      <c r="N508" s="433"/>
    </row>
    <row r="509" spans="1:14">
      <c r="A509" s="416">
        <f t="shared" si="11"/>
        <v>503</v>
      </c>
      <c r="B509" s="590"/>
      <c r="C509" s="452" t="s">
        <v>836</v>
      </c>
      <c r="D509" s="427"/>
      <c r="E509" s="428" t="s">
        <v>289</v>
      </c>
      <c r="F509" s="434">
        <v>1825369</v>
      </c>
      <c r="G509" s="431" t="s">
        <v>1664</v>
      </c>
      <c r="H509" s="431"/>
      <c r="I509" s="431"/>
      <c r="J509" s="431"/>
      <c r="K509" s="431"/>
      <c r="L509" s="431"/>
      <c r="M509" s="431"/>
      <c r="N509" s="433"/>
    </row>
    <row r="510" spans="1:14">
      <c r="A510" s="416">
        <f t="shared" si="11"/>
        <v>504</v>
      </c>
      <c r="B510" s="590"/>
      <c r="C510" s="452" t="s">
        <v>838</v>
      </c>
      <c r="D510" s="427"/>
      <c r="E510" s="428" t="s">
        <v>289</v>
      </c>
      <c r="F510" s="434">
        <v>1938353</v>
      </c>
      <c r="G510" s="431" t="s">
        <v>1664</v>
      </c>
      <c r="H510" s="431"/>
      <c r="I510" s="431"/>
      <c r="J510" s="431"/>
      <c r="K510" s="431"/>
      <c r="L510" s="431"/>
      <c r="M510" s="431"/>
      <c r="N510" s="433"/>
    </row>
    <row r="511" spans="1:14">
      <c r="A511" s="416">
        <f t="shared" si="11"/>
        <v>505</v>
      </c>
      <c r="B511" s="590"/>
      <c r="C511" s="452" t="s">
        <v>840</v>
      </c>
      <c r="D511" s="427"/>
      <c r="E511" s="428" t="s">
        <v>289</v>
      </c>
      <c r="F511" s="434">
        <v>3217192</v>
      </c>
      <c r="G511" s="431" t="s">
        <v>1664</v>
      </c>
      <c r="H511" s="431"/>
      <c r="I511" s="431"/>
      <c r="J511" s="431"/>
      <c r="K511" s="431"/>
      <c r="L511" s="431"/>
      <c r="M511" s="431"/>
      <c r="N511" s="433"/>
    </row>
    <row r="512" spans="1:14" ht="29">
      <c r="A512" s="416">
        <f t="shared" si="11"/>
        <v>506</v>
      </c>
      <c r="B512" s="590"/>
      <c r="C512" s="452" t="s">
        <v>842</v>
      </c>
      <c r="D512" s="427"/>
      <c r="E512" s="428" t="s">
        <v>289</v>
      </c>
      <c r="F512" s="434">
        <v>277897</v>
      </c>
      <c r="G512" s="431" t="s">
        <v>1664</v>
      </c>
      <c r="H512" s="431"/>
      <c r="I512" s="431"/>
      <c r="J512" s="431"/>
      <c r="K512" s="431"/>
      <c r="L512" s="431"/>
      <c r="M512" s="431"/>
      <c r="N512" s="433"/>
    </row>
    <row r="513" spans="1:14">
      <c r="A513" s="416">
        <f t="shared" ref="A513:A576" si="12">A512+1</f>
        <v>507</v>
      </c>
      <c r="B513" s="590"/>
      <c r="C513" s="452" t="s">
        <v>844</v>
      </c>
      <c r="D513" s="427"/>
      <c r="E513" s="428" t="s">
        <v>289</v>
      </c>
      <c r="F513" s="434">
        <v>6743203</v>
      </c>
      <c r="G513" s="431" t="s">
        <v>1664</v>
      </c>
      <c r="H513" s="431"/>
      <c r="I513" s="431"/>
      <c r="J513" s="431"/>
      <c r="K513" s="431"/>
      <c r="L513" s="431"/>
      <c r="M513" s="431"/>
      <c r="N513" s="433"/>
    </row>
    <row r="514" spans="1:14">
      <c r="A514" s="416">
        <f t="shared" si="12"/>
        <v>508</v>
      </c>
      <c r="B514" s="590"/>
      <c r="C514" s="452" t="s">
        <v>846</v>
      </c>
      <c r="D514" s="427" t="s">
        <v>2221</v>
      </c>
      <c r="E514" s="428" t="s">
        <v>1709</v>
      </c>
      <c r="F514" s="434">
        <v>1084858</v>
      </c>
      <c r="G514" s="431" t="s">
        <v>1664</v>
      </c>
      <c r="H514" s="431" t="s">
        <v>1664</v>
      </c>
      <c r="I514" s="431"/>
      <c r="J514" s="431"/>
      <c r="K514" s="431"/>
      <c r="L514" s="431"/>
      <c r="M514" s="431"/>
      <c r="N514" s="433"/>
    </row>
    <row r="515" spans="1:14">
      <c r="A515" s="416">
        <f t="shared" si="12"/>
        <v>509</v>
      </c>
      <c r="B515" s="590"/>
      <c r="C515" s="452" t="s">
        <v>848</v>
      </c>
      <c r="D515" s="427"/>
      <c r="E515" s="428" t="s">
        <v>289</v>
      </c>
      <c r="F515" s="434">
        <v>3485236</v>
      </c>
      <c r="G515" s="431" t="s">
        <v>1664</v>
      </c>
      <c r="H515" s="431"/>
      <c r="I515" s="431"/>
      <c r="J515" s="431"/>
      <c r="K515" s="431"/>
      <c r="L515" s="431"/>
      <c r="M515" s="431"/>
      <c r="N515" s="433"/>
    </row>
    <row r="516" spans="1:14">
      <c r="A516" s="416">
        <f t="shared" si="12"/>
        <v>510</v>
      </c>
      <c r="B516" s="590"/>
      <c r="C516" s="452" t="s">
        <v>850</v>
      </c>
      <c r="D516" s="427"/>
      <c r="E516" s="428" t="s">
        <v>289</v>
      </c>
      <c r="F516" s="434">
        <v>1527895</v>
      </c>
      <c r="G516" s="431" t="s">
        <v>1664</v>
      </c>
      <c r="H516" s="431"/>
      <c r="I516" s="431"/>
      <c r="J516" s="431"/>
      <c r="K516" s="431"/>
      <c r="L516" s="431"/>
      <c r="M516" s="431"/>
      <c r="N516" s="433"/>
    </row>
    <row r="517" spans="1:14">
      <c r="A517" s="416">
        <f t="shared" si="12"/>
        <v>511</v>
      </c>
      <c r="B517" s="590"/>
      <c r="C517" s="452" t="s">
        <v>2222</v>
      </c>
      <c r="D517" s="427" t="s">
        <v>2218</v>
      </c>
      <c r="E517" s="428" t="s">
        <v>1709</v>
      </c>
      <c r="F517" s="434">
        <v>4497482</v>
      </c>
      <c r="G517" s="431" t="s">
        <v>1664</v>
      </c>
      <c r="H517" s="431"/>
      <c r="I517" s="431"/>
      <c r="J517" s="431"/>
      <c r="K517" s="431"/>
      <c r="L517" s="431"/>
      <c r="M517" s="431"/>
      <c r="N517" s="433"/>
    </row>
    <row r="518" spans="1:14" ht="43.5">
      <c r="A518" s="416">
        <f t="shared" si="12"/>
        <v>512</v>
      </c>
      <c r="B518" s="590"/>
      <c r="C518" s="452" t="s">
        <v>854</v>
      </c>
      <c r="D518" s="427"/>
      <c r="E518" s="428" t="s">
        <v>289</v>
      </c>
      <c r="F518" s="434">
        <v>312931</v>
      </c>
      <c r="G518" s="431" t="s">
        <v>1664</v>
      </c>
      <c r="H518" s="431"/>
      <c r="I518" s="431"/>
      <c r="J518" s="431"/>
      <c r="K518" s="431"/>
      <c r="L518" s="431"/>
      <c r="M518" s="431"/>
      <c r="N518" s="433"/>
    </row>
    <row r="519" spans="1:14" ht="29">
      <c r="A519" s="416">
        <f t="shared" si="12"/>
        <v>513</v>
      </c>
      <c r="B519" s="590"/>
      <c r="C519" s="452" t="s">
        <v>856</v>
      </c>
      <c r="D519" s="427"/>
      <c r="E519" s="428" t="s">
        <v>289</v>
      </c>
      <c r="F519" s="434">
        <v>7381220</v>
      </c>
      <c r="G519" s="431" t="s">
        <v>1664</v>
      </c>
      <c r="H519" s="431"/>
      <c r="I519" s="431"/>
      <c r="J519" s="431"/>
      <c r="K519" s="431"/>
      <c r="L519" s="431"/>
      <c r="M519" s="431"/>
      <c r="N519" s="433"/>
    </row>
    <row r="520" spans="1:14">
      <c r="A520" s="416">
        <f t="shared" si="12"/>
        <v>514</v>
      </c>
      <c r="B520" s="590"/>
      <c r="C520" s="452" t="s">
        <v>858</v>
      </c>
      <c r="D520" s="427"/>
      <c r="E520" s="428" t="s">
        <v>289</v>
      </c>
      <c r="F520" s="434">
        <v>26679769</v>
      </c>
      <c r="G520" s="431" t="s">
        <v>1664</v>
      </c>
      <c r="H520" s="431"/>
      <c r="I520" s="431"/>
      <c r="J520" s="431"/>
      <c r="K520" s="431"/>
      <c r="L520" s="431"/>
      <c r="M520" s="431"/>
      <c r="N520" s="433"/>
    </row>
    <row r="521" spans="1:14">
      <c r="A521" s="416">
        <f t="shared" si="12"/>
        <v>515</v>
      </c>
      <c r="B521" s="590"/>
      <c r="C521" s="452" t="s">
        <v>859</v>
      </c>
      <c r="D521" s="427"/>
      <c r="E521" s="428" t="s">
        <v>289</v>
      </c>
      <c r="F521" s="434">
        <v>992709</v>
      </c>
      <c r="G521" s="431" t="s">
        <v>1664</v>
      </c>
      <c r="H521" s="431"/>
      <c r="I521" s="431"/>
      <c r="J521" s="431"/>
      <c r="K521" s="431"/>
      <c r="L521" s="431"/>
      <c r="M521" s="431"/>
      <c r="N521" s="433"/>
    </row>
    <row r="522" spans="1:14">
      <c r="A522" s="416">
        <f t="shared" si="12"/>
        <v>516</v>
      </c>
      <c r="B522" s="590"/>
      <c r="C522" s="452" t="s">
        <v>861</v>
      </c>
      <c r="D522" s="427"/>
      <c r="E522" s="428" t="s">
        <v>289</v>
      </c>
      <c r="F522" s="434">
        <v>17608556</v>
      </c>
      <c r="G522" s="431" t="s">
        <v>1664</v>
      </c>
      <c r="H522" s="431"/>
      <c r="I522" s="431"/>
      <c r="J522" s="431"/>
      <c r="K522" s="431"/>
      <c r="L522" s="431"/>
      <c r="M522" s="431"/>
      <c r="N522" s="433"/>
    </row>
    <row r="523" spans="1:14">
      <c r="A523" s="416">
        <f t="shared" si="12"/>
        <v>517</v>
      </c>
      <c r="B523" s="590"/>
      <c r="C523" s="452" t="s">
        <v>863</v>
      </c>
      <c r="D523" s="427"/>
      <c r="E523" s="428" t="s">
        <v>289</v>
      </c>
      <c r="F523" s="434">
        <v>2783582</v>
      </c>
      <c r="G523" s="431" t="s">
        <v>1664</v>
      </c>
      <c r="H523" s="431"/>
      <c r="I523" s="431"/>
      <c r="J523" s="431"/>
      <c r="K523" s="431"/>
      <c r="L523" s="431"/>
      <c r="M523" s="431"/>
      <c r="N523" s="433"/>
    </row>
    <row r="524" spans="1:14">
      <c r="A524" s="416">
        <f t="shared" si="12"/>
        <v>518</v>
      </c>
      <c r="B524" s="590"/>
      <c r="C524" s="452" t="s">
        <v>865</v>
      </c>
      <c r="D524" s="427"/>
      <c r="E524" s="428" t="s">
        <v>289</v>
      </c>
      <c r="F524" s="434">
        <v>4629316</v>
      </c>
      <c r="G524" s="431" t="s">
        <v>1664</v>
      </c>
      <c r="H524" s="431"/>
      <c r="I524" s="431"/>
      <c r="J524" s="431"/>
      <c r="K524" s="431"/>
      <c r="L524" s="431"/>
      <c r="M524" s="431"/>
      <c r="N524" s="433"/>
    </row>
    <row r="525" spans="1:14">
      <c r="A525" s="416">
        <f t="shared" si="12"/>
        <v>519</v>
      </c>
      <c r="B525" s="590"/>
      <c r="C525" s="452" t="s">
        <v>867</v>
      </c>
      <c r="D525" s="427" t="s">
        <v>2215</v>
      </c>
      <c r="E525" s="428" t="s">
        <v>1709</v>
      </c>
      <c r="F525" s="434">
        <v>2265163</v>
      </c>
      <c r="G525" s="431" t="s">
        <v>1664</v>
      </c>
      <c r="H525" s="431"/>
      <c r="I525" s="431"/>
      <c r="J525" s="431"/>
      <c r="K525" s="431"/>
      <c r="L525" s="431"/>
      <c r="M525" s="431"/>
      <c r="N525" s="433"/>
    </row>
    <row r="526" spans="1:14" ht="29">
      <c r="A526" s="416">
        <f t="shared" si="12"/>
        <v>520</v>
      </c>
      <c r="B526" s="590"/>
      <c r="C526" s="452" t="s">
        <v>2223</v>
      </c>
      <c r="D526" s="427" t="s">
        <v>2224</v>
      </c>
      <c r="E526" s="428" t="s">
        <v>1709</v>
      </c>
      <c r="F526" s="434">
        <v>0</v>
      </c>
      <c r="G526" s="431" t="s">
        <v>1664</v>
      </c>
      <c r="H526" s="431"/>
      <c r="I526" s="431"/>
      <c r="J526" s="431"/>
      <c r="K526" s="431"/>
      <c r="L526" s="431"/>
      <c r="M526" s="431"/>
      <c r="N526" s="433"/>
    </row>
    <row r="527" spans="1:14">
      <c r="A527" s="416">
        <f t="shared" si="12"/>
        <v>521</v>
      </c>
      <c r="B527" s="590"/>
      <c r="C527" s="452"/>
      <c r="D527" s="427"/>
      <c r="G527" s="431"/>
      <c r="H527" s="431"/>
      <c r="I527" s="431"/>
      <c r="J527" s="431"/>
      <c r="K527" s="431"/>
      <c r="L527" s="431"/>
      <c r="M527" s="431"/>
      <c r="N527" s="433"/>
    </row>
    <row r="528" spans="1:14">
      <c r="A528" s="416">
        <f t="shared" si="12"/>
        <v>522</v>
      </c>
      <c r="B528" s="590"/>
      <c r="C528" s="451" t="s">
        <v>2225</v>
      </c>
      <c r="D528" s="427"/>
      <c r="G528" s="431"/>
      <c r="H528" s="431"/>
      <c r="I528" s="431"/>
      <c r="J528" s="431"/>
      <c r="K528" s="431"/>
      <c r="L528" s="431"/>
      <c r="M528" s="431"/>
      <c r="N528" s="433"/>
    </row>
    <row r="529" spans="1:14">
      <c r="A529" s="416">
        <f t="shared" si="12"/>
        <v>523</v>
      </c>
      <c r="B529" s="590" t="s">
        <v>910</v>
      </c>
      <c r="C529" s="426" t="s">
        <v>1744</v>
      </c>
      <c r="D529" s="427" t="s">
        <v>1745</v>
      </c>
      <c r="E529" s="428" t="s">
        <v>289</v>
      </c>
      <c r="F529" s="434">
        <v>1286118</v>
      </c>
      <c r="G529" s="431" t="s">
        <v>1664</v>
      </c>
      <c r="H529" s="431"/>
      <c r="I529" s="431"/>
      <c r="J529" s="431"/>
      <c r="K529" s="431"/>
      <c r="L529" s="431"/>
      <c r="M529" s="431"/>
      <c r="N529" s="433"/>
    </row>
    <row r="530" spans="1:14">
      <c r="A530" s="416">
        <f t="shared" si="12"/>
        <v>524</v>
      </c>
      <c r="B530" s="590" t="s">
        <v>928</v>
      </c>
      <c r="C530" s="426" t="s">
        <v>2226</v>
      </c>
      <c r="D530" s="427" t="s">
        <v>2227</v>
      </c>
      <c r="E530" s="428" t="s">
        <v>289</v>
      </c>
      <c r="F530" s="434">
        <v>810134</v>
      </c>
      <c r="G530" s="431" t="s">
        <v>1664</v>
      </c>
      <c r="H530" s="431"/>
      <c r="I530" s="431"/>
      <c r="J530" s="431"/>
      <c r="K530" s="431"/>
      <c r="L530" s="431"/>
      <c r="M530" s="431"/>
      <c r="N530" s="433"/>
    </row>
    <row r="531" spans="1:14">
      <c r="A531" s="416">
        <f t="shared" si="12"/>
        <v>525</v>
      </c>
      <c r="B531" s="590" t="s">
        <v>1047</v>
      </c>
      <c r="C531" s="426" t="s">
        <v>2228</v>
      </c>
      <c r="D531" s="427" t="s">
        <v>2229</v>
      </c>
      <c r="E531" s="428" t="s">
        <v>289</v>
      </c>
      <c r="F531" s="434">
        <v>180660</v>
      </c>
      <c r="G531" s="431" t="s">
        <v>1664</v>
      </c>
      <c r="H531" s="431"/>
      <c r="I531" s="431"/>
      <c r="J531" s="431"/>
      <c r="K531" s="431"/>
      <c r="L531" s="431"/>
      <c r="M531" s="431"/>
      <c r="N531" s="433"/>
    </row>
    <row r="532" spans="1:14">
      <c r="A532" s="416">
        <f t="shared" si="12"/>
        <v>526</v>
      </c>
      <c r="B532" s="590" t="s">
        <v>1049</v>
      </c>
      <c r="C532" s="426" t="s">
        <v>2230</v>
      </c>
      <c r="D532" s="427" t="s">
        <v>1818</v>
      </c>
      <c r="E532" s="428" t="s">
        <v>289</v>
      </c>
      <c r="F532" s="434">
        <v>851881</v>
      </c>
      <c r="G532" s="431" t="s">
        <v>1664</v>
      </c>
      <c r="H532" s="431"/>
      <c r="I532" s="431"/>
      <c r="J532" s="431"/>
      <c r="K532" s="431"/>
      <c r="L532" s="431"/>
      <c r="M532" s="431"/>
      <c r="N532" s="433"/>
    </row>
    <row r="533" spans="1:14">
      <c r="A533" s="416">
        <f t="shared" si="12"/>
        <v>527</v>
      </c>
      <c r="B533" s="590" t="s">
        <v>1055</v>
      </c>
      <c r="C533" s="426" t="s">
        <v>2231</v>
      </c>
      <c r="D533" s="427" t="s">
        <v>2232</v>
      </c>
      <c r="E533" s="428" t="s">
        <v>289</v>
      </c>
      <c r="F533" s="434">
        <v>951783</v>
      </c>
      <c r="G533" s="431" t="s">
        <v>1664</v>
      </c>
      <c r="H533" s="431"/>
      <c r="I533" s="431"/>
      <c r="J533" s="431"/>
      <c r="K533" s="431"/>
      <c r="L533" s="431"/>
      <c r="M533" s="431"/>
      <c r="N533" s="433"/>
    </row>
    <row r="534" spans="1:14">
      <c r="A534" s="416">
        <f t="shared" si="12"/>
        <v>528</v>
      </c>
      <c r="B534" s="590" t="s">
        <v>1076</v>
      </c>
      <c r="C534" s="426" t="s">
        <v>2233</v>
      </c>
      <c r="D534" s="427" t="s">
        <v>2234</v>
      </c>
      <c r="E534" s="428" t="s">
        <v>289</v>
      </c>
      <c r="F534" s="434">
        <v>22102</v>
      </c>
      <c r="G534" s="431" t="s">
        <v>1664</v>
      </c>
      <c r="H534" s="431"/>
      <c r="I534" s="431"/>
      <c r="J534" s="431"/>
      <c r="K534" s="431"/>
      <c r="L534" s="431"/>
      <c r="M534" s="431"/>
      <c r="N534" s="433"/>
    </row>
    <row r="535" spans="1:14">
      <c r="A535" s="416">
        <f t="shared" si="12"/>
        <v>529</v>
      </c>
      <c r="B535" s="590" t="s">
        <v>1094</v>
      </c>
      <c r="C535" s="426" t="s">
        <v>2235</v>
      </c>
      <c r="D535" s="427" t="s">
        <v>2236</v>
      </c>
      <c r="E535" s="428" t="s">
        <v>289</v>
      </c>
      <c r="F535" s="434">
        <v>336089</v>
      </c>
      <c r="G535" s="431" t="s">
        <v>1664</v>
      </c>
      <c r="H535" s="431"/>
      <c r="I535" s="431"/>
      <c r="J535" s="431"/>
      <c r="K535" s="431"/>
      <c r="L535" s="431"/>
      <c r="M535" s="431"/>
      <c r="N535" s="433"/>
    </row>
    <row r="536" spans="1:14">
      <c r="A536" s="416">
        <f t="shared" si="12"/>
        <v>530</v>
      </c>
      <c r="B536" s="590" t="s">
        <v>1096</v>
      </c>
      <c r="C536" s="426" t="s">
        <v>2237</v>
      </c>
      <c r="D536" s="427" t="s">
        <v>2238</v>
      </c>
      <c r="E536" s="428" t="s">
        <v>1709</v>
      </c>
      <c r="F536" s="434">
        <v>166306</v>
      </c>
      <c r="G536" s="431" t="s">
        <v>1664</v>
      </c>
      <c r="H536" s="431" t="s">
        <v>1664</v>
      </c>
      <c r="I536" s="431"/>
      <c r="J536" s="431"/>
      <c r="K536" s="431"/>
      <c r="L536" s="431"/>
      <c r="M536" s="431"/>
      <c r="N536" s="433" t="s">
        <v>2239</v>
      </c>
    </row>
    <row r="537" spans="1:14">
      <c r="A537" s="416">
        <f t="shared" si="12"/>
        <v>531</v>
      </c>
      <c r="B537" s="590" t="s">
        <v>1110</v>
      </c>
      <c r="C537" s="426" t="s">
        <v>2240</v>
      </c>
      <c r="D537" s="427" t="s">
        <v>1770</v>
      </c>
      <c r="E537" s="428" t="s">
        <v>289</v>
      </c>
      <c r="F537" s="434">
        <v>232375</v>
      </c>
      <c r="G537" s="431" t="s">
        <v>1664</v>
      </c>
      <c r="H537" s="431"/>
      <c r="I537" s="431"/>
      <c r="J537" s="431"/>
      <c r="K537" s="431"/>
      <c r="L537" s="431"/>
      <c r="M537" s="431"/>
      <c r="N537" s="433"/>
    </row>
    <row r="538" spans="1:14">
      <c r="A538" s="416">
        <f t="shared" si="12"/>
        <v>532</v>
      </c>
      <c r="B538" s="590"/>
      <c r="D538" s="427"/>
      <c r="G538" s="431"/>
      <c r="H538" s="431"/>
      <c r="I538" s="431"/>
      <c r="J538" s="431"/>
      <c r="K538" s="431"/>
      <c r="L538" s="431"/>
      <c r="M538" s="431"/>
      <c r="N538" s="433"/>
    </row>
    <row r="539" spans="1:14" ht="29">
      <c r="A539" s="416">
        <f t="shared" si="12"/>
        <v>533</v>
      </c>
      <c r="B539" s="590"/>
      <c r="C539" s="418" t="s">
        <v>2241</v>
      </c>
      <c r="D539" s="427"/>
      <c r="G539" s="431"/>
      <c r="H539" s="431"/>
      <c r="I539" s="431"/>
      <c r="J539" s="431"/>
      <c r="K539" s="431"/>
      <c r="L539" s="431"/>
      <c r="M539" s="431"/>
      <c r="N539" s="433"/>
    </row>
    <row r="540" spans="1:14">
      <c r="A540" s="416">
        <f t="shared" si="12"/>
        <v>534</v>
      </c>
      <c r="B540" s="590"/>
      <c r="C540" s="426" t="s">
        <v>1158</v>
      </c>
      <c r="D540" s="427"/>
      <c r="E540" s="428" t="s">
        <v>289</v>
      </c>
      <c r="F540" s="434">
        <v>3488667</v>
      </c>
      <c r="G540" s="431"/>
      <c r="H540" s="431"/>
      <c r="I540" s="431"/>
      <c r="J540" s="431" t="s">
        <v>1664</v>
      </c>
      <c r="K540" s="431"/>
      <c r="L540" s="431"/>
      <c r="M540" s="431"/>
      <c r="N540" s="433"/>
    </row>
    <row r="541" spans="1:14">
      <c r="A541" s="416">
        <f t="shared" si="12"/>
        <v>535</v>
      </c>
      <c r="B541" s="590"/>
      <c r="C541" s="426" t="s">
        <v>1160</v>
      </c>
      <c r="D541" s="427"/>
      <c r="E541" s="428" t="s">
        <v>289</v>
      </c>
      <c r="F541" s="434">
        <v>9536492</v>
      </c>
      <c r="G541" s="431"/>
      <c r="H541" s="431"/>
      <c r="I541" s="431"/>
      <c r="J541" s="431" t="s">
        <v>1664</v>
      </c>
      <c r="K541" s="431"/>
      <c r="L541" s="431"/>
      <c r="M541" s="431"/>
      <c r="N541" s="433"/>
    </row>
    <row r="542" spans="1:14">
      <c r="A542" s="416">
        <f t="shared" si="12"/>
        <v>536</v>
      </c>
      <c r="B542" s="590"/>
      <c r="C542" s="426" t="s">
        <v>1162</v>
      </c>
      <c r="D542" s="427"/>
      <c r="E542" s="428" t="s">
        <v>289</v>
      </c>
      <c r="F542" s="434">
        <v>3934438</v>
      </c>
      <c r="G542" s="431"/>
      <c r="H542" s="431"/>
      <c r="I542" s="431"/>
      <c r="J542" s="431" t="s">
        <v>1664</v>
      </c>
      <c r="K542" s="431"/>
      <c r="L542" s="431"/>
      <c r="M542" s="431"/>
      <c r="N542" s="433"/>
    </row>
    <row r="543" spans="1:14" ht="17.25" customHeight="1">
      <c r="A543" s="416">
        <f t="shared" si="12"/>
        <v>537</v>
      </c>
      <c r="B543" s="590"/>
      <c r="C543" s="426" t="s">
        <v>1164</v>
      </c>
      <c r="D543" s="427"/>
      <c r="E543" s="428" t="s">
        <v>289</v>
      </c>
      <c r="F543" s="434">
        <v>3852064</v>
      </c>
      <c r="G543" s="431"/>
      <c r="H543" s="431"/>
      <c r="I543" s="431"/>
      <c r="J543" s="431" t="s">
        <v>1664</v>
      </c>
      <c r="K543" s="431"/>
      <c r="L543" s="431"/>
      <c r="M543" s="431"/>
      <c r="N543" s="433"/>
    </row>
    <row r="544" spans="1:14" ht="29">
      <c r="A544" s="416">
        <f t="shared" si="12"/>
        <v>538</v>
      </c>
      <c r="B544" s="590"/>
      <c r="C544" s="426" t="s">
        <v>1166</v>
      </c>
      <c r="D544" s="427"/>
      <c r="E544" s="428" t="s">
        <v>289</v>
      </c>
      <c r="F544" s="434">
        <v>2040287</v>
      </c>
      <c r="G544" s="431"/>
      <c r="H544" s="431"/>
      <c r="I544" s="431"/>
      <c r="J544" s="431" t="s">
        <v>1664</v>
      </c>
      <c r="K544" s="431"/>
      <c r="L544" s="431"/>
      <c r="M544" s="431"/>
      <c r="N544" s="433"/>
    </row>
    <row r="545" spans="1:14">
      <c r="A545" s="416">
        <f t="shared" si="12"/>
        <v>539</v>
      </c>
      <c r="B545" s="590"/>
      <c r="C545" s="426" t="s">
        <v>1168</v>
      </c>
      <c r="D545" s="427"/>
      <c r="E545" s="428" t="s">
        <v>289</v>
      </c>
      <c r="F545" s="434">
        <v>794673</v>
      </c>
      <c r="G545" s="431"/>
      <c r="H545" s="431"/>
      <c r="I545" s="431"/>
      <c r="J545" s="431" t="s">
        <v>1664</v>
      </c>
      <c r="K545" s="431"/>
      <c r="L545" s="431"/>
      <c r="M545" s="431"/>
      <c r="N545" s="433"/>
    </row>
    <row r="546" spans="1:14">
      <c r="A546" s="416">
        <f t="shared" si="12"/>
        <v>540</v>
      </c>
      <c r="B546" s="590"/>
      <c r="C546" s="426" t="s">
        <v>1170</v>
      </c>
      <c r="D546" s="427"/>
      <c r="E546" s="428" t="s">
        <v>289</v>
      </c>
      <c r="F546" s="434">
        <v>5626463</v>
      </c>
      <c r="G546" s="431"/>
      <c r="H546" s="431"/>
      <c r="I546" s="431"/>
      <c r="J546" s="431" t="s">
        <v>1664</v>
      </c>
      <c r="K546" s="431"/>
      <c r="L546" s="431"/>
      <c r="M546" s="431"/>
      <c r="N546" s="433"/>
    </row>
    <row r="547" spans="1:14" ht="16.5" customHeight="1">
      <c r="A547" s="416">
        <f t="shared" si="12"/>
        <v>541</v>
      </c>
      <c r="B547" s="590"/>
      <c r="C547" s="426" t="s">
        <v>1172</v>
      </c>
      <c r="D547" s="427"/>
      <c r="E547" s="428" t="s">
        <v>289</v>
      </c>
      <c r="F547" s="434">
        <v>315000</v>
      </c>
      <c r="G547" s="431"/>
      <c r="H547" s="431"/>
      <c r="I547" s="431"/>
      <c r="J547" s="431" t="s">
        <v>1664</v>
      </c>
      <c r="K547" s="431"/>
      <c r="L547" s="431"/>
      <c r="M547" s="431"/>
      <c r="N547" s="433"/>
    </row>
    <row r="548" spans="1:14">
      <c r="A548" s="416">
        <f t="shared" si="12"/>
        <v>542</v>
      </c>
      <c r="B548" s="590"/>
      <c r="C548" s="426" t="s">
        <v>1174</v>
      </c>
      <c r="D548" s="427"/>
      <c r="E548" s="428" t="s">
        <v>1709</v>
      </c>
      <c r="F548" s="434">
        <v>249377</v>
      </c>
      <c r="G548" s="431"/>
      <c r="H548" s="431"/>
      <c r="I548" s="431"/>
      <c r="J548" s="431" t="s">
        <v>1664</v>
      </c>
      <c r="K548" s="431"/>
      <c r="L548" s="431"/>
      <c r="M548" s="431"/>
      <c r="N548" s="433"/>
    </row>
    <row r="549" spans="1:14">
      <c r="A549" s="416">
        <f t="shared" si="12"/>
        <v>543</v>
      </c>
      <c r="B549" s="590"/>
      <c r="C549" s="426" t="s">
        <v>1176</v>
      </c>
      <c r="D549" s="427"/>
      <c r="E549" s="428" t="s">
        <v>289</v>
      </c>
      <c r="F549" s="434">
        <v>2512836</v>
      </c>
      <c r="G549" s="431"/>
      <c r="H549" s="431"/>
      <c r="I549" s="431"/>
      <c r="J549" s="431" t="s">
        <v>1664</v>
      </c>
      <c r="K549" s="431"/>
      <c r="L549" s="431"/>
      <c r="M549" s="431"/>
      <c r="N549" s="433"/>
    </row>
    <row r="550" spans="1:14" ht="15.75" customHeight="1">
      <c r="A550" s="416">
        <f t="shared" si="12"/>
        <v>544</v>
      </c>
      <c r="B550" s="590"/>
      <c r="C550" s="426" t="s">
        <v>1178</v>
      </c>
      <c r="D550" s="427"/>
      <c r="E550" s="428" t="s">
        <v>289</v>
      </c>
      <c r="F550" s="434">
        <v>3841398</v>
      </c>
      <c r="G550" s="431"/>
      <c r="H550" s="431"/>
      <c r="I550" s="431"/>
      <c r="J550" s="431" t="s">
        <v>1664</v>
      </c>
      <c r="K550" s="431"/>
      <c r="L550" s="431"/>
      <c r="M550" s="431"/>
      <c r="N550" s="433"/>
    </row>
    <row r="551" spans="1:14">
      <c r="A551" s="416">
        <f t="shared" si="12"/>
        <v>545</v>
      </c>
      <c r="B551" s="590"/>
      <c r="C551" s="426" t="s">
        <v>1180</v>
      </c>
      <c r="D551" s="427"/>
      <c r="E551" s="428" t="s">
        <v>1709</v>
      </c>
      <c r="F551" s="434">
        <v>21817</v>
      </c>
      <c r="G551" s="431"/>
      <c r="H551" s="431"/>
      <c r="I551" s="431"/>
      <c r="J551" s="431" t="s">
        <v>1664</v>
      </c>
      <c r="K551" s="431"/>
      <c r="L551" s="431"/>
      <c r="M551" s="431"/>
      <c r="N551" s="433"/>
    </row>
    <row r="552" spans="1:14">
      <c r="A552" s="416">
        <f t="shared" si="12"/>
        <v>546</v>
      </c>
      <c r="B552" s="590"/>
      <c r="C552" s="426" t="s">
        <v>1180</v>
      </c>
      <c r="D552" s="427"/>
      <c r="E552" s="428" t="s">
        <v>1709</v>
      </c>
      <c r="F552" s="434">
        <v>1003437</v>
      </c>
      <c r="G552" s="431"/>
      <c r="H552" s="431"/>
      <c r="I552" s="431"/>
      <c r="J552" s="431" t="s">
        <v>1664</v>
      </c>
      <c r="K552" s="431"/>
      <c r="L552" s="431"/>
      <c r="M552" s="431"/>
      <c r="N552" s="433"/>
    </row>
    <row r="553" spans="1:14" ht="17.25" customHeight="1">
      <c r="A553" s="416">
        <f t="shared" si="12"/>
        <v>547</v>
      </c>
      <c r="B553" s="590"/>
      <c r="C553" s="426" t="s">
        <v>1182</v>
      </c>
      <c r="D553" s="427"/>
      <c r="E553" s="428" t="s">
        <v>289</v>
      </c>
      <c r="F553" s="434">
        <v>96884</v>
      </c>
      <c r="G553" s="431"/>
      <c r="H553" s="431"/>
      <c r="I553" s="431"/>
      <c r="J553" s="431" t="s">
        <v>1664</v>
      </c>
      <c r="K553" s="431"/>
      <c r="L553" s="431"/>
      <c r="M553" s="431"/>
      <c r="N553" s="433"/>
    </row>
    <row r="554" spans="1:14">
      <c r="A554" s="416">
        <f t="shared" si="12"/>
        <v>548</v>
      </c>
      <c r="B554" s="590"/>
      <c r="C554" s="426" t="s">
        <v>1184</v>
      </c>
      <c r="D554" s="427"/>
      <c r="E554" s="428" t="s">
        <v>289</v>
      </c>
      <c r="F554" s="434">
        <v>1701681</v>
      </c>
      <c r="G554" s="431"/>
      <c r="H554" s="431"/>
      <c r="I554" s="431"/>
      <c r="J554" s="431" t="s">
        <v>1664</v>
      </c>
      <c r="K554" s="431"/>
      <c r="L554" s="431"/>
      <c r="M554" s="431"/>
      <c r="N554" s="433"/>
    </row>
    <row r="555" spans="1:14">
      <c r="A555" s="416">
        <f t="shared" si="12"/>
        <v>549</v>
      </c>
      <c r="B555" s="590"/>
      <c r="C555" s="426" t="s">
        <v>1186</v>
      </c>
      <c r="D555" s="427"/>
      <c r="E555" s="428" t="s">
        <v>289</v>
      </c>
      <c r="F555" s="434">
        <v>1051383</v>
      </c>
      <c r="G555" s="431"/>
      <c r="H555" s="431"/>
      <c r="I555" s="431"/>
      <c r="J555" s="431" t="s">
        <v>1664</v>
      </c>
      <c r="K555" s="431"/>
      <c r="L555" s="431"/>
      <c r="M555" s="431"/>
      <c r="N555" s="433"/>
    </row>
    <row r="556" spans="1:14" ht="16.5" customHeight="1">
      <c r="A556" s="416">
        <f t="shared" si="12"/>
        <v>550</v>
      </c>
      <c r="B556" s="590"/>
      <c r="C556" s="426" t="s">
        <v>1188</v>
      </c>
      <c r="D556" s="427"/>
      <c r="E556" s="428" t="s">
        <v>289</v>
      </c>
      <c r="F556" s="434">
        <v>2064165</v>
      </c>
      <c r="G556" s="431"/>
      <c r="H556" s="431"/>
      <c r="I556" s="431"/>
      <c r="J556" s="431" t="s">
        <v>1664</v>
      </c>
      <c r="K556" s="431"/>
      <c r="L556" s="431"/>
      <c r="M556" s="431"/>
      <c r="N556" s="433"/>
    </row>
    <row r="557" spans="1:14">
      <c r="A557" s="416">
        <f t="shared" si="12"/>
        <v>551</v>
      </c>
      <c r="B557" s="590"/>
      <c r="C557" s="426" t="s">
        <v>1190</v>
      </c>
      <c r="D557" s="427"/>
      <c r="E557" s="428" t="s">
        <v>289</v>
      </c>
      <c r="F557" s="434">
        <v>3007882</v>
      </c>
      <c r="G557" s="431"/>
      <c r="H557" s="431"/>
      <c r="I557" s="431"/>
      <c r="J557" s="431" t="s">
        <v>1664</v>
      </c>
      <c r="K557" s="431"/>
      <c r="L557" s="431"/>
      <c r="M557" s="431"/>
      <c r="N557" s="433"/>
    </row>
    <row r="558" spans="1:14" ht="16.5" customHeight="1">
      <c r="A558" s="416">
        <f t="shared" si="12"/>
        <v>552</v>
      </c>
      <c r="B558" s="590"/>
      <c r="C558" s="426" t="s">
        <v>1192</v>
      </c>
      <c r="D558" s="427"/>
      <c r="E558" s="428" t="s">
        <v>289</v>
      </c>
      <c r="F558" s="434">
        <v>239920</v>
      </c>
      <c r="G558" s="431"/>
      <c r="H558" s="431"/>
      <c r="I558" s="431"/>
      <c r="J558" s="431" t="s">
        <v>1664</v>
      </c>
      <c r="K558" s="431"/>
      <c r="L558" s="431"/>
      <c r="M558" s="431"/>
      <c r="N558" s="433"/>
    </row>
    <row r="559" spans="1:14">
      <c r="A559" s="416">
        <f t="shared" si="12"/>
        <v>553</v>
      </c>
      <c r="B559" s="590"/>
      <c r="C559" s="426" t="s">
        <v>1194</v>
      </c>
      <c r="D559" s="427"/>
      <c r="E559" s="428" t="s">
        <v>289</v>
      </c>
      <c r="F559" s="434">
        <v>2496402</v>
      </c>
      <c r="G559" s="431"/>
      <c r="H559" s="431"/>
      <c r="I559" s="431"/>
      <c r="J559" s="431" t="s">
        <v>1664</v>
      </c>
      <c r="K559" s="431"/>
      <c r="L559" s="431"/>
      <c r="M559" s="431"/>
      <c r="N559" s="433"/>
    </row>
    <row r="560" spans="1:14">
      <c r="A560" s="416">
        <f t="shared" si="12"/>
        <v>554</v>
      </c>
      <c r="B560" s="590"/>
      <c r="D560" s="427"/>
      <c r="G560" s="431"/>
      <c r="H560" s="431"/>
      <c r="I560" s="431"/>
      <c r="J560" s="431"/>
      <c r="K560" s="431"/>
      <c r="L560" s="431"/>
      <c r="M560" s="431"/>
      <c r="N560" s="433"/>
    </row>
    <row r="561" spans="1:14">
      <c r="A561" s="416">
        <f t="shared" si="12"/>
        <v>555</v>
      </c>
      <c r="B561" s="590"/>
      <c r="C561" s="418" t="s">
        <v>2242</v>
      </c>
      <c r="D561" s="427"/>
      <c r="G561" s="431"/>
      <c r="H561" s="431"/>
      <c r="I561" s="431"/>
      <c r="J561" s="431"/>
      <c r="K561" s="431"/>
      <c r="L561" s="431"/>
      <c r="M561" s="431"/>
      <c r="N561" s="433"/>
    </row>
    <row r="562" spans="1:14" ht="29">
      <c r="A562" s="416">
        <f t="shared" si="12"/>
        <v>556</v>
      </c>
      <c r="B562" s="590"/>
      <c r="C562" s="426" t="s">
        <v>1199</v>
      </c>
      <c r="D562" s="427"/>
      <c r="E562" s="428" t="s">
        <v>289</v>
      </c>
      <c r="F562" s="434">
        <v>4564134</v>
      </c>
      <c r="G562" s="431"/>
      <c r="H562" s="431"/>
      <c r="I562" s="431"/>
      <c r="J562" s="431" t="s">
        <v>1664</v>
      </c>
      <c r="K562" s="431"/>
      <c r="L562" s="431"/>
      <c r="M562" s="431"/>
      <c r="N562" s="433"/>
    </row>
    <row r="563" spans="1:14" ht="29">
      <c r="A563" s="416">
        <f t="shared" si="12"/>
        <v>557</v>
      </c>
      <c r="B563" s="590"/>
      <c r="C563" s="426" t="s">
        <v>1202</v>
      </c>
      <c r="D563" s="427"/>
      <c r="E563" s="428" t="s">
        <v>289</v>
      </c>
      <c r="F563" s="434">
        <v>664798</v>
      </c>
      <c r="G563" s="431"/>
      <c r="H563" s="431"/>
      <c r="I563" s="431"/>
      <c r="J563" s="431" t="s">
        <v>1664</v>
      </c>
      <c r="K563" s="431"/>
      <c r="L563" s="431"/>
      <c r="M563" s="431"/>
      <c r="N563" s="433"/>
    </row>
    <row r="564" spans="1:14" ht="29">
      <c r="A564" s="416">
        <f t="shared" si="12"/>
        <v>558</v>
      </c>
      <c r="B564" s="590"/>
      <c r="C564" s="426" t="s">
        <v>1204</v>
      </c>
      <c r="D564" s="427"/>
      <c r="E564" s="428" t="s">
        <v>289</v>
      </c>
      <c r="F564" s="434">
        <v>8524893</v>
      </c>
      <c r="G564" s="431"/>
      <c r="H564" s="431"/>
      <c r="I564" s="431"/>
      <c r="J564" s="431" t="s">
        <v>1664</v>
      </c>
      <c r="K564" s="431"/>
      <c r="L564" s="431"/>
      <c r="M564" s="431"/>
      <c r="N564" s="433"/>
    </row>
    <row r="565" spans="1:14">
      <c r="A565" s="416">
        <f t="shared" si="12"/>
        <v>559</v>
      </c>
      <c r="B565" s="590"/>
      <c r="D565" s="427"/>
      <c r="G565" s="431"/>
      <c r="H565" s="431"/>
      <c r="I565" s="431"/>
      <c r="J565" s="431"/>
      <c r="K565" s="431"/>
      <c r="L565" s="431"/>
      <c r="M565" s="431"/>
      <c r="N565" s="433"/>
    </row>
    <row r="566" spans="1:14">
      <c r="A566" s="416">
        <f t="shared" si="12"/>
        <v>560</v>
      </c>
      <c r="B566" s="590"/>
      <c r="C566" s="418" t="s">
        <v>2243</v>
      </c>
      <c r="D566" s="427"/>
      <c r="G566" s="431"/>
      <c r="H566" s="431"/>
      <c r="I566" s="431"/>
      <c r="J566" s="431"/>
      <c r="K566" s="431"/>
      <c r="L566" s="431"/>
      <c r="M566" s="431"/>
      <c r="N566" s="433"/>
    </row>
    <row r="567" spans="1:14" ht="16.5" customHeight="1">
      <c r="A567" s="416">
        <f t="shared" si="12"/>
        <v>561</v>
      </c>
      <c r="B567" s="590"/>
      <c r="C567" s="426" t="s">
        <v>1209</v>
      </c>
      <c r="D567" s="427"/>
      <c r="E567" s="428" t="s">
        <v>289</v>
      </c>
      <c r="F567" s="434">
        <v>12328</v>
      </c>
      <c r="G567" s="431" t="s">
        <v>1664</v>
      </c>
      <c r="H567" s="431"/>
      <c r="I567" s="431"/>
      <c r="J567" s="431"/>
      <c r="K567" s="431"/>
      <c r="L567" s="431"/>
      <c r="M567" s="431"/>
      <c r="N567" s="433"/>
    </row>
    <row r="568" spans="1:14" ht="17.25" customHeight="1">
      <c r="A568" s="416">
        <f t="shared" si="12"/>
        <v>562</v>
      </c>
      <c r="B568" s="590"/>
      <c r="C568" s="426" t="s">
        <v>1209</v>
      </c>
      <c r="D568" s="427"/>
      <c r="E568" s="428" t="s">
        <v>289</v>
      </c>
      <c r="F568" s="434">
        <v>57413</v>
      </c>
      <c r="G568" s="431" t="s">
        <v>1664</v>
      </c>
      <c r="H568" s="431"/>
      <c r="I568" s="431"/>
      <c r="J568" s="431"/>
      <c r="K568" s="431"/>
      <c r="L568" s="431"/>
      <c r="M568" s="431"/>
      <c r="N568" s="433"/>
    </row>
    <row r="569" spans="1:14">
      <c r="A569" s="416">
        <f t="shared" si="12"/>
        <v>563</v>
      </c>
      <c r="B569" s="590"/>
      <c r="C569" s="426" t="s">
        <v>1211</v>
      </c>
      <c r="D569" s="427"/>
      <c r="E569" s="428" t="s">
        <v>289</v>
      </c>
      <c r="F569" s="434">
        <v>213000</v>
      </c>
      <c r="G569" s="431" t="s">
        <v>1664</v>
      </c>
      <c r="H569" s="431"/>
      <c r="I569" s="431"/>
      <c r="J569" s="431"/>
      <c r="K569" s="431"/>
      <c r="L569" s="431"/>
      <c r="M569" s="431"/>
      <c r="N569" s="433"/>
    </row>
    <row r="570" spans="1:14">
      <c r="A570" s="416">
        <f t="shared" si="12"/>
        <v>564</v>
      </c>
      <c r="B570" s="590"/>
      <c r="C570" s="426" t="s">
        <v>1213</v>
      </c>
      <c r="D570" s="427"/>
      <c r="E570" s="428" t="s">
        <v>289</v>
      </c>
      <c r="F570" s="434">
        <v>76258</v>
      </c>
      <c r="G570" s="431" t="s">
        <v>1664</v>
      </c>
      <c r="H570" s="431"/>
      <c r="I570" s="431"/>
      <c r="J570" s="431"/>
      <c r="K570" s="431"/>
      <c r="L570" s="431"/>
      <c r="M570" s="431"/>
      <c r="N570" s="433"/>
    </row>
    <row r="571" spans="1:14">
      <c r="A571" s="416">
        <f t="shared" si="12"/>
        <v>565</v>
      </c>
      <c r="B571" s="590"/>
      <c r="C571" s="426" t="s">
        <v>1213</v>
      </c>
      <c r="D571" s="427"/>
      <c r="E571" s="428" t="s">
        <v>289</v>
      </c>
      <c r="F571" s="434">
        <v>142235</v>
      </c>
      <c r="G571" s="431" t="s">
        <v>1664</v>
      </c>
      <c r="H571" s="431"/>
      <c r="I571" s="431"/>
      <c r="J571" s="431"/>
      <c r="K571" s="431"/>
      <c r="L571" s="431"/>
      <c r="M571" s="431"/>
      <c r="N571" s="433"/>
    </row>
    <row r="572" spans="1:14">
      <c r="A572" s="416">
        <f t="shared" si="12"/>
        <v>566</v>
      </c>
      <c r="B572" s="590"/>
      <c r="C572" s="426" t="s">
        <v>1215</v>
      </c>
      <c r="D572" s="427"/>
      <c r="E572" s="428" t="s">
        <v>1709</v>
      </c>
      <c r="F572" s="434">
        <v>556464</v>
      </c>
      <c r="G572" s="431" t="s">
        <v>1664</v>
      </c>
      <c r="H572" s="431"/>
      <c r="I572" s="431"/>
      <c r="J572" s="431"/>
      <c r="K572" s="431"/>
      <c r="L572" s="431"/>
      <c r="M572" s="431"/>
      <c r="N572" s="433"/>
    </row>
    <row r="573" spans="1:14">
      <c r="A573" s="416">
        <f t="shared" si="12"/>
        <v>567</v>
      </c>
      <c r="B573" s="590"/>
      <c r="C573" s="426" t="s">
        <v>1217</v>
      </c>
      <c r="D573" s="427"/>
      <c r="E573" s="428" t="s">
        <v>289</v>
      </c>
      <c r="F573" s="434">
        <v>499220</v>
      </c>
      <c r="G573" s="431" t="s">
        <v>1664</v>
      </c>
      <c r="H573" s="431"/>
      <c r="I573" s="431"/>
      <c r="J573" s="431"/>
      <c r="K573" s="431"/>
      <c r="L573" s="431"/>
      <c r="M573" s="431"/>
      <c r="N573" s="433"/>
    </row>
    <row r="574" spans="1:14" ht="18" customHeight="1">
      <c r="A574" s="416">
        <f t="shared" si="12"/>
        <v>568</v>
      </c>
      <c r="B574" s="590"/>
      <c r="C574" s="426" t="s">
        <v>1219</v>
      </c>
      <c r="D574" s="427"/>
      <c r="E574" s="428" t="s">
        <v>289</v>
      </c>
      <c r="F574" s="434">
        <v>170278</v>
      </c>
      <c r="G574" s="431" t="s">
        <v>1664</v>
      </c>
      <c r="H574" s="431"/>
      <c r="I574" s="431"/>
      <c r="J574" s="431"/>
      <c r="K574" s="431"/>
      <c r="L574" s="431"/>
      <c r="M574" s="431"/>
      <c r="N574" s="433"/>
    </row>
    <row r="575" spans="1:14" ht="29">
      <c r="A575" s="416">
        <f t="shared" si="12"/>
        <v>569</v>
      </c>
      <c r="B575" s="590"/>
      <c r="C575" s="426" t="s">
        <v>1221</v>
      </c>
      <c r="D575" s="427"/>
      <c r="E575" s="428" t="s">
        <v>289</v>
      </c>
      <c r="F575" s="434">
        <v>35071</v>
      </c>
      <c r="G575" s="431" t="s">
        <v>1664</v>
      </c>
      <c r="H575" s="431"/>
      <c r="I575" s="431"/>
      <c r="J575" s="431"/>
      <c r="K575" s="431"/>
      <c r="L575" s="431"/>
      <c r="M575" s="431"/>
      <c r="N575" s="433"/>
    </row>
    <row r="576" spans="1:14" ht="18.75" customHeight="1">
      <c r="A576" s="416">
        <f t="shared" si="12"/>
        <v>570</v>
      </c>
      <c r="B576" s="590"/>
      <c r="C576" s="426" t="s">
        <v>1223</v>
      </c>
      <c r="D576" s="427"/>
      <c r="E576" s="428" t="s">
        <v>289</v>
      </c>
      <c r="F576" s="434">
        <v>163695</v>
      </c>
      <c r="G576" s="431" t="s">
        <v>1664</v>
      </c>
      <c r="H576" s="431"/>
      <c r="I576" s="431"/>
      <c r="J576" s="431"/>
      <c r="K576" s="431"/>
      <c r="L576" s="431"/>
      <c r="M576" s="431"/>
      <c r="N576" s="433"/>
    </row>
    <row r="577" spans="1:14">
      <c r="A577" s="416">
        <f t="shared" ref="A577:A640" si="13">A576+1</f>
        <v>571</v>
      </c>
      <c r="B577" s="590"/>
      <c r="C577" s="426" t="s">
        <v>1225</v>
      </c>
      <c r="D577" s="427"/>
      <c r="E577" s="428" t="s">
        <v>289</v>
      </c>
      <c r="F577" s="434">
        <v>19075</v>
      </c>
      <c r="G577" s="431" t="s">
        <v>1664</v>
      </c>
      <c r="H577" s="431"/>
      <c r="I577" s="431"/>
      <c r="J577" s="431"/>
      <c r="K577" s="431"/>
      <c r="L577" s="431"/>
      <c r="M577" s="431"/>
      <c r="N577" s="433"/>
    </row>
    <row r="578" spans="1:14">
      <c r="A578" s="416">
        <f t="shared" si="13"/>
        <v>572</v>
      </c>
      <c r="B578" s="590"/>
      <c r="C578" s="426" t="s">
        <v>1227</v>
      </c>
      <c r="D578" s="427"/>
      <c r="E578" s="428" t="s">
        <v>289</v>
      </c>
      <c r="F578" s="434">
        <v>127144</v>
      </c>
      <c r="G578" s="431" t="s">
        <v>1664</v>
      </c>
      <c r="H578" s="431"/>
      <c r="I578" s="431"/>
      <c r="J578" s="431"/>
      <c r="K578" s="431"/>
      <c r="L578" s="431"/>
      <c r="M578" s="431"/>
      <c r="N578" s="433"/>
    </row>
    <row r="579" spans="1:14">
      <c r="A579" s="416">
        <f t="shared" si="13"/>
        <v>573</v>
      </c>
      <c r="B579" s="590"/>
      <c r="C579" s="426" t="s">
        <v>1229</v>
      </c>
      <c r="D579" s="427"/>
      <c r="E579" s="428" t="s">
        <v>289</v>
      </c>
      <c r="F579" s="434">
        <v>404166</v>
      </c>
      <c r="G579" s="431" t="s">
        <v>1664</v>
      </c>
      <c r="H579" s="431"/>
      <c r="I579" s="431"/>
      <c r="J579" s="431"/>
      <c r="K579" s="431"/>
      <c r="L579" s="431"/>
      <c r="M579" s="431"/>
      <c r="N579" s="433"/>
    </row>
    <row r="580" spans="1:14">
      <c r="A580" s="416">
        <f t="shared" si="13"/>
        <v>574</v>
      </c>
      <c r="B580" s="590"/>
      <c r="C580" s="426" t="s">
        <v>1233</v>
      </c>
      <c r="D580" s="427"/>
      <c r="E580" s="428" t="s">
        <v>289</v>
      </c>
      <c r="F580" s="434">
        <v>192498</v>
      </c>
      <c r="G580" s="431" t="s">
        <v>1664</v>
      </c>
      <c r="H580" s="431"/>
      <c r="I580" s="431"/>
      <c r="J580" s="431"/>
      <c r="K580" s="431"/>
      <c r="L580" s="431"/>
      <c r="M580" s="431"/>
      <c r="N580" s="433"/>
    </row>
    <row r="581" spans="1:14">
      <c r="A581" s="416">
        <f t="shared" si="13"/>
        <v>575</v>
      </c>
      <c r="B581" s="590"/>
      <c r="C581" s="426" t="s">
        <v>1235</v>
      </c>
      <c r="D581" s="427"/>
      <c r="E581" s="428" t="s">
        <v>289</v>
      </c>
      <c r="F581" s="434">
        <v>71118</v>
      </c>
      <c r="G581" s="431" t="s">
        <v>1664</v>
      </c>
      <c r="H581" s="431"/>
      <c r="I581" s="431"/>
      <c r="J581" s="431"/>
      <c r="K581" s="431"/>
      <c r="L581" s="431"/>
      <c r="M581" s="431"/>
      <c r="N581" s="433"/>
    </row>
    <row r="582" spans="1:14">
      <c r="A582" s="416">
        <f t="shared" si="13"/>
        <v>576</v>
      </c>
      <c r="B582" s="590"/>
      <c r="C582" s="426" t="s">
        <v>1237</v>
      </c>
      <c r="D582" s="427"/>
      <c r="E582" s="428" t="s">
        <v>289</v>
      </c>
      <c r="F582" s="434">
        <v>179328</v>
      </c>
      <c r="G582" s="431" t="s">
        <v>1664</v>
      </c>
      <c r="H582" s="431"/>
      <c r="I582" s="431"/>
      <c r="J582" s="431"/>
      <c r="K582" s="431"/>
      <c r="L582" s="431"/>
      <c r="M582" s="431"/>
      <c r="N582" s="433"/>
    </row>
    <row r="583" spans="1:14">
      <c r="A583" s="416">
        <f t="shared" si="13"/>
        <v>577</v>
      </c>
      <c r="B583" s="590"/>
      <c r="D583" s="427"/>
      <c r="G583" s="431"/>
      <c r="H583" s="431"/>
      <c r="I583" s="431"/>
      <c r="J583" s="431"/>
      <c r="K583" s="431"/>
      <c r="L583" s="431"/>
      <c r="M583" s="431"/>
      <c r="N583" s="433"/>
    </row>
    <row r="584" spans="1:14" ht="29">
      <c r="A584" s="416">
        <f t="shared" si="13"/>
        <v>578</v>
      </c>
      <c r="B584" s="590"/>
      <c r="C584" s="418" t="s">
        <v>2244</v>
      </c>
      <c r="D584" s="427"/>
      <c r="G584" s="431"/>
      <c r="H584" s="431"/>
      <c r="I584" s="431"/>
      <c r="J584" s="431"/>
      <c r="K584" s="431"/>
      <c r="L584" s="431"/>
      <c r="M584" s="431"/>
      <c r="N584" s="433"/>
    </row>
    <row r="585" spans="1:14" ht="29">
      <c r="A585" s="416">
        <f t="shared" si="13"/>
        <v>579</v>
      </c>
      <c r="B585" s="590"/>
      <c r="C585" s="426" t="s">
        <v>1247</v>
      </c>
      <c r="D585" s="427"/>
      <c r="E585" s="428" t="s">
        <v>289</v>
      </c>
      <c r="F585" s="434">
        <v>922164</v>
      </c>
      <c r="G585" s="431" t="s">
        <v>1664</v>
      </c>
      <c r="H585" s="431"/>
      <c r="I585" s="431"/>
      <c r="J585" s="431"/>
      <c r="K585" s="431"/>
      <c r="L585" s="431"/>
      <c r="M585" s="431"/>
      <c r="N585" s="433"/>
    </row>
    <row r="586" spans="1:14" ht="29">
      <c r="A586" s="416">
        <f t="shared" si="13"/>
        <v>580</v>
      </c>
      <c r="B586" s="590"/>
      <c r="C586" s="426" t="s">
        <v>1249</v>
      </c>
      <c r="D586" s="427"/>
      <c r="E586" s="428" t="s">
        <v>289</v>
      </c>
      <c r="F586" s="434">
        <v>690735</v>
      </c>
      <c r="G586" s="431" t="s">
        <v>1664</v>
      </c>
      <c r="H586" s="431"/>
      <c r="I586" s="431"/>
      <c r="J586" s="431"/>
      <c r="K586" s="431"/>
      <c r="L586" s="431"/>
      <c r="M586" s="431"/>
      <c r="N586" s="433"/>
    </row>
    <row r="587" spans="1:14">
      <c r="A587" s="416">
        <f t="shared" si="13"/>
        <v>581</v>
      </c>
      <c r="B587" s="590"/>
      <c r="D587" s="427"/>
      <c r="G587" s="431"/>
      <c r="H587" s="431"/>
      <c r="I587" s="431"/>
      <c r="J587" s="431"/>
      <c r="K587" s="431"/>
      <c r="L587" s="431"/>
      <c r="M587" s="431"/>
      <c r="N587" s="433"/>
    </row>
    <row r="588" spans="1:14">
      <c r="A588" s="416">
        <f t="shared" si="13"/>
        <v>582</v>
      </c>
      <c r="B588" s="590"/>
      <c r="C588" s="418" t="s">
        <v>2245</v>
      </c>
      <c r="D588" s="427"/>
      <c r="G588" s="431"/>
      <c r="H588" s="431"/>
      <c r="I588" s="431"/>
      <c r="J588" s="431"/>
      <c r="K588" s="431"/>
      <c r="L588" s="431"/>
      <c r="M588" s="431"/>
      <c r="N588" s="433"/>
    </row>
    <row r="589" spans="1:14">
      <c r="A589" s="416">
        <f t="shared" si="13"/>
        <v>583</v>
      </c>
      <c r="B589" s="590"/>
      <c r="C589" s="452" t="s">
        <v>871</v>
      </c>
      <c r="D589" s="427" t="s">
        <v>2246</v>
      </c>
      <c r="E589" s="428" t="s">
        <v>289</v>
      </c>
      <c r="F589" s="434">
        <v>6259</v>
      </c>
      <c r="G589" s="431"/>
      <c r="H589" s="431"/>
      <c r="I589" s="431"/>
      <c r="J589" s="431" t="s">
        <v>1664</v>
      </c>
      <c r="K589" s="431"/>
      <c r="L589" s="431"/>
      <c r="M589" s="431"/>
      <c r="N589" s="433"/>
    </row>
    <row r="590" spans="1:14">
      <c r="A590" s="416">
        <f t="shared" si="13"/>
        <v>584</v>
      </c>
      <c r="B590" s="590" t="s">
        <v>878</v>
      </c>
      <c r="C590" s="452" t="s">
        <v>879</v>
      </c>
      <c r="D590" s="427" t="s">
        <v>2247</v>
      </c>
      <c r="E590" s="428" t="s">
        <v>1709</v>
      </c>
      <c r="F590" s="434">
        <v>35005</v>
      </c>
      <c r="G590" s="431"/>
      <c r="H590" s="431"/>
      <c r="I590" s="431"/>
      <c r="J590" s="431" t="s">
        <v>1664</v>
      </c>
      <c r="K590" s="431"/>
      <c r="L590" s="431"/>
      <c r="M590" s="431"/>
      <c r="N590" s="433"/>
    </row>
    <row r="591" spans="1:14">
      <c r="A591" s="416">
        <f t="shared" si="13"/>
        <v>585</v>
      </c>
      <c r="B591" s="590"/>
      <c r="C591" s="452" t="s">
        <v>883</v>
      </c>
      <c r="D591" s="427" t="s">
        <v>2248</v>
      </c>
      <c r="E591" s="428" t="s">
        <v>289</v>
      </c>
      <c r="F591" s="434">
        <v>280629</v>
      </c>
      <c r="G591" s="431"/>
      <c r="H591" s="431"/>
      <c r="I591" s="431"/>
      <c r="J591" s="431" t="s">
        <v>1664</v>
      </c>
      <c r="K591" s="431"/>
      <c r="L591" s="431"/>
      <c r="M591" s="431"/>
      <c r="N591" s="433"/>
    </row>
    <row r="592" spans="1:14" ht="29">
      <c r="A592" s="416">
        <f t="shared" si="13"/>
        <v>586</v>
      </c>
      <c r="B592" s="590"/>
      <c r="C592" s="426" t="s">
        <v>1254</v>
      </c>
      <c r="D592" s="427"/>
      <c r="E592" s="428" t="s">
        <v>289</v>
      </c>
      <c r="F592" s="434">
        <v>11571</v>
      </c>
      <c r="G592" s="431"/>
      <c r="H592" s="431"/>
      <c r="I592" s="431"/>
      <c r="J592" s="431" t="s">
        <v>1664</v>
      </c>
      <c r="K592" s="431"/>
      <c r="L592" s="431"/>
      <c r="M592" s="431"/>
      <c r="N592" s="433"/>
    </row>
    <row r="593" spans="1:14">
      <c r="A593" s="416">
        <f t="shared" si="13"/>
        <v>587</v>
      </c>
      <c r="B593" s="590"/>
      <c r="C593" s="426" t="s">
        <v>1257</v>
      </c>
      <c r="D593" s="427"/>
      <c r="E593" s="428" t="s">
        <v>289</v>
      </c>
      <c r="F593" s="434">
        <v>45730</v>
      </c>
      <c r="G593" s="431"/>
      <c r="H593" s="431"/>
      <c r="I593" s="431"/>
      <c r="J593" s="431" t="s">
        <v>1664</v>
      </c>
      <c r="K593" s="431"/>
      <c r="L593" s="431"/>
      <c r="M593" s="431"/>
      <c r="N593" s="433"/>
    </row>
    <row r="594" spans="1:14">
      <c r="A594" s="416">
        <f t="shared" si="13"/>
        <v>588</v>
      </c>
      <c r="B594" s="590"/>
      <c r="C594" s="426" t="s">
        <v>1259</v>
      </c>
      <c r="D594" s="427"/>
      <c r="E594" s="428" t="s">
        <v>289</v>
      </c>
      <c r="F594" s="434">
        <v>230859</v>
      </c>
      <c r="G594" s="431"/>
      <c r="H594" s="431"/>
      <c r="I594" s="431"/>
      <c r="J594" s="431" t="s">
        <v>1664</v>
      </c>
      <c r="K594" s="431"/>
      <c r="L594" s="431"/>
      <c r="M594" s="431"/>
      <c r="N594" s="433"/>
    </row>
    <row r="595" spans="1:14">
      <c r="A595" s="416">
        <f t="shared" si="13"/>
        <v>589</v>
      </c>
      <c r="B595" s="590"/>
      <c r="C595" s="426" t="s">
        <v>1261</v>
      </c>
      <c r="D595" s="427"/>
      <c r="E595" s="428" t="s">
        <v>289</v>
      </c>
      <c r="F595" s="434">
        <v>164631</v>
      </c>
      <c r="G595" s="431"/>
      <c r="H595" s="431"/>
      <c r="I595" s="431"/>
      <c r="J595" s="431" t="s">
        <v>1664</v>
      </c>
      <c r="K595" s="431"/>
      <c r="L595" s="431"/>
      <c r="M595" s="431"/>
      <c r="N595" s="433"/>
    </row>
    <row r="596" spans="1:14">
      <c r="A596" s="416">
        <f t="shared" si="13"/>
        <v>590</v>
      </c>
      <c r="B596" s="590"/>
      <c r="C596" s="426" t="s">
        <v>1263</v>
      </c>
      <c r="D596" s="427"/>
      <c r="E596" s="428" t="s">
        <v>289</v>
      </c>
      <c r="F596" s="434">
        <v>218089</v>
      </c>
      <c r="G596" s="431"/>
      <c r="H596" s="431"/>
      <c r="I596" s="431"/>
      <c r="J596" s="431" t="s">
        <v>1664</v>
      </c>
      <c r="K596" s="431"/>
      <c r="L596" s="431"/>
      <c r="M596" s="431"/>
      <c r="N596" s="433"/>
    </row>
    <row r="597" spans="1:14">
      <c r="A597" s="416">
        <f t="shared" si="13"/>
        <v>591</v>
      </c>
      <c r="B597" s="590"/>
      <c r="C597" s="426" t="s">
        <v>1265</v>
      </c>
      <c r="D597" s="427"/>
      <c r="E597" s="428" t="s">
        <v>289</v>
      </c>
      <c r="F597" s="434">
        <v>102658</v>
      </c>
      <c r="G597" s="431"/>
      <c r="H597" s="431"/>
      <c r="I597" s="431"/>
      <c r="J597" s="431" t="s">
        <v>1664</v>
      </c>
      <c r="K597" s="431"/>
      <c r="L597" s="431"/>
      <c r="M597" s="431"/>
      <c r="N597" s="433"/>
    </row>
    <row r="598" spans="1:14">
      <c r="A598" s="416">
        <f t="shared" si="13"/>
        <v>592</v>
      </c>
      <c r="B598" s="590"/>
      <c r="C598" s="426" t="s">
        <v>1267</v>
      </c>
      <c r="D598" s="427"/>
      <c r="E598" s="428" t="s">
        <v>289</v>
      </c>
      <c r="F598" s="434">
        <v>24740</v>
      </c>
      <c r="G598" s="431"/>
      <c r="H598" s="431"/>
      <c r="I598" s="431"/>
      <c r="J598" s="431" t="s">
        <v>1664</v>
      </c>
      <c r="K598" s="431"/>
      <c r="L598" s="431"/>
      <c r="M598" s="431"/>
      <c r="N598" s="433"/>
    </row>
    <row r="599" spans="1:14">
      <c r="A599" s="416">
        <f t="shared" si="13"/>
        <v>593</v>
      </c>
      <c r="B599" s="590"/>
      <c r="C599" s="426" t="s">
        <v>1269</v>
      </c>
      <c r="D599" s="427"/>
      <c r="E599" s="428" t="s">
        <v>289</v>
      </c>
      <c r="F599" s="434">
        <v>7185</v>
      </c>
      <c r="G599" s="431"/>
      <c r="H599" s="431"/>
      <c r="I599" s="431"/>
      <c r="J599" s="431" t="s">
        <v>1664</v>
      </c>
      <c r="K599" s="431"/>
      <c r="L599" s="431"/>
      <c r="M599" s="431"/>
      <c r="N599" s="433"/>
    </row>
    <row r="600" spans="1:14">
      <c r="A600" s="416">
        <f t="shared" si="13"/>
        <v>594</v>
      </c>
      <c r="B600" s="590"/>
      <c r="C600" s="426" t="s">
        <v>1271</v>
      </c>
      <c r="D600" s="427"/>
      <c r="E600" s="428" t="s">
        <v>289</v>
      </c>
      <c r="F600" s="434">
        <v>76270</v>
      </c>
      <c r="G600" s="431"/>
      <c r="H600" s="431"/>
      <c r="I600" s="431"/>
      <c r="J600" s="431" t="s">
        <v>1664</v>
      </c>
      <c r="K600" s="431"/>
      <c r="L600" s="431"/>
      <c r="M600" s="431"/>
      <c r="N600" s="433"/>
    </row>
    <row r="601" spans="1:14">
      <c r="A601" s="416">
        <f t="shared" si="13"/>
        <v>595</v>
      </c>
      <c r="B601" s="590"/>
      <c r="C601" s="426" t="s">
        <v>1273</v>
      </c>
      <c r="D601" s="427"/>
      <c r="E601" s="428" t="s">
        <v>289</v>
      </c>
      <c r="F601" s="434">
        <v>394136</v>
      </c>
      <c r="G601" s="431"/>
      <c r="H601" s="431"/>
      <c r="I601" s="431"/>
      <c r="J601" s="431" t="s">
        <v>1664</v>
      </c>
      <c r="K601" s="431"/>
      <c r="L601" s="431"/>
      <c r="M601" s="431"/>
      <c r="N601" s="433"/>
    </row>
    <row r="602" spans="1:14">
      <c r="A602" s="416">
        <f t="shared" si="13"/>
        <v>596</v>
      </c>
      <c r="B602" s="590"/>
      <c r="C602" s="426" t="s">
        <v>1277</v>
      </c>
      <c r="D602" s="427"/>
      <c r="E602" s="428" t="s">
        <v>289</v>
      </c>
      <c r="F602" s="434">
        <v>167147</v>
      </c>
      <c r="G602" s="431"/>
      <c r="H602" s="431"/>
      <c r="I602" s="431"/>
      <c r="J602" s="431" t="s">
        <v>1664</v>
      </c>
      <c r="K602" s="431"/>
      <c r="L602" s="431"/>
      <c r="M602" s="431"/>
      <c r="N602" s="433"/>
    </row>
    <row r="603" spans="1:14">
      <c r="A603" s="416">
        <f t="shared" si="13"/>
        <v>597</v>
      </c>
      <c r="B603" s="590" t="s">
        <v>894</v>
      </c>
      <c r="C603" s="426" t="s">
        <v>2249</v>
      </c>
      <c r="D603" s="427" t="s">
        <v>2250</v>
      </c>
      <c r="E603" s="428" t="s">
        <v>289</v>
      </c>
      <c r="F603" s="434">
        <v>12472</v>
      </c>
      <c r="G603" s="431"/>
      <c r="H603" s="431"/>
      <c r="I603" s="431"/>
      <c r="J603" s="431" t="s">
        <v>1664</v>
      </c>
      <c r="K603" s="431"/>
      <c r="L603" s="431"/>
      <c r="M603" s="431"/>
      <c r="N603" s="433"/>
    </row>
    <row r="604" spans="1:14">
      <c r="A604" s="416">
        <f t="shared" si="13"/>
        <v>598</v>
      </c>
      <c r="B604" s="590"/>
      <c r="C604" s="426" t="s">
        <v>1279</v>
      </c>
      <c r="D604" s="427"/>
      <c r="E604" s="428" t="s">
        <v>289</v>
      </c>
      <c r="F604" s="434">
        <v>153368</v>
      </c>
      <c r="G604" s="431"/>
      <c r="H604" s="431"/>
      <c r="I604" s="431"/>
      <c r="J604" s="431" t="s">
        <v>1664</v>
      </c>
      <c r="K604" s="431"/>
      <c r="L604" s="431"/>
      <c r="M604" s="431"/>
      <c r="N604" s="433"/>
    </row>
    <row r="605" spans="1:14">
      <c r="A605" s="416">
        <f t="shared" si="13"/>
        <v>599</v>
      </c>
      <c r="B605" s="590"/>
      <c r="C605" s="426" t="s">
        <v>1281</v>
      </c>
      <c r="D605" s="427"/>
      <c r="E605" s="428" t="s">
        <v>1709</v>
      </c>
      <c r="F605" s="434">
        <v>100401</v>
      </c>
      <c r="G605" s="431"/>
      <c r="H605" s="431"/>
      <c r="I605" s="431"/>
      <c r="J605" s="431" t="s">
        <v>1664</v>
      </c>
      <c r="K605" s="431"/>
      <c r="L605" s="431"/>
      <c r="M605" s="431"/>
      <c r="N605" s="433"/>
    </row>
    <row r="606" spans="1:14">
      <c r="A606" s="416">
        <f t="shared" si="13"/>
        <v>600</v>
      </c>
      <c r="B606" s="590"/>
      <c r="C606" s="426" t="s">
        <v>1283</v>
      </c>
      <c r="D606" s="427"/>
      <c r="E606" s="428" t="s">
        <v>289</v>
      </c>
      <c r="F606" s="434">
        <v>189361</v>
      </c>
      <c r="G606" s="431"/>
      <c r="H606" s="431"/>
      <c r="I606" s="431"/>
      <c r="J606" s="431" t="s">
        <v>1664</v>
      </c>
      <c r="K606" s="431"/>
      <c r="L606" s="431"/>
      <c r="M606" s="431"/>
      <c r="N606" s="433"/>
    </row>
    <row r="607" spans="1:14">
      <c r="A607" s="416">
        <f t="shared" si="13"/>
        <v>601</v>
      </c>
      <c r="B607" s="590"/>
      <c r="C607" s="426" t="s">
        <v>1285</v>
      </c>
      <c r="D607" s="427"/>
      <c r="E607" s="428" t="s">
        <v>289</v>
      </c>
      <c r="F607" s="434">
        <v>7698</v>
      </c>
      <c r="G607" s="431"/>
      <c r="H607" s="431"/>
      <c r="I607" s="431"/>
      <c r="J607" s="431" t="s">
        <v>1664</v>
      </c>
      <c r="K607" s="431"/>
      <c r="L607" s="431"/>
      <c r="M607" s="431"/>
      <c r="N607" s="433"/>
    </row>
    <row r="608" spans="1:14">
      <c r="A608" s="416">
        <f t="shared" si="13"/>
        <v>602</v>
      </c>
      <c r="B608" s="590"/>
      <c r="C608" s="426" t="s">
        <v>1287</v>
      </c>
      <c r="D608" s="427"/>
      <c r="E608" s="428" t="s">
        <v>289</v>
      </c>
      <c r="F608" s="434">
        <v>62298</v>
      </c>
      <c r="G608" s="431"/>
      <c r="H608" s="431"/>
      <c r="I608" s="431"/>
      <c r="J608" s="431" t="s">
        <v>1664</v>
      </c>
      <c r="K608" s="431"/>
      <c r="L608" s="431"/>
      <c r="M608" s="431"/>
      <c r="N608" s="433"/>
    </row>
    <row r="609" spans="1:14">
      <c r="A609" s="416">
        <f t="shared" si="13"/>
        <v>603</v>
      </c>
      <c r="B609" s="590"/>
      <c r="C609" s="426" t="s">
        <v>1289</v>
      </c>
      <c r="D609" s="427"/>
      <c r="E609" s="428" t="s">
        <v>289</v>
      </c>
      <c r="F609" s="434">
        <v>171598</v>
      </c>
      <c r="G609" s="431"/>
      <c r="H609" s="431"/>
      <c r="I609" s="431"/>
      <c r="J609" s="431" t="s">
        <v>1664</v>
      </c>
      <c r="K609" s="431"/>
      <c r="L609" s="431"/>
      <c r="M609" s="431"/>
      <c r="N609" s="433"/>
    </row>
    <row r="610" spans="1:14">
      <c r="A610" s="416">
        <f t="shared" si="13"/>
        <v>604</v>
      </c>
      <c r="B610" s="590"/>
      <c r="C610" s="426" t="s">
        <v>1291</v>
      </c>
      <c r="D610" s="427"/>
      <c r="E610" s="428" t="s">
        <v>289</v>
      </c>
      <c r="F610" s="434">
        <v>131000</v>
      </c>
      <c r="G610" s="431"/>
      <c r="H610" s="431"/>
      <c r="I610" s="431"/>
      <c r="J610" s="431" t="s">
        <v>1664</v>
      </c>
      <c r="K610" s="431"/>
      <c r="L610" s="431"/>
      <c r="M610" s="431"/>
      <c r="N610" s="433"/>
    </row>
    <row r="611" spans="1:14">
      <c r="A611" s="416">
        <f t="shared" si="13"/>
        <v>605</v>
      </c>
      <c r="B611" s="590"/>
      <c r="C611" s="426" t="s">
        <v>1293</v>
      </c>
      <c r="D611" s="427"/>
      <c r="E611" s="428" t="s">
        <v>289</v>
      </c>
      <c r="F611" s="434">
        <v>466409</v>
      </c>
      <c r="G611" s="431"/>
      <c r="H611" s="431"/>
      <c r="I611" s="431"/>
      <c r="J611" s="431" t="s">
        <v>1664</v>
      </c>
      <c r="K611" s="431"/>
      <c r="L611" s="431"/>
      <c r="M611" s="431"/>
      <c r="N611" s="433"/>
    </row>
    <row r="612" spans="1:14">
      <c r="A612" s="416">
        <f t="shared" si="13"/>
        <v>606</v>
      </c>
      <c r="B612" s="590"/>
      <c r="C612" s="426" t="s">
        <v>1295</v>
      </c>
      <c r="D612" s="427"/>
      <c r="E612" s="428" t="s">
        <v>289</v>
      </c>
      <c r="F612" s="434">
        <v>10541</v>
      </c>
      <c r="G612" s="431"/>
      <c r="H612" s="431"/>
      <c r="I612" s="431"/>
      <c r="J612" s="431" t="s">
        <v>1664</v>
      </c>
      <c r="K612" s="431"/>
      <c r="L612" s="431"/>
      <c r="M612" s="431"/>
      <c r="N612" s="433"/>
    </row>
    <row r="613" spans="1:14">
      <c r="A613" s="416">
        <f t="shared" si="13"/>
        <v>607</v>
      </c>
      <c r="B613" s="590"/>
      <c r="C613" s="426" t="s">
        <v>1297</v>
      </c>
      <c r="D613" s="427"/>
      <c r="E613" s="428" t="s">
        <v>1709</v>
      </c>
      <c r="F613" s="434">
        <v>191107</v>
      </c>
      <c r="G613" s="431"/>
      <c r="H613" s="431"/>
      <c r="I613" s="431"/>
      <c r="J613" s="431" t="s">
        <v>1664</v>
      </c>
      <c r="K613" s="431"/>
      <c r="L613" s="431"/>
      <c r="M613" s="431"/>
      <c r="N613" s="433"/>
    </row>
    <row r="614" spans="1:14">
      <c r="A614" s="416">
        <f t="shared" si="13"/>
        <v>608</v>
      </c>
      <c r="B614" s="590"/>
      <c r="C614" s="426" t="s">
        <v>1299</v>
      </c>
      <c r="D614" s="427"/>
      <c r="E614" s="428" t="s">
        <v>1709</v>
      </c>
      <c r="F614" s="434">
        <v>10289</v>
      </c>
      <c r="G614" s="431"/>
      <c r="H614" s="431"/>
      <c r="I614" s="431"/>
      <c r="J614" s="431" t="s">
        <v>1664</v>
      </c>
      <c r="K614" s="431"/>
      <c r="L614" s="431"/>
      <c r="M614" s="431"/>
      <c r="N614" s="433"/>
    </row>
    <row r="615" spans="1:14">
      <c r="A615" s="416">
        <f t="shared" si="13"/>
        <v>609</v>
      </c>
      <c r="B615" s="590"/>
      <c r="C615" s="426" t="s">
        <v>1301</v>
      </c>
      <c r="D615" s="427"/>
      <c r="E615" s="428" t="s">
        <v>289</v>
      </c>
      <c r="F615" s="434">
        <v>425677</v>
      </c>
      <c r="G615" s="431"/>
      <c r="H615" s="431"/>
      <c r="I615" s="431"/>
      <c r="J615" s="431" t="s">
        <v>1664</v>
      </c>
      <c r="K615" s="431"/>
      <c r="L615" s="431"/>
      <c r="M615" s="431"/>
      <c r="N615" s="433"/>
    </row>
    <row r="616" spans="1:14">
      <c r="A616" s="416">
        <f t="shared" si="13"/>
        <v>610</v>
      </c>
      <c r="B616" s="590"/>
      <c r="C616" s="426" t="s">
        <v>1303</v>
      </c>
      <c r="D616" s="427"/>
      <c r="E616" s="428" t="s">
        <v>289</v>
      </c>
      <c r="F616" s="434">
        <v>177362</v>
      </c>
      <c r="G616" s="431"/>
      <c r="H616" s="431"/>
      <c r="I616" s="431"/>
      <c r="J616" s="431" t="s">
        <v>1664</v>
      </c>
      <c r="K616" s="431"/>
      <c r="L616" s="431"/>
      <c r="M616" s="431"/>
      <c r="N616" s="433"/>
    </row>
    <row r="617" spans="1:14">
      <c r="A617" s="416">
        <f t="shared" si="13"/>
        <v>611</v>
      </c>
      <c r="B617" s="590"/>
      <c r="C617" s="426" t="s">
        <v>1305</v>
      </c>
      <c r="D617" s="427"/>
      <c r="E617" s="428" t="s">
        <v>289</v>
      </c>
      <c r="F617" s="434">
        <v>70833</v>
      </c>
      <c r="G617" s="431"/>
      <c r="H617" s="431"/>
      <c r="I617" s="431"/>
      <c r="J617" s="431" t="s">
        <v>1664</v>
      </c>
      <c r="K617" s="431"/>
      <c r="L617" s="431"/>
      <c r="M617" s="431"/>
      <c r="N617" s="433"/>
    </row>
    <row r="618" spans="1:14">
      <c r="A618" s="416">
        <f t="shared" si="13"/>
        <v>612</v>
      </c>
      <c r="B618" s="590"/>
      <c r="C618" s="426" t="s">
        <v>1307</v>
      </c>
      <c r="D618" s="427"/>
      <c r="E618" s="428" t="s">
        <v>289</v>
      </c>
      <c r="F618" s="434">
        <v>197198</v>
      </c>
      <c r="G618" s="431"/>
      <c r="H618" s="431"/>
      <c r="I618" s="431"/>
      <c r="J618" s="431" t="s">
        <v>1664</v>
      </c>
      <c r="K618" s="431"/>
      <c r="L618" s="431"/>
      <c r="M618" s="431"/>
      <c r="N618" s="433"/>
    </row>
    <row r="619" spans="1:14">
      <c r="A619" s="416">
        <f t="shared" si="13"/>
        <v>613</v>
      </c>
      <c r="B619" s="590"/>
      <c r="C619" s="426" t="s">
        <v>1309</v>
      </c>
      <c r="D619" s="427"/>
      <c r="E619" s="428" t="s">
        <v>1709</v>
      </c>
      <c r="F619" s="434">
        <v>306573</v>
      </c>
      <c r="G619" s="431"/>
      <c r="H619" s="431"/>
      <c r="I619" s="431"/>
      <c r="J619" s="431" t="s">
        <v>1664</v>
      </c>
      <c r="K619" s="431"/>
      <c r="L619" s="431"/>
      <c r="M619" s="431"/>
      <c r="N619" s="433"/>
    </row>
    <row r="620" spans="1:14">
      <c r="A620" s="416">
        <f t="shared" si="13"/>
        <v>614</v>
      </c>
      <c r="B620" s="590"/>
      <c r="C620" s="426" t="s">
        <v>1311</v>
      </c>
      <c r="D620" s="427" t="s">
        <v>2251</v>
      </c>
      <c r="E620" s="428" t="s">
        <v>1709</v>
      </c>
      <c r="F620" s="434">
        <v>1399</v>
      </c>
      <c r="G620" s="431"/>
      <c r="H620" s="431"/>
      <c r="I620" s="431"/>
      <c r="J620" s="431" t="s">
        <v>1664</v>
      </c>
      <c r="K620" s="431"/>
      <c r="L620" s="431"/>
      <c r="M620" s="431"/>
      <c r="N620" s="433"/>
    </row>
    <row r="621" spans="1:14">
      <c r="A621" s="416">
        <f t="shared" si="13"/>
        <v>615</v>
      </c>
      <c r="B621" s="590"/>
      <c r="C621" s="426" t="s">
        <v>1313</v>
      </c>
      <c r="D621" s="427"/>
      <c r="E621" s="428" t="s">
        <v>289</v>
      </c>
      <c r="F621" s="434">
        <v>7473</v>
      </c>
      <c r="G621" s="431"/>
      <c r="H621" s="431"/>
      <c r="I621" s="431"/>
      <c r="J621" s="431" t="s">
        <v>1664</v>
      </c>
      <c r="K621" s="431"/>
      <c r="L621" s="431"/>
      <c r="M621" s="431"/>
      <c r="N621" s="433"/>
    </row>
    <row r="622" spans="1:14">
      <c r="A622" s="416">
        <f t="shared" si="13"/>
        <v>616</v>
      </c>
      <c r="B622" s="590"/>
      <c r="C622" s="426" t="s">
        <v>1315</v>
      </c>
      <c r="D622" s="427"/>
      <c r="E622" s="428" t="s">
        <v>289</v>
      </c>
      <c r="F622" s="434">
        <v>209781</v>
      </c>
      <c r="G622" s="431"/>
      <c r="H622" s="431"/>
      <c r="I622" s="431"/>
      <c r="J622" s="431" t="s">
        <v>1664</v>
      </c>
      <c r="K622" s="431"/>
      <c r="L622" s="431"/>
      <c r="M622" s="431"/>
      <c r="N622" s="433"/>
    </row>
    <row r="623" spans="1:14">
      <c r="A623" s="416">
        <f t="shared" si="13"/>
        <v>617</v>
      </c>
      <c r="B623" s="590"/>
      <c r="C623" s="426" t="s">
        <v>1317</v>
      </c>
      <c r="D623" s="427"/>
      <c r="E623" s="428" t="s">
        <v>289</v>
      </c>
      <c r="F623" s="434">
        <v>35366</v>
      </c>
      <c r="G623" s="431"/>
      <c r="H623" s="431"/>
      <c r="I623" s="431"/>
      <c r="J623" s="431" t="s">
        <v>1664</v>
      </c>
      <c r="K623" s="431"/>
      <c r="L623" s="431"/>
      <c r="M623" s="431"/>
      <c r="N623" s="433"/>
    </row>
    <row r="624" spans="1:14" ht="29">
      <c r="A624" s="416">
        <f t="shared" si="13"/>
        <v>618</v>
      </c>
      <c r="B624" s="590"/>
      <c r="C624" s="426" t="s">
        <v>1319</v>
      </c>
      <c r="D624" s="427"/>
      <c r="E624" s="428" t="s">
        <v>289</v>
      </c>
      <c r="F624" s="434">
        <v>1296</v>
      </c>
      <c r="G624" s="431"/>
      <c r="H624" s="431"/>
      <c r="I624" s="431"/>
      <c r="J624" s="431" t="s">
        <v>1664</v>
      </c>
      <c r="K624" s="431"/>
      <c r="L624" s="431"/>
      <c r="M624" s="431"/>
      <c r="N624" s="433"/>
    </row>
    <row r="625" spans="1:14">
      <c r="A625" s="416">
        <f t="shared" si="13"/>
        <v>619</v>
      </c>
      <c r="B625" s="590"/>
      <c r="C625" s="426" t="s">
        <v>1323</v>
      </c>
      <c r="D625" s="427"/>
      <c r="E625" s="428" t="s">
        <v>289</v>
      </c>
      <c r="F625" s="434">
        <v>54241</v>
      </c>
      <c r="G625" s="431"/>
      <c r="H625" s="431"/>
      <c r="I625" s="431"/>
      <c r="J625" s="431" t="s">
        <v>1664</v>
      </c>
      <c r="K625" s="431"/>
      <c r="L625" s="431"/>
      <c r="M625" s="431"/>
      <c r="N625" s="433"/>
    </row>
    <row r="626" spans="1:14">
      <c r="A626" s="416">
        <f t="shared" si="13"/>
        <v>620</v>
      </c>
      <c r="B626" s="590"/>
      <c r="C626" s="426" t="s">
        <v>1325</v>
      </c>
      <c r="D626" s="427"/>
      <c r="E626" s="428" t="s">
        <v>289</v>
      </c>
      <c r="F626" s="434">
        <v>133229</v>
      </c>
      <c r="G626" s="431"/>
      <c r="H626" s="431"/>
      <c r="I626" s="431"/>
      <c r="J626" s="431" t="s">
        <v>1664</v>
      </c>
      <c r="K626" s="431"/>
      <c r="L626" s="431"/>
      <c r="M626" s="431"/>
      <c r="N626" s="433"/>
    </row>
    <row r="627" spans="1:14">
      <c r="A627" s="416">
        <f t="shared" si="13"/>
        <v>621</v>
      </c>
      <c r="B627" s="590"/>
      <c r="C627" s="426" t="s">
        <v>1327</v>
      </c>
      <c r="D627" s="427"/>
      <c r="E627" s="428" t="s">
        <v>289</v>
      </c>
      <c r="F627" s="434">
        <v>183706</v>
      </c>
      <c r="G627" s="431"/>
      <c r="H627" s="431"/>
      <c r="I627" s="431"/>
      <c r="J627" s="431" t="s">
        <v>1664</v>
      </c>
      <c r="K627" s="431"/>
      <c r="L627" s="431"/>
      <c r="M627" s="431"/>
      <c r="N627" s="433"/>
    </row>
    <row r="628" spans="1:14">
      <c r="A628" s="416">
        <f t="shared" si="13"/>
        <v>622</v>
      </c>
      <c r="B628" s="590"/>
      <c r="C628" s="426" t="s">
        <v>1329</v>
      </c>
      <c r="D628" s="427"/>
      <c r="E628" s="428" t="s">
        <v>289</v>
      </c>
      <c r="F628" s="434">
        <v>337805</v>
      </c>
      <c r="G628" s="431"/>
      <c r="H628" s="431"/>
      <c r="I628" s="431"/>
      <c r="J628" s="431" t="s">
        <v>1664</v>
      </c>
      <c r="K628" s="431"/>
      <c r="L628" s="431"/>
      <c r="M628" s="431"/>
      <c r="N628" s="433"/>
    </row>
    <row r="629" spans="1:14">
      <c r="A629" s="416">
        <f t="shared" si="13"/>
        <v>623</v>
      </c>
      <c r="B629" s="590"/>
      <c r="C629" s="426" t="s">
        <v>937</v>
      </c>
      <c r="D629" s="427" t="s">
        <v>2252</v>
      </c>
      <c r="E629" s="428" t="s">
        <v>289</v>
      </c>
      <c r="F629" s="434">
        <v>23704</v>
      </c>
      <c r="G629" s="431"/>
      <c r="H629" s="431"/>
      <c r="I629" s="431"/>
      <c r="J629" s="431" t="s">
        <v>1664</v>
      </c>
      <c r="K629" s="431"/>
      <c r="L629" s="431"/>
      <c r="M629" s="431"/>
      <c r="N629" s="433"/>
    </row>
    <row r="630" spans="1:14">
      <c r="A630" s="416">
        <f t="shared" si="13"/>
        <v>624</v>
      </c>
      <c r="B630" s="590"/>
      <c r="C630" s="426" t="s">
        <v>1331</v>
      </c>
      <c r="D630" s="427"/>
      <c r="E630" s="428" t="s">
        <v>1709</v>
      </c>
      <c r="F630" s="434">
        <v>593944</v>
      </c>
      <c r="G630" s="431"/>
      <c r="H630" s="431"/>
      <c r="I630" s="431"/>
      <c r="J630" s="431" t="s">
        <v>1664</v>
      </c>
      <c r="K630" s="431"/>
      <c r="L630" s="431"/>
      <c r="M630" s="431"/>
      <c r="N630" s="433"/>
    </row>
    <row r="631" spans="1:14">
      <c r="A631" s="416">
        <f t="shared" si="13"/>
        <v>625</v>
      </c>
      <c r="B631" s="590"/>
      <c r="C631" s="426" t="s">
        <v>1333</v>
      </c>
      <c r="D631" s="427"/>
      <c r="E631" s="428" t="s">
        <v>289</v>
      </c>
      <c r="F631" s="434">
        <v>189249</v>
      </c>
      <c r="G631" s="431"/>
      <c r="H631" s="431"/>
      <c r="I631" s="431"/>
      <c r="J631" s="431" t="s">
        <v>1664</v>
      </c>
      <c r="K631" s="431"/>
      <c r="L631" s="431"/>
      <c r="M631" s="431"/>
      <c r="N631" s="433"/>
    </row>
    <row r="632" spans="1:14">
      <c r="A632" s="416">
        <f t="shared" si="13"/>
        <v>626</v>
      </c>
      <c r="B632" s="590"/>
      <c r="C632" s="426" t="s">
        <v>1335</v>
      </c>
      <c r="D632" s="427"/>
      <c r="E632" s="428" t="s">
        <v>289</v>
      </c>
      <c r="F632" s="434">
        <v>53227</v>
      </c>
      <c r="G632" s="431"/>
      <c r="H632" s="431"/>
      <c r="I632" s="431"/>
      <c r="J632" s="431" t="s">
        <v>1664</v>
      </c>
      <c r="K632" s="431"/>
      <c r="L632" s="431"/>
      <c r="M632" s="431"/>
      <c r="N632" s="433"/>
    </row>
    <row r="633" spans="1:14">
      <c r="A633" s="416">
        <f t="shared" si="13"/>
        <v>627</v>
      </c>
      <c r="B633" s="590"/>
      <c r="C633" s="426" t="s">
        <v>1337</v>
      </c>
      <c r="D633" s="427"/>
      <c r="E633" s="428" t="s">
        <v>289</v>
      </c>
      <c r="F633" s="434">
        <v>1225</v>
      </c>
      <c r="G633" s="431"/>
      <c r="H633" s="431"/>
      <c r="I633" s="431"/>
      <c r="J633" s="431" t="s">
        <v>1664</v>
      </c>
      <c r="K633" s="431"/>
      <c r="L633" s="431"/>
      <c r="M633" s="431"/>
      <c r="N633" s="433"/>
    </row>
    <row r="634" spans="1:14">
      <c r="A634" s="416">
        <f t="shared" si="13"/>
        <v>628</v>
      </c>
      <c r="B634" s="590"/>
      <c r="C634" s="426" t="s">
        <v>1339</v>
      </c>
      <c r="D634" s="427"/>
      <c r="E634" s="428" t="s">
        <v>1709</v>
      </c>
      <c r="F634" s="434">
        <v>50588</v>
      </c>
      <c r="G634" s="431"/>
      <c r="H634" s="431"/>
      <c r="I634" s="431"/>
      <c r="J634" s="431" t="s">
        <v>1664</v>
      </c>
      <c r="K634" s="431"/>
      <c r="L634" s="431"/>
      <c r="M634" s="431"/>
      <c r="N634" s="433"/>
    </row>
    <row r="635" spans="1:14">
      <c r="A635" s="416">
        <f t="shared" si="13"/>
        <v>629</v>
      </c>
      <c r="B635" s="590"/>
      <c r="C635" s="426" t="s">
        <v>941</v>
      </c>
      <c r="D635" s="427" t="s">
        <v>2253</v>
      </c>
      <c r="E635" s="428" t="s">
        <v>289</v>
      </c>
      <c r="F635" s="434">
        <v>91230</v>
      </c>
      <c r="G635" s="431"/>
      <c r="H635" s="431"/>
      <c r="I635" s="431"/>
      <c r="J635" s="431" t="s">
        <v>1664</v>
      </c>
      <c r="K635" s="431"/>
      <c r="L635" s="431"/>
      <c r="M635" s="431"/>
      <c r="N635" s="433"/>
    </row>
    <row r="636" spans="1:14">
      <c r="A636" s="416">
        <f t="shared" si="13"/>
        <v>630</v>
      </c>
      <c r="B636" s="590"/>
      <c r="C636" s="426" t="s">
        <v>1341</v>
      </c>
      <c r="D636" s="427"/>
      <c r="E636" s="428" t="s">
        <v>289</v>
      </c>
      <c r="F636" s="434">
        <v>98929</v>
      </c>
      <c r="G636" s="431"/>
      <c r="H636" s="431"/>
      <c r="I636" s="431"/>
      <c r="J636" s="431" t="s">
        <v>1664</v>
      </c>
      <c r="K636" s="431"/>
      <c r="L636" s="431"/>
      <c r="M636" s="431"/>
      <c r="N636" s="433"/>
    </row>
    <row r="637" spans="1:14">
      <c r="A637" s="416">
        <f t="shared" si="13"/>
        <v>631</v>
      </c>
      <c r="B637" s="590"/>
      <c r="C637" s="426" t="s">
        <v>1343</v>
      </c>
      <c r="D637" s="427"/>
      <c r="E637" s="428" t="s">
        <v>289</v>
      </c>
      <c r="F637" s="434">
        <v>156018</v>
      </c>
      <c r="G637" s="431"/>
      <c r="H637" s="431"/>
      <c r="I637" s="431"/>
      <c r="J637" s="431" t="s">
        <v>1664</v>
      </c>
      <c r="K637" s="431"/>
      <c r="L637" s="431"/>
      <c r="M637" s="431"/>
      <c r="N637" s="433"/>
    </row>
    <row r="638" spans="1:14">
      <c r="A638" s="416">
        <f t="shared" si="13"/>
        <v>632</v>
      </c>
      <c r="B638" s="590"/>
      <c r="C638" s="426" t="s">
        <v>939</v>
      </c>
      <c r="D638" s="427" t="s">
        <v>2254</v>
      </c>
      <c r="E638" s="428" t="s">
        <v>289</v>
      </c>
      <c r="F638" s="434">
        <v>49112</v>
      </c>
      <c r="G638" s="431"/>
      <c r="H638" s="431"/>
      <c r="I638" s="431"/>
      <c r="J638" s="431" t="s">
        <v>1664</v>
      </c>
      <c r="K638" s="431"/>
      <c r="L638" s="431"/>
      <c r="M638" s="431"/>
      <c r="N638" s="433"/>
    </row>
    <row r="639" spans="1:14">
      <c r="A639" s="416">
        <f t="shared" si="13"/>
        <v>633</v>
      </c>
      <c r="B639" s="590"/>
      <c r="C639" s="426" t="s">
        <v>1345</v>
      </c>
      <c r="D639" s="427"/>
      <c r="E639" s="428" t="s">
        <v>289</v>
      </c>
      <c r="F639" s="434">
        <v>111336</v>
      </c>
      <c r="G639" s="431"/>
      <c r="H639" s="431"/>
      <c r="I639" s="431"/>
      <c r="J639" s="431" t="s">
        <v>1664</v>
      </c>
      <c r="K639" s="431"/>
      <c r="L639" s="431"/>
      <c r="M639" s="431"/>
      <c r="N639" s="433"/>
    </row>
    <row r="640" spans="1:14">
      <c r="A640" s="416">
        <f t="shared" si="13"/>
        <v>634</v>
      </c>
      <c r="B640" s="590"/>
      <c r="C640" s="426" t="s">
        <v>1347</v>
      </c>
      <c r="D640" s="427"/>
      <c r="E640" s="428" t="s">
        <v>289</v>
      </c>
      <c r="F640" s="434">
        <v>433673</v>
      </c>
      <c r="G640" s="431"/>
      <c r="H640" s="431"/>
      <c r="I640" s="431"/>
      <c r="J640" s="431" t="s">
        <v>1664</v>
      </c>
      <c r="K640" s="431"/>
      <c r="L640" s="431"/>
      <c r="M640" s="431"/>
      <c r="N640" s="433"/>
    </row>
    <row r="641" spans="1:14">
      <c r="A641" s="416">
        <f t="shared" ref="A641:A704" si="14">A640+1</f>
        <v>635</v>
      </c>
      <c r="B641" s="590"/>
      <c r="C641" s="426" t="s">
        <v>1349</v>
      </c>
      <c r="D641" s="427"/>
      <c r="E641" s="428" t="s">
        <v>289</v>
      </c>
      <c r="F641" s="434">
        <v>137620</v>
      </c>
      <c r="G641" s="431"/>
      <c r="H641" s="431"/>
      <c r="I641" s="431"/>
      <c r="J641" s="431" t="s">
        <v>1664</v>
      </c>
      <c r="K641" s="431"/>
      <c r="L641" s="431"/>
      <c r="M641" s="431"/>
      <c r="N641" s="433"/>
    </row>
    <row r="642" spans="1:14">
      <c r="A642" s="416">
        <f t="shared" si="14"/>
        <v>636</v>
      </c>
      <c r="B642" s="590"/>
      <c r="C642" s="426" t="s">
        <v>1351</v>
      </c>
      <c r="D642" s="427"/>
      <c r="E642" s="428" t="s">
        <v>289</v>
      </c>
      <c r="F642" s="434">
        <v>203034</v>
      </c>
      <c r="G642" s="431"/>
      <c r="H642" s="431"/>
      <c r="I642" s="431"/>
      <c r="J642" s="431" t="s">
        <v>1664</v>
      </c>
      <c r="K642" s="431"/>
      <c r="L642" s="431"/>
      <c r="M642" s="431"/>
      <c r="N642" s="433"/>
    </row>
    <row r="643" spans="1:14">
      <c r="A643" s="416">
        <f t="shared" si="14"/>
        <v>637</v>
      </c>
      <c r="B643" s="590"/>
      <c r="C643" s="426" t="s">
        <v>1353</v>
      </c>
      <c r="D643" s="427"/>
      <c r="E643" s="428" t="s">
        <v>289</v>
      </c>
      <c r="F643" s="434">
        <v>1700</v>
      </c>
      <c r="G643" s="431"/>
      <c r="H643" s="431"/>
      <c r="I643" s="431"/>
      <c r="J643" s="431" t="s">
        <v>1664</v>
      </c>
      <c r="K643" s="431"/>
      <c r="L643" s="431"/>
      <c r="M643" s="431"/>
      <c r="N643" s="433"/>
    </row>
    <row r="644" spans="1:14">
      <c r="A644" s="416">
        <f t="shared" si="14"/>
        <v>638</v>
      </c>
      <c r="B644" s="590"/>
      <c r="C644" s="426" t="s">
        <v>1355</v>
      </c>
      <c r="D644" s="427"/>
      <c r="E644" s="428" t="s">
        <v>289</v>
      </c>
      <c r="F644" s="434">
        <v>51407</v>
      </c>
      <c r="G644" s="431"/>
      <c r="H644" s="431"/>
      <c r="I644" s="431"/>
      <c r="J644" s="431" t="s">
        <v>1664</v>
      </c>
      <c r="K644" s="431"/>
      <c r="L644" s="431"/>
      <c r="M644" s="431"/>
      <c r="N644" s="433"/>
    </row>
    <row r="645" spans="1:14">
      <c r="A645" s="416">
        <f t="shared" si="14"/>
        <v>639</v>
      </c>
      <c r="B645" s="590"/>
      <c r="C645" s="426" t="s">
        <v>1357</v>
      </c>
      <c r="D645" s="427"/>
      <c r="E645" s="428" t="s">
        <v>289</v>
      </c>
      <c r="F645" s="434">
        <v>228099</v>
      </c>
      <c r="G645" s="431"/>
      <c r="H645" s="431"/>
      <c r="I645" s="431"/>
      <c r="J645" s="431" t="s">
        <v>1664</v>
      </c>
      <c r="K645" s="431"/>
      <c r="L645" s="431"/>
      <c r="M645" s="431"/>
      <c r="N645" s="433"/>
    </row>
    <row r="646" spans="1:14">
      <c r="A646" s="416">
        <f t="shared" si="14"/>
        <v>640</v>
      </c>
      <c r="B646" s="590"/>
      <c r="C646" s="426" t="s">
        <v>1359</v>
      </c>
      <c r="D646" s="427"/>
      <c r="E646" s="428" t="s">
        <v>289</v>
      </c>
      <c r="F646" s="434">
        <v>143269</v>
      </c>
      <c r="G646" s="431"/>
      <c r="H646" s="431"/>
      <c r="I646" s="431"/>
      <c r="J646" s="431" t="s">
        <v>1664</v>
      </c>
      <c r="K646" s="431"/>
      <c r="L646" s="431"/>
      <c r="M646" s="431"/>
      <c r="N646" s="433"/>
    </row>
    <row r="647" spans="1:14" ht="29">
      <c r="A647" s="416">
        <f t="shared" si="14"/>
        <v>641</v>
      </c>
      <c r="B647" s="590"/>
      <c r="C647" s="426" t="s">
        <v>1363</v>
      </c>
      <c r="D647" s="427"/>
      <c r="E647" s="428" t="s">
        <v>289</v>
      </c>
      <c r="F647" s="434">
        <v>326689</v>
      </c>
      <c r="G647" s="431"/>
      <c r="H647" s="431"/>
      <c r="I647" s="431"/>
      <c r="J647" s="431" t="s">
        <v>1664</v>
      </c>
      <c r="K647" s="431"/>
      <c r="L647" s="431"/>
      <c r="M647" s="431"/>
      <c r="N647" s="433"/>
    </row>
    <row r="648" spans="1:14">
      <c r="A648" s="416">
        <f t="shared" si="14"/>
        <v>642</v>
      </c>
      <c r="B648" s="590"/>
      <c r="C648" s="426" t="s">
        <v>1365</v>
      </c>
      <c r="D648" s="427"/>
      <c r="E648" s="428" t="s">
        <v>289</v>
      </c>
      <c r="F648" s="434">
        <v>46264</v>
      </c>
      <c r="G648" s="431"/>
      <c r="H648" s="431"/>
      <c r="I648" s="431"/>
      <c r="J648" s="431" t="s">
        <v>1664</v>
      </c>
      <c r="K648" s="431"/>
      <c r="L648" s="431"/>
      <c r="M648" s="431"/>
      <c r="N648" s="433"/>
    </row>
    <row r="649" spans="1:14" ht="29">
      <c r="A649" s="416">
        <f t="shared" si="14"/>
        <v>643</v>
      </c>
      <c r="B649" s="590"/>
      <c r="C649" s="426" t="s">
        <v>1367</v>
      </c>
      <c r="D649" s="427"/>
      <c r="E649" s="428" t="s">
        <v>289</v>
      </c>
      <c r="F649" s="434">
        <v>30489</v>
      </c>
      <c r="G649" s="431"/>
      <c r="H649" s="431"/>
      <c r="I649" s="431"/>
      <c r="J649" s="431" t="s">
        <v>1664</v>
      </c>
      <c r="K649" s="431"/>
      <c r="L649" s="431"/>
      <c r="M649" s="431"/>
      <c r="N649" s="433"/>
    </row>
    <row r="650" spans="1:14">
      <c r="A650" s="416">
        <f t="shared" si="14"/>
        <v>644</v>
      </c>
      <c r="B650" s="590"/>
      <c r="C650" s="426" t="s">
        <v>1369</v>
      </c>
      <c r="D650" s="427" t="s">
        <v>2255</v>
      </c>
      <c r="E650" s="428" t="s">
        <v>1709</v>
      </c>
      <c r="F650" s="434">
        <v>130348</v>
      </c>
      <c r="G650" s="431"/>
      <c r="H650" s="431"/>
      <c r="I650" s="431"/>
      <c r="J650" s="431" t="s">
        <v>1664</v>
      </c>
      <c r="K650" s="453"/>
      <c r="L650" s="431"/>
      <c r="M650" s="454"/>
      <c r="N650" s="455"/>
    </row>
    <row r="651" spans="1:14">
      <c r="A651" s="416">
        <f t="shared" si="14"/>
        <v>645</v>
      </c>
      <c r="B651" s="590"/>
      <c r="C651" s="426" t="s">
        <v>1371</v>
      </c>
      <c r="D651" s="427"/>
      <c r="E651" s="428" t="s">
        <v>2256</v>
      </c>
      <c r="F651" s="434">
        <v>168846</v>
      </c>
      <c r="G651" s="431"/>
      <c r="H651" s="431"/>
      <c r="I651" s="431"/>
      <c r="J651" s="431" t="s">
        <v>1664</v>
      </c>
      <c r="K651" s="431"/>
      <c r="L651" s="431"/>
      <c r="M651" s="431"/>
      <c r="N651" s="433"/>
    </row>
    <row r="652" spans="1:14" ht="43.5">
      <c r="A652" s="416">
        <f t="shared" si="14"/>
        <v>646</v>
      </c>
      <c r="B652" s="590"/>
      <c r="C652" s="426" t="s">
        <v>1373</v>
      </c>
      <c r="D652" s="427"/>
      <c r="E652" s="428" t="s">
        <v>2256</v>
      </c>
      <c r="F652" s="434">
        <v>255807</v>
      </c>
      <c r="G652" s="431"/>
      <c r="H652" s="431"/>
      <c r="I652" s="431"/>
      <c r="J652" s="431" t="s">
        <v>1664</v>
      </c>
      <c r="K652" s="431"/>
      <c r="L652" s="431"/>
      <c r="M652" s="431"/>
      <c r="N652" s="433"/>
    </row>
    <row r="653" spans="1:14">
      <c r="A653" s="416">
        <f t="shared" si="14"/>
        <v>647</v>
      </c>
      <c r="B653" s="590"/>
      <c r="C653" s="426" t="s">
        <v>1375</v>
      </c>
      <c r="D653" s="427"/>
      <c r="E653" s="428" t="s">
        <v>2256</v>
      </c>
      <c r="F653" s="434">
        <v>73382</v>
      </c>
      <c r="G653" s="431"/>
      <c r="H653" s="431"/>
      <c r="I653" s="431"/>
      <c r="J653" s="431" t="s">
        <v>1664</v>
      </c>
      <c r="K653" s="431"/>
      <c r="L653" s="431"/>
      <c r="M653" s="431"/>
      <c r="N653" s="433"/>
    </row>
    <row r="654" spans="1:14">
      <c r="A654" s="416">
        <f t="shared" si="14"/>
        <v>648</v>
      </c>
      <c r="B654" s="590" t="s">
        <v>966</v>
      </c>
      <c r="C654" s="426" t="s">
        <v>2257</v>
      </c>
      <c r="D654" s="427" t="s">
        <v>2258</v>
      </c>
      <c r="E654" s="428" t="s">
        <v>289</v>
      </c>
      <c r="F654" s="434">
        <v>253710.27</v>
      </c>
      <c r="G654" s="431"/>
      <c r="H654" s="431"/>
      <c r="I654" s="431"/>
      <c r="J654" s="431" t="s">
        <v>1664</v>
      </c>
      <c r="K654" s="431"/>
      <c r="L654" s="431"/>
      <c r="M654" s="431"/>
      <c r="N654" s="433"/>
    </row>
    <row r="655" spans="1:14" ht="17.25" customHeight="1">
      <c r="A655" s="416">
        <f t="shared" si="14"/>
        <v>649</v>
      </c>
      <c r="B655" s="590"/>
      <c r="C655" s="426" t="s">
        <v>1379</v>
      </c>
      <c r="D655" s="427"/>
      <c r="E655" s="428" t="s">
        <v>289</v>
      </c>
      <c r="F655" s="434">
        <v>66757</v>
      </c>
      <c r="G655" s="431"/>
      <c r="H655" s="431"/>
      <c r="I655" s="431"/>
      <c r="J655" s="431" t="s">
        <v>1664</v>
      </c>
      <c r="K655" s="431"/>
      <c r="L655" s="431"/>
      <c r="M655" s="431"/>
      <c r="N655" s="433"/>
    </row>
    <row r="656" spans="1:14" ht="29">
      <c r="A656" s="416">
        <f t="shared" si="14"/>
        <v>650</v>
      </c>
      <c r="B656" s="590"/>
      <c r="C656" s="426" t="s">
        <v>1381</v>
      </c>
      <c r="D656" s="427"/>
      <c r="E656" s="428" t="s">
        <v>289</v>
      </c>
      <c r="F656" s="434">
        <v>202926</v>
      </c>
      <c r="G656" s="431"/>
      <c r="H656" s="431"/>
      <c r="I656" s="431"/>
      <c r="J656" s="431" t="s">
        <v>1664</v>
      </c>
      <c r="K656" s="431"/>
      <c r="L656" s="431"/>
      <c r="M656" s="431"/>
      <c r="N656" s="433"/>
    </row>
    <row r="657" spans="1:14">
      <c r="A657" s="416">
        <f t="shared" si="14"/>
        <v>651</v>
      </c>
      <c r="B657" s="590"/>
      <c r="C657" s="426" t="s">
        <v>1383</v>
      </c>
      <c r="D657" s="427"/>
      <c r="E657" s="428" t="s">
        <v>1709</v>
      </c>
      <c r="F657" s="434">
        <v>284658</v>
      </c>
      <c r="G657" s="431"/>
      <c r="H657" s="431"/>
      <c r="I657" s="431"/>
      <c r="J657" s="431" t="s">
        <v>1664</v>
      </c>
      <c r="K657" s="431"/>
      <c r="L657" s="431"/>
      <c r="M657" s="431"/>
      <c r="N657" s="433"/>
    </row>
    <row r="658" spans="1:14" ht="17.25" customHeight="1">
      <c r="A658" s="416">
        <f t="shared" si="14"/>
        <v>652</v>
      </c>
      <c r="B658" s="590"/>
      <c r="C658" s="426" t="s">
        <v>1385</v>
      </c>
      <c r="D658" s="427"/>
      <c r="E658" s="428" t="s">
        <v>289</v>
      </c>
      <c r="F658" s="434">
        <v>41178</v>
      </c>
      <c r="G658" s="431"/>
      <c r="H658" s="431"/>
      <c r="I658" s="431"/>
      <c r="J658" s="431" t="s">
        <v>1664</v>
      </c>
      <c r="K658" s="431"/>
      <c r="L658" s="431"/>
      <c r="M658" s="431"/>
      <c r="N658" s="433"/>
    </row>
    <row r="659" spans="1:14">
      <c r="A659" s="416">
        <f t="shared" si="14"/>
        <v>653</v>
      </c>
      <c r="B659" s="590"/>
      <c r="C659" s="426" t="s">
        <v>1387</v>
      </c>
      <c r="D659" s="427"/>
      <c r="E659" s="428" t="s">
        <v>289</v>
      </c>
      <c r="F659" s="434">
        <v>180146</v>
      </c>
      <c r="G659" s="431"/>
      <c r="H659" s="431"/>
      <c r="I659" s="431"/>
      <c r="J659" s="431" t="s">
        <v>1664</v>
      </c>
      <c r="K659" s="431"/>
      <c r="L659" s="431"/>
      <c r="M659" s="431"/>
      <c r="N659" s="433"/>
    </row>
    <row r="660" spans="1:14">
      <c r="A660" s="416">
        <f t="shared" si="14"/>
        <v>654</v>
      </c>
      <c r="B660" s="590"/>
      <c r="C660" s="426" t="s">
        <v>1389</v>
      </c>
      <c r="D660" s="427"/>
      <c r="E660" s="428" t="s">
        <v>289</v>
      </c>
      <c r="F660" s="434">
        <v>54362</v>
      </c>
      <c r="G660" s="431"/>
      <c r="H660" s="431"/>
      <c r="I660" s="431"/>
      <c r="J660" s="431" t="s">
        <v>1664</v>
      </c>
      <c r="K660" s="431"/>
      <c r="L660" s="431"/>
      <c r="M660" s="431"/>
      <c r="N660" s="433"/>
    </row>
    <row r="661" spans="1:14">
      <c r="A661" s="416">
        <f t="shared" si="14"/>
        <v>655</v>
      </c>
      <c r="B661" s="590"/>
      <c r="C661" s="426" t="s">
        <v>1390</v>
      </c>
      <c r="D661" s="427"/>
      <c r="E661" s="428" t="s">
        <v>289</v>
      </c>
      <c r="F661" s="434">
        <v>100080</v>
      </c>
      <c r="G661" s="431"/>
      <c r="H661" s="431"/>
      <c r="I661" s="431"/>
      <c r="J661" s="431" t="s">
        <v>1664</v>
      </c>
      <c r="K661" s="431"/>
      <c r="L661" s="431"/>
      <c r="M661" s="431"/>
      <c r="N661" s="433"/>
    </row>
    <row r="662" spans="1:14">
      <c r="A662" s="416">
        <f t="shared" si="14"/>
        <v>656</v>
      </c>
      <c r="B662" s="590"/>
      <c r="C662" s="426" t="s">
        <v>1392</v>
      </c>
      <c r="D662" s="427"/>
      <c r="E662" s="428" t="s">
        <v>289</v>
      </c>
      <c r="F662" s="434">
        <v>286574</v>
      </c>
      <c r="G662" s="431"/>
      <c r="H662" s="431"/>
      <c r="I662" s="431"/>
      <c r="J662" s="431" t="s">
        <v>1664</v>
      </c>
      <c r="K662" s="431"/>
      <c r="L662" s="431"/>
      <c r="M662" s="431"/>
      <c r="N662" s="433"/>
    </row>
    <row r="663" spans="1:14">
      <c r="A663" s="416">
        <f t="shared" si="14"/>
        <v>657</v>
      </c>
      <c r="B663" s="590"/>
      <c r="C663" s="426" t="s">
        <v>1394</v>
      </c>
      <c r="D663" s="427"/>
      <c r="E663" s="428" t="s">
        <v>289</v>
      </c>
      <c r="F663" s="434">
        <v>248109</v>
      </c>
      <c r="G663" s="431"/>
      <c r="H663" s="431"/>
      <c r="I663" s="431"/>
      <c r="J663" s="431" t="s">
        <v>1664</v>
      </c>
      <c r="K663" s="431"/>
      <c r="L663" s="431"/>
      <c r="M663" s="431"/>
      <c r="N663" s="433"/>
    </row>
    <row r="664" spans="1:14">
      <c r="A664" s="416">
        <f t="shared" si="14"/>
        <v>658</v>
      </c>
      <c r="B664" s="590"/>
      <c r="C664" s="426" t="s">
        <v>1396</v>
      </c>
      <c r="D664" s="427"/>
      <c r="E664" s="428" t="s">
        <v>289</v>
      </c>
      <c r="F664" s="434">
        <v>197602</v>
      </c>
      <c r="G664" s="431"/>
      <c r="H664" s="431"/>
      <c r="I664" s="431"/>
      <c r="J664" s="431" t="s">
        <v>1664</v>
      </c>
      <c r="K664" s="431"/>
      <c r="L664" s="431"/>
      <c r="M664" s="431"/>
      <c r="N664" s="433"/>
    </row>
    <row r="665" spans="1:14" ht="29">
      <c r="A665" s="416">
        <f t="shared" si="14"/>
        <v>659</v>
      </c>
      <c r="B665" s="590"/>
      <c r="C665" s="426" t="s">
        <v>1398</v>
      </c>
      <c r="D665" s="427"/>
      <c r="E665" s="428" t="s">
        <v>289</v>
      </c>
      <c r="F665" s="434">
        <v>16044</v>
      </c>
      <c r="G665" s="431"/>
      <c r="H665" s="431"/>
      <c r="I665" s="431"/>
      <c r="J665" s="431" t="s">
        <v>1664</v>
      </c>
      <c r="K665" s="431"/>
      <c r="L665" s="431"/>
      <c r="M665" s="431"/>
      <c r="N665" s="433"/>
    </row>
    <row r="666" spans="1:14">
      <c r="A666" s="416">
        <f t="shared" si="14"/>
        <v>660</v>
      </c>
      <c r="B666" s="590"/>
      <c r="C666" s="426" t="s">
        <v>1402</v>
      </c>
      <c r="D666" s="427"/>
      <c r="E666" s="428" t="s">
        <v>289</v>
      </c>
      <c r="F666" s="434">
        <v>50349</v>
      </c>
      <c r="G666" s="431"/>
      <c r="H666" s="431"/>
      <c r="I666" s="431"/>
      <c r="J666" s="431" t="s">
        <v>1664</v>
      </c>
      <c r="K666" s="431"/>
      <c r="L666" s="431"/>
      <c r="M666" s="431"/>
      <c r="N666" s="433"/>
    </row>
    <row r="667" spans="1:14">
      <c r="A667" s="416">
        <f t="shared" si="14"/>
        <v>661</v>
      </c>
      <c r="B667" s="590"/>
      <c r="C667" s="426" t="s">
        <v>1404</v>
      </c>
      <c r="D667" s="427"/>
      <c r="E667" s="428" t="s">
        <v>289</v>
      </c>
      <c r="F667" s="434">
        <v>73810</v>
      </c>
      <c r="G667" s="431"/>
      <c r="H667" s="431"/>
      <c r="I667" s="431"/>
      <c r="J667" s="431" t="s">
        <v>1664</v>
      </c>
      <c r="K667" s="431"/>
      <c r="L667" s="431"/>
      <c r="M667" s="431"/>
      <c r="N667" s="433"/>
    </row>
    <row r="668" spans="1:14">
      <c r="A668" s="416">
        <f t="shared" si="14"/>
        <v>662</v>
      </c>
      <c r="B668" s="590"/>
      <c r="C668" s="426" t="s">
        <v>991</v>
      </c>
      <c r="D668" s="427" t="s">
        <v>2248</v>
      </c>
      <c r="E668" s="428" t="s">
        <v>1709</v>
      </c>
      <c r="F668" s="434">
        <v>98534</v>
      </c>
      <c r="G668" s="431"/>
      <c r="H668" s="431"/>
      <c r="I668" s="431"/>
      <c r="J668" s="431" t="s">
        <v>1664</v>
      </c>
      <c r="K668" s="431"/>
      <c r="L668" s="431"/>
      <c r="M668" s="431"/>
      <c r="N668" s="433"/>
    </row>
    <row r="669" spans="1:14">
      <c r="A669" s="416">
        <f t="shared" si="14"/>
        <v>663</v>
      </c>
      <c r="B669" s="590"/>
      <c r="C669" s="426" t="s">
        <v>1406</v>
      </c>
      <c r="D669" s="427"/>
      <c r="E669" s="428" t="s">
        <v>1709</v>
      </c>
      <c r="F669" s="434">
        <v>593805</v>
      </c>
      <c r="G669" s="431"/>
      <c r="H669" s="431"/>
      <c r="I669" s="431"/>
      <c r="J669" s="431" t="s">
        <v>1664</v>
      </c>
      <c r="K669" s="431"/>
      <c r="L669" s="431"/>
      <c r="M669" s="431"/>
      <c r="N669" s="433"/>
    </row>
    <row r="670" spans="1:14">
      <c r="A670" s="416">
        <f t="shared" si="14"/>
        <v>664</v>
      </c>
      <c r="B670" s="590"/>
      <c r="C670" s="426" t="s">
        <v>1408</v>
      </c>
      <c r="D670" s="427"/>
      <c r="E670" s="428" t="s">
        <v>1709</v>
      </c>
      <c r="F670" s="434">
        <v>46350</v>
      </c>
      <c r="G670" s="431"/>
      <c r="H670" s="431"/>
      <c r="I670" s="431"/>
      <c r="J670" s="431" t="s">
        <v>1664</v>
      </c>
      <c r="K670" s="431"/>
      <c r="L670" s="431"/>
      <c r="M670" s="431"/>
      <c r="N670" s="433"/>
    </row>
    <row r="671" spans="1:14">
      <c r="A671" s="416">
        <f t="shared" si="14"/>
        <v>665</v>
      </c>
      <c r="B671" s="590"/>
      <c r="C671" s="426" t="s">
        <v>1410</v>
      </c>
      <c r="D671" s="427"/>
      <c r="E671" s="428" t="s">
        <v>289</v>
      </c>
      <c r="F671" s="434">
        <v>203657</v>
      </c>
      <c r="G671" s="431"/>
      <c r="H671" s="431"/>
      <c r="I671" s="431"/>
      <c r="J671" s="431" t="s">
        <v>1664</v>
      </c>
      <c r="K671" s="431"/>
      <c r="L671" s="431"/>
      <c r="M671" s="431"/>
      <c r="N671" s="433"/>
    </row>
    <row r="672" spans="1:14">
      <c r="A672" s="416">
        <f t="shared" si="14"/>
        <v>666</v>
      </c>
      <c r="B672" s="590"/>
      <c r="C672" s="426" t="s">
        <v>997</v>
      </c>
      <c r="D672" s="427" t="s">
        <v>2259</v>
      </c>
      <c r="E672" s="428" t="s">
        <v>289</v>
      </c>
      <c r="F672" s="434">
        <v>10832</v>
      </c>
      <c r="G672" s="431"/>
      <c r="H672" s="431"/>
      <c r="I672" s="431"/>
      <c r="J672" s="431" t="s">
        <v>1664</v>
      </c>
      <c r="K672" s="431"/>
      <c r="L672" s="431"/>
      <c r="M672" s="431"/>
      <c r="N672" s="433"/>
    </row>
    <row r="673" spans="1:14">
      <c r="A673" s="416">
        <f t="shared" si="14"/>
        <v>667</v>
      </c>
      <c r="B673" s="590"/>
      <c r="C673" s="426" t="s">
        <v>1412</v>
      </c>
      <c r="D673" s="427"/>
      <c r="E673" s="428" t="s">
        <v>289</v>
      </c>
      <c r="F673" s="434">
        <v>119734</v>
      </c>
      <c r="G673" s="431"/>
      <c r="H673" s="431"/>
      <c r="I673" s="431"/>
      <c r="J673" s="431" t="s">
        <v>1664</v>
      </c>
      <c r="K673" s="431"/>
      <c r="L673" s="431"/>
      <c r="M673" s="431"/>
      <c r="N673" s="433"/>
    </row>
    <row r="674" spans="1:14">
      <c r="A674" s="416">
        <f t="shared" si="14"/>
        <v>668</v>
      </c>
      <c r="B674" s="590"/>
      <c r="C674" s="426" t="s">
        <v>1414</v>
      </c>
      <c r="D674" s="427"/>
      <c r="E674" s="428" t="s">
        <v>289</v>
      </c>
      <c r="F674" s="434">
        <v>98042</v>
      </c>
      <c r="G674" s="431"/>
      <c r="H674" s="431"/>
      <c r="I674" s="431"/>
      <c r="J674" s="431" t="s">
        <v>1664</v>
      </c>
      <c r="K674" s="431"/>
      <c r="L674" s="431"/>
      <c r="M674" s="431"/>
      <c r="N674" s="433"/>
    </row>
    <row r="675" spans="1:14">
      <c r="A675" s="416">
        <f t="shared" si="14"/>
        <v>669</v>
      </c>
      <c r="B675" s="590"/>
      <c r="C675" s="426" t="s">
        <v>1416</v>
      </c>
      <c r="D675" s="427" t="s">
        <v>2260</v>
      </c>
      <c r="E675" s="428" t="s">
        <v>1709</v>
      </c>
      <c r="F675" s="434">
        <v>22896</v>
      </c>
      <c r="G675" s="431"/>
      <c r="H675" s="431"/>
      <c r="I675" s="431"/>
      <c r="J675" s="431" t="s">
        <v>1664</v>
      </c>
      <c r="K675" s="431"/>
      <c r="L675" s="431"/>
      <c r="M675" s="431"/>
      <c r="N675" s="433"/>
    </row>
    <row r="676" spans="1:14">
      <c r="A676" s="416">
        <f t="shared" si="14"/>
        <v>670</v>
      </c>
      <c r="B676" s="590"/>
      <c r="C676" s="426" t="s">
        <v>1418</v>
      </c>
      <c r="D676" s="427"/>
      <c r="E676" s="428" t="s">
        <v>1709</v>
      </c>
      <c r="F676" s="434">
        <v>135796</v>
      </c>
      <c r="G676" s="431"/>
      <c r="H676" s="431"/>
      <c r="I676" s="431"/>
      <c r="J676" s="431" t="s">
        <v>1664</v>
      </c>
      <c r="K676" s="431"/>
      <c r="L676" s="431"/>
      <c r="M676" s="431"/>
      <c r="N676" s="433"/>
    </row>
    <row r="677" spans="1:14">
      <c r="A677" s="416">
        <f t="shared" si="14"/>
        <v>671</v>
      </c>
      <c r="B677" s="590"/>
      <c r="C677" s="426" t="s">
        <v>1420</v>
      </c>
      <c r="D677" s="427"/>
      <c r="E677" s="428" t="s">
        <v>1709</v>
      </c>
      <c r="F677" s="434">
        <v>44738</v>
      </c>
      <c r="G677" s="431"/>
      <c r="H677" s="431"/>
      <c r="I677" s="431"/>
      <c r="J677" s="431" t="s">
        <v>1664</v>
      </c>
      <c r="K677" s="431"/>
      <c r="L677" s="431"/>
      <c r="M677" s="431"/>
      <c r="N677" s="433"/>
    </row>
    <row r="678" spans="1:14">
      <c r="A678" s="416">
        <f t="shared" si="14"/>
        <v>672</v>
      </c>
      <c r="B678" s="590"/>
      <c r="C678" s="426" t="s">
        <v>1422</v>
      </c>
      <c r="D678" s="427"/>
      <c r="E678" s="428" t="s">
        <v>289</v>
      </c>
      <c r="F678" s="434">
        <v>155533</v>
      </c>
      <c r="G678" s="431"/>
      <c r="H678" s="431"/>
      <c r="I678" s="431"/>
      <c r="J678" s="431" t="s">
        <v>1664</v>
      </c>
      <c r="K678" s="431"/>
      <c r="L678" s="431"/>
      <c r="M678" s="431"/>
      <c r="N678" s="433"/>
    </row>
    <row r="679" spans="1:14">
      <c r="A679" s="416">
        <f t="shared" si="14"/>
        <v>673</v>
      </c>
      <c r="B679" s="590"/>
      <c r="C679" s="426" t="s">
        <v>1424</v>
      </c>
      <c r="D679" s="427"/>
      <c r="E679" s="428" t="s">
        <v>289</v>
      </c>
      <c r="F679" s="434">
        <v>141441</v>
      </c>
      <c r="G679" s="431"/>
      <c r="H679" s="431"/>
      <c r="I679" s="431"/>
      <c r="J679" s="431" t="s">
        <v>1664</v>
      </c>
      <c r="K679" s="431"/>
      <c r="L679" s="431"/>
      <c r="M679" s="431"/>
      <c r="N679" s="433"/>
    </row>
    <row r="680" spans="1:14">
      <c r="A680" s="416">
        <f t="shared" si="14"/>
        <v>674</v>
      </c>
      <c r="B680" s="590"/>
      <c r="C680" s="426" t="s">
        <v>1426</v>
      </c>
      <c r="D680" s="427"/>
      <c r="E680" s="428" t="s">
        <v>289</v>
      </c>
      <c r="F680" s="434">
        <v>502619</v>
      </c>
      <c r="G680" s="431"/>
      <c r="H680" s="431"/>
      <c r="I680" s="431"/>
      <c r="J680" s="431" t="s">
        <v>1664</v>
      </c>
      <c r="K680" s="431"/>
      <c r="L680" s="431"/>
      <c r="M680" s="431"/>
      <c r="N680" s="433"/>
    </row>
    <row r="681" spans="1:14">
      <c r="A681" s="416">
        <f t="shared" si="14"/>
        <v>675</v>
      </c>
      <c r="B681" s="590"/>
      <c r="C681" s="426" t="s">
        <v>1428</v>
      </c>
      <c r="D681" s="427"/>
      <c r="E681" s="428" t="s">
        <v>1709</v>
      </c>
      <c r="F681" s="434">
        <v>60705</v>
      </c>
      <c r="G681" s="431"/>
      <c r="H681" s="431"/>
      <c r="I681" s="431"/>
      <c r="J681" s="431" t="s">
        <v>1664</v>
      </c>
      <c r="K681" s="431"/>
      <c r="L681" s="431"/>
      <c r="M681" s="431"/>
      <c r="N681" s="433"/>
    </row>
    <row r="682" spans="1:14">
      <c r="A682" s="416">
        <f t="shared" si="14"/>
        <v>676</v>
      </c>
      <c r="B682" s="590"/>
      <c r="C682" s="426" t="s">
        <v>1430</v>
      </c>
      <c r="D682" s="427"/>
      <c r="E682" s="428" t="s">
        <v>289</v>
      </c>
      <c r="F682" s="434">
        <v>31609</v>
      </c>
      <c r="G682" s="431"/>
      <c r="H682" s="431"/>
      <c r="I682" s="431"/>
      <c r="J682" s="431" t="s">
        <v>1664</v>
      </c>
      <c r="K682" s="431"/>
      <c r="L682" s="431"/>
      <c r="M682" s="431"/>
      <c r="N682" s="433"/>
    </row>
    <row r="683" spans="1:14">
      <c r="A683" s="416">
        <f t="shared" si="14"/>
        <v>677</v>
      </c>
      <c r="B683" s="590"/>
      <c r="C683" s="426" t="s">
        <v>1432</v>
      </c>
      <c r="D683" s="427"/>
      <c r="E683" s="428" t="s">
        <v>289</v>
      </c>
      <c r="F683" s="434">
        <v>168896</v>
      </c>
      <c r="G683" s="431"/>
      <c r="H683" s="431"/>
      <c r="I683" s="431"/>
      <c r="J683" s="431" t="s">
        <v>1664</v>
      </c>
      <c r="K683" s="431"/>
      <c r="L683" s="431"/>
      <c r="M683" s="431"/>
      <c r="N683" s="433"/>
    </row>
    <row r="684" spans="1:14">
      <c r="A684" s="416">
        <f t="shared" si="14"/>
        <v>678</v>
      </c>
      <c r="B684" s="590"/>
      <c r="C684" s="426" t="s">
        <v>1434</v>
      </c>
      <c r="D684" s="427"/>
      <c r="E684" s="428" t="s">
        <v>289</v>
      </c>
      <c r="F684" s="434">
        <v>136058</v>
      </c>
      <c r="G684" s="431"/>
      <c r="H684" s="431"/>
      <c r="I684" s="431"/>
      <c r="J684" s="431" t="s">
        <v>1664</v>
      </c>
      <c r="K684" s="431"/>
      <c r="L684" s="431"/>
      <c r="M684" s="431"/>
      <c r="N684" s="433"/>
    </row>
    <row r="685" spans="1:14">
      <c r="A685" s="416">
        <f t="shared" si="14"/>
        <v>679</v>
      </c>
      <c r="B685" s="590"/>
      <c r="C685" s="426" t="s">
        <v>1436</v>
      </c>
      <c r="D685" s="427"/>
      <c r="E685" s="428" t="s">
        <v>289</v>
      </c>
      <c r="F685" s="434">
        <v>255683</v>
      </c>
      <c r="G685" s="431"/>
      <c r="H685" s="431"/>
      <c r="I685" s="431"/>
      <c r="J685" s="431" t="s">
        <v>1664</v>
      </c>
      <c r="K685" s="431"/>
      <c r="L685" s="431"/>
      <c r="M685" s="431"/>
      <c r="N685" s="433"/>
    </row>
    <row r="686" spans="1:14">
      <c r="A686" s="416">
        <f t="shared" si="14"/>
        <v>680</v>
      </c>
      <c r="B686" s="590"/>
      <c r="C686" s="426" t="s">
        <v>1438</v>
      </c>
      <c r="D686" s="427"/>
      <c r="E686" s="428" t="s">
        <v>1709</v>
      </c>
      <c r="F686" s="434">
        <v>317560</v>
      </c>
      <c r="G686" s="431"/>
      <c r="H686" s="431"/>
      <c r="I686" s="431"/>
      <c r="J686" s="431" t="s">
        <v>1664</v>
      </c>
      <c r="K686" s="431"/>
      <c r="L686" s="431"/>
      <c r="M686" s="431"/>
      <c r="N686" s="433"/>
    </row>
    <row r="687" spans="1:14">
      <c r="A687" s="416">
        <f t="shared" si="14"/>
        <v>681</v>
      </c>
      <c r="B687" s="590"/>
      <c r="C687" s="426" t="s">
        <v>1440</v>
      </c>
      <c r="D687" s="427"/>
      <c r="E687" s="428" t="s">
        <v>289</v>
      </c>
      <c r="F687" s="434">
        <v>515637</v>
      </c>
      <c r="G687" s="431"/>
      <c r="H687" s="431"/>
      <c r="I687" s="431"/>
      <c r="J687" s="431" t="s">
        <v>1664</v>
      </c>
      <c r="K687" s="431"/>
      <c r="L687" s="431"/>
      <c r="M687" s="431"/>
      <c r="N687" s="433"/>
    </row>
    <row r="688" spans="1:14">
      <c r="A688" s="416">
        <f t="shared" si="14"/>
        <v>682</v>
      </c>
      <c r="B688" s="590"/>
      <c r="C688" s="426" t="s">
        <v>1442</v>
      </c>
      <c r="D688" s="427"/>
      <c r="E688" s="428" t="s">
        <v>289</v>
      </c>
      <c r="F688" s="434">
        <v>431481</v>
      </c>
      <c r="G688" s="431"/>
      <c r="H688" s="431"/>
      <c r="I688" s="431"/>
      <c r="J688" s="431" t="s">
        <v>1664</v>
      </c>
      <c r="K688" s="431"/>
      <c r="L688" s="431"/>
      <c r="M688" s="431"/>
      <c r="N688" s="433"/>
    </row>
    <row r="689" spans="1:14">
      <c r="A689" s="416">
        <f t="shared" si="14"/>
        <v>683</v>
      </c>
      <c r="B689" s="590"/>
      <c r="C689" s="426" t="s">
        <v>1444</v>
      </c>
      <c r="D689" s="427"/>
      <c r="E689" s="428" t="s">
        <v>289</v>
      </c>
      <c r="F689" s="434">
        <v>32611</v>
      </c>
      <c r="G689" s="431"/>
      <c r="H689" s="431"/>
      <c r="I689" s="431"/>
      <c r="J689" s="431" t="s">
        <v>1664</v>
      </c>
      <c r="K689" s="431"/>
      <c r="L689" s="431"/>
      <c r="M689" s="431"/>
      <c r="N689" s="433"/>
    </row>
    <row r="690" spans="1:14">
      <c r="A690" s="416">
        <f t="shared" si="14"/>
        <v>684</v>
      </c>
      <c r="B690" s="590"/>
      <c r="C690" s="426" t="s">
        <v>1446</v>
      </c>
      <c r="D690" s="427"/>
      <c r="E690" s="428" t="s">
        <v>289</v>
      </c>
      <c r="F690" s="434">
        <v>53232</v>
      </c>
      <c r="G690" s="431"/>
      <c r="H690" s="431"/>
      <c r="I690" s="431"/>
      <c r="J690" s="431" t="s">
        <v>1664</v>
      </c>
      <c r="K690" s="431"/>
      <c r="L690" s="431"/>
      <c r="M690" s="431"/>
      <c r="N690" s="433"/>
    </row>
    <row r="691" spans="1:14" ht="29">
      <c r="A691" s="416">
        <f t="shared" si="14"/>
        <v>685</v>
      </c>
      <c r="B691" s="590"/>
      <c r="C691" s="426" t="s">
        <v>1448</v>
      </c>
      <c r="D691" s="427"/>
      <c r="E691" s="428" t="s">
        <v>289</v>
      </c>
      <c r="F691" s="434">
        <v>228663</v>
      </c>
      <c r="G691" s="431"/>
      <c r="H691" s="431"/>
      <c r="I691" s="431"/>
      <c r="J691" s="431" t="s">
        <v>1664</v>
      </c>
      <c r="K691" s="431"/>
      <c r="L691" s="431"/>
      <c r="M691" s="431"/>
      <c r="N691" s="433"/>
    </row>
    <row r="692" spans="1:14" ht="16.5" customHeight="1">
      <c r="A692" s="416">
        <f t="shared" si="14"/>
        <v>686</v>
      </c>
      <c r="B692" s="590"/>
      <c r="C692" s="426" t="s">
        <v>1450</v>
      </c>
      <c r="D692" s="427"/>
      <c r="E692" s="428" t="s">
        <v>289</v>
      </c>
      <c r="F692" s="434">
        <v>36678</v>
      </c>
      <c r="G692" s="431"/>
      <c r="H692" s="431"/>
      <c r="I692" s="431"/>
      <c r="J692" s="431" t="s">
        <v>1664</v>
      </c>
      <c r="K692" s="431"/>
      <c r="L692" s="431"/>
      <c r="M692" s="431"/>
      <c r="N692" s="433"/>
    </row>
    <row r="693" spans="1:14">
      <c r="A693" s="416">
        <f t="shared" si="14"/>
        <v>687</v>
      </c>
      <c r="B693" s="590"/>
      <c r="C693" s="426" t="s">
        <v>1452</v>
      </c>
      <c r="D693" s="427"/>
      <c r="E693" s="428" t="s">
        <v>289</v>
      </c>
      <c r="F693" s="434">
        <v>125517</v>
      </c>
      <c r="G693" s="431"/>
      <c r="H693" s="431"/>
      <c r="I693" s="431"/>
      <c r="J693" s="431" t="s">
        <v>1664</v>
      </c>
      <c r="K693" s="431"/>
      <c r="L693" s="431"/>
      <c r="M693" s="431"/>
      <c r="N693" s="433"/>
    </row>
    <row r="694" spans="1:14">
      <c r="A694" s="416">
        <f t="shared" si="14"/>
        <v>688</v>
      </c>
      <c r="B694" s="590"/>
      <c r="C694" s="426" t="s">
        <v>1013</v>
      </c>
      <c r="D694" s="427" t="s">
        <v>2261</v>
      </c>
      <c r="E694" s="428" t="s">
        <v>289</v>
      </c>
      <c r="F694" s="434">
        <v>29969</v>
      </c>
      <c r="G694" s="431"/>
      <c r="H694" s="431"/>
      <c r="I694" s="431"/>
      <c r="J694" s="431" t="s">
        <v>1664</v>
      </c>
      <c r="K694" s="431"/>
      <c r="L694" s="431"/>
      <c r="M694" s="431"/>
      <c r="N694" s="433"/>
    </row>
    <row r="695" spans="1:14">
      <c r="A695" s="416">
        <f t="shared" si="14"/>
        <v>689</v>
      </c>
      <c r="B695" s="590"/>
      <c r="C695" s="426" t="s">
        <v>1015</v>
      </c>
      <c r="D695" s="427" t="s">
        <v>2248</v>
      </c>
      <c r="E695" s="428" t="s">
        <v>1709</v>
      </c>
      <c r="F695" s="434">
        <v>340848</v>
      </c>
      <c r="G695" s="431"/>
      <c r="H695" s="431"/>
      <c r="I695" s="431"/>
      <c r="J695" s="431" t="s">
        <v>1664</v>
      </c>
      <c r="K695" s="431"/>
      <c r="L695" s="431"/>
      <c r="M695" s="431"/>
      <c r="N695" s="433"/>
    </row>
    <row r="696" spans="1:14">
      <c r="A696" s="416">
        <f t="shared" si="14"/>
        <v>690</v>
      </c>
      <c r="B696" s="590"/>
      <c r="C696" s="426" t="s">
        <v>1454</v>
      </c>
      <c r="D696" s="427"/>
      <c r="E696" s="428" t="s">
        <v>1709</v>
      </c>
      <c r="F696" s="434">
        <v>534098</v>
      </c>
      <c r="G696" s="431"/>
      <c r="H696" s="431"/>
      <c r="I696" s="431"/>
      <c r="J696" s="431" t="s">
        <v>1664</v>
      </c>
      <c r="K696" s="431"/>
      <c r="L696" s="431"/>
      <c r="M696" s="431"/>
      <c r="N696" s="433"/>
    </row>
    <row r="697" spans="1:14">
      <c r="A697" s="416">
        <f t="shared" si="14"/>
        <v>691</v>
      </c>
      <c r="B697" s="590" t="s">
        <v>1016</v>
      </c>
      <c r="C697" s="426" t="s">
        <v>2262</v>
      </c>
      <c r="D697" s="427" t="s">
        <v>2263</v>
      </c>
      <c r="E697" s="428" t="s">
        <v>289</v>
      </c>
      <c r="F697" s="434">
        <v>19476</v>
      </c>
      <c r="G697" s="431"/>
      <c r="H697" s="431"/>
      <c r="I697" s="431"/>
      <c r="J697" s="431" t="s">
        <v>1664</v>
      </c>
      <c r="K697" s="431"/>
      <c r="L697" s="431"/>
      <c r="M697" s="431"/>
      <c r="N697" s="433"/>
    </row>
    <row r="698" spans="1:14" ht="17.25" customHeight="1">
      <c r="A698" s="416">
        <f t="shared" si="14"/>
        <v>692</v>
      </c>
      <c r="B698" s="590"/>
      <c r="C698" s="426" t="s">
        <v>1456</v>
      </c>
      <c r="D698" s="427"/>
      <c r="E698" s="428" t="s">
        <v>289</v>
      </c>
      <c r="F698" s="434">
        <v>47088</v>
      </c>
      <c r="G698" s="431"/>
      <c r="H698" s="431"/>
      <c r="I698" s="431"/>
      <c r="J698" s="431" t="s">
        <v>1664</v>
      </c>
      <c r="K698" s="431"/>
      <c r="L698" s="431"/>
      <c r="M698" s="431"/>
      <c r="N698" s="433"/>
    </row>
    <row r="699" spans="1:14">
      <c r="A699" s="416">
        <f t="shared" si="14"/>
        <v>693</v>
      </c>
      <c r="B699" s="590"/>
      <c r="C699" s="426" t="s">
        <v>1458</v>
      </c>
      <c r="D699" s="427"/>
      <c r="E699" s="428" t="s">
        <v>289</v>
      </c>
      <c r="F699" s="434">
        <v>116254</v>
      </c>
      <c r="G699" s="431"/>
      <c r="H699" s="431"/>
      <c r="I699" s="431"/>
      <c r="J699" s="431" t="s">
        <v>1664</v>
      </c>
      <c r="K699" s="431"/>
      <c r="L699" s="431"/>
      <c r="M699" s="431"/>
      <c r="N699" s="433"/>
    </row>
    <row r="700" spans="1:14">
      <c r="A700" s="416">
        <f t="shared" si="14"/>
        <v>694</v>
      </c>
      <c r="B700" s="590"/>
      <c r="C700" s="426" t="s">
        <v>1460</v>
      </c>
      <c r="D700" s="427"/>
      <c r="E700" s="428" t="s">
        <v>289</v>
      </c>
      <c r="F700" s="434">
        <v>202330</v>
      </c>
      <c r="G700" s="431"/>
      <c r="H700" s="431"/>
      <c r="I700" s="431"/>
      <c r="J700" s="431" t="s">
        <v>1664</v>
      </c>
      <c r="K700" s="431"/>
      <c r="L700" s="431"/>
      <c r="M700" s="431"/>
      <c r="N700" s="433"/>
    </row>
    <row r="701" spans="1:14">
      <c r="A701" s="416">
        <f t="shared" si="14"/>
        <v>695</v>
      </c>
      <c r="B701" s="590"/>
      <c r="C701" s="426" t="s">
        <v>1462</v>
      </c>
      <c r="D701" s="427"/>
      <c r="E701" s="428" t="s">
        <v>289</v>
      </c>
      <c r="F701" s="434">
        <v>132289</v>
      </c>
      <c r="G701" s="431"/>
      <c r="H701" s="431"/>
      <c r="I701" s="431"/>
      <c r="J701" s="431" t="s">
        <v>1664</v>
      </c>
      <c r="K701" s="431"/>
      <c r="L701" s="431"/>
      <c r="M701" s="431"/>
      <c r="N701" s="433"/>
    </row>
    <row r="702" spans="1:14">
      <c r="A702" s="416">
        <f t="shared" si="14"/>
        <v>696</v>
      </c>
      <c r="B702" s="590"/>
      <c r="C702" s="426" t="s">
        <v>1464</v>
      </c>
      <c r="D702" s="427"/>
      <c r="E702" s="428" t="s">
        <v>289</v>
      </c>
      <c r="F702" s="434">
        <v>347511</v>
      </c>
      <c r="G702" s="431"/>
      <c r="H702" s="431"/>
      <c r="I702" s="431"/>
      <c r="J702" s="431" t="s">
        <v>1664</v>
      </c>
      <c r="K702" s="431"/>
      <c r="L702" s="431"/>
      <c r="M702" s="431"/>
      <c r="N702" s="433"/>
    </row>
    <row r="703" spans="1:14">
      <c r="A703" s="416">
        <f t="shared" si="14"/>
        <v>697</v>
      </c>
      <c r="B703" s="590"/>
      <c r="C703" s="426" t="s">
        <v>2264</v>
      </c>
      <c r="D703" s="427"/>
      <c r="E703" s="428" t="s">
        <v>289</v>
      </c>
      <c r="F703" s="434">
        <v>205485</v>
      </c>
      <c r="G703" s="431"/>
      <c r="H703" s="431"/>
      <c r="I703" s="431"/>
      <c r="J703" s="431" t="s">
        <v>1664</v>
      </c>
      <c r="K703" s="431"/>
      <c r="L703" s="431"/>
      <c r="M703" s="431"/>
      <c r="N703" s="433"/>
    </row>
    <row r="704" spans="1:14">
      <c r="A704" s="416">
        <f t="shared" si="14"/>
        <v>698</v>
      </c>
      <c r="B704" s="590"/>
      <c r="C704" s="426" t="s">
        <v>1466</v>
      </c>
      <c r="D704" s="427"/>
      <c r="E704" s="428" t="s">
        <v>289</v>
      </c>
      <c r="F704" s="434">
        <v>86970</v>
      </c>
      <c r="G704" s="431"/>
      <c r="H704" s="431"/>
      <c r="I704" s="431"/>
      <c r="J704" s="431" t="s">
        <v>1664</v>
      </c>
      <c r="K704" s="431"/>
      <c r="L704" s="431"/>
      <c r="M704" s="431"/>
      <c r="N704" s="433"/>
    </row>
    <row r="705" spans="1:14">
      <c r="A705" s="416">
        <f t="shared" ref="A705:A768" si="15">A704+1</f>
        <v>699</v>
      </c>
      <c r="B705" s="590"/>
      <c r="C705" s="426" t="s">
        <v>1468</v>
      </c>
      <c r="D705" s="427"/>
      <c r="E705" s="428" t="s">
        <v>289</v>
      </c>
      <c r="F705" s="434">
        <v>169157</v>
      </c>
      <c r="G705" s="431"/>
      <c r="H705" s="431"/>
      <c r="I705" s="431"/>
      <c r="J705" s="431" t="s">
        <v>1664</v>
      </c>
      <c r="K705" s="431"/>
      <c r="L705" s="431"/>
      <c r="M705" s="431"/>
      <c r="N705" s="433"/>
    </row>
    <row r="706" spans="1:14" ht="29">
      <c r="A706" s="416">
        <f t="shared" si="15"/>
        <v>700</v>
      </c>
      <c r="B706" s="590"/>
      <c r="C706" s="426" t="s">
        <v>1470</v>
      </c>
      <c r="D706" s="427"/>
      <c r="E706" s="428" t="s">
        <v>289</v>
      </c>
      <c r="F706" s="434">
        <v>86281</v>
      </c>
      <c r="G706" s="431"/>
      <c r="H706" s="431"/>
      <c r="I706" s="431"/>
      <c r="J706" s="431" t="s">
        <v>1664</v>
      </c>
      <c r="K706" s="431"/>
      <c r="L706" s="431"/>
      <c r="M706" s="431"/>
      <c r="N706" s="433"/>
    </row>
    <row r="707" spans="1:14">
      <c r="A707" s="416">
        <f t="shared" si="15"/>
        <v>701</v>
      </c>
      <c r="B707" s="590"/>
      <c r="C707" s="426" t="s">
        <v>1472</v>
      </c>
      <c r="D707" s="427"/>
      <c r="E707" s="428" t="s">
        <v>289</v>
      </c>
      <c r="F707" s="434">
        <v>145547</v>
      </c>
      <c r="G707" s="431"/>
      <c r="H707" s="431"/>
      <c r="I707" s="431"/>
      <c r="J707" s="431" t="s">
        <v>1664</v>
      </c>
      <c r="K707" s="431"/>
      <c r="L707" s="431"/>
      <c r="M707" s="431"/>
      <c r="N707" s="433"/>
    </row>
    <row r="708" spans="1:14">
      <c r="A708" s="416">
        <f t="shared" si="15"/>
        <v>702</v>
      </c>
      <c r="B708" s="590"/>
      <c r="C708" s="426" t="s">
        <v>1474</v>
      </c>
      <c r="D708" s="427"/>
      <c r="E708" s="428" t="s">
        <v>289</v>
      </c>
      <c r="F708" s="434">
        <v>388794</v>
      </c>
      <c r="G708" s="431"/>
      <c r="H708" s="431"/>
      <c r="I708" s="431"/>
      <c r="J708" s="431" t="s">
        <v>1664</v>
      </c>
      <c r="K708" s="431"/>
      <c r="L708" s="431"/>
      <c r="M708" s="431"/>
      <c r="N708" s="433"/>
    </row>
    <row r="709" spans="1:14">
      <c r="A709" s="416">
        <f t="shared" si="15"/>
        <v>703</v>
      </c>
      <c r="B709" s="590"/>
      <c r="C709" s="426" t="s">
        <v>1476</v>
      </c>
      <c r="D709" s="427"/>
      <c r="E709" s="428" t="s">
        <v>289</v>
      </c>
      <c r="F709" s="434">
        <v>247341</v>
      </c>
      <c r="G709" s="431"/>
      <c r="H709" s="431"/>
      <c r="I709" s="431"/>
      <c r="J709" s="431" t="s">
        <v>1664</v>
      </c>
      <c r="K709" s="431"/>
      <c r="L709" s="431"/>
      <c r="M709" s="431"/>
      <c r="N709" s="433"/>
    </row>
    <row r="710" spans="1:14">
      <c r="A710" s="416">
        <f t="shared" si="15"/>
        <v>704</v>
      </c>
      <c r="B710" s="590"/>
      <c r="C710" s="426" t="s">
        <v>1478</v>
      </c>
      <c r="D710" s="427"/>
      <c r="E710" s="428" t="s">
        <v>289</v>
      </c>
      <c r="F710" s="434">
        <v>29362</v>
      </c>
      <c r="G710" s="431"/>
      <c r="H710" s="431"/>
      <c r="I710" s="431"/>
      <c r="J710" s="431" t="s">
        <v>1664</v>
      </c>
      <c r="K710" s="431"/>
      <c r="L710" s="431"/>
      <c r="M710" s="431"/>
      <c r="N710" s="433"/>
    </row>
    <row r="711" spans="1:14">
      <c r="A711" s="416">
        <f t="shared" si="15"/>
        <v>705</v>
      </c>
      <c r="B711" s="590"/>
      <c r="C711" s="426" t="s">
        <v>1480</v>
      </c>
      <c r="D711" s="427"/>
      <c r="E711" s="428" t="s">
        <v>289</v>
      </c>
      <c r="F711" s="434">
        <v>11064</v>
      </c>
      <c r="G711" s="431"/>
      <c r="H711" s="431"/>
      <c r="I711" s="431"/>
      <c r="J711" s="431" t="s">
        <v>1664</v>
      </c>
      <c r="K711" s="431"/>
      <c r="L711" s="431"/>
      <c r="M711" s="431"/>
      <c r="N711" s="433"/>
    </row>
    <row r="712" spans="1:14" ht="29">
      <c r="A712" s="416">
        <f t="shared" si="15"/>
        <v>706</v>
      </c>
      <c r="B712" s="590"/>
      <c r="C712" s="426" t="s">
        <v>1482</v>
      </c>
      <c r="D712" s="427"/>
      <c r="E712" s="428" t="s">
        <v>289</v>
      </c>
      <c r="F712" s="434">
        <v>5170</v>
      </c>
      <c r="G712" s="431"/>
      <c r="H712" s="431"/>
      <c r="I712" s="431"/>
      <c r="J712" s="431" t="s">
        <v>1664</v>
      </c>
      <c r="K712" s="431"/>
      <c r="L712" s="431"/>
      <c r="M712" s="431"/>
      <c r="N712" s="433"/>
    </row>
    <row r="713" spans="1:14">
      <c r="A713" s="416">
        <f t="shared" si="15"/>
        <v>707</v>
      </c>
      <c r="B713" s="590"/>
      <c r="C713" s="426" t="s">
        <v>1484</v>
      </c>
      <c r="D713" s="427"/>
      <c r="E713" s="428" t="s">
        <v>289</v>
      </c>
      <c r="F713" s="434">
        <v>1107</v>
      </c>
      <c r="G713" s="431"/>
      <c r="H713" s="431"/>
      <c r="I713" s="431"/>
      <c r="J713" s="431" t="s">
        <v>1664</v>
      </c>
      <c r="K713" s="431"/>
      <c r="L713" s="431"/>
      <c r="M713" s="431"/>
      <c r="N713" s="433"/>
    </row>
    <row r="714" spans="1:14">
      <c r="A714" s="416">
        <f t="shared" si="15"/>
        <v>708</v>
      </c>
      <c r="B714" s="590"/>
      <c r="C714" s="426" t="s">
        <v>1486</v>
      </c>
      <c r="D714" s="427"/>
      <c r="E714" s="428" t="s">
        <v>289</v>
      </c>
      <c r="F714" s="434">
        <v>71992</v>
      </c>
      <c r="G714" s="431"/>
      <c r="H714" s="431"/>
      <c r="I714" s="431"/>
      <c r="J714" s="431" t="s">
        <v>1664</v>
      </c>
      <c r="K714" s="431"/>
      <c r="L714" s="431"/>
      <c r="M714" s="431"/>
      <c r="N714" s="433"/>
    </row>
    <row r="715" spans="1:14">
      <c r="A715" s="416">
        <f t="shared" si="15"/>
        <v>709</v>
      </c>
      <c r="B715" s="590"/>
      <c r="C715" s="426" t="s">
        <v>1488</v>
      </c>
      <c r="D715" s="427"/>
      <c r="E715" s="428" t="s">
        <v>289</v>
      </c>
      <c r="F715" s="434">
        <v>56410</v>
      </c>
      <c r="G715" s="431"/>
      <c r="H715" s="431"/>
      <c r="I715" s="431"/>
      <c r="J715" s="431" t="s">
        <v>1664</v>
      </c>
      <c r="K715" s="431"/>
      <c r="L715" s="431"/>
      <c r="M715" s="431"/>
      <c r="N715" s="433"/>
    </row>
    <row r="716" spans="1:14">
      <c r="A716" s="416">
        <f t="shared" si="15"/>
        <v>710</v>
      </c>
      <c r="B716" s="590"/>
      <c r="C716" s="426" t="s">
        <v>1490</v>
      </c>
      <c r="D716" s="427"/>
      <c r="E716" s="428" t="s">
        <v>289</v>
      </c>
      <c r="F716" s="434">
        <v>356893</v>
      </c>
      <c r="G716" s="431"/>
      <c r="H716" s="431"/>
      <c r="I716" s="431"/>
      <c r="J716" s="431" t="s">
        <v>1664</v>
      </c>
      <c r="K716" s="431"/>
      <c r="L716" s="431"/>
      <c r="M716" s="431"/>
      <c r="N716" s="433"/>
    </row>
    <row r="717" spans="1:14">
      <c r="A717" s="416">
        <f t="shared" si="15"/>
        <v>711</v>
      </c>
      <c r="B717" s="590"/>
      <c r="C717" s="426" t="s">
        <v>1494</v>
      </c>
      <c r="D717" s="427"/>
      <c r="E717" s="428" t="s">
        <v>1709</v>
      </c>
      <c r="F717" s="434">
        <v>126322</v>
      </c>
      <c r="G717" s="431"/>
      <c r="H717" s="431"/>
      <c r="I717" s="431"/>
      <c r="J717" s="431" t="s">
        <v>1664</v>
      </c>
      <c r="K717" s="431"/>
      <c r="L717" s="431"/>
      <c r="M717" s="431"/>
      <c r="N717" s="433"/>
    </row>
    <row r="718" spans="1:14">
      <c r="A718" s="416">
        <f t="shared" si="15"/>
        <v>712</v>
      </c>
      <c r="B718" s="590"/>
      <c r="C718" s="426" t="s">
        <v>1496</v>
      </c>
      <c r="D718" s="427" t="s">
        <v>2265</v>
      </c>
      <c r="E718" s="428" t="s">
        <v>289</v>
      </c>
      <c r="F718" s="434">
        <v>3758</v>
      </c>
      <c r="G718" s="431"/>
      <c r="H718" s="431"/>
      <c r="I718" s="431"/>
      <c r="J718" s="431" t="s">
        <v>1664</v>
      </c>
      <c r="K718" s="431"/>
      <c r="L718" s="431"/>
      <c r="M718" s="431"/>
      <c r="N718" s="433"/>
    </row>
    <row r="719" spans="1:14">
      <c r="A719" s="416">
        <f t="shared" si="15"/>
        <v>713</v>
      </c>
      <c r="B719" s="590"/>
      <c r="C719" s="426" t="s">
        <v>1498</v>
      </c>
      <c r="D719" s="427"/>
      <c r="E719" s="428" t="s">
        <v>289</v>
      </c>
      <c r="F719" s="434">
        <v>18343</v>
      </c>
      <c r="G719" s="431"/>
      <c r="H719" s="431"/>
      <c r="I719" s="431"/>
      <c r="J719" s="431" t="s">
        <v>1664</v>
      </c>
      <c r="K719" s="431"/>
      <c r="L719" s="431"/>
      <c r="M719" s="431"/>
      <c r="N719" s="433"/>
    </row>
    <row r="720" spans="1:14">
      <c r="A720" s="416">
        <f t="shared" si="15"/>
        <v>714</v>
      </c>
      <c r="B720" s="590"/>
      <c r="C720" s="426" t="s">
        <v>1500</v>
      </c>
      <c r="D720" s="427"/>
      <c r="E720" s="428" t="s">
        <v>289</v>
      </c>
      <c r="F720" s="434">
        <v>173825</v>
      </c>
      <c r="G720" s="431"/>
      <c r="H720" s="431"/>
      <c r="I720" s="431"/>
      <c r="J720" s="431" t="s">
        <v>1664</v>
      </c>
      <c r="K720" s="431"/>
      <c r="L720" s="431"/>
      <c r="M720" s="431"/>
      <c r="N720" s="433"/>
    </row>
    <row r="721" spans="1:14">
      <c r="A721" s="416">
        <f t="shared" si="15"/>
        <v>715</v>
      </c>
      <c r="B721" s="590"/>
      <c r="C721" s="426" t="s">
        <v>1502</v>
      </c>
      <c r="D721" s="427"/>
      <c r="E721" s="428" t="s">
        <v>289</v>
      </c>
      <c r="F721" s="434">
        <v>229379</v>
      </c>
      <c r="G721" s="431"/>
      <c r="H721" s="431"/>
      <c r="I721" s="431"/>
      <c r="J721" s="431" t="s">
        <v>1664</v>
      </c>
      <c r="K721" s="431"/>
      <c r="L721" s="431"/>
      <c r="M721" s="431"/>
      <c r="N721" s="433"/>
    </row>
    <row r="722" spans="1:14">
      <c r="A722" s="416">
        <f t="shared" si="15"/>
        <v>716</v>
      </c>
      <c r="B722" s="590"/>
      <c r="C722" s="426" t="s">
        <v>1504</v>
      </c>
      <c r="D722" s="427"/>
      <c r="E722" s="428" t="s">
        <v>1709</v>
      </c>
      <c r="F722" s="434">
        <v>108824</v>
      </c>
      <c r="G722" s="431"/>
      <c r="H722" s="431"/>
      <c r="I722" s="431"/>
      <c r="J722" s="431" t="s">
        <v>1664</v>
      </c>
      <c r="K722" s="431"/>
      <c r="L722" s="431"/>
      <c r="M722" s="431"/>
      <c r="N722" s="433"/>
    </row>
    <row r="723" spans="1:14" ht="29">
      <c r="A723" s="416">
        <f t="shared" si="15"/>
        <v>717</v>
      </c>
      <c r="B723" s="590"/>
      <c r="C723" s="426" t="s">
        <v>1506</v>
      </c>
      <c r="D723" s="427"/>
      <c r="E723" s="428" t="s">
        <v>1709</v>
      </c>
      <c r="F723" s="434">
        <v>111897</v>
      </c>
      <c r="G723" s="431"/>
      <c r="H723" s="431"/>
      <c r="I723" s="431"/>
      <c r="J723" s="431" t="s">
        <v>1664</v>
      </c>
      <c r="K723" s="431"/>
      <c r="L723" s="431"/>
      <c r="M723" s="431"/>
      <c r="N723" s="433"/>
    </row>
    <row r="724" spans="1:14" ht="29">
      <c r="A724" s="416">
        <f t="shared" si="15"/>
        <v>718</v>
      </c>
      <c r="B724" s="590"/>
      <c r="C724" s="426" t="s">
        <v>1508</v>
      </c>
      <c r="D724" s="427"/>
      <c r="E724" s="428" t="s">
        <v>1709</v>
      </c>
      <c r="F724" s="434">
        <v>280406</v>
      </c>
      <c r="G724" s="431"/>
      <c r="H724" s="431"/>
      <c r="I724" s="431"/>
      <c r="J724" s="431" t="s">
        <v>1664</v>
      </c>
      <c r="K724" s="431"/>
      <c r="L724" s="431"/>
      <c r="M724" s="431"/>
      <c r="N724" s="433"/>
    </row>
    <row r="725" spans="1:14">
      <c r="A725" s="416">
        <f t="shared" si="15"/>
        <v>719</v>
      </c>
      <c r="B725" s="590"/>
      <c r="C725" s="426" t="s">
        <v>1510</v>
      </c>
      <c r="D725" s="427"/>
      <c r="E725" s="428" t="s">
        <v>289</v>
      </c>
      <c r="F725" s="434">
        <v>152681</v>
      </c>
      <c r="G725" s="431"/>
      <c r="H725" s="431"/>
      <c r="I725" s="431"/>
      <c r="J725" s="431" t="s">
        <v>1664</v>
      </c>
      <c r="K725" s="431"/>
      <c r="L725" s="431"/>
      <c r="M725" s="431"/>
      <c r="N725" s="433"/>
    </row>
    <row r="726" spans="1:14">
      <c r="A726" s="416">
        <f t="shared" si="15"/>
        <v>720</v>
      </c>
      <c r="B726" s="590"/>
      <c r="C726" s="426" t="s">
        <v>1512</v>
      </c>
      <c r="D726" s="427"/>
      <c r="E726" s="428" t="s">
        <v>289</v>
      </c>
      <c r="F726" s="434">
        <v>116342</v>
      </c>
      <c r="G726" s="431"/>
      <c r="H726" s="431"/>
      <c r="I726" s="431"/>
      <c r="J726" s="431" t="s">
        <v>1664</v>
      </c>
      <c r="K726" s="431"/>
      <c r="L726" s="431"/>
      <c r="M726" s="431"/>
      <c r="N726" s="433"/>
    </row>
    <row r="727" spans="1:14">
      <c r="A727" s="416">
        <f t="shared" si="15"/>
        <v>721</v>
      </c>
      <c r="B727" s="590"/>
      <c r="C727" s="426" t="s">
        <v>1514</v>
      </c>
      <c r="D727" s="427"/>
      <c r="E727" s="428" t="s">
        <v>289</v>
      </c>
      <c r="F727" s="434">
        <v>186136</v>
      </c>
      <c r="G727" s="431"/>
      <c r="H727" s="431"/>
      <c r="I727" s="431"/>
      <c r="J727" s="431" t="s">
        <v>1664</v>
      </c>
      <c r="K727" s="431"/>
      <c r="L727" s="431"/>
      <c r="M727" s="431"/>
      <c r="N727" s="433"/>
    </row>
    <row r="728" spans="1:14">
      <c r="A728" s="416">
        <f t="shared" si="15"/>
        <v>722</v>
      </c>
      <c r="B728" s="590"/>
      <c r="C728" s="426" t="s">
        <v>1516</v>
      </c>
      <c r="D728" s="427"/>
      <c r="E728" s="428" t="s">
        <v>289</v>
      </c>
      <c r="F728" s="434">
        <v>261631</v>
      </c>
      <c r="G728" s="431"/>
      <c r="H728" s="431"/>
      <c r="I728" s="431"/>
      <c r="J728" s="431" t="s">
        <v>1664</v>
      </c>
      <c r="K728" s="431"/>
      <c r="L728" s="431"/>
      <c r="M728" s="431"/>
      <c r="N728" s="433"/>
    </row>
    <row r="729" spans="1:14">
      <c r="A729" s="416">
        <f t="shared" si="15"/>
        <v>723</v>
      </c>
      <c r="B729" s="590"/>
      <c r="C729" s="426" t="s">
        <v>1518</v>
      </c>
      <c r="D729" s="427"/>
      <c r="E729" s="428" t="s">
        <v>1709</v>
      </c>
      <c r="F729" s="434">
        <v>832</v>
      </c>
      <c r="G729" s="431"/>
      <c r="H729" s="431"/>
      <c r="I729" s="431"/>
      <c r="J729" s="431" t="s">
        <v>1664</v>
      </c>
      <c r="K729" s="431"/>
      <c r="L729" s="431"/>
      <c r="M729" s="431"/>
      <c r="N729" s="433"/>
    </row>
    <row r="730" spans="1:14">
      <c r="A730" s="416">
        <f t="shared" si="15"/>
        <v>724</v>
      </c>
      <c r="B730" s="590" t="s">
        <v>1070</v>
      </c>
      <c r="C730" s="426" t="s">
        <v>2266</v>
      </c>
      <c r="D730" s="427" t="s">
        <v>2267</v>
      </c>
      <c r="E730" s="428" t="s">
        <v>289</v>
      </c>
      <c r="F730" s="434">
        <v>74403</v>
      </c>
      <c r="G730" s="431"/>
      <c r="H730" s="431"/>
      <c r="I730" s="431"/>
      <c r="J730" s="431" t="s">
        <v>1664</v>
      </c>
      <c r="K730" s="431"/>
      <c r="L730" s="431"/>
      <c r="M730" s="431"/>
      <c r="N730" s="433"/>
    </row>
    <row r="731" spans="1:14">
      <c r="A731" s="416">
        <f t="shared" si="15"/>
        <v>725</v>
      </c>
      <c r="B731" s="590"/>
      <c r="C731" s="426" t="s">
        <v>1520</v>
      </c>
      <c r="D731" s="427"/>
      <c r="E731" s="428" t="s">
        <v>289</v>
      </c>
      <c r="F731" s="434">
        <v>58982</v>
      </c>
      <c r="G731" s="431"/>
      <c r="H731" s="431"/>
      <c r="I731" s="431"/>
      <c r="J731" s="431" t="s">
        <v>1664</v>
      </c>
      <c r="K731" s="431"/>
      <c r="L731" s="431"/>
      <c r="M731" s="431"/>
      <c r="N731" s="433"/>
    </row>
    <row r="732" spans="1:14">
      <c r="A732" s="416">
        <f t="shared" si="15"/>
        <v>726</v>
      </c>
      <c r="B732" s="590"/>
      <c r="C732" s="426" t="s">
        <v>1522</v>
      </c>
      <c r="D732" s="427"/>
      <c r="E732" s="428" t="s">
        <v>1709</v>
      </c>
      <c r="F732" s="434">
        <v>320081</v>
      </c>
      <c r="G732" s="431"/>
      <c r="H732" s="431"/>
      <c r="I732" s="431"/>
      <c r="J732" s="431" t="s">
        <v>1664</v>
      </c>
      <c r="K732" s="431"/>
      <c r="L732" s="431"/>
      <c r="M732" s="431"/>
      <c r="N732" s="433"/>
    </row>
    <row r="733" spans="1:14">
      <c r="A733" s="416">
        <f t="shared" si="15"/>
        <v>727</v>
      </c>
      <c r="B733" s="590"/>
      <c r="C733" s="426" t="s">
        <v>1524</v>
      </c>
      <c r="D733" s="427"/>
      <c r="E733" s="428" t="s">
        <v>289</v>
      </c>
      <c r="F733" s="434">
        <v>367518</v>
      </c>
      <c r="G733" s="431"/>
      <c r="H733" s="431"/>
      <c r="I733" s="431"/>
      <c r="J733" s="431" t="s">
        <v>1664</v>
      </c>
      <c r="K733" s="431"/>
      <c r="L733" s="431"/>
      <c r="M733" s="431"/>
      <c r="N733" s="433"/>
    </row>
    <row r="734" spans="1:14">
      <c r="A734" s="416">
        <f t="shared" si="15"/>
        <v>728</v>
      </c>
      <c r="B734" s="590"/>
      <c r="C734" s="426" t="s">
        <v>1526</v>
      </c>
      <c r="D734" s="427"/>
      <c r="E734" s="428" t="s">
        <v>289</v>
      </c>
      <c r="F734" s="434">
        <v>222507</v>
      </c>
      <c r="G734" s="431"/>
      <c r="H734" s="431"/>
      <c r="I734" s="431"/>
      <c r="J734" s="431" t="s">
        <v>1664</v>
      </c>
      <c r="K734" s="431"/>
      <c r="L734" s="431"/>
      <c r="M734" s="431"/>
      <c r="N734" s="433"/>
    </row>
    <row r="735" spans="1:14">
      <c r="A735" s="416">
        <f t="shared" si="15"/>
        <v>729</v>
      </c>
      <c r="B735" s="590"/>
      <c r="C735" s="426" t="s">
        <v>1528</v>
      </c>
      <c r="D735" s="427"/>
      <c r="E735" s="428" t="s">
        <v>289</v>
      </c>
      <c r="F735" s="434">
        <v>919</v>
      </c>
      <c r="G735" s="431"/>
      <c r="H735" s="431"/>
      <c r="I735" s="431"/>
      <c r="J735" s="431" t="s">
        <v>1664</v>
      </c>
      <c r="K735" s="431"/>
      <c r="L735" s="431"/>
      <c r="M735" s="431"/>
      <c r="N735" s="433"/>
    </row>
    <row r="736" spans="1:14">
      <c r="A736" s="416">
        <f t="shared" si="15"/>
        <v>730</v>
      </c>
      <c r="B736" s="590"/>
      <c r="C736" s="426" t="s">
        <v>1530</v>
      </c>
      <c r="D736" s="427"/>
      <c r="E736" s="428" t="s">
        <v>289</v>
      </c>
      <c r="F736" s="434">
        <v>451389</v>
      </c>
      <c r="G736" s="431"/>
      <c r="H736" s="431"/>
      <c r="I736" s="431"/>
      <c r="J736" s="431" t="s">
        <v>1664</v>
      </c>
      <c r="K736" s="431"/>
      <c r="L736" s="431"/>
      <c r="M736" s="431"/>
      <c r="N736" s="433"/>
    </row>
    <row r="737" spans="1:14">
      <c r="A737" s="416">
        <f t="shared" si="15"/>
        <v>731</v>
      </c>
      <c r="B737" s="590"/>
      <c r="C737" s="426" t="s">
        <v>1532</v>
      </c>
      <c r="D737" s="427"/>
      <c r="E737" s="428" t="s">
        <v>289</v>
      </c>
      <c r="F737" s="434">
        <v>241993</v>
      </c>
      <c r="G737" s="431"/>
      <c r="H737" s="431"/>
      <c r="I737" s="431"/>
      <c r="J737" s="431" t="s">
        <v>1664</v>
      </c>
      <c r="K737" s="431"/>
      <c r="L737" s="431"/>
      <c r="M737" s="431"/>
      <c r="N737" s="433"/>
    </row>
    <row r="738" spans="1:14">
      <c r="A738" s="416">
        <f t="shared" si="15"/>
        <v>732</v>
      </c>
      <c r="B738" s="590"/>
      <c r="C738" s="426" t="s">
        <v>1534</v>
      </c>
      <c r="D738" s="427"/>
      <c r="E738" s="428" t="s">
        <v>289</v>
      </c>
      <c r="F738" s="434">
        <v>199137</v>
      </c>
      <c r="G738" s="431"/>
      <c r="H738" s="431"/>
      <c r="I738" s="431"/>
      <c r="J738" s="431" t="s">
        <v>1664</v>
      </c>
      <c r="K738" s="431"/>
      <c r="L738" s="431"/>
      <c r="M738" s="431"/>
      <c r="N738" s="433"/>
    </row>
    <row r="739" spans="1:14">
      <c r="A739" s="416">
        <f t="shared" si="15"/>
        <v>733</v>
      </c>
      <c r="B739" s="590"/>
      <c r="C739" s="426" t="s">
        <v>1087</v>
      </c>
      <c r="D739" s="427" t="s">
        <v>2268</v>
      </c>
      <c r="E739" s="428" t="s">
        <v>289</v>
      </c>
      <c r="F739" s="434">
        <v>49735</v>
      </c>
      <c r="G739" s="431"/>
      <c r="H739" s="431"/>
      <c r="I739" s="431"/>
      <c r="J739" s="431" t="s">
        <v>1664</v>
      </c>
      <c r="K739" s="431"/>
      <c r="L739" s="431"/>
      <c r="M739" s="431"/>
      <c r="N739" s="433"/>
    </row>
    <row r="740" spans="1:14">
      <c r="A740" s="416">
        <f t="shared" si="15"/>
        <v>734</v>
      </c>
      <c r="B740" s="590"/>
      <c r="C740" s="426" t="s">
        <v>1536</v>
      </c>
      <c r="D740" s="427"/>
      <c r="E740" s="428" t="s">
        <v>289</v>
      </c>
      <c r="F740" s="434">
        <v>1247</v>
      </c>
      <c r="G740" s="431"/>
      <c r="H740" s="431"/>
      <c r="I740" s="431"/>
      <c r="J740" s="431" t="s">
        <v>1664</v>
      </c>
      <c r="K740" s="431"/>
      <c r="L740" s="431"/>
      <c r="M740" s="431"/>
      <c r="N740" s="433"/>
    </row>
    <row r="741" spans="1:14">
      <c r="A741" s="416">
        <f t="shared" si="15"/>
        <v>735</v>
      </c>
      <c r="B741" s="590" t="s">
        <v>1088</v>
      </c>
      <c r="C741" s="426" t="s">
        <v>1089</v>
      </c>
      <c r="D741" s="427" t="s">
        <v>2269</v>
      </c>
      <c r="E741" s="428" t="s">
        <v>289</v>
      </c>
      <c r="F741" s="434">
        <v>74428</v>
      </c>
      <c r="G741" s="431"/>
      <c r="H741" s="431"/>
      <c r="I741" s="431"/>
      <c r="J741" s="431" t="s">
        <v>1664</v>
      </c>
      <c r="K741" s="431"/>
      <c r="L741" s="431"/>
      <c r="M741" s="431"/>
      <c r="N741" s="433"/>
    </row>
    <row r="742" spans="1:14">
      <c r="A742" s="416">
        <f t="shared" si="15"/>
        <v>736</v>
      </c>
      <c r="B742" s="590"/>
      <c r="C742" s="426" t="s">
        <v>1538</v>
      </c>
      <c r="D742" s="427"/>
      <c r="E742" s="428" t="s">
        <v>289</v>
      </c>
      <c r="F742" s="434">
        <v>33676</v>
      </c>
      <c r="G742" s="431"/>
      <c r="H742" s="431"/>
      <c r="I742" s="431"/>
      <c r="J742" s="431" t="s">
        <v>1664</v>
      </c>
      <c r="K742" s="431"/>
      <c r="L742" s="431"/>
      <c r="M742" s="431"/>
      <c r="N742" s="433"/>
    </row>
    <row r="743" spans="1:14" ht="29">
      <c r="A743" s="416">
        <f t="shared" si="15"/>
        <v>737</v>
      </c>
      <c r="B743" s="590"/>
      <c r="C743" s="426" t="s">
        <v>1540</v>
      </c>
      <c r="D743" s="427"/>
      <c r="E743" s="428" t="s">
        <v>289</v>
      </c>
      <c r="F743" s="434">
        <v>196301</v>
      </c>
      <c r="G743" s="431"/>
      <c r="H743" s="431"/>
      <c r="I743" s="431"/>
      <c r="J743" s="431" t="s">
        <v>1664</v>
      </c>
      <c r="K743" s="431"/>
      <c r="L743" s="431"/>
      <c r="M743" s="431"/>
      <c r="N743" s="433"/>
    </row>
    <row r="744" spans="1:14">
      <c r="A744" s="416">
        <f t="shared" si="15"/>
        <v>738</v>
      </c>
      <c r="B744" s="590"/>
      <c r="C744" s="426" t="s">
        <v>1542</v>
      </c>
      <c r="D744" s="427"/>
      <c r="E744" s="428" t="s">
        <v>289</v>
      </c>
      <c r="F744" s="434">
        <v>183266</v>
      </c>
      <c r="G744" s="431"/>
      <c r="H744" s="431"/>
      <c r="I744" s="431"/>
      <c r="J744" s="431" t="s">
        <v>1664</v>
      </c>
      <c r="K744" s="431"/>
      <c r="L744" s="431"/>
      <c r="M744" s="431"/>
      <c r="N744" s="433"/>
    </row>
    <row r="745" spans="1:14" ht="29">
      <c r="A745" s="416">
        <f t="shared" si="15"/>
        <v>739</v>
      </c>
      <c r="B745" s="590"/>
      <c r="C745" s="426" t="s">
        <v>1544</v>
      </c>
      <c r="D745" s="427"/>
      <c r="E745" s="428" t="s">
        <v>289</v>
      </c>
      <c r="F745" s="434">
        <v>5909</v>
      </c>
      <c r="G745" s="431"/>
      <c r="H745" s="431"/>
      <c r="I745" s="431"/>
      <c r="J745" s="431" t="s">
        <v>1664</v>
      </c>
      <c r="K745" s="431"/>
      <c r="L745" s="431"/>
      <c r="M745" s="431"/>
      <c r="N745" s="433"/>
    </row>
    <row r="746" spans="1:14">
      <c r="A746" s="416">
        <f t="shared" si="15"/>
        <v>740</v>
      </c>
      <c r="B746" s="590"/>
      <c r="C746" s="426" t="s">
        <v>1546</v>
      </c>
      <c r="D746" s="427"/>
      <c r="E746" s="428" t="s">
        <v>289</v>
      </c>
      <c r="F746" s="434">
        <v>71381</v>
      </c>
      <c r="G746" s="431"/>
      <c r="H746" s="431"/>
      <c r="I746" s="431"/>
      <c r="J746" s="431" t="s">
        <v>1664</v>
      </c>
      <c r="K746" s="431"/>
      <c r="L746" s="431"/>
      <c r="M746" s="431"/>
      <c r="N746" s="433"/>
    </row>
    <row r="747" spans="1:14">
      <c r="A747" s="416">
        <f t="shared" si="15"/>
        <v>741</v>
      </c>
      <c r="B747" s="590"/>
      <c r="C747" s="426" t="s">
        <v>1548</v>
      </c>
      <c r="D747" s="427"/>
      <c r="E747" s="428" t="s">
        <v>289</v>
      </c>
      <c r="F747" s="434">
        <v>77249</v>
      </c>
      <c r="G747" s="431"/>
      <c r="H747" s="431"/>
      <c r="I747" s="431"/>
      <c r="J747" s="431" t="s">
        <v>1664</v>
      </c>
      <c r="K747" s="431"/>
      <c r="L747" s="431"/>
      <c r="M747" s="431"/>
      <c r="N747" s="433"/>
    </row>
    <row r="748" spans="1:14">
      <c r="A748" s="416">
        <f t="shared" si="15"/>
        <v>742</v>
      </c>
      <c r="B748" s="590"/>
      <c r="C748" s="426" t="s">
        <v>1550</v>
      </c>
      <c r="D748" s="427"/>
      <c r="E748" s="428" t="s">
        <v>289</v>
      </c>
      <c r="F748" s="434">
        <v>430246</v>
      </c>
      <c r="G748" s="431"/>
      <c r="H748" s="431"/>
      <c r="I748" s="431"/>
      <c r="J748" s="431" t="s">
        <v>1664</v>
      </c>
      <c r="K748" s="431"/>
      <c r="L748" s="431"/>
      <c r="M748" s="431"/>
      <c r="N748" s="433"/>
    </row>
    <row r="749" spans="1:14">
      <c r="A749" s="416">
        <f t="shared" si="15"/>
        <v>743</v>
      </c>
      <c r="B749" s="590"/>
      <c r="C749" s="426" t="s">
        <v>1552</v>
      </c>
      <c r="D749" s="427"/>
      <c r="E749" s="428" t="s">
        <v>289</v>
      </c>
      <c r="F749" s="434">
        <v>311632</v>
      </c>
      <c r="G749" s="431"/>
      <c r="H749" s="431"/>
      <c r="I749" s="431"/>
      <c r="J749" s="431" t="s">
        <v>1664</v>
      </c>
      <c r="K749" s="431"/>
      <c r="L749" s="431"/>
      <c r="M749" s="431"/>
      <c r="N749" s="433"/>
    </row>
    <row r="750" spans="1:14">
      <c r="A750" s="416">
        <f t="shared" si="15"/>
        <v>744</v>
      </c>
      <c r="B750" s="590" t="s">
        <v>1108</v>
      </c>
      <c r="C750" s="426" t="s">
        <v>2270</v>
      </c>
      <c r="D750" s="427" t="s">
        <v>2271</v>
      </c>
      <c r="E750" s="428" t="s">
        <v>1709</v>
      </c>
      <c r="F750" s="434">
        <v>25210</v>
      </c>
      <c r="G750" s="431"/>
      <c r="H750" s="431"/>
      <c r="I750" s="431"/>
      <c r="J750" s="431" t="s">
        <v>1664</v>
      </c>
      <c r="K750" s="431"/>
      <c r="L750" s="431"/>
      <c r="M750" s="431"/>
      <c r="N750" s="433"/>
    </row>
    <row r="751" spans="1:14">
      <c r="A751" s="416">
        <f t="shared" si="15"/>
        <v>745</v>
      </c>
      <c r="B751" s="590"/>
      <c r="C751" s="426" t="s">
        <v>1554</v>
      </c>
      <c r="D751" s="427"/>
      <c r="E751" s="428" t="s">
        <v>289</v>
      </c>
      <c r="F751" s="434">
        <v>23905</v>
      </c>
      <c r="G751" s="431"/>
      <c r="H751" s="431"/>
      <c r="I751" s="431"/>
      <c r="J751" s="431" t="s">
        <v>1664</v>
      </c>
      <c r="K751" s="431"/>
      <c r="L751" s="431"/>
      <c r="M751" s="431"/>
      <c r="N751" s="433"/>
    </row>
    <row r="752" spans="1:14">
      <c r="A752" s="416">
        <f t="shared" si="15"/>
        <v>746</v>
      </c>
      <c r="B752" s="590"/>
      <c r="C752" s="426" t="s">
        <v>1556</v>
      </c>
      <c r="D752" s="427"/>
      <c r="E752" s="428" t="s">
        <v>289</v>
      </c>
      <c r="F752" s="434">
        <v>66336</v>
      </c>
      <c r="G752" s="431"/>
      <c r="H752" s="431"/>
      <c r="I752" s="431"/>
      <c r="J752" s="431" t="s">
        <v>1664</v>
      </c>
      <c r="K752" s="431"/>
      <c r="L752" s="431"/>
      <c r="M752" s="431"/>
      <c r="N752" s="433"/>
    </row>
    <row r="753" spans="1:14">
      <c r="A753" s="416">
        <f t="shared" si="15"/>
        <v>747</v>
      </c>
      <c r="B753" s="590"/>
      <c r="C753" s="426" t="s">
        <v>1105</v>
      </c>
      <c r="D753" s="427" t="s">
        <v>2246</v>
      </c>
      <c r="E753" s="428" t="s">
        <v>289</v>
      </c>
      <c r="F753" s="434">
        <v>5553</v>
      </c>
      <c r="G753" s="431"/>
      <c r="H753" s="431"/>
      <c r="I753" s="431"/>
      <c r="J753" s="431" t="s">
        <v>1664</v>
      </c>
      <c r="K753" s="431"/>
      <c r="L753" s="431"/>
      <c r="M753" s="431"/>
      <c r="N753" s="433"/>
    </row>
    <row r="754" spans="1:14">
      <c r="A754" s="416">
        <f t="shared" si="15"/>
        <v>748</v>
      </c>
      <c r="B754" s="590"/>
      <c r="C754" s="426" t="s">
        <v>1558</v>
      </c>
      <c r="D754" s="427"/>
      <c r="E754" s="428" t="s">
        <v>289</v>
      </c>
      <c r="F754" s="434">
        <v>322502</v>
      </c>
      <c r="G754" s="431"/>
      <c r="H754" s="431"/>
      <c r="I754" s="431"/>
      <c r="J754" s="431" t="s">
        <v>1664</v>
      </c>
      <c r="K754" s="431"/>
      <c r="L754" s="431"/>
      <c r="M754" s="431"/>
      <c r="N754" s="433"/>
    </row>
    <row r="755" spans="1:14">
      <c r="A755" s="416">
        <f t="shared" si="15"/>
        <v>749</v>
      </c>
      <c r="B755" s="590"/>
      <c r="C755" s="426" t="s">
        <v>1560</v>
      </c>
      <c r="D755" s="427"/>
      <c r="E755" s="428" t="s">
        <v>289</v>
      </c>
      <c r="F755" s="434">
        <v>479806</v>
      </c>
      <c r="G755" s="431"/>
      <c r="H755" s="431"/>
      <c r="I755" s="431"/>
      <c r="J755" s="431" t="s">
        <v>1664</v>
      </c>
      <c r="K755" s="431"/>
      <c r="L755" s="431"/>
      <c r="M755" s="431"/>
      <c r="N755" s="433"/>
    </row>
    <row r="756" spans="1:14">
      <c r="A756" s="416">
        <f t="shared" si="15"/>
        <v>750</v>
      </c>
      <c r="B756" s="590"/>
      <c r="C756" s="426" t="s">
        <v>1562</v>
      </c>
      <c r="D756" s="427"/>
      <c r="E756" s="428" t="s">
        <v>289</v>
      </c>
      <c r="F756" s="434">
        <v>11963</v>
      </c>
      <c r="G756" s="431"/>
      <c r="H756" s="431"/>
      <c r="I756" s="431"/>
      <c r="J756" s="431" t="s">
        <v>1664</v>
      </c>
      <c r="K756" s="431"/>
      <c r="L756" s="431"/>
      <c r="M756" s="431"/>
      <c r="N756" s="433"/>
    </row>
    <row r="757" spans="1:14" ht="16.5" customHeight="1">
      <c r="A757" s="416">
        <f t="shared" si="15"/>
        <v>751</v>
      </c>
      <c r="B757" s="590"/>
      <c r="C757" s="426" t="s">
        <v>1564</v>
      </c>
      <c r="D757" s="427"/>
      <c r="E757" s="428" t="s">
        <v>289</v>
      </c>
      <c r="F757" s="434">
        <v>420329</v>
      </c>
      <c r="G757" s="431"/>
      <c r="H757" s="431"/>
      <c r="I757" s="431"/>
      <c r="J757" s="431" t="s">
        <v>1664</v>
      </c>
      <c r="K757" s="431"/>
      <c r="L757" s="431"/>
      <c r="M757" s="431"/>
      <c r="N757" s="433"/>
    </row>
    <row r="758" spans="1:14">
      <c r="A758" s="416">
        <f t="shared" si="15"/>
        <v>752</v>
      </c>
      <c r="B758" s="590"/>
      <c r="C758" s="426" t="s">
        <v>1566</v>
      </c>
      <c r="D758" s="427"/>
      <c r="E758" s="428" t="s">
        <v>289</v>
      </c>
      <c r="F758" s="434">
        <v>12785</v>
      </c>
      <c r="G758" s="431"/>
      <c r="H758" s="431"/>
      <c r="I758" s="431"/>
      <c r="J758" s="431" t="s">
        <v>1664</v>
      </c>
      <c r="K758" s="431"/>
      <c r="L758" s="431"/>
      <c r="M758" s="431"/>
      <c r="N758" s="433"/>
    </row>
    <row r="759" spans="1:14">
      <c r="A759" s="416">
        <f t="shared" si="15"/>
        <v>753</v>
      </c>
      <c r="B759" s="590" t="s">
        <v>1132</v>
      </c>
      <c r="C759" s="426" t="s">
        <v>2272</v>
      </c>
      <c r="D759" s="427" t="s">
        <v>2273</v>
      </c>
      <c r="E759" s="428" t="s">
        <v>1709</v>
      </c>
      <c r="F759" s="434">
        <v>40860</v>
      </c>
      <c r="G759" s="431"/>
      <c r="H759" s="431"/>
      <c r="I759" s="431"/>
      <c r="J759" s="431" t="s">
        <v>1664</v>
      </c>
      <c r="K759" s="431"/>
      <c r="L759" s="431"/>
      <c r="M759" s="431"/>
      <c r="N759" s="433"/>
    </row>
    <row r="760" spans="1:14">
      <c r="A760" s="416">
        <f t="shared" si="15"/>
        <v>754</v>
      </c>
      <c r="B760" s="590"/>
      <c r="C760" s="426" t="s">
        <v>1568</v>
      </c>
      <c r="D760" s="427"/>
      <c r="E760" s="428" t="s">
        <v>289</v>
      </c>
      <c r="F760" s="434">
        <v>78401</v>
      </c>
      <c r="G760" s="431"/>
      <c r="H760" s="431"/>
      <c r="I760" s="431"/>
      <c r="J760" s="431" t="s">
        <v>1664</v>
      </c>
      <c r="K760" s="431"/>
      <c r="L760" s="431"/>
      <c r="M760" s="431"/>
      <c r="N760" s="433"/>
    </row>
    <row r="761" spans="1:14">
      <c r="A761" s="416">
        <f t="shared" si="15"/>
        <v>755</v>
      </c>
      <c r="B761" s="590"/>
      <c r="C761" s="426" t="s">
        <v>1570</v>
      </c>
      <c r="D761" s="427"/>
      <c r="E761" s="428" t="s">
        <v>289</v>
      </c>
      <c r="F761" s="434">
        <v>111412</v>
      </c>
      <c r="G761" s="431"/>
      <c r="H761" s="431"/>
      <c r="I761" s="431"/>
      <c r="J761" s="431" t="s">
        <v>1664</v>
      </c>
      <c r="K761" s="431"/>
      <c r="L761" s="431"/>
      <c r="M761" s="431"/>
      <c r="N761" s="433"/>
    </row>
    <row r="762" spans="1:14">
      <c r="A762" s="416">
        <f t="shared" si="15"/>
        <v>756</v>
      </c>
      <c r="B762" s="590"/>
      <c r="C762" s="426" t="s">
        <v>1146</v>
      </c>
      <c r="D762" s="427" t="s">
        <v>2263</v>
      </c>
      <c r="E762" s="428" t="s">
        <v>289</v>
      </c>
      <c r="F762" s="434">
        <v>156417</v>
      </c>
      <c r="G762" s="431"/>
      <c r="H762" s="431"/>
      <c r="I762" s="431"/>
      <c r="J762" s="431" t="s">
        <v>1664</v>
      </c>
      <c r="K762" s="431"/>
      <c r="L762" s="431"/>
      <c r="M762" s="431"/>
      <c r="N762" s="433"/>
    </row>
    <row r="763" spans="1:14">
      <c r="A763" s="416">
        <f t="shared" si="15"/>
        <v>757</v>
      </c>
      <c r="B763" s="590"/>
      <c r="C763" s="426" t="s">
        <v>1574</v>
      </c>
      <c r="D763" s="427"/>
      <c r="E763" s="428" t="s">
        <v>289</v>
      </c>
      <c r="F763" s="434">
        <v>19027</v>
      </c>
      <c r="G763" s="431"/>
      <c r="H763" s="431"/>
      <c r="I763" s="431"/>
      <c r="J763" s="431" t="s">
        <v>1664</v>
      </c>
      <c r="K763" s="431"/>
      <c r="L763" s="431"/>
      <c r="M763" s="431"/>
      <c r="N763" s="433"/>
    </row>
    <row r="764" spans="1:14">
      <c r="A764" s="416">
        <f t="shared" si="15"/>
        <v>758</v>
      </c>
      <c r="B764" s="590"/>
      <c r="C764" s="426" t="s">
        <v>1152</v>
      </c>
      <c r="D764" s="427" t="s">
        <v>2274</v>
      </c>
      <c r="E764" s="428" t="s">
        <v>289</v>
      </c>
      <c r="F764" s="434">
        <v>76396</v>
      </c>
      <c r="G764" s="431"/>
      <c r="H764" s="431"/>
      <c r="I764" s="431"/>
      <c r="J764" s="431" t="s">
        <v>1664</v>
      </c>
      <c r="K764" s="431"/>
      <c r="L764" s="431"/>
      <c r="M764" s="431"/>
      <c r="N764" s="433"/>
    </row>
    <row r="765" spans="1:14" ht="29">
      <c r="A765" s="416">
        <f t="shared" si="15"/>
        <v>759</v>
      </c>
      <c r="B765" s="590"/>
      <c r="C765" s="426" t="s">
        <v>1576</v>
      </c>
      <c r="D765" s="427"/>
      <c r="E765" s="428" t="s">
        <v>1709</v>
      </c>
      <c r="F765" s="434">
        <v>150281</v>
      </c>
      <c r="G765" s="431"/>
      <c r="H765" s="431"/>
      <c r="I765" s="431"/>
      <c r="J765" s="431" t="s">
        <v>1664</v>
      </c>
      <c r="K765" s="431"/>
      <c r="L765" s="431"/>
      <c r="M765" s="431"/>
      <c r="N765" s="433"/>
    </row>
    <row r="766" spans="1:14" ht="16.5" customHeight="1">
      <c r="A766" s="416">
        <f t="shared" si="15"/>
        <v>760</v>
      </c>
      <c r="B766" s="590"/>
      <c r="C766" s="418" t="s">
        <v>2275</v>
      </c>
      <c r="D766" s="427"/>
      <c r="G766" s="431"/>
      <c r="H766" s="431"/>
      <c r="I766" s="431"/>
      <c r="J766" s="431"/>
      <c r="K766" s="431"/>
      <c r="L766" s="431"/>
      <c r="M766" s="431"/>
      <c r="N766" s="433"/>
    </row>
    <row r="767" spans="1:14" ht="29">
      <c r="A767" s="416">
        <f t="shared" si="15"/>
        <v>761</v>
      </c>
      <c r="B767" s="590"/>
      <c r="C767" s="426" t="s">
        <v>1581</v>
      </c>
      <c r="D767" s="427"/>
      <c r="E767" s="428" t="s">
        <v>2256</v>
      </c>
      <c r="F767" s="434">
        <v>20992954</v>
      </c>
      <c r="G767" s="431" t="s">
        <v>1664</v>
      </c>
      <c r="H767" s="431"/>
      <c r="I767" s="431"/>
      <c r="J767" s="431"/>
      <c r="K767" s="431"/>
      <c r="L767" s="431"/>
      <c r="M767" s="431"/>
      <c r="N767" s="433"/>
    </row>
    <row r="768" spans="1:14" ht="29">
      <c r="A768" s="416">
        <f t="shared" si="15"/>
        <v>762</v>
      </c>
      <c r="B768" s="590"/>
      <c r="C768" s="426" t="s">
        <v>1582</v>
      </c>
      <c r="D768" s="427"/>
      <c r="E768" s="428" t="s">
        <v>2256</v>
      </c>
      <c r="F768" s="434">
        <v>2754262</v>
      </c>
      <c r="G768" s="431" t="s">
        <v>1664</v>
      </c>
      <c r="H768" s="431"/>
      <c r="I768" s="431"/>
      <c r="J768" s="431"/>
      <c r="K768" s="431"/>
      <c r="L768" s="431"/>
      <c r="M768" s="431"/>
      <c r="N768" s="433"/>
    </row>
    <row r="769" spans="1:14" ht="29">
      <c r="A769" s="416">
        <f t="shared" ref="A769:A792" si="16">A768+1</f>
        <v>763</v>
      </c>
      <c r="B769" s="590"/>
      <c r="C769" s="418" t="s">
        <v>2276</v>
      </c>
      <c r="D769" s="427"/>
      <c r="G769" s="431"/>
      <c r="H769" s="431"/>
      <c r="I769" s="431"/>
      <c r="J769" s="431"/>
      <c r="K769" s="431"/>
      <c r="L769" s="431"/>
      <c r="M769" s="431"/>
      <c r="N769" s="433"/>
    </row>
    <row r="770" spans="1:14" ht="17.25" customHeight="1">
      <c r="A770" s="416">
        <f t="shared" si="16"/>
        <v>764</v>
      </c>
      <c r="B770" s="590"/>
      <c r="C770" s="426" t="s">
        <v>1623</v>
      </c>
      <c r="D770" s="427"/>
      <c r="E770" s="428" t="s">
        <v>289</v>
      </c>
      <c r="F770" s="434">
        <v>287835</v>
      </c>
      <c r="G770" s="431" t="s">
        <v>1664</v>
      </c>
      <c r="H770" s="431"/>
      <c r="I770" s="431"/>
      <c r="J770" s="431"/>
      <c r="K770" s="431"/>
      <c r="L770" s="431"/>
      <c r="M770" s="431"/>
      <c r="N770" s="433"/>
    </row>
    <row r="771" spans="1:14">
      <c r="A771" s="416">
        <f t="shared" si="16"/>
        <v>765</v>
      </c>
      <c r="B771" s="590" t="s">
        <v>2277</v>
      </c>
      <c r="C771" s="426" t="s">
        <v>1625</v>
      </c>
      <c r="D771" s="427"/>
      <c r="E771" s="428" t="s">
        <v>289</v>
      </c>
      <c r="F771" s="434">
        <v>302609</v>
      </c>
      <c r="G771" s="431" t="s">
        <v>1664</v>
      </c>
      <c r="H771" s="431"/>
      <c r="I771" s="431"/>
      <c r="J771" s="431"/>
      <c r="K771" s="431"/>
      <c r="L771" s="431"/>
      <c r="M771" s="431"/>
      <c r="N771" s="433"/>
    </row>
    <row r="772" spans="1:14">
      <c r="A772" s="416">
        <f t="shared" si="16"/>
        <v>766</v>
      </c>
      <c r="B772" s="590"/>
      <c r="C772" s="426" t="s">
        <v>1627</v>
      </c>
      <c r="D772" s="427"/>
      <c r="E772" s="428" t="s">
        <v>289</v>
      </c>
      <c r="F772" s="434">
        <v>2978205</v>
      </c>
      <c r="G772" s="431" t="s">
        <v>1664</v>
      </c>
      <c r="H772" s="431"/>
      <c r="I772" s="431"/>
      <c r="J772" s="431"/>
      <c r="K772" s="431"/>
      <c r="L772" s="431"/>
      <c r="M772" s="431"/>
      <c r="N772" s="433"/>
    </row>
    <row r="773" spans="1:14">
      <c r="A773" s="416">
        <f t="shared" si="16"/>
        <v>767</v>
      </c>
      <c r="B773" s="590" t="s">
        <v>1634</v>
      </c>
      <c r="C773" s="426" t="s">
        <v>1633</v>
      </c>
      <c r="D773" s="427" t="s">
        <v>2278</v>
      </c>
      <c r="E773" s="428" t="s">
        <v>1709</v>
      </c>
      <c r="F773" s="434">
        <v>3115052</v>
      </c>
      <c r="G773" s="431" t="s">
        <v>1664</v>
      </c>
      <c r="H773" s="431"/>
      <c r="I773" s="431"/>
      <c r="J773" s="431"/>
      <c r="K773" s="431"/>
      <c r="L773" s="431"/>
      <c r="M773" s="431"/>
      <c r="N773" s="433"/>
    </row>
    <row r="774" spans="1:14">
      <c r="A774" s="416">
        <f t="shared" si="16"/>
        <v>768</v>
      </c>
      <c r="B774" s="590"/>
      <c r="D774" s="427"/>
      <c r="F774" s="429"/>
      <c r="G774" s="431"/>
      <c r="H774" s="431"/>
      <c r="I774" s="431"/>
      <c r="J774" s="431"/>
      <c r="K774" s="431"/>
      <c r="L774" s="431"/>
      <c r="M774" s="431"/>
      <c r="N774" s="433"/>
    </row>
    <row r="775" spans="1:14">
      <c r="A775" s="416">
        <f t="shared" si="16"/>
        <v>769</v>
      </c>
      <c r="B775" s="590"/>
      <c r="C775" s="418" t="s">
        <v>2279</v>
      </c>
      <c r="D775" s="427"/>
      <c r="F775" s="434">
        <v>82985149</v>
      </c>
      <c r="G775" s="431"/>
      <c r="H775" s="431"/>
      <c r="I775" s="431"/>
      <c r="J775" s="431"/>
      <c r="K775" s="431"/>
      <c r="L775" s="431"/>
      <c r="M775" s="431"/>
      <c r="N775" s="433"/>
    </row>
    <row r="776" spans="1:14">
      <c r="A776" s="416">
        <f t="shared" si="16"/>
        <v>770</v>
      </c>
      <c r="B776" s="590" t="s">
        <v>1270</v>
      </c>
      <c r="C776" s="426" t="s">
        <v>2280</v>
      </c>
      <c r="D776" s="427" t="s">
        <v>2281</v>
      </c>
      <c r="E776" s="428" t="s">
        <v>289</v>
      </c>
      <c r="F776" s="429"/>
      <c r="G776" s="431" t="s">
        <v>1664</v>
      </c>
      <c r="H776" s="431"/>
      <c r="I776" s="453"/>
      <c r="J776" s="453"/>
      <c r="K776" s="431"/>
      <c r="L776" s="454"/>
      <c r="M776" s="443"/>
      <c r="N776" s="433"/>
    </row>
    <row r="777" spans="1:14">
      <c r="A777" s="416">
        <f t="shared" si="16"/>
        <v>771</v>
      </c>
      <c r="B777" s="590" t="s">
        <v>1244</v>
      </c>
      <c r="C777" s="426" t="s">
        <v>2282</v>
      </c>
      <c r="D777" s="427" t="s">
        <v>2283</v>
      </c>
      <c r="E777" s="428" t="s">
        <v>1709</v>
      </c>
      <c r="F777" s="429"/>
      <c r="G777" s="431" t="s">
        <v>1664</v>
      </c>
      <c r="H777" s="431"/>
      <c r="I777" s="453"/>
      <c r="J777" s="453"/>
      <c r="K777" s="431"/>
      <c r="L777" s="454"/>
      <c r="M777" s="443"/>
      <c r="N777" s="433"/>
    </row>
    <row r="778" spans="1:14">
      <c r="A778" s="416">
        <f t="shared" si="16"/>
        <v>772</v>
      </c>
      <c r="B778" s="590"/>
      <c r="D778" s="427" t="s">
        <v>2284</v>
      </c>
      <c r="E778" s="428" t="s">
        <v>1709</v>
      </c>
      <c r="F778" s="429"/>
      <c r="G778" s="431" t="s">
        <v>1664</v>
      </c>
      <c r="H778" s="431"/>
      <c r="I778" s="453"/>
      <c r="J778" s="453"/>
      <c r="K778" s="431"/>
      <c r="L778" s="454"/>
      <c r="M778" s="443"/>
      <c r="N778" s="433"/>
    </row>
    <row r="779" spans="1:14">
      <c r="A779" s="416">
        <f t="shared" si="16"/>
        <v>773</v>
      </c>
      <c r="B779" s="590"/>
      <c r="D779" s="427" t="s">
        <v>2285</v>
      </c>
      <c r="E779" s="428" t="s">
        <v>289</v>
      </c>
      <c r="F779" s="429"/>
      <c r="G779" s="431" t="s">
        <v>1664</v>
      </c>
      <c r="H779" s="431"/>
      <c r="I779" s="453"/>
      <c r="J779" s="453"/>
      <c r="K779" s="431"/>
      <c r="L779" s="454"/>
      <c r="M779" s="443"/>
      <c r="N779" s="433"/>
    </row>
    <row r="780" spans="1:14">
      <c r="A780" s="416">
        <f t="shared" si="16"/>
        <v>774</v>
      </c>
      <c r="B780" s="590"/>
      <c r="D780" s="427" t="s">
        <v>2286</v>
      </c>
      <c r="E780" s="428" t="s">
        <v>289</v>
      </c>
      <c r="F780" s="429"/>
      <c r="G780" s="431" t="s">
        <v>1664</v>
      </c>
      <c r="H780" s="431"/>
      <c r="I780" s="453"/>
      <c r="J780" s="453"/>
      <c r="K780" s="431"/>
      <c r="L780" s="454"/>
      <c r="M780" s="443"/>
      <c r="N780" s="433"/>
    </row>
    <row r="781" spans="1:14">
      <c r="A781" s="416">
        <f t="shared" si="16"/>
        <v>775</v>
      </c>
      <c r="B781" s="590"/>
      <c r="D781" s="427" t="s">
        <v>2287</v>
      </c>
      <c r="E781" s="428" t="s">
        <v>289</v>
      </c>
      <c r="F781" s="429"/>
      <c r="G781" s="431" t="s">
        <v>1664</v>
      </c>
      <c r="H781" s="431"/>
      <c r="I781" s="453"/>
      <c r="J781" s="453"/>
      <c r="K781" s="431"/>
      <c r="L781" s="454"/>
      <c r="M781" s="443"/>
      <c r="N781" s="433"/>
    </row>
    <row r="782" spans="1:14">
      <c r="A782" s="416">
        <f t="shared" si="16"/>
        <v>776</v>
      </c>
      <c r="B782" s="590"/>
      <c r="D782" s="427" t="s">
        <v>2288</v>
      </c>
      <c r="E782" s="428" t="s">
        <v>289</v>
      </c>
      <c r="F782" s="429"/>
      <c r="G782" s="431" t="s">
        <v>1664</v>
      </c>
      <c r="H782" s="431"/>
      <c r="I782" s="453"/>
      <c r="J782" s="453"/>
      <c r="K782" s="431"/>
      <c r="L782" s="454"/>
      <c r="M782" s="443"/>
      <c r="N782" s="433"/>
    </row>
    <row r="783" spans="1:14" ht="30" customHeight="1">
      <c r="A783" s="416">
        <f t="shared" si="16"/>
        <v>777</v>
      </c>
      <c r="B783" s="590" t="s">
        <v>966</v>
      </c>
      <c r="C783" s="426" t="s">
        <v>2257</v>
      </c>
      <c r="D783" s="427" t="s">
        <v>2289</v>
      </c>
      <c r="E783" s="428" t="s">
        <v>289</v>
      </c>
      <c r="F783" s="429"/>
      <c r="G783" s="431" t="s">
        <v>1664</v>
      </c>
      <c r="H783" s="431"/>
      <c r="I783" s="453"/>
      <c r="J783" s="453"/>
      <c r="K783" s="431"/>
      <c r="L783" s="454"/>
      <c r="M783" s="443"/>
      <c r="N783" s="433"/>
    </row>
    <row r="784" spans="1:14" ht="29">
      <c r="A784" s="416">
        <f t="shared" si="16"/>
        <v>778</v>
      </c>
      <c r="B784" s="590"/>
      <c r="D784" s="427" t="s">
        <v>2290</v>
      </c>
      <c r="E784" s="428" t="s">
        <v>289</v>
      </c>
      <c r="F784" s="429"/>
      <c r="G784" s="431" t="s">
        <v>1664</v>
      </c>
      <c r="H784" s="431"/>
      <c r="I784" s="453"/>
      <c r="J784" s="453"/>
      <c r="K784" s="431"/>
      <c r="L784" s="454"/>
      <c r="M784" s="443"/>
      <c r="N784" s="433"/>
    </row>
    <row r="785" spans="1:14">
      <c r="A785" s="416">
        <f t="shared" si="16"/>
        <v>779</v>
      </c>
      <c r="B785" s="590"/>
      <c r="D785" s="427" t="s">
        <v>2291</v>
      </c>
      <c r="E785" s="428" t="s">
        <v>289</v>
      </c>
      <c r="F785" s="429"/>
      <c r="G785" s="431" t="s">
        <v>1664</v>
      </c>
      <c r="H785" s="431"/>
      <c r="I785" s="453"/>
      <c r="J785" s="453"/>
      <c r="K785" s="431"/>
      <c r="L785" s="454"/>
      <c r="M785" s="443"/>
      <c r="N785" s="433"/>
    </row>
    <row r="786" spans="1:14" ht="29">
      <c r="A786" s="416">
        <f t="shared" si="16"/>
        <v>780</v>
      </c>
      <c r="B786" s="590" t="s">
        <v>1386</v>
      </c>
      <c r="C786" s="426" t="s">
        <v>2292</v>
      </c>
      <c r="D786" s="427" t="s">
        <v>2293</v>
      </c>
      <c r="E786" s="428" t="s">
        <v>289</v>
      </c>
      <c r="F786" s="429"/>
      <c r="G786" s="431" t="s">
        <v>1664</v>
      </c>
      <c r="H786" s="431"/>
      <c r="I786" s="453"/>
      <c r="J786" s="453"/>
      <c r="K786" s="431"/>
      <c r="L786" s="454"/>
      <c r="M786" s="443"/>
      <c r="N786" s="433"/>
    </row>
    <row r="787" spans="1:14" ht="29">
      <c r="A787" s="416">
        <f t="shared" si="16"/>
        <v>781</v>
      </c>
      <c r="B787" s="590"/>
      <c r="D787" s="427" t="s">
        <v>2294</v>
      </c>
      <c r="E787" s="428" t="s">
        <v>289</v>
      </c>
      <c r="F787" s="429"/>
      <c r="G787" s="431" t="s">
        <v>1664</v>
      </c>
      <c r="H787" s="431"/>
      <c r="I787" s="453"/>
      <c r="J787" s="453"/>
      <c r="K787" s="431"/>
      <c r="L787" s="454"/>
      <c r="M787" s="443"/>
      <c r="N787" s="433"/>
    </row>
    <row r="788" spans="1:14">
      <c r="A788" s="416">
        <f t="shared" si="16"/>
        <v>782</v>
      </c>
      <c r="B788" s="590"/>
      <c r="D788" s="427" t="s">
        <v>2287</v>
      </c>
      <c r="E788" s="428" t="s">
        <v>289</v>
      </c>
      <c r="F788" s="429"/>
      <c r="G788" s="431" t="s">
        <v>1664</v>
      </c>
      <c r="H788" s="431"/>
      <c r="I788" s="453"/>
      <c r="J788" s="453"/>
      <c r="K788" s="431"/>
      <c r="L788" s="454"/>
      <c r="M788" s="443"/>
      <c r="N788" s="433"/>
    </row>
    <row r="789" spans="1:14">
      <c r="A789" s="416">
        <f t="shared" si="16"/>
        <v>783</v>
      </c>
      <c r="B789" s="590" t="s">
        <v>152</v>
      </c>
      <c r="C789" s="426" t="s">
        <v>2295</v>
      </c>
      <c r="D789" s="427" t="s">
        <v>2296</v>
      </c>
      <c r="E789" s="428" t="s">
        <v>289</v>
      </c>
      <c r="F789" s="429"/>
      <c r="G789" s="431" t="s">
        <v>1664</v>
      </c>
      <c r="H789" s="431"/>
      <c r="I789" s="453"/>
      <c r="J789" s="453"/>
      <c r="K789" s="431"/>
      <c r="L789" s="454"/>
      <c r="M789" s="443"/>
      <c r="N789" s="433"/>
    </row>
    <row r="790" spans="1:14" ht="29">
      <c r="A790" s="416">
        <f t="shared" si="16"/>
        <v>784</v>
      </c>
      <c r="B790" s="590" t="s">
        <v>1473</v>
      </c>
      <c r="C790" s="426" t="s">
        <v>2297</v>
      </c>
      <c r="D790" s="427" t="s">
        <v>2298</v>
      </c>
      <c r="E790" s="428" t="s">
        <v>289</v>
      </c>
      <c r="F790" s="429"/>
      <c r="G790" s="431" t="s">
        <v>1664</v>
      </c>
      <c r="H790" s="431"/>
      <c r="I790" s="453"/>
      <c r="J790" s="453"/>
      <c r="K790" s="431"/>
      <c r="L790" s="454"/>
      <c r="M790" s="443"/>
      <c r="N790" s="433"/>
    </row>
    <row r="791" spans="1:14" ht="29">
      <c r="A791" s="416">
        <f t="shared" si="16"/>
        <v>785</v>
      </c>
      <c r="B791" s="590"/>
      <c r="D791" s="427" t="s">
        <v>2299</v>
      </c>
      <c r="E791" s="428" t="s">
        <v>289</v>
      </c>
      <c r="F791" s="429"/>
      <c r="G791" s="431" t="s">
        <v>1664</v>
      </c>
      <c r="H791" s="431"/>
      <c r="I791" s="453"/>
      <c r="J791" s="453"/>
      <c r="K791" s="431"/>
      <c r="L791" s="454"/>
      <c r="M791" s="443"/>
      <c r="N791" s="433"/>
    </row>
    <row r="792" spans="1:14">
      <c r="A792" s="416">
        <f t="shared" si="16"/>
        <v>786</v>
      </c>
      <c r="B792" s="590"/>
      <c r="D792" s="427" t="s">
        <v>2291</v>
      </c>
      <c r="E792" s="428" t="s">
        <v>289</v>
      </c>
      <c r="F792" s="429"/>
      <c r="G792" s="431" t="s">
        <v>1664</v>
      </c>
      <c r="H792" s="431"/>
      <c r="I792" s="453"/>
      <c r="J792" s="453"/>
      <c r="K792" s="431"/>
      <c r="L792" s="454"/>
      <c r="M792" s="443"/>
      <c r="N792" s="433"/>
    </row>
    <row r="793" spans="1:14">
      <c r="A793" s="599"/>
      <c r="B793" s="585"/>
      <c r="C793" s="586"/>
      <c r="D793" s="484"/>
      <c r="E793" s="587"/>
      <c r="F793" s="591"/>
      <c r="G793" s="484"/>
      <c r="H793" s="484"/>
      <c r="I793" s="585"/>
      <c r="J793" s="585"/>
      <c r="K793" s="484"/>
      <c r="L793" s="587"/>
      <c r="M793" s="591"/>
      <c r="N793" s="589"/>
    </row>
    <row r="794" spans="1:14">
      <c r="A794" s="599"/>
      <c r="B794" s="585"/>
      <c r="C794" s="592" t="s">
        <v>2300</v>
      </c>
      <c r="D794" s="593"/>
      <c r="E794" s="587"/>
      <c r="F794" s="588"/>
      <c r="G794" s="484"/>
      <c r="H794" s="484"/>
      <c r="I794" s="484"/>
      <c r="J794" s="484"/>
      <c r="K794" s="484"/>
      <c r="L794" s="484"/>
      <c r="M794" s="484"/>
      <c r="N794" s="589"/>
    </row>
    <row r="795" spans="1:14">
      <c r="A795" s="599"/>
      <c r="B795" s="585"/>
      <c r="C795" s="592" t="s">
        <v>2301</v>
      </c>
      <c r="D795" s="484"/>
      <c r="E795" s="587"/>
      <c r="F795" s="588"/>
      <c r="G795" s="484"/>
      <c r="H795" s="484"/>
      <c r="I795" s="484"/>
      <c r="J795" s="484"/>
      <c r="K795" s="484"/>
      <c r="L795" s="484"/>
      <c r="M795" s="484"/>
      <c r="N795" s="589"/>
    </row>
    <row r="796" spans="1:14">
      <c r="A796" s="599"/>
      <c r="B796" s="585"/>
      <c r="C796" s="592"/>
      <c r="D796" s="484"/>
      <c r="E796" s="587"/>
      <c r="F796" s="588"/>
      <c r="G796" s="484"/>
      <c r="H796" s="484"/>
      <c r="I796" s="484"/>
      <c r="J796" s="484"/>
      <c r="K796" s="484"/>
      <c r="L796" s="484"/>
      <c r="M796" s="484"/>
      <c r="N796" s="589"/>
    </row>
    <row r="797" spans="1:14">
      <c r="A797" s="599"/>
      <c r="B797" s="585"/>
      <c r="C797" s="585" t="s">
        <v>2302</v>
      </c>
      <c r="D797" s="484"/>
      <c r="E797" s="587"/>
      <c r="F797" s="588"/>
      <c r="G797" s="594"/>
      <c r="H797" s="594"/>
      <c r="I797" s="594"/>
      <c r="J797" s="594"/>
      <c r="K797" s="594"/>
      <c r="L797" s="594"/>
      <c r="M797" s="594"/>
      <c r="N797" s="589"/>
    </row>
    <row r="798" spans="1:14">
      <c r="A798" s="599"/>
      <c r="B798" s="585"/>
      <c r="C798" s="585" t="s">
        <v>2303</v>
      </c>
      <c r="D798" s="484"/>
      <c r="E798" s="587"/>
      <c r="F798" s="588"/>
      <c r="G798" s="484"/>
      <c r="H798" s="484"/>
      <c r="I798" s="484"/>
      <c r="J798" s="484"/>
      <c r="K798" s="484"/>
      <c r="L798" s="484"/>
      <c r="M798" s="484"/>
      <c r="N798" s="589"/>
    </row>
    <row r="799" spans="1:14">
      <c r="A799" s="599"/>
      <c r="B799" s="585"/>
      <c r="C799" s="585" t="s">
        <v>2304</v>
      </c>
      <c r="D799" s="484"/>
      <c r="E799" s="587"/>
      <c r="F799" s="588"/>
      <c r="G799" s="484"/>
      <c r="H799" s="484"/>
      <c r="I799" s="484"/>
      <c r="J799" s="484"/>
      <c r="K799" s="484"/>
      <c r="L799" s="484"/>
      <c r="M799" s="484"/>
      <c r="N799" s="589"/>
    </row>
    <row r="800" spans="1:14">
      <c r="A800" s="599"/>
      <c r="B800" s="585"/>
      <c r="C800" s="585" t="s">
        <v>2305</v>
      </c>
      <c r="D800" s="484"/>
      <c r="E800" s="587"/>
      <c r="F800" s="588"/>
      <c r="G800" s="484"/>
      <c r="H800" s="484"/>
      <c r="I800" s="484"/>
      <c r="J800" s="484"/>
      <c r="K800" s="484"/>
      <c r="L800" s="484"/>
      <c r="M800" s="484"/>
      <c r="N800" s="589"/>
    </row>
    <row r="801" spans="1:14">
      <c r="A801" s="599"/>
      <c r="B801" s="585"/>
      <c r="C801" s="585" t="s">
        <v>2306</v>
      </c>
      <c r="D801" s="484"/>
      <c r="E801" s="587"/>
      <c r="F801" s="588"/>
      <c r="G801" s="484"/>
      <c r="H801" s="484"/>
      <c r="I801" s="484"/>
      <c r="J801" s="484"/>
      <c r="K801" s="484"/>
      <c r="L801" s="484"/>
      <c r="M801" s="484"/>
      <c r="N801" s="589"/>
    </row>
    <row r="802" spans="1:14">
      <c r="A802" s="599"/>
      <c r="B802" s="585"/>
      <c r="C802" s="585" t="s">
        <v>2307</v>
      </c>
      <c r="D802" s="484"/>
      <c r="E802" s="587"/>
      <c r="F802" s="588"/>
      <c r="G802" s="484"/>
      <c r="H802" s="484"/>
      <c r="I802" s="484"/>
      <c r="J802" s="484"/>
      <c r="K802" s="484"/>
      <c r="L802" s="484"/>
      <c r="M802" s="484"/>
      <c r="N802" s="589"/>
    </row>
    <row r="803" spans="1:14">
      <c r="A803" s="600"/>
      <c r="B803" s="585"/>
      <c r="C803" s="585" t="s">
        <v>2308</v>
      </c>
      <c r="D803" s="484"/>
      <c r="E803" s="587"/>
      <c r="F803" s="588"/>
      <c r="G803" s="484"/>
      <c r="H803" s="484"/>
      <c r="I803" s="484"/>
      <c r="J803" s="484"/>
      <c r="K803" s="484"/>
      <c r="L803" s="484"/>
      <c r="M803" s="484"/>
      <c r="N803" s="589"/>
    </row>
    <row r="804" spans="1:14" ht="15" thickBot="1">
      <c r="A804" s="601"/>
      <c r="B804" s="595"/>
      <c r="C804" s="875" t="s">
        <v>2309</v>
      </c>
      <c r="D804" s="875"/>
      <c r="E804" s="875"/>
      <c r="F804" s="875"/>
      <c r="G804" s="875"/>
      <c r="H804" s="875"/>
      <c r="I804" s="875"/>
      <c r="J804" s="875"/>
      <c r="K804" s="875"/>
      <c r="L804" s="875"/>
      <c r="M804" s="875"/>
      <c r="N804" s="876"/>
    </row>
  </sheetData>
  <mergeCells count="2">
    <mergeCell ref="G4:M4"/>
    <mergeCell ref="C804:N804"/>
  </mergeCells>
  <hyperlinks>
    <hyperlink ref="N1" location="'Cover Sheets'!A16" display="(Back to Worksheet Links)" xr:uid="{00000000-0004-0000-0A00-000000000000}"/>
  </hyperlinks>
  <pageMargins left="0.7" right="0.7" top="0.75" bottom="0.75" header="0.3" footer="0.3"/>
  <pageSetup scale="45" fitToHeight="0" orientation="portrait" verticalDpi="12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185"/>
  <sheetViews>
    <sheetView view="pageBreakPreview" zoomScale="80" zoomScaleNormal="100" zoomScaleSheetLayoutView="80" workbookViewId="0"/>
  </sheetViews>
  <sheetFormatPr defaultColWidth="9.453125" defaultRowHeight="13"/>
  <cols>
    <col min="1" max="1" width="9.453125" style="466"/>
    <col min="2" max="2" width="9.54296875" style="463" customWidth="1"/>
    <col min="3" max="3" width="25" style="463" bestFit="1" customWidth="1"/>
    <col min="4" max="4" width="75.453125" style="466" customWidth="1"/>
    <col min="5" max="5" width="68" style="466" customWidth="1"/>
    <col min="6" max="6" width="23" style="466" customWidth="1"/>
    <col min="7" max="16384" width="9.453125" style="466"/>
  </cols>
  <sheetData>
    <row r="1" spans="1:5" ht="14.5">
      <c r="A1" s="579" t="str">
        <f>'Cover Sheets'!A10:B10</f>
        <v>WAPA-UGP 2022 Rate Estimate Calculation</v>
      </c>
      <c r="B1" s="615"/>
      <c r="C1" s="615"/>
      <c r="D1" s="616"/>
      <c r="E1" s="687" t="s">
        <v>43</v>
      </c>
    </row>
    <row r="2" spans="1:5">
      <c r="A2" s="617" t="s">
        <v>2310</v>
      </c>
      <c r="B2" s="618"/>
      <c r="C2" s="618"/>
      <c r="D2" s="268"/>
      <c r="E2" s="265"/>
    </row>
    <row r="3" spans="1:5" ht="16" thickBot="1">
      <c r="A3" s="619" t="str">
        <f>'WS1-RateBase'!A4</f>
        <v>12 Months Ending 09/30/2022 ESTIMATE</v>
      </c>
      <c r="B3" s="620"/>
      <c r="C3" s="620"/>
      <c r="D3" s="271"/>
      <c r="E3" s="265"/>
    </row>
    <row r="4" spans="1:5" s="457" customFormat="1">
      <c r="A4" s="621" t="s">
        <v>408</v>
      </c>
      <c r="B4" s="622" t="s">
        <v>592</v>
      </c>
      <c r="C4" s="622" t="s">
        <v>1649</v>
      </c>
      <c r="D4" s="623" t="s">
        <v>2311</v>
      </c>
      <c r="E4" s="624" t="s">
        <v>1660</v>
      </c>
    </row>
    <row r="5" spans="1:5" s="460" customFormat="1">
      <c r="A5" s="458">
        <v>1</v>
      </c>
      <c r="B5" s="459"/>
      <c r="C5" s="459" t="s">
        <v>1661</v>
      </c>
      <c r="E5" s="461"/>
    </row>
    <row r="6" spans="1:5">
      <c r="A6" s="462">
        <f>A5+1</f>
        <v>2</v>
      </c>
      <c r="D6" s="464"/>
      <c r="E6" s="465"/>
    </row>
    <row r="7" spans="1:5">
      <c r="A7" s="458">
        <f>A6+1</f>
        <v>3</v>
      </c>
      <c r="B7" s="463" t="s">
        <v>874</v>
      </c>
      <c r="C7" s="463" t="s">
        <v>1666</v>
      </c>
      <c r="D7" s="466" t="s">
        <v>2312</v>
      </c>
      <c r="E7" s="465" t="s">
        <v>2313</v>
      </c>
    </row>
    <row r="8" spans="1:5">
      <c r="A8" s="462">
        <f>A7+1</f>
        <v>4</v>
      </c>
      <c r="D8" s="466" t="s">
        <v>2314</v>
      </c>
      <c r="E8" s="465"/>
    </row>
    <row r="9" spans="1:5">
      <c r="A9" s="458">
        <f>A8+1</f>
        <v>5</v>
      </c>
      <c r="D9" s="466" t="s">
        <v>2315</v>
      </c>
      <c r="E9" s="465"/>
    </row>
    <row r="10" spans="1:5">
      <c r="A10" s="462">
        <f>A9+1</f>
        <v>6</v>
      </c>
      <c r="B10" s="463" t="s">
        <v>880</v>
      </c>
      <c r="C10" s="463" t="s">
        <v>1678</v>
      </c>
      <c r="D10" s="466" t="s">
        <v>2316</v>
      </c>
      <c r="E10" s="465"/>
    </row>
    <row r="11" spans="1:5">
      <c r="A11" s="458">
        <f t="shared" ref="A11:A74" si="0">A10+1</f>
        <v>7</v>
      </c>
      <c r="B11" s="463" t="s">
        <v>886</v>
      </c>
      <c r="C11" s="463" t="s">
        <v>1684</v>
      </c>
      <c r="D11" s="466" t="s">
        <v>2317</v>
      </c>
      <c r="E11" s="465"/>
    </row>
    <row r="12" spans="1:5">
      <c r="A12" s="462">
        <f t="shared" si="0"/>
        <v>8</v>
      </c>
      <c r="B12" s="463" t="s">
        <v>2318</v>
      </c>
      <c r="C12" s="463" t="s">
        <v>1690</v>
      </c>
      <c r="D12" s="466" t="s">
        <v>2319</v>
      </c>
      <c r="E12" s="465" t="s">
        <v>2320</v>
      </c>
    </row>
    <row r="13" spans="1:5">
      <c r="A13" s="458">
        <f>A12+1</f>
        <v>9</v>
      </c>
      <c r="D13" s="466" t="s">
        <v>2321</v>
      </c>
      <c r="E13" s="465"/>
    </row>
    <row r="14" spans="1:5">
      <c r="A14" s="462">
        <f>A13+1</f>
        <v>10</v>
      </c>
      <c r="D14" s="466" t="s">
        <v>2322</v>
      </c>
      <c r="E14" s="465" t="s">
        <v>2323</v>
      </c>
    </row>
    <row r="15" spans="1:5">
      <c r="A15" s="458">
        <f t="shared" si="0"/>
        <v>11</v>
      </c>
      <c r="B15" s="463" t="s">
        <v>1270</v>
      </c>
      <c r="C15" s="463" t="s">
        <v>2280</v>
      </c>
      <c r="D15" s="466" t="s">
        <v>2324</v>
      </c>
      <c r="E15" s="465"/>
    </row>
    <row r="16" spans="1:5">
      <c r="A16" s="462">
        <f t="shared" si="0"/>
        <v>12</v>
      </c>
      <c r="B16" s="463" t="s">
        <v>890</v>
      </c>
      <c r="C16" s="463" t="s">
        <v>1698</v>
      </c>
      <c r="D16" s="466" t="s">
        <v>2325</v>
      </c>
      <c r="E16" s="465"/>
    </row>
    <row r="17" spans="1:5">
      <c r="A17" s="458">
        <f t="shared" si="0"/>
        <v>13</v>
      </c>
      <c r="D17" s="466" t="s">
        <v>2326</v>
      </c>
      <c r="E17" s="465" t="s">
        <v>2327</v>
      </c>
    </row>
    <row r="18" spans="1:5">
      <c r="A18" s="462">
        <f t="shared" si="0"/>
        <v>14</v>
      </c>
      <c r="B18" s="463" t="s">
        <v>892</v>
      </c>
      <c r="C18" s="463" t="s">
        <v>1700</v>
      </c>
      <c r="D18" s="466" t="s">
        <v>2328</v>
      </c>
      <c r="E18" s="465" t="s">
        <v>2329</v>
      </c>
    </row>
    <row r="19" spans="1:5">
      <c r="A19" s="458">
        <f t="shared" si="0"/>
        <v>15</v>
      </c>
      <c r="D19" s="466" t="s">
        <v>2330</v>
      </c>
      <c r="E19" s="465" t="s">
        <v>2331</v>
      </c>
    </row>
    <row r="20" spans="1:5">
      <c r="A20" s="462">
        <f t="shared" si="0"/>
        <v>16</v>
      </c>
      <c r="B20" s="463" t="s">
        <v>896</v>
      </c>
      <c r="C20" s="463" t="s">
        <v>1707</v>
      </c>
      <c r="D20" s="466" t="s">
        <v>2332</v>
      </c>
      <c r="E20" s="465" t="s">
        <v>2333</v>
      </c>
    </row>
    <row r="21" spans="1:5">
      <c r="A21" s="458">
        <f t="shared" si="0"/>
        <v>17</v>
      </c>
      <c r="B21" s="463" t="s">
        <v>2334</v>
      </c>
      <c r="C21" s="463" t="s">
        <v>1715</v>
      </c>
      <c r="D21" s="466" t="s">
        <v>2335</v>
      </c>
      <c r="E21" s="465"/>
    </row>
    <row r="22" spans="1:5">
      <c r="A22" s="462">
        <f t="shared" si="0"/>
        <v>18</v>
      </c>
      <c r="D22" s="466" t="s">
        <v>2336</v>
      </c>
      <c r="E22" s="465"/>
    </row>
    <row r="23" spans="1:5">
      <c r="A23" s="458">
        <f t="shared" si="0"/>
        <v>19</v>
      </c>
      <c r="D23" s="466" t="s">
        <v>2337</v>
      </c>
      <c r="E23" s="465" t="s">
        <v>2338</v>
      </c>
    </row>
    <row r="24" spans="1:5">
      <c r="A24" s="462">
        <f t="shared" si="0"/>
        <v>20</v>
      </c>
      <c r="B24" s="463" t="s">
        <v>2339</v>
      </c>
      <c r="C24" s="463" t="s">
        <v>2340</v>
      </c>
      <c r="D24" s="466" t="s">
        <v>2341</v>
      </c>
      <c r="E24" s="465"/>
    </row>
    <row r="25" spans="1:5">
      <c r="A25" s="458">
        <f t="shared" si="0"/>
        <v>21</v>
      </c>
      <c r="B25" s="463" t="s">
        <v>1588</v>
      </c>
      <c r="C25" s="463" t="s">
        <v>2342</v>
      </c>
      <c r="D25" s="466" t="s">
        <v>2341</v>
      </c>
      <c r="E25" s="465"/>
    </row>
    <row r="26" spans="1:5">
      <c r="A26" s="462">
        <f t="shared" si="0"/>
        <v>22</v>
      </c>
      <c r="B26" s="463" t="s">
        <v>1739</v>
      </c>
      <c r="C26" s="463" t="s">
        <v>1740</v>
      </c>
      <c r="D26" s="466" t="s">
        <v>2343</v>
      </c>
      <c r="E26" s="465" t="s">
        <v>2344</v>
      </c>
    </row>
    <row r="27" spans="1:5">
      <c r="A27" s="458">
        <f t="shared" si="0"/>
        <v>23</v>
      </c>
      <c r="D27" s="466" t="s">
        <v>2345</v>
      </c>
      <c r="E27" s="465" t="s">
        <v>2346</v>
      </c>
    </row>
    <row r="28" spans="1:5">
      <c r="A28" s="462">
        <f t="shared" si="0"/>
        <v>24</v>
      </c>
      <c r="B28" s="463" t="s">
        <v>912</v>
      </c>
      <c r="C28" s="463" t="s">
        <v>1747</v>
      </c>
      <c r="D28" s="466" t="s">
        <v>2347</v>
      </c>
      <c r="E28" s="465" t="s">
        <v>2348</v>
      </c>
    </row>
    <row r="29" spans="1:5">
      <c r="A29" s="458">
        <f t="shared" si="0"/>
        <v>25</v>
      </c>
      <c r="D29" s="466" t="s">
        <v>2349</v>
      </c>
      <c r="E29" s="465" t="s">
        <v>2350</v>
      </c>
    </row>
    <row r="30" spans="1:5">
      <c r="A30" s="462">
        <f t="shared" si="0"/>
        <v>26</v>
      </c>
      <c r="D30" s="466" t="s">
        <v>2351</v>
      </c>
      <c r="E30" s="465"/>
    </row>
    <row r="31" spans="1:5">
      <c r="A31" s="458">
        <f t="shared" si="0"/>
        <v>27</v>
      </c>
      <c r="D31" s="466" t="s">
        <v>2352</v>
      </c>
      <c r="E31" s="465" t="s">
        <v>2350</v>
      </c>
    </row>
    <row r="32" spans="1:5">
      <c r="A32" s="462">
        <f t="shared" si="0"/>
        <v>28</v>
      </c>
      <c r="B32" s="463" t="s">
        <v>914</v>
      </c>
      <c r="C32" s="463" t="s">
        <v>1752</v>
      </c>
      <c r="D32" s="466" t="s">
        <v>2353</v>
      </c>
      <c r="E32" s="465" t="s">
        <v>2354</v>
      </c>
    </row>
    <row r="33" spans="1:5">
      <c r="A33" s="458">
        <f t="shared" si="0"/>
        <v>29</v>
      </c>
      <c r="B33" s="463" t="s">
        <v>922</v>
      </c>
      <c r="C33" s="463" t="s">
        <v>1772</v>
      </c>
      <c r="D33" s="466" t="s">
        <v>2355</v>
      </c>
      <c r="E33" s="465" t="s">
        <v>2356</v>
      </c>
    </row>
    <row r="34" spans="1:5">
      <c r="A34" s="462">
        <f t="shared" si="0"/>
        <v>30</v>
      </c>
      <c r="B34" s="463" t="s">
        <v>924</v>
      </c>
      <c r="C34" s="463" t="s">
        <v>2357</v>
      </c>
      <c r="D34" s="466" t="s">
        <v>2341</v>
      </c>
      <c r="E34" s="465"/>
    </row>
    <row r="35" spans="1:5">
      <c r="A35" s="458">
        <f t="shared" si="0"/>
        <v>31</v>
      </c>
      <c r="B35" s="463" t="s">
        <v>926</v>
      </c>
      <c r="C35" s="463" t="s">
        <v>1777</v>
      </c>
      <c r="D35" s="466" t="s">
        <v>2358</v>
      </c>
      <c r="E35" s="465" t="s">
        <v>2344</v>
      </c>
    </row>
    <row r="36" spans="1:5">
      <c r="A36" s="462">
        <f t="shared" si="0"/>
        <v>32</v>
      </c>
      <c r="B36" s="463" t="s">
        <v>928</v>
      </c>
      <c r="C36" s="463" t="s">
        <v>2226</v>
      </c>
      <c r="D36" s="466" t="s">
        <v>2359</v>
      </c>
      <c r="E36" s="465"/>
    </row>
    <row r="37" spans="1:5">
      <c r="A37" s="458">
        <f t="shared" si="0"/>
        <v>33</v>
      </c>
      <c r="B37" s="463" t="s">
        <v>930</v>
      </c>
      <c r="C37" s="463" t="s">
        <v>1784</v>
      </c>
      <c r="D37" s="466" t="s">
        <v>2360</v>
      </c>
      <c r="E37" s="465" t="s">
        <v>2361</v>
      </c>
    </row>
    <row r="38" spans="1:5">
      <c r="A38" s="462">
        <f t="shared" si="0"/>
        <v>34</v>
      </c>
      <c r="B38" s="463" t="s">
        <v>932</v>
      </c>
      <c r="C38" s="463" t="s">
        <v>2362</v>
      </c>
      <c r="D38" s="466" t="s">
        <v>2341</v>
      </c>
      <c r="E38" s="465"/>
    </row>
    <row r="39" spans="1:5">
      <c r="A39" s="458">
        <f t="shared" si="0"/>
        <v>35</v>
      </c>
      <c r="B39" s="463" t="s">
        <v>934</v>
      </c>
      <c r="C39" s="463" t="s">
        <v>1794</v>
      </c>
      <c r="D39" s="466" t="s">
        <v>2363</v>
      </c>
      <c r="E39" s="465" t="s">
        <v>2364</v>
      </c>
    </row>
    <row r="40" spans="1:5">
      <c r="A40" s="462">
        <f t="shared" si="0"/>
        <v>36</v>
      </c>
      <c r="D40" s="466" t="s">
        <v>2365</v>
      </c>
      <c r="E40" s="465" t="s">
        <v>2366</v>
      </c>
    </row>
    <row r="41" spans="1:5">
      <c r="A41" s="458">
        <f t="shared" si="0"/>
        <v>37</v>
      </c>
      <c r="B41" s="463" t="s">
        <v>942</v>
      </c>
      <c r="C41" s="463" t="s">
        <v>1804</v>
      </c>
      <c r="D41" s="466" t="s">
        <v>2367</v>
      </c>
      <c r="E41" s="465"/>
    </row>
    <row r="42" spans="1:5">
      <c r="A42" s="462">
        <f t="shared" si="0"/>
        <v>38</v>
      </c>
      <c r="D42" s="466" t="s">
        <v>2368</v>
      </c>
      <c r="E42" s="465" t="s">
        <v>2369</v>
      </c>
    </row>
    <row r="43" spans="1:5">
      <c r="A43" s="458">
        <f t="shared" si="0"/>
        <v>39</v>
      </c>
      <c r="B43" s="463" t="s">
        <v>944</v>
      </c>
      <c r="C43" s="463" t="s">
        <v>1807</v>
      </c>
      <c r="D43" s="466" t="s">
        <v>2370</v>
      </c>
      <c r="E43" s="465"/>
    </row>
    <row r="44" spans="1:5">
      <c r="A44" s="462">
        <f t="shared" si="0"/>
        <v>40</v>
      </c>
      <c r="D44" s="466" t="s">
        <v>2371</v>
      </c>
      <c r="E44" s="465"/>
    </row>
    <row r="45" spans="1:5">
      <c r="A45" s="458">
        <f t="shared" si="0"/>
        <v>41</v>
      </c>
      <c r="D45" s="466" t="s">
        <v>2372</v>
      </c>
      <c r="E45" s="465" t="s">
        <v>2373</v>
      </c>
    </row>
    <row r="46" spans="1:5">
      <c r="A46" s="462">
        <f t="shared" si="0"/>
        <v>42</v>
      </c>
      <c r="D46" s="466" t="s">
        <v>2374</v>
      </c>
      <c r="E46" s="465"/>
    </row>
    <row r="47" spans="1:5">
      <c r="A47" s="458">
        <f t="shared" si="0"/>
        <v>43</v>
      </c>
      <c r="B47" s="463" t="s">
        <v>946</v>
      </c>
      <c r="C47" s="463" t="s">
        <v>1812</v>
      </c>
      <c r="D47" s="466" t="s">
        <v>2375</v>
      </c>
      <c r="E47" s="465"/>
    </row>
    <row r="48" spans="1:5">
      <c r="A48" s="462">
        <f t="shared" si="0"/>
        <v>44</v>
      </c>
      <c r="B48" s="463" t="s">
        <v>950</v>
      </c>
      <c r="C48" s="463" t="s">
        <v>1815</v>
      </c>
      <c r="D48" s="466" t="s">
        <v>2376</v>
      </c>
      <c r="E48" s="465"/>
    </row>
    <row r="49" spans="1:5">
      <c r="A49" s="458">
        <f t="shared" si="0"/>
        <v>45</v>
      </c>
      <c r="B49" s="463" t="s">
        <v>952</v>
      </c>
      <c r="C49" s="463" t="s">
        <v>1817</v>
      </c>
      <c r="D49" s="464" t="s">
        <v>2377</v>
      </c>
      <c r="E49" s="465"/>
    </row>
    <row r="50" spans="1:5">
      <c r="A50" s="462">
        <f t="shared" si="0"/>
        <v>46</v>
      </c>
      <c r="B50" s="463" t="s">
        <v>954</v>
      </c>
      <c r="C50" s="463" t="s">
        <v>1819</v>
      </c>
      <c r="D50" s="466" t="s">
        <v>2378</v>
      </c>
      <c r="E50" s="465" t="s">
        <v>2379</v>
      </c>
    </row>
    <row r="51" spans="1:5">
      <c r="A51" s="458">
        <f t="shared" si="0"/>
        <v>47</v>
      </c>
      <c r="B51" s="463" t="s">
        <v>958</v>
      </c>
      <c r="C51" s="463" t="s">
        <v>1825</v>
      </c>
      <c r="D51" s="466" t="s">
        <v>2380</v>
      </c>
      <c r="E51" s="465"/>
    </row>
    <row r="52" spans="1:5">
      <c r="A52" s="462">
        <f t="shared" si="0"/>
        <v>48</v>
      </c>
      <c r="D52" s="466" t="s">
        <v>2381</v>
      </c>
      <c r="E52" s="465" t="s">
        <v>2382</v>
      </c>
    </row>
    <row r="53" spans="1:5">
      <c r="A53" s="458">
        <f t="shared" si="0"/>
        <v>49</v>
      </c>
      <c r="B53" s="463" t="s">
        <v>1590</v>
      </c>
      <c r="C53" s="463" t="s">
        <v>2383</v>
      </c>
      <c r="D53" s="466" t="s">
        <v>2341</v>
      </c>
      <c r="E53" s="465"/>
    </row>
    <row r="54" spans="1:5">
      <c r="A54" s="462">
        <f t="shared" si="0"/>
        <v>50</v>
      </c>
      <c r="B54" s="463" t="s">
        <v>1592</v>
      </c>
      <c r="C54" s="463" t="s">
        <v>2384</v>
      </c>
      <c r="D54" s="466" t="s">
        <v>2341</v>
      </c>
      <c r="E54" s="465"/>
    </row>
    <row r="55" spans="1:5">
      <c r="A55" s="458">
        <f t="shared" si="0"/>
        <v>51</v>
      </c>
      <c r="B55" s="463" t="s">
        <v>962</v>
      </c>
      <c r="C55" s="463" t="s">
        <v>1841</v>
      </c>
      <c r="D55" s="466" t="s">
        <v>2385</v>
      </c>
      <c r="E55" s="465" t="s">
        <v>2386</v>
      </c>
    </row>
    <row r="56" spans="1:5">
      <c r="A56" s="462">
        <f t="shared" si="0"/>
        <v>52</v>
      </c>
      <c r="B56" s="463" t="s">
        <v>964</v>
      </c>
      <c r="C56" s="463" t="s">
        <v>1849</v>
      </c>
      <c r="D56" s="466" t="s">
        <v>2387</v>
      </c>
      <c r="E56" s="465"/>
    </row>
    <row r="57" spans="1:5">
      <c r="A57" s="458">
        <f t="shared" si="0"/>
        <v>53</v>
      </c>
      <c r="D57" s="466" t="s">
        <v>2388</v>
      </c>
      <c r="E57" s="465"/>
    </row>
    <row r="58" spans="1:5">
      <c r="A58" s="462">
        <f t="shared" si="0"/>
        <v>54</v>
      </c>
      <c r="D58" s="466" t="s">
        <v>2389</v>
      </c>
      <c r="E58" s="465"/>
    </row>
    <row r="59" spans="1:5">
      <c r="A59" s="458">
        <f t="shared" si="0"/>
        <v>55</v>
      </c>
      <c r="D59" s="466" t="s">
        <v>2390</v>
      </c>
      <c r="E59" s="465" t="s">
        <v>2391</v>
      </c>
    </row>
    <row r="60" spans="1:5">
      <c r="A60" s="462">
        <f t="shared" si="0"/>
        <v>56</v>
      </c>
      <c r="D60" s="466" t="s">
        <v>2392</v>
      </c>
      <c r="E60" s="465"/>
    </row>
    <row r="61" spans="1:5">
      <c r="A61" s="458">
        <f t="shared" si="0"/>
        <v>57</v>
      </c>
      <c r="D61" s="466" t="s">
        <v>2393</v>
      </c>
      <c r="E61" s="465" t="s">
        <v>2394</v>
      </c>
    </row>
    <row r="62" spans="1:5">
      <c r="A62" s="462">
        <f t="shared" si="0"/>
        <v>58</v>
      </c>
      <c r="B62" s="463" t="s">
        <v>966</v>
      </c>
      <c r="C62" s="463" t="s">
        <v>2257</v>
      </c>
      <c r="D62" s="466" t="s">
        <v>2395</v>
      </c>
      <c r="E62" s="465"/>
    </row>
    <row r="63" spans="1:5">
      <c r="A63" s="458">
        <f t="shared" si="0"/>
        <v>59</v>
      </c>
      <c r="B63" s="463" t="s">
        <v>970</v>
      </c>
      <c r="C63" s="463" t="s">
        <v>1856</v>
      </c>
      <c r="D63" s="466" t="s">
        <v>2396</v>
      </c>
      <c r="E63" s="465" t="s">
        <v>2397</v>
      </c>
    </row>
    <row r="64" spans="1:5">
      <c r="A64" s="462">
        <f t="shared" si="0"/>
        <v>60</v>
      </c>
      <c r="B64" s="463" t="s">
        <v>1598</v>
      </c>
      <c r="C64" s="463" t="s">
        <v>2398</v>
      </c>
      <c r="D64" s="466" t="s">
        <v>2341</v>
      </c>
      <c r="E64" s="465"/>
    </row>
    <row r="65" spans="1:5">
      <c r="A65" s="458">
        <f t="shared" si="0"/>
        <v>61</v>
      </c>
      <c r="B65" s="463" t="s">
        <v>1386</v>
      </c>
      <c r="C65" s="463" t="s">
        <v>2292</v>
      </c>
      <c r="D65" s="466" t="s">
        <v>2399</v>
      </c>
      <c r="E65" s="465" t="s">
        <v>2400</v>
      </c>
    </row>
    <row r="66" spans="1:5">
      <c r="A66" s="462">
        <f t="shared" si="0"/>
        <v>62</v>
      </c>
      <c r="B66" s="463" t="s">
        <v>152</v>
      </c>
      <c r="C66" s="463" t="s">
        <v>2295</v>
      </c>
      <c r="D66" s="466" t="s">
        <v>2401</v>
      </c>
      <c r="E66" s="465" t="s">
        <v>2400</v>
      </c>
    </row>
    <row r="67" spans="1:5">
      <c r="A67" s="458">
        <f t="shared" si="0"/>
        <v>63</v>
      </c>
      <c r="B67" s="463" t="s">
        <v>2402</v>
      </c>
      <c r="C67" s="463" t="s">
        <v>2403</v>
      </c>
      <c r="D67" s="466" t="s">
        <v>2341</v>
      </c>
      <c r="E67" s="465"/>
    </row>
    <row r="68" spans="1:5">
      <c r="A68" s="462">
        <f t="shared" si="0"/>
        <v>64</v>
      </c>
      <c r="B68" s="463" t="s">
        <v>1602</v>
      </c>
      <c r="C68" s="463" t="s">
        <v>2404</v>
      </c>
      <c r="D68" s="466" t="s">
        <v>2341</v>
      </c>
      <c r="E68" s="465"/>
    </row>
    <row r="69" spans="1:5">
      <c r="A69" s="458">
        <f t="shared" si="0"/>
        <v>65</v>
      </c>
      <c r="B69" s="463" t="s">
        <v>980</v>
      </c>
      <c r="C69" s="463" t="s">
        <v>1896</v>
      </c>
      <c r="D69" s="466" t="s">
        <v>2405</v>
      </c>
      <c r="E69" s="465" t="s">
        <v>2406</v>
      </c>
    </row>
    <row r="70" spans="1:5">
      <c r="A70" s="462">
        <f t="shared" si="0"/>
        <v>66</v>
      </c>
      <c r="D70" s="466" t="s">
        <v>2407</v>
      </c>
      <c r="E70" s="465"/>
    </row>
    <row r="71" spans="1:5">
      <c r="A71" s="458">
        <f t="shared" si="0"/>
        <v>67</v>
      </c>
      <c r="D71" s="466" t="s">
        <v>2408</v>
      </c>
      <c r="E71" s="465"/>
    </row>
    <row r="72" spans="1:5">
      <c r="A72" s="462">
        <f t="shared" si="0"/>
        <v>68</v>
      </c>
      <c r="B72" s="463" t="s">
        <v>984</v>
      </c>
      <c r="C72" s="463" t="s">
        <v>1913</v>
      </c>
      <c r="D72" s="466" t="s">
        <v>2409</v>
      </c>
      <c r="E72" s="465" t="s">
        <v>2344</v>
      </c>
    </row>
    <row r="73" spans="1:5">
      <c r="A73" s="458">
        <f t="shared" si="0"/>
        <v>69</v>
      </c>
      <c r="D73" s="466" t="s">
        <v>2410</v>
      </c>
      <c r="E73" s="465"/>
    </row>
    <row r="74" spans="1:5">
      <c r="A74" s="462">
        <f t="shared" si="0"/>
        <v>70</v>
      </c>
      <c r="B74" s="463" t="s">
        <v>986</v>
      </c>
      <c r="C74" s="463" t="s">
        <v>1916</v>
      </c>
      <c r="D74" s="466" t="s">
        <v>2319</v>
      </c>
      <c r="E74" s="465" t="s">
        <v>2320</v>
      </c>
    </row>
    <row r="75" spans="1:5">
      <c r="A75" s="458">
        <f>A74+1</f>
        <v>71</v>
      </c>
      <c r="B75" s="463" t="s">
        <v>992</v>
      </c>
      <c r="C75" s="463" t="s">
        <v>1929</v>
      </c>
      <c r="D75" s="466" t="s">
        <v>2411</v>
      </c>
      <c r="E75" s="465" t="s">
        <v>2412</v>
      </c>
    </row>
    <row r="76" spans="1:5" s="660" customFormat="1">
      <c r="A76" s="462">
        <f>A75+1</f>
        <v>72</v>
      </c>
      <c r="B76" s="688" t="s">
        <v>994</v>
      </c>
      <c r="C76" s="688" t="s">
        <v>1937</v>
      </c>
      <c r="D76" s="688" t="s">
        <v>2413</v>
      </c>
      <c r="E76" s="689"/>
    </row>
    <row r="77" spans="1:5">
      <c r="A77" s="458">
        <f>A76+1</f>
        <v>73</v>
      </c>
      <c r="B77" s="463" t="s">
        <v>998</v>
      </c>
      <c r="C77" s="463" t="s">
        <v>1939</v>
      </c>
      <c r="D77" s="466" t="s">
        <v>2414</v>
      </c>
      <c r="E77" s="465" t="s">
        <v>2415</v>
      </c>
    </row>
    <row r="78" spans="1:5">
      <c r="A78" s="462">
        <f t="shared" ref="A78:A140" si="1">A77+1</f>
        <v>74</v>
      </c>
      <c r="B78" s="463" t="s">
        <v>1000</v>
      </c>
      <c r="C78" s="463" t="s">
        <v>1941</v>
      </c>
      <c r="D78" s="466" t="s">
        <v>2416</v>
      </c>
      <c r="E78" s="465"/>
    </row>
    <row r="79" spans="1:5">
      <c r="A79" s="458">
        <f t="shared" si="1"/>
        <v>75</v>
      </c>
      <c r="D79" s="466" t="s">
        <v>1845</v>
      </c>
      <c r="E79" s="465"/>
    </row>
    <row r="80" spans="1:5">
      <c r="A80" s="462">
        <f t="shared" si="1"/>
        <v>76</v>
      </c>
      <c r="D80" s="466" t="s">
        <v>2417</v>
      </c>
      <c r="E80" s="465" t="s">
        <v>2320</v>
      </c>
    </row>
    <row r="81" spans="1:5">
      <c r="A81" s="458">
        <f t="shared" si="1"/>
        <v>77</v>
      </c>
      <c r="B81" s="463" t="s">
        <v>1604</v>
      </c>
      <c r="C81" s="463" t="s">
        <v>2418</v>
      </c>
      <c r="D81" s="466" t="s">
        <v>2341</v>
      </c>
      <c r="E81" s="465"/>
    </row>
    <row r="82" spans="1:5">
      <c r="A82" s="462">
        <f t="shared" si="1"/>
        <v>78</v>
      </c>
      <c r="B82" s="463" t="s">
        <v>2419</v>
      </c>
      <c r="C82" s="463" t="s">
        <v>2420</v>
      </c>
      <c r="D82" s="466" t="s">
        <v>2341</v>
      </c>
      <c r="E82" s="465"/>
    </row>
    <row r="83" spans="1:5">
      <c r="A83" s="458">
        <f t="shared" si="1"/>
        <v>79</v>
      </c>
      <c r="B83" s="463" t="s">
        <v>1002</v>
      </c>
      <c r="C83" s="463" t="s">
        <v>1948</v>
      </c>
      <c r="D83" s="466" t="s">
        <v>2421</v>
      </c>
      <c r="E83" s="465"/>
    </row>
    <row r="84" spans="1:5">
      <c r="A84" s="462">
        <f t="shared" si="1"/>
        <v>80</v>
      </c>
      <c r="D84" s="466" t="s">
        <v>2422</v>
      </c>
      <c r="E84" s="465"/>
    </row>
    <row r="85" spans="1:5">
      <c r="A85" s="458">
        <f t="shared" si="1"/>
        <v>81</v>
      </c>
      <c r="D85" s="466" t="s">
        <v>2423</v>
      </c>
      <c r="E85" s="465" t="s">
        <v>2424</v>
      </c>
    </row>
    <row r="86" spans="1:5">
      <c r="A86" s="462">
        <f t="shared" si="1"/>
        <v>82</v>
      </c>
      <c r="D86" s="466" t="s">
        <v>2425</v>
      </c>
      <c r="E86" s="465"/>
    </row>
    <row r="87" spans="1:5">
      <c r="A87" s="458">
        <f t="shared" si="1"/>
        <v>83</v>
      </c>
      <c r="B87" s="463" t="s">
        <v>1004</v>
      </c>
      <c r="C87" s="463" t="s">
        <v>1959</v>
      </c>
      <c r="D87" s="466" t="s">
        <v>2426</v>
      </c>
      <c r="E87" s="465"/>
    </row>
    <row r="88" spans="1:5">
      <c r="A88" s="462">
        <f t="shared" si="1"/>
        <v>84</v>
      </c>
      <c r="D88" s="466" t="s">
        <v>2427</v>
      </c>
      <c r="E88" s="465" t="s">
        <v>2428</v>
      </c>
    </row>
    <row r="89" spans="1:5">
      <c r="A89" s="458">
        <f t="shared" si="1"/>
        <v>85</v>
      </c>
      <c r="B89" s="463" t="s">
        <v>1006</v>
      </c>
      <c r="C89" s="463" t="s">
        <v>1963</v>
      </c>
      <c r="D89" s="466" t="s">
        <v>2429</v>
      </c>
      <c r="E89" s="465" t="s">
        <v>2430</v>
      </c>
    </row>
    <row r="90" spans="1:5">
      <c r="A90" s="462">
        <f t="shared" si="1"/>
        <v>86</v>
      </c>
      <c r="D90" s="466" t="s">
        <v>2431</v>
      </c>
      <c r="E90" s="465"/>
    </row>
    <row r="91" spans="1:5" ht="14.5">
      <c r="A91" s="458">
        <f t="shared" si="1"/>
        <v>87</v>
      </c>
      <c r="D91" s="427" t="s">
        <v>2432</v>
      </c>
      <c r="E91" s="465"/>
    </row>
    <row r="92" spans="1:5">
      <c r="A92" s="462">
        <f t="shared" si="1"/>
        <v>88</v>
      </c>
      <c r="B92" s="463" t="s">
        <v>1008</v>
      </c>
      <c r="C92" s="463" t="s">
        <v>1966</v>
      </c>
      <c r="D92" s="466" t="s">
        <v>2433</v>
      </c>
      <c r="E92" s="465"/>
    </row>
    <row r="93" spans="1:5">
      <c r="A93" s="458">
        <f t="shared" si="1"/>
        <v>89</v>
      </c>
      <c r="D93" s="466" t="s">
        <v>2434</v>
      </c>
      <c r="E93" s="465" t="s">
        <v>2327</v>
      </c>
    </row>
    <row r="94" spans="1:5">
      <c r="A94" s="462">
        <f t="shared" si="1"/>
        <v>90</v>
      </c>
      <c r="B94" s="463" t="s">
        <v>1018</v>
      </c>
      <c r="C94" s="463" t="s">
        <v>1978</v>
      </c>
      <c r="D94" s="466" t="s">
        <v>2435</v>
      </c>
      <c r="E94" s="465"/>
    </row>
    <row r="95" spans="1:5">
      <c r="A95" s="458">
        <f>A94+1</f>
        <v>91</v>
      </c>
      <c r="D95" s="466" t="s">
        <v>2436</v>
      </c>
      <c r="E95" s="465"/>
    </row>
    <row r="96" spans="1:5">
      <c r="A96" s="462">
        <f>A95+1</f>
        <v>92</v>
      </c>
      <c r="B96" s="463" t="s">
        <v>1020</v>
      </c>
      <c r="C96" s="463" t="s">
        <v>1981</v>
      </c>
      <c r="D96" s="466" t="s">
        <v>2437</v>
      </c>
      <c r="E96" s="465"/>
    </row>
    <row r="97" spans="1:5">
      <c r="A97" s="458">
        <f t="shared" si="1"/>
        <v>93</v>
      </c>
      <c r="D97" s="466" t="s">
        <v>2438</v>
      </c>
      <c r="E97" s="465"/>
    </row>
    <row r="98" spans="1:5">
      <c r="A98" s="462">
        <f t="shared" si="1"/>
        <v>94</v>
      </c>
      <c r="D98" s="466" t="s">
        <v>2439</v>
      </c>
      <c r="E98" s="465" t="s">
        <v>2440</v>
      </c>
    </row>
    <row r="99" spans="1:5">
      <c r="A99" s="458">
        <f t="shared" si="1"/>
        <v>95</v>
      </c>
      <c r="B99" s="463" t="s">
        <v>1022</v>
      </c>
      <c r="C99" s="463" t="s">
        <v>1988</v>
      </c>
      <c r="D99" s="466" t="s">
        <v>2441</v>
      </c>
      <c r="E99" s="465"/>
    </row>
    <row r="100" spans="1:5">
      <c r="A100" s="462">
        <f t="shared" si="1"/>
        <v>96</v>
      </c>
      <c r="B100" s="463" t="s">
        <v>1032</v>
      </c>
      <c r="C100" s="463" t="s">
        <v>2006</v>
      </c>
      <c r="D100" s="466" t="s">
        <v>2442</v>
      </c>
      <c r="E100" s="465" t="s">
        <v>2443</v>
      </c>
    </row>
    <row r="101" spans="1:5">
      <c r="A101" s="458">
        <f t="shared" si="1"/>
        <v>97</v>
      </c>
      <c r="B101" s="463" t="s">
        <v>1034</v>
      </c>
      <c r="C101" s="463" t="s">
        <v>2012</v>
      </c>
      <c r="D101" s="466" t="s">
        <v>2444</v>
      </c>
      <c r="E101" s="465"/>
    </row>
    <row r="102" spans="1:5">
      <c r="A102" s="462">
        <f t="shared" si="1"/>
        <v>98</v>
      </c>
      <c r="D102" s="466" t="s">
        <v>2445</v>
      </c>
      <c r="E102" s="465"/>
    </row>
    <row r="103" spans="1:5">
      <c r="A103" s="458">
        <f t="shared" si="1"/>
        <v>99</v>
      </c>
      <c r="D103" s="466" t="s">
        <v>2446</v>
      </c>
      <c r="E103" s="465"/>
    </row>
    <row r="104" spans="1:5">
      <c r="A104" s="462">
        <f t="shared" si="1"/>
        <v>100</v>
      </c>
      <c r="B104" s="463" t="s">
        <v>1036</v>
      </c>
      <c r="C104" s="463" t="s">
        <v>2016</v>
      </c>
      <c r="D104" s="466" t="s">
        <v>2447</v>
      </c>
      <c r="E104" s="465" t="s">
        <v>2320</v>
      </c>
    </row>
    <row r="105" spans="1:5">
      <c r="A105" s="458">
        <f t="shared" si="1"/>
        <v>101</v>
      </c>
      <c r="B105" s="463" t="s">
        <v>2448</v>
      </c>
      <c r="C105" s="463" t="s">
        <v>2449</v>
      </c>
      <c r="D105" s="466" t="s">
        <v>2341</v>
      </c>
      <c r="E105" s="465"/>
    </row>
    <row r="106" spans="1:5">
      <c r="A106" s="462">
        <f t="shared" si="1"/>
        <v>102</v>
      </c>
      <c r="B106" s="463" t="s">
        <v>1039</v>
      </c>
      <c r="C106" s="463" t="s">
        <v>2020</v>
      </c>
      <c r="D106" s="466" t="s">
        <v>2450</v>
      </c>
      <c r="E106" s="465"/>
    </row>
    <row r="107" spans="1:5">
      <c r="A107" s="458">
        <f t="shared" si="1"/>
        <v>103</v>
      </c>
      <c r="B107" s="463" t="s">
        <v>1043</v>
      </c>
      <c r="C107" s="463" t="s">
        <v>2028</v>
      </c>
      <c r="D107" s="466" t="s">
        <v>2451</v>
      </c>
      <c r="E107" s="465" t="s">
        <v>2452</v>
      </c>
    </row>
    <row r="108" spans="1:5">
      <c r="A108" s="462">
        <f t="shared" si="1"/>
        <v>104</v>
      </c>
      <c r="B108" s="463" t="s">
        <v>1041</v>
      </c>
      <c r="C108" s="463" t="s">
        <v>2021</v>
      </c>
      <c r="D108" s="466" t="s">
        <v>2453</v>
      </c>
      <c r="E108" s="465"/>
    </row>
    <row r="109" spans="1:5">
      <c r="A109" s="458">
        <f>A108+1</f>
        <v>105</v>
      </c>
      <c r="D109" s="466" t="s">
        <v>2454</v>
      </c>
      <c r="E109" s="465"/>
    </row>
    <row r="110" spans="1:5">
      <c r="A110" s="462">
        <f>A109+1</f>
        <v>106</v>
      </c>
      <c r="B110" s="463" t="s">
        <v>1473</v>
      </c>
      <c r="C110" s="463" t="s">
        <v>2297</v>
      </c>
      <c r="D110" s="466" t="s">
        <v>2455</v>
      </c>
      <c r="E110" s="465" t="s">
        <v>2415</v>
      </c>
    </row>
    <row r="111" spans="1:5">
      <c r="A111" s="458">
        <f t="shared" si="1"/>
        <v>107</v>
      </c>
      <c r="D111" s="466" t="s">
        <v>2347</v>
      </c>
      <c r="E111" s="465" t="s">
        <v>2415</v>
      </c>
    </row>
    <row r="112" spans="1:5">
      <c r="A112" s="462">
        <f t="shared" si="1"/>
        <v>108</v>
      </c>
      <c r="B112" s="463" t="s">
        <v>1045</v>
      </c>
      <c r="C112" s="463" t="s">
        <v>2032</v>
      </c>
      <c r="D112" s="466" t="s">
        <v>2456</v>
      </c>
      <c r="E112" s="465" t="s">
        <v>2457</v>
      </c>
    </row>
    <row r="113" spans="1:5">
      <c r="A113" s="458">
        <f t="shared" si="1"/>
        <v>109</v>
      </c>
      <c r="B113" s="463" t="s">
        <v>1049</v>
      </c>
      <c r="C113" s="463" t="s">
        <v>2230</v>
      </c>
      <c r="D113" s="466" t="s">
        <v>2458</v>
      </c>
      <c r="E113" s="465"/>
    </row>
    <row r="114" spans="1:5">
      <c r="A114" s="462">
        <f t="shared" si="1"/>
        <v>110</v>
      </c>
      <c r="B114" s="463" t="s">
        <v>1051</v>
      </c>
      <c r="C114" s="463" t="s">
        <v>2039</v>
      </c>
      <c r="D114" s="466" t="s">
        <v>2459</v>
      </c>
      <c r="E114" s="465"/>
    </row>
    <row r="115" spans="1:5">
      <c r="A115" s="458">
        <f t="shared" si="1"/>
        <v>111</v>
      </c>
      <c r="D115" s="466" t="s">
        <v>1847</v>
      </c>
      <c r="E115" s="465" t="s">
        <v>2397</v>
      </c>
    </row>
    <row r="116" spans="1:5">
      <c r="A116" s="462">
        <f t="shared" si="1"/>
        <v>112</v>
      </c>
      <c r="B116" s="463" t="s">
        <v>1053</v>
      </c>
      <c r="C116" s="463" t="s">
        <v>2042</v>
      </c>
      <c r="D116" s="466" t="s">
        <v>2460</v>
      </c>
      <c r="E116" s="465"/>
    </row>
    <row r="117" spans="1:5">
      <c r="A117" s="458">
        <f t="shared" si="1"/>
        <v>113</v>
      </c>
      <c r="D117" s="466" t="s">
        <v>2461</v>
      </c>
      <c r="E117" s="465" t="s">
        <v>2462</v>
      </c>
    </row>
    <row r="118" spans="1:5">
      <c r="A118" s="462">
        <f t="shared" si="1"/>
        <v>114</v>
      </c>
      <c r="B118" s="463" t="s">
        <v>1055</v>
      </c>
      <c r="C118" s="463" t="s">
        <v>2231</v>
      </c>
      <c r="D118" s="466" t="s">
        <v>2463</v>
      </c>
      <c r="E118" s="465"/>
    </row>
    <row r="119" spans="1:5">
      <c r="A119" s="458">
        <f t="shared" si="1"/>
        <v>115</v>
      </c>
      <c r="B119" s="463" t="s">
        <v>1059</v>
      </c>
      <c r="C119" s="463" t="s">
        <v>2049</v>
      </c>
      <c r="D119" s="466" t="s">
        <v>2464</v>
      </c>
      <c r="E119" s="465"/>
    </row>
    <row r="120" spans="1:5">
      <c r="A120" s="462">
        <f t="shared" si="1"/>
        <v>116</v>
      </c>
      <c r="B120" s="463" t="s">
        <v>1061</v>
      </c>
      <c r="C120" s="463" t="s">
        <v>2465</v>
      </c>
      <c r="D120" s="466" t="s">
        <v>2341</v>
      </c>
      <c r="E120" s="465"/>
    </row>
    <row r="121" spans="1:5">
      <c r="A121" s="458">
        <f>A120+1</f>
        <v>117</v>
      </c>
      <c r="B121" s="463" t="s">
        <v>1066</v>
      </c>
      <c r="C121" s="463" t="s">
        <v>2060</v>
      </c>
      <c r="D121" s="466" t="s">
        <v>2466</v>
      </c>
      <c r="E121" s="465"/>
    </row>
    <row r="122" spans="1:5">
      <c r="A122" s="462">
        <f t="shared" si="1"/>
        <v>118</v>
      </c>
      <c r="D122" s="466" t="s">
        <v>2467</v>
      </c>
      <c r="E122" s="465" t="s">
        <v>2412</v>
      </c>
    </row>
    <row r="123" spans="1:5">
      <c r="A123" s="458">
        <f t="shared" si="1"/>
        <v>119</v>
      </c>
      <c r="D123" s="466" t="s">
        <v>2468</v>
      </c>
      <c r="E123" s="465" t="s">
        <v>2412</v>
      </c>
    </row>
    <row r="124" spans="1:5">
      <c r="A124" s="462">
        <f t="shared" si="1"/>
        <v>120</v>
      </c>
      <c r="B124" s="463" t="s">
        <v>1068</v>
      </c>
      <c r="C124" s="463" t="s">
        <v>2063</v>
      </c>
      <c r="D124" s="466" t="s">
        <v>2469</v>
      </c>
      <c r="E124" s="465"/>
    </row>
    <row r="125" spans="1:5">
      <c r="A125" s="458">
        <f t="shared" si="1"/>
        <v>121</v>
      </c>
      <c r="D125" s="466" t="s">
        <v>2390</v>
      </c>
      <c r="E125" s="465" t="s">
        <v>2373</v>
      </c>
    </row>
    <row r="126" spans="1:5">
      <c r="A126" s="462">
        <f t="shared" si="1"/>
        <v>122</v>
      </c>
      <c r="B126" s="463" t="s">
        <v>1608</v>
      </c>
      <c r="C126" s="463" t="s">
        <v>2470</v>
      </c>
      <c r="D126" s="466" t="s">
        <v>2341</v>
      </c>
      <c r="E126" s="465"/>
    </row>
    <row r="127" spans="1:5">
      <c r="A127" s="458">
        <f t="shared" si="1"/>
        <v>123</v>
      </c>
      <c r="B127" s="463" t="s">
        <v>1074</v>
      </c>
      <c r="C127" s="463" t="s">
        <v>2471</v>
      </c>
      <c r="D127" s="466" t="s">
        <v>2341</v>
      </c>
      <c r="E127" s="465"/>
    </row>
    <row r="128" spans="1:5">
      <c r="A128" s="462">
        <f t="shared" si="1"/>
        <v>124</v>
      </c>
      <c r="B128" s="463" t="s">
        <v>1074</v>
      </c>
      <c r="C128" s="463" t="s">
        <v>2068</v>
      </c>
      <c r="D128" s="466" t="s">
        <v>2347</v>
      </c>
      <c r="E128" s="465" t="s">
        <v>2472</v>
      </c>
    </row>
    <row r="129" spans="1:5">
      <c r="A129" s="458">
        <f t="shared" si="1"/>
        <v>125</v>
      </c>
      <c r="B129" s="463" t="s">
        <v>1610</v>
      </c>
      <c r="C129" s="463" t="s">
        <v>2473</v>
      </c>
      <c r="D129" s="466" t="s">
        <v>2341</v>
      </c>
      <c r="E129" s="465"/>
    </row>
    <row r="130" spans="1:5">
      <c r="A130" s="462">
        <f t="shared" si="1"/>
        <v>126</v>
      </c>
      <c r="B130" s="463" t="s">
        <v>1082</v>
      </c>
      <c r="C130" s="463" t="s">
        <v>2088</v>
      </c>
      <c r="D130" s="466" t="s">
        <v>2474</v>
      </c>
      <c r="E130" s="465" t="s">
        <v>2320</v>
      </c>
    </row>
    <row r="131" spans="1:5">
      <c r="A131" s="458">
        <f t="shared" si="1"/>
        <v>127</v>
      </c>
      <c r="D131" s="466" t="s">
        <v>2319</v>
      </c>
      <c r="E131" s="465" t="s">
        <v>2320</v>
      </c>
    </row>
    <row r="132" spans="1:5">
      <c r="A132" s="462">
        <f t="shared" si="1"/>
        <v>128</v>
      </c>
      <c r="B132" s="463" t="s">
        <v>1084</v>
      </c>
      <c r="C132" s="463" t="s">
        <v>2095</v>
      </c>
      <c r="D132" s="466" t="s">
        <v>2475</v>
      </c>
      <c r="E132" s="465" t="s">
        <v>2476</v>
      </c>
    </row>
    <row r="133" spans="1:5">
      <c r="A133" s="458">
        <f t="shared" si="1"/>
        <v>129</v>
      </c>
      <c r="B133" s="463" t="s">
        <v>1092</v>
      </c>
      <c r="C133" s="463" t="s">
        <v>2107</v>
      </c>
      <c r="D133" s="466" t="s">
        <v>2477</v>
      </c>
      <c r="E133" s="465"/>
    </row>
    <row r="134" spans="1:5">
      <c r="A134" s="462">
        <f t="shared" si="1"/>
        <v>130</v>
      </c>
      <c r="D134" s="466" t="s">
        <v>2478</v>
      </c>
      <c r="E134" s="465"/>
    </row>
    <row r="135" spans="1:5">
      <c r="A135" s="458">
        <f t="shared" si="1"/>
        <v>131</v>
      </c>
      <c r="D135" s="466" t="s">
        <v>2479</v>
      </c>
      <c r="E135" s="465"/>
    </row>
    <row r="136" spans="1:5">
      <c r="A136" s="462">
        <f t="shared" si="1"/>
        <v>132</v>
      </c>
      <c r="B136" s="463" t="s">
        <v>149</v>
      </c>
      <c r="C136" s="463" t="s">
        <v>2480</v>
      </c>
      <c r="D136" s="466" t="s">
        <v>2341</v>
      </c>
      <c r="E136" s="465"/>
    </row>
    <row r="137" spans="1:5">
      <c r="A137" s="458">
        <f t="shared" si="1"/>
        <v>133</v>
      </c>
      <c r="B137" s="463" t="s">
        <v>1094</v>
      </c>
      <c r="C137" s="463" t="s">
        <v>2235</v>
      </c>
      <c r="D137" s="466" t="s">
        <v>2481</v>
      </c>
      <c r="E137" s="465"/>
    </row>
    <row r="138" spans="1:5">
      <c r="A138" s="462">
        <f t="shared" si="1"/>
        <v>134</v>
      </c>
      <c r="D138" s="466" t="s">
        <v>2482</v>
      </c>
      <c r="E138" s="465" t="s">
        <v>2483</v>
      </c>
    </row>
    <row r="139" spans="1:5">
      <c r="A139" s="458">
        <f t="shared" si="1"/>
        <v>135</v>
      </c>
      <c r="B139" s="463" t="s">
        <v>1615</v>
      </c>
      <c r="C139" s="463" t="s">
        <v>2113</v>
      </c>
      <c r="D139" s="466" t="s">
        <v>2484</v>
      </c>
      <c r="E139" s="465"/>
    </row>
    <row r="140" spans="1:5">
      <c r="A140" s="462">
        <f t="shared" si="1"/>
        <v>136</v>
      </c>
      <c r="D140" s="466" t="s">
        <v>2485</v>
      </c>
      <c r="E140" s="465" t="s">
        <v>2331</v>
      </c>
    </row>
    <row r="141" spans="1:5">
      <c r="A141" s="458">
        <f t="shared" ref="A141:A144" si="2">A140+1</f>
        <v>137</v>
      </c>
      <c r="B141" s="463" t="s">
        <v>1100</v>
      </c>
      <c r="C141" s="463" t="s">
        <v>2119</v>
      </c>
      <c r="D141" s="466" t="s">
        <v>2387</v>
      </c>
      <c r="E141" s="465" t="s">
        <v>2320</v>
      </c>
    </row>
    <row r="142" spans="1:5">
      <c r="A142" s="462">
        <f t="shared" si="2"/>
        <v>138</v>
      </c>
      <c r="D142" s="466" t="s">
        <v>2486</v>
      </c>
      <c r="E142" s="465" t="s">
        <v>2344</v>
      </c>
    </row>
    <row r="143" spans="1:5">
      <c r="A143" s="458">
        <f t="shared" si="2"/>
        <v>139</v>
      </c>
      <c r="B143" s="463" t="s">
        <v>1106</v>
      </c>
      <c r="C143" s="463" t="s">
        <v>2126</v>
      </c>
      <c r="D143" s="466" t="s">
        <v>2487</v>
      </c>
      <c r="E143" s="465" t="s">
        <v>2488</v>
      </c>
    </row>
    <row r="144" spans="1:5">
      <c r="A144" s="462">
        <f t="shared" si="2"/>
        <v>140</v>
      </c>
      <c r="B144" s="463" t="s">
        <v>1114</v>
      </c>
      <c r="C144" s="463" t="s">
        <v>2138</v>
      </c>
      <c r="D144" s="466" t="s">
        <v>2489</v>
      </c>
      <c r="E144" s="465"/>
    </row>
    <row r="145" spans="1:6">
      <c r="A145" s="458">
        <f t="shared" ref="A145:A182" si="3">A144+1</f>
        <v>141</v>
      </c>
      <c r="D145" s="466" t="s">
        <v>2490</v>
      </c>
      <c r="E145" s="465" t="s">
        <v>2491</v>
      </c>
    </row>
    <row r="146" spans="1:6">
      <c r="A146" s="462">
        <f t="shared" si="3"/>
        <v>142</v>
      </c>
      <c r="B146" s="463" t="s">
        <v>1116</v>
      </c>
      <c r="C146" s="463" t="s">
        <v>2492</v>
      </c>
      <c r="D146" s="466" t="s">
        <v>2493</v>
      </c>
      <c r="E146" s="465"/>
    </row>
    <row r="147" spans="1:6">
      <c r="A147" s="458">
        <f t="shared" si="3"/>
        <v>143</v>
      </c>
      <c r="B147" s="463" t="s">
        <v>1118</v>
      </c>
      <c r="C147" s="463" t="s">
        <v>2144</v>
      </c>
      <c r="D147" s="466" t="s">
        <v>2494</v>
      </c>
      <c r="E147" s="465"/>
    </row>
    <row r="148" spans="1:6">
      <c r="A148" s="462">
        <f t="shared" si="3"/>
        <v>144</v>
      </c>
      <c r="B148" s="463" t="s">
        <v>1120</v>
      </c>
      <c r="C148" s="463" t="s">
        <v>2147</v>
      </c>
      <c r="D148" s="466" t="s">
        <v>2495</v>
      </c>
      <c r="E148" s="465"/>
    </row>
    <row r="149" spans="1:6">
      <c r="A149" s="458">
        <f t="shared" si="3"/>
        <v>145</v>
      </c>
      <c r="D149" s="466" t="s">
        <v>2496</v>
      </c>
      <c r="E149" s="465" t="s">
        <v>2497</v>
      </c>
    </row>
    <row r="150" spans="1:6">
      <c r="A150" s="645">
        <f>A149+1</f>
        <v>146</v>
      </c>
      <c r="D150" s="466" t="s">
        <v>2498</v>
      </c>
      <c r="E150" s="465" t="s">
        <v>2499</v>
      </c>
    </row>
    <row r="151" spans="1:6">
      <c r="A151" s="458">
        <f>A150+1</f>
        <v>147</v>
      </c>
      <c r="B151" s="463" t="s">
        <v>1128</v>
      </c>
      <c r="C151" s="463" t="s">
        <v>2168</v>
      </c>
      <c r="D151" s="466" t="s">
        <v>2343</v>
      </c>
      <c r="E151" s="465" t="s">
        <v>2344</v>
      </c>
    </row>
    <row r="152" spans="1:6">
      <c r="A152" s="645">
        <f>A151+1</f>
        <v>148</v>
      </c>
      <c r="B152" s="463" t="s">
        <v>1130</v>
      </c>
      <c r="C152" s="463" t="s">
        <v>2179</v>
      </c>
      <c r="D152" s="466" t="s">
        <v>2500</v>
      </c>
      <c r="E152" s="465" t="s">
        <v>2501</v>
      </c>
    </row>
    <row r="153" spans="1:6">
      <c r="A153" s="458">
        <f t="shared" si="3"/>
        <v>149</v>
      </c>
      <c r="B153" s="690" t="s">
        <v>2182</v>
      </c>
      <c r="C153" s="690" t="s">
        <v>2183</v>
      </c>
      <c r="D153" s="691" t="s">
        <v>2502</v>
      </c>
      <c r="E153" s="647"/>
      <c r="F153" s="646"/>
    </row>
    <row r="154" spans="1:6">
      <c r="A154" s="645">
        <f t="shared" si="3"/>
        <v>150</v>
      </c>
      <c r="B154" s="690"/>
      <c r="C154" s="690"/>
      <c r="D154" s="691" t="s">
        <v>2503</v>
      </c>
      <c r="E154" s="647" t="s">
        <v>2504</v>
      </c>
      <c r="F154" s="646"/>
    </row>
    <row r="155" spans="1:6">
      <c r="A155" s="458">
        <f t="shared" si="3"/>
        <v>151</v>
      </c>
      <c r="B155" s="690" t="s">
        <v>1138</v>
      </c>
      <c r="C155" s="690" t="s">
        <v>2190</v>
      </c>
      <c r="D155" s="691" t="s">
        <v>2486</v>
      </c>
      <c r="E155" s="647" t="s">
        <v>2344</v>
      </c>
      <c r="F155" s="646"/>
    </row>
    <row r="156" spans="1:6">
      <c r="A156" s="645">
        <f t="shared" si="3"/>
        <v>152</v>
      </c>
      <c r="B156" s="690"/>
      <c r="C156" s="690"/>
      <c r="D156" s="691" t="s">
        <v>2505</v>
      </c>
      <c r="E156" s="647" t="s">
        <v>2491</v>
      </c>
      <c r="F156" s="646"/>
    </row>
    <row r="157" spans="1:6">
      <c r="A157" s="458">
        <f t="shared" si="3"/>
        <v>153</v>
      </c>
      <c r="B157" s="690" t="s">
        <v>602</v>
      </c>
      <c r="C157" s="690" t="s">
        <v>2192</v>
      </c>
      <c r="D157" s="691" t="s">
        <v>2506</v>
      </c>
      <c r="E157" s="647" t="s">
        <v>2507</v>
      </c>
      <c r="F157" s="646"/>
    </row>
    <row r="158" spans="1:6">
      <c r="A158" s="645">
        <f t="shared" si="3"/>
        <v>154</v>
      </c>
      <c r="B158" s="690" t="s">
        <v>1140</v>
      </c>
      <c r="C158" s="690" t="s">
        <v>2197</v>
      </c>
      <c r="D158" s="691" t="s">
        <v>2508</v>
      </c>
      <c r="E158" s="647"/>
      <c r="F158" s="646"/>
    </row>
    <row r="159" spans="1:6">
      <c r="A159" s="458">
        <f t="shared" si="3"/>
        <v>155</v>
      </c>
      <c r="B159" s="690" t="s">
        <v>1143</v>
      </c>
      <c r="C159" s="690" t="s">
        <v>2202</v>
      </c>
      <c r="D159" s="691" t="s">
        <v>2509</v>
      </c>
      <c r="E159" s="647" t="s">
        <v>2510</v>
      </c>
      <c r="F159" s="646"/>
    </row>
    <row r="160" spans="1:6">
      <c r="A160" s="645">
        <f t="shared" si="3"/>
        <v>156</v>
      </c>
      <c r="B160" s="690" t="s">
        <v>2511</v>
      </c>
      <c r="C160" s="690" t="s">
        <v>2512</v>
      </c>
      <c r="D160" s="691" t="s">
        <v>2341</v>
      </c>
      <c r="E160" s="647"/>
      <c r="F160" s="646"/>
    </row>
    <row r="161" spans="1:6">
      <c r="A161" s="458">
        <f t="shared" si="3"/>
        <v>157</v>
      </c>
      <c r="B161" s="690" t="s">
        <v>2511</v>
      </c>
      <c r="C161" s="690" t="s">
        <v>2513</v>
      </c>
      <c r="D161" s="691" t="s">
        <v>2341</v>
      </c>
      <c r="E161" s="647"/>
      <c r="F161" s="646"/>
    </row>
    <row r="162" spans="1:6">
      <c r="A162" s="645">
        <f t="shared" si="3"/>
        <v>158</v>
      </c>
      <c r="B162" s="690" t="s">
        <v>1147</v>
      </c>
      <c r="C162" s="690" t="s">
        <v>2206</v>
      </c>
      <c r="D162" s="691" t="s">
        <v>2514</v>
      </c>
      <c r="E162" s="647"/>
      <c r="F162" s="646"/>
    </row>
    <row r="163" spans="1:6">
      <c r="A163" s="458">
        <f t="shared" si="3"/>
        <v>159</v>
      </c>
      <c r="B163" s="690"/>
      <c r="C163" s="690"/>
      <c r="D163" s="691" t="s">
        <v>2515</v>
      </c>
      <c r="E163" s="647" t="s">
        <v>2516</v>
      </c>
      <c r="F163" s="646"/>
    </row>
    <row r="164" spans="1:6">
      <c r="A164" s="645">
        <f t="shared" si="3"/>
        <v>160</v>
      </c>
      <c r="B164" s="690"/>
      <c r="C164" s="690"/>
      <c r="D164" s="691" t="s">
        <v>2517</v>
      </c>
      <c r="E164" s="647" t="s">
        <v>2518</v>
      </c>
      <c r="F164" s="646"/>
    </row>
    <row r="165" spans="1:6">
      <c r="A165" s="458">
        <f t="shared" si="3"/>
        <v>161</v>
      </c>
      <c r="B165" s="690" t="s">
        <v>1149</v>
      </c>
      <c r="C165" s="690" t="s">
        <v>2209</v>
      </c>
      <c r="D165" s="691" t="s">
        <v>2519</v>
      </c>
      <c r="E165" s="647" t="s">
        <v>2520</v>
      </c>
      <c r="F165" s="646"/>
    </row>
    <row r="166" spans="1:6">
      <c r="A166" s="645">
        <f t="shared" si="3"/>
        <v>162</v>
      </c>
      <c r="B166" s="690"/>
      <c r="C166" s="690"/>
      <c r="D166" s="691" t="s">
        <v>2521</v>
      </c>
      <c r="E166" s="647"/>
      <c r="F166" s="646"/>
    </row>
    <row r="167" spans="1:6">
      <c r="A167" s="458">
        <f t="shared" si="3"/>
        <v>163</v>
      </c>
      <c r="B167" s="690"/>
      <c r="C167" s="690"/>
      <c r="D167" s="691" t="s">
        <v>2522</v>
      </c>
      <c r="E167" s="647"/>
      <c r="F167" s="646"/>
    </row>
    <row r="168" spans="1:6">
      <c r="A168" s="645">
        <f t="shared" si="3"/>
        <v>164</v>
      </c>
      <c r="B168" s="690"/>
      <c r="C168" s="690"/>
      <c r="D168" s="691" t="s">
        <v>2523</v>
      </c>
      <c r="E168" s="647"/>
      <c r="F168" s="646"/>
    </row>
    <row r="169" spans="1:6">
      <c r="A169" s="458">
        <f t="shared" si="3"/>
        <v>165</v>
      </c>
      <c r="B169" s="690"/>
      <c r="C169" s="692" t="s">
        <v>2212</v>
      </c>
      <c r="D169" s="691"/>
      <c r="E169" s="647"/>
      <c r="F169" s="646"/>
    </row>
    <row r="170" spans="1:6">
      <c r="A170" s="645">
        <f t="shared" si="3"/>
        <v>166</v>
      </c>
      <c r="B170" s="690"/>
      <c r="C170" s="690" t="s">
        <v>2524</v>
      </c>
      <c r="D170" s="691" t="s">
        <v>2221</v>
      </c>
      <c r="E170" s="647"/>
      <c r="F170" s="646"/>
    </row>
    <row r="171" spans="1:6">
      <c r="A171" s="458">
        <f t="shared" si="3"/>
        <v>167</v>
      </c>
      <c r="B171" s="690"/>
      <c r="C171" s="692" t="s">
        <v>2279</v>
      </c>
      <c r="D171" s="691"/>
      <c r="E171" s="647"/>
      <c r="F171" s="646"/>
    </row>
    <row r="172" spans="1:6">
      <c r="A172" s="645">
        <f t="shared" si="3"/>
        <v>168</v>
      </c>
      <c r="B172" s="690"/>
      <c r="C172" s="690" t="s">
        <v>2280</v>
      </c>
      <c r="D172" s="691" t="s">
        <v>2525</v>
      </c>
      <c r="E172" s="647"/>
      <c r="F172" s="646"/>
    </row>
    <row r="173" spans="1:6">
      <c r="A173" s="458">
        <f t="shared" si="3"/>
        <v>169</v>
      </c>
      <c r="B173" s="690"/>
      <c r="C173" s="690" t="s">
        <v>2282</v>
      </c>
      <c r="D173" s="691" t="s">
        <v>2526</v>
      </c>
      <c r="E173" s="647"/>
      <c r="F173" s="646"/>
    </row>
    <row r="174" spans="1:6">
      <c r="A174" s="645">
        <f t="shared" si="3"/>
        <v>170</v>
      </c>
      <c r="B174" s="690"/>
      <c r="C174" s="690"/>
      <c r="D174" s="691" t="s">
        <v>2527</v>
      </c>
      <c r="E174" s="647"/>
      <c r="F174" s="646"/>
    </row>
    <row r="175" spans="1:6">
      <c r="A175" s="458">
        <f t="shared" si="3"/>
        <v>171</v>
      </c>
      <c r="B175" s="690"/>
      <c r="C175" s="690" t="s">
        <v>2257</v>
      </c>
      <c r="D175" s="691" t="s">
        <v>2528</v>
      </c>
      <c r="E175" s="647"/>
      <c r="F175" s="646"/>
    </row>
    <row r="176" spans="1:6">
      <c r="A176" s="645">
        <f t="shared" si="3"/>
        <v>172</v>
      </c>
      <c r="B176" s="690"/>
      <c r="C176" s="690"/>
      <c r="D176" s="691" t="s">
        <v>2529</v>
      </c>
      <c r="E176" s="647"/>
      <c r="F176" s="646"/>
    </row>
    <row r="177" spans="1:6">
      <c r="A177" s="458">
        <f t="shared" si="3"/>
        <v>173</v>
      </c>
      <c r="B177" s="690"/>
      <c r="C177" s="690" t="s">
        <v>2292</v>
      </c>
      <c r="D177" s="691" t="s">
        <v>2530</v>
      </c>
      <c r="E177" s="647"/>
      <c r="F177" s="646"/>
    </row>
    <row r="178" spans="1:6">
      <c r="A178" s="645">
        <f t="shared" si="3"/>
        <v>174</v>
      </c>
      <c r="B178" s="690"/>
      <c r="C178" s="690"/>
      <c r="D178" s="691" t="s">
        <v>2531</v>
      </c>
      <c r="E178" s="647"/>
      <c r="F178" s="646"/>
    </row>
    <row r="179" spans="1:6">
      <c r="A179" s="458">
        <f t="shared" si="3"/>
        <v>175</v>
      </c>
      <c r="B179" s="690"/>
      <c r="C179" s="690"/>
      <c r="D179" s="691" t="s">
        <v>2532</v>
      </c>
      <c r="E179" s="647"/>
      <c r="F179" s="646"/>
    </row>
    <row r="180" spans="1:6">
      <c r="A180" s="645">
        <f t="shared" si="3"/>
        <v>176</v>
      </c>
      <c r="B180" s="690"/>
      <c r="C180" s="690" t="s">
        <v>2295</v>
      </c>
      <c r="D180" s="691" t="s">
        <v>2401</v>
      </c>
      <c r="E180" s="647"/>
      <c r="F180" s="646"/>
    </row>
    <row r="181" spans="1:6">
      <c r="A181" s="458">
        <f t="shared" si="3"/>
        <v>177</v>
      </c>
      <c r="B181" s="690"/>
      <c r="C181" s="690" t="s">
        <v>2297</v>
      </c>
      <c r="D181" s="691" t="s">
        <v>2347</v>
      </c>
      <c r="E181" s="647"/>
      <c r="F181" s="646"/>
    </row>
    <row r="182" spans="1:6">
      <c r="A182" s="645">
        <f t="shared" si="3"/>
        <v>178</v>
      </c>
      <c r="B182" s="690"/>
      <c r="C182" s="690"/>
      <c r="D182" s="691" t="s">
        <v>2533</v>
      </c>
      <c r="E182" s="647"/>
      <c r="F182" s="646"/>
    </row>
    <row r="183" spans="1:6">
      <c r="A183" s="458"/>
      <c r="B183" s="690"/>
      <c r="C183" s="690"/>
      <c r="D183" s="691"/>
      <c r="E183" s="647"/>
      <c r="F183" s="646"/>
    </row>
    <row r="184" spans="1:6" ht="14.5">
      <c r="A184" s="645" t="s">
        <v>2534</v>
      </c>
      <c r="B184" s="690"/>
      <c r="C184" s="690"/>
      <c r="D184" s="691"/>
      <c r="E184" s="647"/>
      <c r="F184" s="646"/>
    </row>
    <row r="185" spans="1:6" ht="13.5" thickBot="1">
      <c r="A185" s="693" t="s">
        <v>2535</v>
      </c>
      <c r="B185" s="694"/>
      <c r="C185" s="694"/>
      <c r="D185" s="695"/>
      <c r="E185" s="696"/>
      <c r="F185" s="646"/>
    </row>
  </sheetData>
  <hyperlinks>
    <hyperlink ref="E1" location="'Cover Sheets'!A16" display="(Back to Worksheet Links)" xr:uid="{897DC3ED-96A8-4649-A8AE-07604A206496}"/>
  </hyperlinks>
  <pageMargins left="0.7" right="0.7" top="0.75" bottom="0.75" header="0.3" footer="0.3"/>
  <pageSetup scale="48" fitToHeight="0" orientation="portrait" horizontalDpi="1200" verticalDpi="12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E15"/>
  <sheetViews>
    <sheetView view="pageBreakPreview" zoomScaleNormal="100" zoomScaleSheetLayoutView="100" workbookViewId="0"/>
  </sheetViews>
  <sheetFormatPr defaultColWidth="9.1796875" defaultRowHeight="14.5"/>
  <cols>
    <col min="1" max="1" width="43.54296875" style="644" customWidth="1"/>
    <col min="2" max="2" width="91.453125" style="644" customWidth="1"/>
    <col min="3" max="3" width="22.81640625" style="644" customWidth="1"/>
    <col min="4" max="16384" width="9.1796875" style="644"/>
  </cols>
  <sheetData>
    <row r="1" spans="1:5">
      <c r="A1" s="648" t="str">
        <f>'Cover Sheets'!A10:B10</f>
        <v>WAPA-UGP 2022 Rate Estimate Calculation</v>
      </c>
      <c r="B1" s="715" t="s">
        <v>43</v>
      </c>
      <c r="D1" s="450"/>
      <c r="E1" s="30"/>
    </row>
    <row r="2" spans="1:5">
      <c r="A2" s="649" t="s">
        <v>2536</v>
      </c>
      <c r="B2" s="589"/>
      <c r="D2" s="450"/>
      <c r="E2" s="30"/>
    </row>
    <row r="3" spans="1:5">
      <c r="A3" s="600" t="str">
        <f>'WS1-RateBase'!A4</f>
        <v>12 Months Ending 09/30/2022 ESTIMATE</v>
      </c>
      <c r="B3" s="589"/>
      <c r="C3" s="450"/>
      <c r="D3" s="450"/>
      <c r="E3" s="30"/>
    </row>
    <row r="4" spans="1:5" ht="29">
      <c r="A4" s="704" t="s">
        <v>2537</v>
      </c>
      <c r="B4" s="705" t="s">
        <v>2538</v>
      </c>
    </row>
    <row r="5" spans="1:5">
      <c r="A5" s="706" t="s">
        <v>2054</v>
      </c>
      <c r="B5" s="707" t="s">
        <v>2539</v>
      </c>
    </row>
    <row r="6" spans="1:5">
      <c r="A6" s="708" t="s">
        <v>2116</v>
      </c>
      <c r="B6" s="709" t="s">
        <v>2540</v>
      </c>
    </row>
    <row r="7" spans="1:5">
      <c r="A7" s="708" t="s">
        <v>2105</v>
      </c>
      <c r="B7" s="710" t="s">
        <v>2541</v>
      </c>
    </row>
    <row r="8" spans="1:5">
      <c r="A8" s="708" t="s">
        <v>1720</v>
      </c>
      <c r="B8" s="710" t="s">
        <v>2542</v>
      </c>
    </row>
    <row r="9" spans="1:5">
      <c r="A9" s="708" t="s">
        <v>1994</v>
      </c>
      <c r="B9" s="710" t="s">
        <v>2543</v>
      </c>
    </row>
    <row r="10" spans="1:5" ht="29">
      <c r="A10" s="708" t="s">
        <v>1978</v>
      </c>
      <c r="B10" s="711" t="s">
        <v>2544</v>
      </c>
    </row>
    <row r="11" spans="1:5">
      <c r="A11" s="712" t="s">
        <v>1794</v>
      </c>
      <c r="B11" s="650" t="s">
        <v>2545</v>
      </c>
    </row>
    <row r="12" spans="1:5">
      <c r="A12" s="712" t="s">
        <v>2546</v>
      </c>
      <c r="B12" s="667" t="s">
        <v>2547</v>
      </c>
    </row>
    <row r="13" spans="1:5">
      <c r="A13" s="712" t="s">
        <v>2021</v>
      </c>
      <c r="B13" s="650" t="s">
        <v>2548</v>
      </c>
    </row>
    <row r="14" spans="1:5" ht="18.75" customHeight="1">
      <c r="A14" s="712" t="s">
        <v>2150</v>
      </c>
      <c r="B14" s="650" t="s">
        <v>2549</v>
      </c>
    </row>
    <row r="15" spans="1:5" ht="19.5" customHeight="1" thickBot="1">
      <c r="A15" s="713" t="s">
        <v>2192</v>
      </c>
      <c r="B15" s="714" t="s">
        <v>2550</v>
      </c>
    </row>
  </sheetData>
  <hyperlinks>
    <hyperlink ref="B1" location="'Cover Sheets'!A16" display="(Back to Worksheet Links)" xr:uid="{00000000-0004-0000-0C00-000000000000}"/>
  </hyperlinks>
  <pageMargins left="0.7" right="0.7" top="0.75" bottom="0.75" header="0.3" footer="0.3"/>
  <pageSetup scale="67" orientation="portrait" verticalDpi="1200" r:id="rId1"/>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pageSetUpPr fitToPage="1"/>
  </sheetPr>
  <dimension ref="A1:D21"/>
  <sheetViews>
    <sheetView view="pageBreakPreview" zoomScaleNormal="100" zoomScaleSheetLayoutView="100" workbookViewId="0"/>
  </sheetViews>
  <sheetFormatPr defaultColWidth="13.453125" defaultRowHeight="14.5"/>
  <cols>
    <col min="1" max="1" width="13.453125" style="30"/>
    <col min="2" max="2" width="89.453125" style="30" bestFit="1" customWidth="1"/>
    <col min="3" max="3" width="14.54296875" style="30" customWidth="1"/>
    <col min="4" max="4" width="41.54296875" style="30" bestFit="1" customWidth="1"/>
    <col min="5" max="5" width="22.453125" style="30" customWidth="1"/>
    <col min="6" max="16384" width="13.453125" style="30"/>
  </cols>
  <sheetData>
    <row r="1" spans="1:4">
      <c r="A1" s="793" t="str">
        <f>'Cover Sheets'!A10:B10</f>
        <v>WAPA-UGP 2022 Rate Estimate Calculation</v>
      </c>
      <c r="B1" s="257"/>
      <c r="C1" s="258"/>
      <c r="D1" s="687" t="s">
        <v>43</v>
      </c>
    </row>
    <row r="2" spans="1:4">
      <c r="A2" s="795" t="s">
        <v>2551</v>
      </c>
      <c r="B2" s="473"/>
      <c r="C2" s="260"/>
      <c r="D2" s="589"/>
    </row>
    <row r="3" spans="1:4">
      <c r="A3" s="57" t="str">
        <f>'Summary-ATRR'!A3</f>
        <v>12 Months Ending 09/30/2022 ESTIMATE</v>
      </c>
      <c r="B3" s="260"/>
      <c r="C3" s="260"/>
      <c r="D3" s="261"/>
    </row>
    <row r="4" spans="1:4">
      <c r="A4" s="57"/>
      <c r="B4" s="232" t="s">
        <v>321</v>
      </c>
      <c r="C4" s="233" t="s">
        <v>2552</v>
      </c>
      <c r="D4" s="234" t="s">
        <v>48</v>
      </c>
    </row>
    <row r="5" spans="1:4" ht="15" thickBot="1">
      <c r="A5" s="235" t="s">
        <v>326</v>
      </c>
      <c r="B5" s="236">
        <v>-1</v>
      </c>
      <c r="C5" s="236">
        <v>-2</v>
      </c>
      <c r="D5" s="237">
        <v>-3</v>
      </c>
    </row>
    <row r="6" spans="1:4">
      <c r="A6" s="262">
        <v>1</v>
      </c>
      <c r="B6" s="263" t="s">
        <v>2706</v>
      </c>
      <c r="C6" s="821">
        <f>'WS4-CostData'!K120</f>
        <v>11525595.16</v>
      </c>
      <c r="D6" s="265" t="s">
        <v>2553</v>
      </c>
    </row>
    <row r="7" spans="1:4">
      <c r="A7" s="262">
        <f t="shared" ref="A7:A21" si="0">A6+1</f>
        <v>2</v>
      </c>
      <c r="B7" s="263" t="s">
        <v>2707</v>
      </c>
      <c r="C7" s="821">
        <f>'WS4-CostData'!C95</f>
        <v>237160.64771667321</v>
      </c>
      <c r="D7" s="265" t="s">
        <v>339</v>
      </c>
    </row>
    <row r="8" spans="1:4">
      <c r="A8" s="262">
        <f t="shared" si="0"/>
        <v>3</v>
      </c>
      <c r="B8" s="263" t="s">
        <v>2708</v>
      </c>
      <c r="C8" s="821">
        <f>'WS4-CostData'!C48</f>
        <v>547903.48978050495</v>
      </c>
      <c r="D8" s="265" t="s">
        <v>346</v>
      </c>
    </row>
    <row r="9" spans="1:4">
      <c r="A9" s="262">
        <f t="shared" si="0"/>
        <v>4</v>
      </c>
      <c r="B9" s="263" t="s">
        <v>2709</v>
      </c>
      <c r="C9" s="821">
        <v>0</v>
      </c>
      <c r="D9" s="265" t="s">
        <v>2554</v>
      </c>
    </row>
    <row r="10" spans="1:4" ht="39.5">
      <c r="A10" s="262">
        <f t="shared" si="0"/>
        <v>5</v>
      </c>
      <c r="B10" s="263" t="s">
        <v>2710</v>
      </c>
      <c r="C10" s="821">
        <v>0</v>
      </c>
      <c r="D10" s="266" t="s">
        <v>2555</v>
      </c>
    </row>
    <row r="11" spans="1:4">
      <c r="A11" s="262">
        <f t="shared" si="0"/>
        <v>6</v>
      </c>
      <c r="B11" s="263" t="s">
        <v>353</v>
      </c>
      <c r="C11" s="267"/>
      <c r="D11" s="265"/>
    </row>
    <row r="12" spans="1:4">
      <c r="A12" s="262">
        <f t="shared" si="0"/>
        <v>7</v>
      </c>
      <c r="B12" s="268" t="s">
        <v>354</v>
      </c>
      <c r="C12" s="269">
        <f>'WS4-CostData'!K71</f>
        <v>4.3437613771823876E-2</v>
      </c>
      <c r="D12" s="265" t="s">
        <v>2556</v>
      </c>
    </row>
    <row r="13" spans="1:4">
      <c r="A13" s="262">
        <f t="shared" si="0"/>
        <v>8</v>
      </c>
      <c r="B13" s="268" t="s">
        <v>2711</v>
      </c>
      <c r="C13" s="821">
        <f>'WS4-CostData'!C26</f>
        <v>11241552.785732865</v>
      </c>
      <c r="D13" s="265" t="s">
        <v>2557</v>
      </c>
    </row>
    <row r="14" spans="1:4">
      <c r="A14" s="262">
        <f t="shared" si="0"/>
        <v>9</v>
      </c>
      <c r="B14" s="268" t="s">
        <v>2712</v>
      </c>
      <c r="C14" s="821">
        <f>C12*C13</f>
        <v>488306.22810223495</v>
      </c>
      <c r="D14" s="265" t="s">
        <v>2558</v>
      </c>
    </row>
    <row r="15" spans="1:4">
      <c r="A15" s="262">
        <f t="shared" si="0"/>
        <v>10</v>
      </c>
      <c r="B15" s="263" t="s">
        <v>367</v>
      </c>
      <c r="C15" s="269"/>
      <c r="D15" s="270"/>
    </row>
    <row r="16" spans="1:4" ht="15" thickBot="1">
      <c r="A16" s="262">
        <f t="shared" si="0"/>
        <v>11</v>
      </c>
      <c r="B16" s="271" t="s">
        <v>2713</v>
      </c>
      <c r="C16" s="822">
        <f>C6+C7+C8+C14</f>
        <v>12798965.525599413</v>
      </c>
      <c r="D16" s="273" t="s">
        <v>2559</v>
      </c>
    </row>
    <row r="17" spans="1:4">
      <c r="A17" s="262">
        <f t="shared" si="0"/>
        <v>12</v>
      </c>
      <c r="B17" s="274" t="s">
        <v>2714</v>
      </c>
      <c r="C17" s="543">
        <f>C16*C21</f>
        <v>959631.38345018378</v>
      </c>
      <c r="D17" s="339" t="s">
        <v>2560</v>
      </c>
    </row>
    <row r="18" spans="1:4">
      <c r="A18" s="262">
        <f t="shared" si="0"/>
        <v>13</v>
      </c>
      <c r="B18" s="274" t="s">
        <v>2715</v>
      </c>
      <c r="C18" s="543">
        <v>-1566266</v>
      </c>
      <c r="D18" s="561" t="s">
        <v>2561</v>
      </c>
    </row>
    <row r="19" spans="1:4">
      <c r="A19" s="262">
        <f t="shared" si="0"/>
        <v>14</v>
      </c>
      <c r="B19" s="801" t="s">
        <v>2716</v>
      </c>
      <c r="C19" s="823">
        <f>C16-C17+C18</f>
        <v>10273068.142149229</v>
      </c>
      <c r="D19" s="339" t="s">
        <v>2562</v>
      </c>
    </row>
    <row r="20" spans="1:4">
      <c r="A20" s="262">
        <f t="shared" si="0"/>
        <v>15</v>
      </c>
      <c r="B20" s="476"/>
      <c r="C20" s="476"/>
      <c r="D20" s="339"/>
    </row>
    <row r="21" spans="1:4" s="31" customFormat="1" ht="13.5" thickBot="1">
      <c r="A21" s="235">
        <f t="shared" si="0"/>
        <v>16</v>
      </c>
      <c r="B21" s="551" t="s">
        <v>2563</v>
      </c>
      <c r="C21" s="552">
        <f>'WS8-TransFac'!H521/'WS8-TransFac'!K521</f>
        <v>7.4977261367788664E-2</v>
      </c>
      <c r="D21" s="340" t="s">
        <v>2722</v>
      </c>
    </row>
  </sheetData>
  <hyperlinks>
    <hyperlink ref="D1" location="'Cover Sheets'!A16" display="(Back to Worksheet Links)" xr:uid="{00000000-0004-0000-0D00-000000000000}"/>
  </hyperlinks>
  <pageMargins left="0.7" right="0.7" top="0.75" bottom="0.75" header="0.3" footer="0.3"/>
  <pageSetup scale="76" fitToHeight="0" orientation="landscape"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A1:N130"/>
  <sheetViews>
    <sheetView view="pageBreakPreview" zoomScale="70" zoomScaleNormal="100" zoomScaleSheetLayoutView="70" workbookViewId="0"/>
  </sheetViews>
  <sheetFormatPr defaultColWidth="9.453125" defaultRowHeight="13"/>
  <cols>
    <col min="1" max="1" width="22.453125" style="228" customWidth="1"/>
    <col min="2" max="2" width="19.453125" style="228" bestFit="1" customWidth="1"/>
    <col min="3" max="3" width="76.453125" style="228" bestFit="1" customWidth="1"/>
    <col min="4" max="4" width="27.54296875" style="228" customWidth="1"/>
    <col min="5" max="5" width="22" style="400" customWidth="1"/>
    <col min="6" max="6" width="16.54296875" style="228" customWidth="1"/>
    <col min="7" max="7" width="15" style="401" customWidth="1"/>
    <col min="8" max="8" width="17.453125" style="228" customWidth="1"/>
    <col min="9" max="9" width="16.453125" style="402" customWidth="1"/>
    <col min="10" max="10" width="23" style="228" customWidth="1"/>
    <col min="11" max="11" width="11.54296875" style="228" bestFit="1" customWidth="1"/>
    <col min="12" max="16384" width="9.453125" style="228"/>
  </cols>
  <sheetData>
    <row r="1" spans="1:14" ht="14.5">
      <c r="A1" s="412" t="str">
        <f>'Cover Sheets'!A10:B10</f>
        <v>WAPA-UGP 2022 Rate Estimate Calculation</v>
      </c>
      <c r="B1" s="249"/>
      <c r="C1" s="719" t="s">
        <v>43</v>
      </c>
      <c r="D1" s="229"/>
      <c r="E1" s="408"/>
      <c r="F1" s="229"/>
      <c r="G1" s="391"/>
      <c r="H1" s="229"/>
      <c r="I1" s="392"/>
    </row>
    <row r="2" spans="1:14">
      <c r="A2" s="515" t="s">
        <v>2564</v>
      </c>
      <c r="B2" s="250"/>
      <c r="C2" s="230"/>
      <c r="D2" s="230"/>
      <c r="E2" s="406"/>
      <c r="F2" s="230"/>
      <c r="G2" s="379"/>
      <c r="H2" s="230"/>
      <c r="I2" s="380"/>
    </row>
    <row r="3" spans="1:14">
      <c r="A3" s="516" t="str">
        <f>'WS1-RateBase'!A4</f>
        <v>12 Months Ending 09/30/2022 ESTIMATE</v>
      </c>
      <c r="B3" s="250"/>
      <c r="C3" s="230"/>
      <c r="D3" s="230"/>
      <c r="E3" s="406"/>
      <c r="F3" s="230"/>
      <c r="G3" s="379"/>
      <c r="H3" s="230"/>
      <c r="I3" s="380"/>
    </row>
    <row r="4" spans="1:14" s="3" customFormat="1" ht="52">
      <c r="A4" s="413" t="s">
        <v>591</v>
      </c>
      <c r="B4" s="409" t="s">
        <v>592</v>
      </c>
      <c r="C4" s="372" t="s">
        <v>321</v>
      </c>
      <c r="D4" s="372"/>
      <c r="E4" s="403" t="s">
        <v>2717</v>
      </c>
      <c r="F4" s="403" t="s">
        <v>595</v>
      </c>
      <c r="G4" s="404" t="s">
        <v>632</v>
      </c>
      <c r="H4" s="404" t="s">
        <v>633</v>
      </c>
      <c r="I4" s="405" t="s">
        <v>596</v>
      </c>
      <c r="J4" s="6"/>
      <c r="N4" s="6"/>
    </row>
    <row r="5" spans="1:14" ht="15" customHeight="1">
      <c r="A5" s="414"/>
      <c r="B5" s="410" t="s">
        <v>1198</v>
      </c>
      <c r="C5" s="407" t="s">
        <v>1199</v>
      </c>
      <c r="D5" s="355"/>
      <c r="E5" s="211">
        <f>E43</f>
        <v>6046940.6499999994</v>
      </c>
      <c r="F5" s="358">
        <v>0</v>
      </c>
      <c r="G5" s="313">
        <v>0</v>
      </c>
      <c r="H5" s="520">
        <f>I5-E5</f>
        <v>0</v>
      </c>
      <c r="I5" s="359">
        <f>I43</f>
        <v>6046940.6499999994</v>
      </c>
      <c r="J5" s="796"/>
      <c r="L5" s="9"/>
      <c r="M5" s="9"/>
      <c r="N5" s="9"/>
    </row>
    <row r="6" spans="1:14">
      <c r="A6" s="414"/>
      <c r="B6" s="410" t="s">
        <v>1201</v>
      </c>
      <c r="C6" s="355" t="s">
        <v>2565</v>
      </c>
      <c r="D6" s="355"/>
      <c r="E6" s="211">
        <f>E49+E56</f>
        <v>1568214.28</v>
      </c>
      <c r="F6" s="211">
        <v>0</v>
      </c>
      <c r="G6" s="313">
        <v>0</v>
      </c>
      <c r="H6" s="520">
        <f>I6-E6</f>
        <v>-272718.56215000013</v>
      </c>
      <c r="I6" s="359">
        <f>I49+I56</f>
        <v>1295495.7178499999</v>
      </c>
      <c r="J6" s="797"/>
      <c r="L6" s="9"/>
      <c r="M6" s="9"/>
      <c r="N6" s="13"/>
    </row>
    <row r="7" spans="1:14" ht="13.5" thickBot="1">
      <c r="A7" s="415"/>
      <c r="B7" s="411" t="s">
        <v>1203</v>
      </c>
      <c r="C7" s="360" t="s">
        <v>2566</v>
      </c>
      <c r="D7" s="360"/>
      <c r="E7" s="361">
        <f>E107+E129</f>
        <v>19122263.580000002</v>
      </c>
      <c r="F7" s="361">
        <f>'WS8-TransFac'!F292</f>
        <v>7053192</v>
      </c>
      <c r="G7" s="362">
        <v>0</v>
      </c>
      <c r="H7" s="521">
        <f>I7-E7</f>
        <v>-1570067.5145500042</v>
      </c>
      <c r="I7" s="363">
        <f>I107+I129</f>
        <v>17552196.065449998</v>
      </c>
      <c r="J7" s="797"/>
      <c r="L7" s="9"/>
      <c r="M7" s="9"/>
      <c r="N7" s="13"/>
    </row>
    <row r="8" spans="1:14">
      <c r="A8" s="364"/>
      <c r="B8" s="357"/>
      <c r="C8" s="365"/>
      <c r="D8" s="365" t="s">
        <v>378</v>
      </c>
      <c r="E8" s="366">
        <f>SUM(E5:E7)</f>
        <v>26737418.510000002</v>
      </c>
      <c r="F8" s="368">
        <f>SUM(F5:F7)</f>
        <v>7053192</v>
      </c>
      <c r="G8" s="367">
        <f>SUM(G5:G7)</f>
        <v>0</v>
      </c>
      <c r="H8" s="368">
        <f>SUM(H5:H7)</f>
        <v>-1842786.0767000043</v>
      </c>
      <c r="I8" s="369">
        <f>SUM(I5:I7)</f>
        <v>24894632.433299996</v>
      </c>
      <c r="J8" s="12"/>
      <c r="K8" s="797"/>
      <c r="L8" s="9"/>
      <c r="M8" s="9"/>
      <c r="N8" s="13"/>
    </row>
    <row r="9" spans="1:14" ht="44.25" customHeight="1">
      <c r="A9" s="370" t="s">
        <v>2567</v>
      </c>
      <c r="B9" s="371" t="s">
        <v>592</v>
      </c>
      <c r="C9" s="372" t="s">
        <v>321</v>
      </c>
      <c r="D9" s="372" t="s">
        <v>605</v>
      </c>
      <c r="E9" s="373" t="s">
        <v>606</v>
      </c>
      <c r="F9" s="374" t="s">
        <v>2568</v>
      </c>
      <c r="G9" s="375" t="s">
        <v>2569</v>
      </c>
      <c r="H9" s="286" t="s">
        <v>2570</v>
      </c>
      <c r="I9" s="376" t="s">
        <v>2571</v>
      </c>
    </row>
    <row r="10" spans="1:14">
      <c r="A10" s="377"/>
      <c r="B10" s="378" t="s">
        <v>2572</v>
      </c>
      <c r="C10" s="406" t="s">
        <v>2573</v>
      </c>
      <c r="D10" s="355" t="s">
        <v>2573</v>
      </c>
      <c r="E10" s="211">
        <f>298.8</f>
        <v>298.8</v>
      </c>
      <c r="F10" s="526">
        <v>1</v>
      </c>
      <c r="G10" s="379">
        <f t="shared" ref="G10:G40" si="0">F10*E10</f>
        <v>298.8</v>
      </c>
      <c r="H10" s="526">
        <v>1</v>
      </c>
      <c r="I10" s="380">
        <f>E10*H10</f>
        <v>298.8</v>
      </c>
    </row>
    <row r="11" spans="1:14">
      <c r="A11" s="377"/>
      <c r="B11" s="378" t="s">
        <v>2572</v>
      </c>
      <c r="C11" s="406" t="s">
        <v>2574</v>
      </c>
      <c r="D11" s="355" t="s">
        <v>2575</v>
      </c>
      <c r="E11" s="211">
        <f>9789.59</f>
        <v>9789.59</v>
      </c>
      <c r="F11" s="526">
        <v>1</v>
      </c>
      <c r="G11" s="379">
        <f t="shared" si="0"/>
        <v>9789.59</v>
      </c>
      <c r="H11" s="526">
        <v>1</v>
      </c>
      <c r="I11" s="380">
        <f t="shared" ref="I11:I40" si="1">E11*H11</f>
        <v>9789.59</v>
      </c>
    </row>
    <row r="12" spans="1:14">
      <c r="A12" s="377"/>
      <c r="B12" s="378" t="s">
        <v>2572</v>
      </c>
      <c r="C12" s="406" t="s">
        <v>2576</v>
      </c>
      <c r="D12" s="355" t="s">
        <v>2575</v>
      </c>
      <c r="E12" s="211">
        <f>1538.62</f>
        <v>1538.62</v>
      </c>
      <c r="F12" s="526">
        <v>1</v>
      </c>
      <c r="G12" s="379">
        <f t="shared" si="0"/>
        <v>1538.62</v>
      </c>
      <c r="H12" s="526">
        <v>1</v>
      </c>
      <c r="I12" s="380">
        <f t="shared" si="1"/>
        <v>1538.62</v>
      </c>
    </row>
    <row r="13" spans="1:14">
      <c r="A13" s="377"/>
      <c r="B13" s="378" t="s">
        <v>2572</v>
      </c>
      <c r="C13" s="406" t="s">
        <v>2577</v>
      </c>
      <c r="D13" s="355" t="s">
        <v>2578</v>
      </c>
      <c r="E13" s="211">
        <f>295485.92</f>
        <v>295485.92</v>
      </c>
      <c r="F13" s="526">
        <v>1</v>
      </c>
      <c r="G13" s="379">
        <f t="shared" si="0"/>
        <v>295485.92</v>
      </c>
      <c r="H13" s="526">
        <v>1</v>
      </c>
      <c r="I13" s="380">
        <f t="shared" si="1"/>
        <v>295485.92</v>
      </c>
    </row>
    <row r="14" spans="1:14">
      <c r="A14" s="377"/>
      <c r="B14" s="378" t="s">
        <v>2572</v>
      </c>
      <c r="C14" s="406" t="s">
        <v>2573</v>
      </c>
      <c r="D14" s="355" t="s">
        <v>2573</v>
      </c>
      <c r="E14" s="211">
        <f>57816.18</f>
        <v>57816.18</v>
      </c>
      <c r="F14" s="526">
        <v>1</v>
      </c>
      <c r="G14" s="379">
        <f t="shared" si="0"/>
        <v>57816.18</v>
      </c>
      <c r="H14" s="526">
        <v>1</v>
      </c>
      <c r="I14" s="380">
        <f t="shared" si="1"/>
        <v>57816.18</v>
      </c>
    </row>
    <row r="15" spans="1:14">
      <c r="A15" s="377"/>
      <c r="B15" s="378" t="s">
        <v>2572</v>
      </c>
      <c r="C15" s="406" t="s">
        <v>2573</v>
      </c>
      <c r="D15" s="355" t="s">
        <v>2579</v>
      </c>
      <c r="E15" s="211">
        <f>5246.19</f>
        <v>5246.19</v>
      </c>
      <c r="F15" s="526">
        <v>1</v>
      </c>
      <c r="G15" s="379">
        <f t="shared" si="0"/>
        <v>5246.19</v>
      </c>
      <c r="H15" s="526">
        <v>1</v>
      </c>
      <c r="I15" s="380">
        <f t="shared" si="1"/>
        <v>5246.19</v>
      </c>
    </row>
    <row r="16" spans="1:14">
      <c r="A16" s="377"/>
      <c r="B16" s="378" t="s">
        <v>2572</v>
      </c>
      <c r="C16" s="406" t="s">
        <v>2580</v>
      </c>
      <c r="D16" s="355" t="s">
        <v>2579</v>
      </c>
      <c r="E16" s="211">
        <f>17479.6</f>
        <v>17479.599999999999</v>
      </c>
      <c r="F16" s="526">
        <v>1</v>
      </c>
      <c r="G16" s="379">
        <f t="shared" si="0"/>
        <v>17479.599999999999</v>
      </c>
      <c r="H16" s="526">
        <v>1</v>
      </c>
      <c r="I16" s="380">
        <f t="shared" si="1"/>
        <v>17479.599999999999</v>
      </c>
    </row>
    <row r="17" spans="1:9">
      <c r="A17" s="377"/>
      <c r="B17" s="378" t="s">
        <v>2572</v>
      </c>
      <c r="C17" s="406" t="s">
        <v>2581</v>
      </c>
      <c r="D17" s="355" t="s">
        <v>2581</v>
      </c>
      <c r="E17" s="211">
        <f>122582.16</f>
        <v>122582.16</v>
      </c>
      <c r="F17" s="526">
        <v>1</v>
      </c>
      <c r="G17" s="379">
        <f t="shared" si="0"/>
        <v>122582.16</v>
      </c>
      <c r="H17" s="526">
        <v>1</v>
      </c>
      <c r="I17" s="380">
        <f t="shared" si="1"/>
        <v>122582.16</v>
      </c>
    </row>
    <row r="18" spans="1:9">
      <c r="A18" s="377"/>
      <c r="B18" s="378" t="s">
        <v>2572</v>
      </c>
      <c r="C18" s="406" t="s">
        <v>2581</v>
      </c>
      <c r="D18" s="355" t="s">
        <v>2581</v>
      </c>
      <c r="E18" s="211">
        <f>12407.04</f>
        <v>12407.04</v>
      </c>
      <c r="F18" s="526">
        <v>1</v>
      </c>
      <c r="G18" s="379">
        <f t="shared" si="0"/>
        <v>12407.04</v>
      </c>
      <c r="H18" s="526">
        <v>1</v>
      </c>
      <c r="I18" s="380">
        <f t="shared" si="1"/>
        <v>12407.04</v>
      </c>
    </row>
    <row r="19" spans="1:9">
      <c r="A19" s="377"/>
      <c r="B19" s="378" t="s">
        <v>2572</v>
      </c>
      <c r="C19" s="406" t="s">
        <v>2582</v>
      </c>
      <c r="D19" s="355" t="s">
        <v>2583</v>
      </c>
      <c r="E19" s="211">
        <f>20216.81</f>
        <v>20216.810000000001</v>
      </c>
      <c r="F19" s="526">
        <v>1</v>
      </c>
      <c r="G19" s="379">
        <f t="shared" si="0"/>
        <v>20216.810000000001</v>
      </c>
      <c r="H19" s="526">
        <v>1</v>
      </c>
      <c r="I19" s="380">
        <f t="shared" si="1"/>
        <v>20216.810000000001</v>
      </c>
    </row>
    <row r="20" spans="1:9">
      <c r="A20" s="377"/>
      <c r="B20" s="378" t="s">
        <v>2572</v>
      </c>
      <c r="C20" s="406" t="s">
        <v>2584</v>
      </c>
      <c r="D20" s="355" t="s">
        <v>2573</v>
      </c>
      <c r="E20" s="211">
        <v>2474.7800000000002</v>
      </c>
      <c r="F20" s="526">
        <v>1</v>
      </c>
      <c r="G20" s="379">
        <f t="shared" si="0"/>
        <v>2474.7800000000002</v>
      </c>
      <c r="H20" s="526">
        <v>1</v>
      </c>
      <c r="I20" s="380">
        <f t="shared" si="1"/>
        <v>2474.7800000000002</v>
      </c>
    </row>
    <row r="21" spans="1:9">
      <c r="A21" s="377"/>
      <c r="B21" s="378" t="s">
        <v>2572</v>
      </c>
      <c r="C21" s="406" t="s">
        <v>2585</v>
      </c>
      <c r="D21" s="355" t="s">
        <v>2585</v>
      </c>
      <c r="E21" s="211">
        <v>38407.760000000002</v>
      </c>
      <c r="F21" s="526">
        <v>1</v>
      </c>
      <c r="G21" s="379">
        <f t="shared" si="0"/>
        <v>38407.760000000002</v>
      </c>
      <c r="H21" s="526">
        <v>1</v>
      </c>
      <c r="I21" s="380">
        <f t="shared" si="1"/>
        <v>38407.760000000002</v>
      </c>
    </row>
    <row r="22" spans="1:9">
      <c r="A22" s="377"/>
      <c r="B22" s="378" t="s">
        <v>2572</v>
      </c>
      <c r="C22" s="406" t="s">
        <v>2574</v>
      </c>
      <c r="D22" s="355" t="s">
        <v>2575</v>
      </c>
      <c r="E22" s="211">
        <v>54137.52</v>
      </c>
      <c r="F22" s="526">
        <v>1</v>
      </c>
      <c r="G22" s="379">
        <f t="shared" si="0"/>
        <v>54137.52</v>
      </c>
      <c r="H22" s="526">
        <v>1</v>
      </c>
      <c r="I22" s="380">
        <f t="shared" si="1"/>
        <v>54137.52</v>
      </c>
    </row>
    <row r="23" spans="1:9">
      <c r="A23" s="377"/>
      <c r="B23" s="378" t="s">
        <v>2572</v>
      </c>
      <c r="C23" s="406" t="s">
        <v>2586</v>
      </c>
      <c r="D23" s="355" t="s">
        <v>2587</v>
      </c>
      <c r="E23" s="211">
        <v>531049.1</v>
      </c>
      <c r="F23" s="526">
        <v>1</v>
      </c>
      <c r="G23" s="379">
        <f t="shared" si="0"/>
        <v>531049.1</v>
      </c>
      <c r="H23" s="526">
        <v>1</v>
      </c>
      <c r="I23" s="380">
        <f t="shared" si="1"/>
        <v>531049.1</v>
      </c>
    </row>
    <row r="24" spans="1:9">
      <c r="A24" s="377"/>
      <c r="B24" s="378" t="s">
        <v>2572</v>
      </c>
      <c r="C24" s="406" t="s">
        <v>2586</v>
      </c>
      <c r="D24" s="355" t="s">
        <v>2588</v>
      </c>
      <c r="E24" s="211">
        <v>90309.47</v>
      </c>
      <c r="F24" s="526">
        <v>1</v>
      </c>
      <c r="G24" s="379">
        <f t="shared" si="0"/>
        <v>90309.47</v>
      </c>
      <c r="H24" s="526">
        <v>1</v>
      </c>
      <c r="I24" s="380">
        <f t="shared" si="1"/>
        <v>90309.47</v>
      </c>
    </row>
    <row r="25" spans="1:9">
      <c r="A25" s="377"/>
      <c r="B25" s="378" t="s">
        <v>2572</v>
      </c>
      <c r="C25" s="406" t="s">
        <v>2589</v>
      </c>
      <c r="D25" s="355" t="s">
        <v>624</v>
      </c>
      <c r="E25" s="211">
        <v>54257.11</v>
      </c>
      <c r="F25" s="526">
        <v>1</v>
      </c>
      <c r="G25" s="379">
        <f t="shared" si="0"/>
        <v>54257.11</v>
      </c>
      <c r="H25" s="526">
        <v>1</v>
      </c>
      <c r="I25" s="380">
        <f t="shared" si="1"/>
        <v>54257.11</v>
      </c>
    </row>
    <row r="26" spans="1:9">
      <c r="A26" s="377"/>
      <c r="B26" s="378" t="s">
        <v>2572</v>
      </c>
      <c r="C26" s="406" t="s">
        <v>2589</v>
      </c>
      <c r="D26" s="355" t="s">
        <v>2590</v>
      </c>
      <c r="E26" s="211">
        <v>475745.99</v>
      </c>
      <c r="F26" s="526">
        <v>1</v>
      </c>
      <c r="G26" s="379">
        <f t="shared" si="0"/>
        <v>475745.99</v>
      </c>
      <c r="H26" s="526">
        <v>1</v>
      </c>
      <c r="I26" s="380">
        <f t="shared" si="1"/>
        <v>475745.99</v>
      </c>
    </row>
    <row r="27" spans="1:9">
      <c r="A27" s="377"/>
      <c r="B27" s="378" t="s">
        <v>2572</v>
      </c>
      <c r="C27" s="406" t="s">
        <v>2591</v>
      </c>
      <c r="D27" s="355" t="s">
        <v>2592</v>
      </c>
      <c r="E27" s="211">
        <v>95962.39</v>
      </c>
      <c r="F27" s="526">
        <v>1</v>
      </c>
      <c r="G27" s="379">
        <f t="shared" si="0"/>
        <v>95962.39</v>
      </c>
      <c r="H27" s="526">
        <v>1</v>
      </c>
      <c r="I27" s="380">
        <f t="shared" si="1"/>
        <v>95962.39</v>
      </c>
    </row>
    <row r="28" spans="1:9">
      <c r="A28" s="377"/>
      <c r="B28" s="378" t="s">
        <v>2572</v>
      </c>
      <c r="C28" s="406" t="s">
        <v>2582</v>
      </c>
      <c r="D28" s="355" t="s">
        <v>2593</v>
      </c>
      <c r="E28" s="211">
        <v>12679.49</v>
      </c>
      <c r="F28" s="526">
        <v>1</v>
      </c>
      <c r="G28" s="379">
        <f t="shared" si="0"/>
        <v>12679.49</v>
      </c>
      <c r="H28" s="526">
        <v>1</v>
      </c>
      <c r="I28" s="380">
        <f t="shared" si="1"/>
        <v>12679.49</v>
      </c>
    </row>
    <row r="29" spans="1:9">
      <c r="A29" s="377"/>
      <c r="B29" s="378" t="s">
        <v>2572</v>
      </c>
      <c r="C29" s="406" t="s">
        <v>2582</v>
      </c>
      <c r="D29" s="355" t="s">
        <v>2246</v>
      </c>
      <c r="E29" s="211">
        <v>1022154.12</v>
      </c>
      <c r="F29" s="526">
        <v>1</v>
      </c>
      <c r="G29" s="379">
        <f t="shared" si="0"/>
        <v>1022154.12</v>
      </c>
      <c r="H29" s="526">
        <v>1</v>
      </c>
      <c r="I29" s="380">
        <f t="shared" si="1"/>
        <v>1022154.12</v>
      </c>
    </row>
    <row r="30" spans="1:9">
      <c r="A30" s="377"/>
      <c r="B30" s="378" t="s">
        <v>2572</v>
      </c>
      <c r="C30" s="406" t="s">
        <v>2582</v>
      </c>
      <c r="D30" s="355" t="s">
        <v>2594</v>
      </c>
      <c r="E30" s="211">
        <v>122476.25</v>
      </c>
      <c r="F30" s="526">
        <v>1</v>
      </c>
      <c r="G30" s="379">
        <f t="shared" si="0"/>
        <v>122476.25</v>
      </c>
      <c r="H30" s="526">
        <v>1</v>
      </c>
      <c r="I30" s="380">
        <f t="shared" si="1"/>
        <v>122476.25</v>
      </c>
    </row>
    <row r="31" spans="1:9">
      <c r="A31" s="377"/>
      <c r="B31" s="378" t="s">
        <v>2572</v>
      </c>
      <c r="C31" s="406" t="s">
        <v>2595</v>
      </c>
      <c r="D31" s="355" t="s">
        <v>2581</v>
      </c>
      <c r="E31" s="211">
        <v>733679.47</v>
      </c>
      <c r="F31" s="526">
        <v>1</v>
      </c>
      <c r="G31" s="379">
        <f t="shared" si="0"/>
        <v>733679.47</v>
      </c>
      <c r="H31" s="526">
        <v>1</v>
      </c>
      <c r="I31" s="380">
        <f t="shared" si="1"/>
        <v>733679.47</v>
      </c>
    </row>
    <row r="32" spans="1:9">
      <c r="A32" s="377"/>
      <c r="B32" s="378" t="s">
        <v>2572</v>
      </c>
      <c r="C32" s="406" t="s">
        <v>2595</v>
      </c>
      <c r="D32" s="355" t="s">
        <v>2596</v>
      </c>
      <c r="E32" s="211">
        <v>35291.83</v>
      </c>
      <c r="F32" s="526">
        <v>1</v>
      </c>
      <c r="G32" s="379">
        <f t="shared" si="0"/>
        <v>35291.83</v>
      </c>
      <c r="H32" s="526">
        <v>1</v>
      </c>
      <c r="I32" s="380">
        <f t="shared" si="1"/>
        <v>35291.83</v>
      </c>
    </row>
    <row r="33" spans="1:9">
      <c r="A33" s="377"/>
      <c r="B33" s="378" t="s">
        <v>2572</v>
      </c>
      <c r="C33" s="406" t="s">
        <v>2595</v>
      </c>
      <c r="D33" s="355" t="s">
        <v>2597</v>
      </c>
      <c r="E33" s="211">
        <v>13959.4</v>
      </c>
      <c r="F33" s="526">
        <v>1</v>
      </c>
      <c r="G33" s="379">
        <f t="shared" si="0"/>
        <v>13959.4</v>
      </c>
      <c r="H33" s="526">
        <v>1</v>
      </c>
      <c r="I33" s="380">
        <f t="shared" si="1"/>
        <v>13959.4</v>
      </c>
    </row>
    <row r="34" spans="1:9">
      <c r="A34" s="377"/>
      <c r="B34" s="378" t="s">
        <v>2572</v>
      </c>
      <c r="C34" s="406" t="s">
        <v>2598</v>
      </c>
      <c r="D34" s="355" t="s">
        <v>2599</v>
      </c>
      <c r="E34" s="211">
        <v>53112.38</v>
      </c>
      <c r="F34" s="526">
        <v>1</v>
      </c>
      <c r="G34" s="379">
        <f t="shared" si="0"/>
        <v>53112.38</v>
      </c>
      <c r="H34" s="526">
        <v>1</v>
      </c>
      <c r="I34" s="380">
        <f t="shared" si="1"/>
        <v>53112.38</v>
      </c>
    </row>
    <row r="35" spans="1:9">
      <c r="A35" s="377"/>
      <c r="B35" s="378" t="s">
        <v>2572</v>
      </c>
      <c r="C35" s="406" t="s">
        <v>2600</v>
      </c>
      <c r="D35" s="355" t="s">
        <v>2601</v>
      </c>
      <c r="E35" s="211">
        <v>184306.99</v>
      </c>
      <c r="F35" s="526">
        <v>1</v>
      </c>
      <c r="G35" s="379">
        <f t="shared" si="0"/>
        <v>184306.99</v>
      </c>
      <c r="H35" s="526">
        <v>1</v>
      </c>
      <c r="I35" s="380">
        <f t="shared" si="1"/>
        <v>184306.99</v>
      </c>
    </row>
    <row r="36" spans="1:9">
      <c r="A36" s="377"/>
      <c r="B36" s="378" t="s">
        <v>2572</v>
      </c>
      <c r="C36" s="406" t="s">
        <v>2600</v>
      </c>
      <c r="D36" s="355" t="s">
        <v>2602</v>
      </c>
      <c r="E36" s="211">
        <v>97180.43</v>
      </c>
      <c r="F36" s="526">
        <v>1</v>
      </c>
      <c r="G36" s="379">
        <f t="shared" si="0"/>
        <v>97180.43</v>
      </c>
      <c r="H36" s="526">
        <v>1</v>
      </c>
      <c r="I36" s="380">
        <f t="shared" si="1"/>
        <v>97180.43</v>
      </c>
    </row>
    <row r="37" spans="1:9">
      <c r="A37" s="377"/>
      <c r="B37" s="378" t="s">
        <v>2572</v>
      </c>
      <c r="C37" s="406" t="s">
        <v>2600</v>
      </c>
      <c r="D37" s="355" t="s">
        <v>2603</v>
      </c>
      <c r="E37" s="211">
        <v>28884.55</v>
      </c>
      <c r="F37" s="526">
        <v>1</v>
      </c>
      <c r="G37" s="379">
        <f t="shared" si="0"/>
        <v>28884.55</v>
      </c>
      <c r="H37" s="526">
        <v>1</v>
      </c>
      <c r="I37" s="380">
        <f t="shared" si="1"/>
        <v>28884.55</v>
      </c>
    </row>
    <row r="38" spans="1:9">
      <c r="A38" s="377"/>
      <c r="B38" s="378" t="s">
        <v>2572</v>
      </c>
      <c r="C38" s="406" t="s">
        <v>2600</v>
      </c>
      <c r="D38" s="355" t="s">
        <v>2604</v>
      </c>
      <c r="E38" s="211">
        <v>41065.94</v>
      </c>
      <c r="F38" s="526">
        <v>1</v>
      </c>
      <c r="G38" s="379">
        <f t="shared" si="0"/>
        <v>41065.94</v>
      </c>
      <c r="H38" s="526">
        <v>1</v>
      </c>
      <c r="I38" s="380">
        <f t="shared" si="1"/>
        <v>41065.94</v>
      </c>
    </row>
    <row r="39" spans="1:9">
      <c r="A39" s="377"/>
      <c r="B39" s="378" t="s">
        <v>2572</v>
      </c>
      <c r="C39" s="406" t="s">
        <v>2586</v>
      </c>
      <c r="D39" s="355" t="s">
        <v>2587</v>
      </c>
      <c r="E39" s="211">
        <v>1320912.96</v>
      </c>
      <c r="F39" s="526">
        <v>1</v>
      </c>
      <c r="G39" s="379">
        <f t="shared" si="0"/>
        <v>1320912.96</v>
      </c>
      <c r="H39" s="526">
        <v>1</v>
      </c>
      <c r="I39" s="380">
        <f t="shared" si="1"/>
        <v>1320912.96</v>
      </c>
    </row>
    <row r="40" spans="1:9">
      <c r="A40" s="377"/>
      <c r="B40" s="378" t="s">
        <v>2572</v>
      </c>
      <c r="C40" s="406" t="s">
        <v>2573</v>
      </c>
      <c r="D40" s="355" t="s">
        <v>2573</v>
      </c>
      <c r="E40" s="211">
        <v>454812.77</v>
      </c>
      <c r="F40" s="526">
        <v>1</v>
      </c>
      <c r="G40" s="379">
        <f t="shared" si="0"/>
        <v>454812.77</v>
      </c>
      <c r="H40" s="526">
        <v>1</v>
      </c>
      <c r="I40" s="380">
        <f t="shared" si="1"/>
        <v>454812.77</v>
      </c>
    </row>
    <row r="41" spans="1:9">
      <c r="A41" s="377"/>
      <c r="B41" s="378" t="s">
        <v>2572</v>
      </c>
      <c r="C41" s="406" t="s">
        <v>2599</v>
      </c>
      <c r="D41" s="355" t="s">
        <v>2599</v>
      </c>
      <c r="E41" s="211">
        <v>40641.57</v>
      </c>
      <c r="F41" s="526">
        <v>1</v>
      </c>
      <c r="G41" s="379">
        <f>F41*E41</f>
        <v>40641.57</v>
      </c>
      <c r="H41" s="526">
        <v>1</v>
      </c>
      <c r="I41" s="380">
        <f>E41*H41</f>
        <v>40641.57</v>
      </c>
    </row>
    <row r="42" spans="1:9">
      <c r="A42" s="377"/>
      <c r="B42" s="378" t="s">
        <v>2572</v>
      </c>
      <c r="C42" s="406" t="s">
        <v>2573</v>
      </c>
      <c r="D42" s="355" t="s">
        <v>2573</v>
      </c>
      <c r="E42" s="211">
        <v>577.47</v>
      </c>
      <c r="F42" s="526">
        <v>1</v>
      </c>
      <c r="G42" s="379">
        <f>F42*E42</f>
        <v>577.47</v>
      </c>
      <c r="H42" s="526">
        <v>1</v>
      </c>
      <c r="I42" s="380">
        <f>E42*H42</f>
        <v>577.47</v>
      </c>
    </row>
    <row r="43" spans="1:9" ht="13.5" thickBot="1">
      <c r="A43" s="377"/>
      <c r="B43" s="378"/>
      <c r="C43" s="673" t="s">
        <v>407</v>
      </c>
      <c r="D43" s="381"/>
      <c r="E43" s="382">
        <f>SUM(E10:E42)</f>
        <v>6046940.6499999994</v>
      </c>
      <c r="F43" s="383"/>
      <c r="G43" s="384">
        <f>SUM(G10:G42)</f>
        <v>6046940.6499999994</v>
      </c>
      <c r="H43" s="383"/>
      <c r="I43" s="385">
        <f>SUM(I10:I42)</f>
        <v>6046940.6499999994</v>
      </c>
    </row>
    <row r="44" spans="1:9" ht="13.5" thickTop="1">
      <c r="A44" s="377"/>
      <c r="B44" s="378" t="s">
        <v>1201</v>
      </c>
      <c r="C44" s="406" t="s">
        <v>2605</v>
      </c>
      <c r="D44" s="355" t="s">
        <v>2605</v>
      </c>
      <c r="E44" s="211">
        <v>146013.4</v>
      </c>
      <c r="F44" s="626">
        <v>0.63700000000000001</v>
      </c>
      <c r="G44" s="379">
        <f t="shared" ref="G44:G48" si="2">F44*E44</f>
        <v>93010.535799999998</v>
      </c>
      <c r="H44" s="626">
        <v>0.81499999999999995</v>
      </c>
      <c r="I44" s="380">
        <f t="shared" ref="I44:I48" si="3">E44*H44</f>
        <v>119000.92099999999</v>
      </c>
    </row>
    <row r="45" spans="1:9">
      <c r="A45" s="377"/>
      <c r="B45" s="378" t="s">
        <v>1201</v>
      </c>
      <c r="C45" s="406" t="s">
        <v>2573</v>
      </c>
      <c r="D45" s="355" t="s">
        <v>2573</v>
      </c>
      <c r="E45" s="211">
        <v>10941.32</v>
      </c>
      <c r="F45" s="626">
        <v>0.63700000000000001</v>
      </c>
      <c r="G45" s="379">
        <f t="shared" si="2"/>
        <v>6969.6208399999996</v>
      </c>
      <c r="H45" s="626">
        <v>0.81499999999999995</v>
      </c>
      <c r="I45" s="380">
        <f t="shared" si="3"/>
        <v>8917.1757999999991</v>
      </c>
    </row>
    <row r="46" spans="1:9">
      <c r="A46" s="377"/>
      <c r="B46" s="378" t="s">
        <v>1201</v>
      </c>
      <c r="C46" s="406" t="s">
        <v>2588</v>
      </c>
      <c r="D46" s="355" t="s">
        <v>2588</v>
      </c>
      <c r="E46" s="211">
        <v>676146.99</v>
      </c>
      <c r="F46" s="626">
        <v>0.63700000000000001</v>
      </c>
      <c r="G46" s="379">
        <f t="shared" si="2"/>
        <v>430705.63263000001</v>
      </c>
      <c r="H46" s="626">
        <v>0.81499999999999995</v>
      </c>
      <c r="I46" s="380">
        <f t="shared" si="3"/>
        <v>551059.79684999993</v>
      </c>
    </row>
    <row r="47" spans="1:9">
      <c r="A47" s="377"/>
      <c r="B47" s="378" t="s">
        <v>1201</v>
      </c>
      <c r="C47" s="406" t="s">
        <v>2606</v>
      </c>
      <c r="D47" s="355" t="s">
        <v>2606</v>
      </c>
      <c r="E47" s="211">
        <v>67520.789999999994</v>
      </c>
      <c r="F47" s="626">
        <v>0.63700000000000001</v>
      </c>
      <c r="G47" s="379">
        <f t="shared" si="2"/>
        <v>43010.74323</v>
      </c>
      <c r="H47" s="626">
        <v>0.81499999999999995</v>
      </c>
      <c r="I47" s="380">
        <f t="shared" si="3"/>
        <v>55029.443849999989</v>
      </c>
    </row>
    <row r="48" spans="1:9">
      <c r="A48" s="377"/>
      <c r="B48" s="378" t="s">
        <v>1201</v>
      </c>
      <c r="C48" s="406" t="s">
        <v>2607</v>
      </c>
      <c r="D48" s="355" t="s">
        <v>2607</v>
      </c>
      <c r="E48" s="211">
        <v>573531.89</v>
      </c>
      <c r="F48" s="626">
        <v>0.63700000000000001</v>
      </c>
      <c r="G48" s="379">
        <f t="shared" si="2"/>
        <v>365339.81393</v>
      </c>
      <c r="H48" s="626">
        <v>0.81499999999999995</v>
      </c>
      <c r="I48" s="380">
        <f t="shared" si="3"/>
        <v>467428.49034999998</v>
      </c>
    </row>
    <row r="49" spans="1:9" ht="13.5" thickBot="1">
      <c r="A49" s="377"/>
      <c r="B49" s="378"/>
      <c r="C49" s="673" t="s">
        <v>407</v>
      </c>
      <c r="D49" s="381"/>
      <c r="E49" s="382">
        <f>SUM(E44:E48)</f>
        <v>1474154.3900000001</v>
      </c>
      <c r="F49" s="383"/>
      <c r="G49" s="384">
        <f>SUM(G44:G48)</f>
        <v>939036.34643000015</v>
      </c>
      <c r="H49" s="383"/>
      <c r="I49" s="385">
        <f>SUM(I44:I48)</f>
        <v>1201435.82785</v>
      </c>
    </row>
    <row r="50" spans="1:9" ht="13.5" thickTop="1">
      <c r="A50" s="377"/>
      <c r="B50" s="378" t="s">
        <v>1201</v>
      </c>
      <c r="C50" s="406" t="s">
        <v>2601</v>
      </c>
      <c r="D50" s="355" t="s">
        <v>2599</v>
      </c>
      <c r="E50" s="211">
        <v>54316.73</v>
      </c>
      <c r="F50" s="526">
        <v>1</v>
      </c>
      <c r="G50" s="379">
        <f t="shared" ref="G50:G55" si="4">F50*E50</f>
        <v>54316.73</v>
      </c>
      <c r="H50" s="526">
        <v>1</v>
      </c>
      <c r="I50" s="380">
        <f t="shared" ref="I50:I55" si="5">E50*H50</f>
        <v>54316.73</v>
      </c>
    </row>
    <row r="51" spans="1:9">
      <c r="A51" s="377"/>
      <c r="B51" s="378" t="s">
        <v>1201</v>
      </c>
      <c r="C51" s="406" t="s">
        <v>2573</v>
      </c>
      <c r="D51" s="355" t="s">
        <v>2573</v>
      </c>
      <c r="E51" s="211">
        <v>20639.32</v>
      </c>
      <c r="F51" s="526">
        <v>1</v>
      </c>
      <c r="G51" s="379">
        <f t="shared" si="4"/>
        <v>20639.32</v>
      </c>
      <c r="H51" s="526">
        <v>1</v>
      </c>
      <c r="I51" s="380">
        <f t="shared" si="5"/>
        <v>20639.32</v>
      </c>
    </row>
    <row r="52" spans="1:9">
      <c r="A52" s="377"/>
      <c r="B52" s="378" t="s">
        <v>1201</v>
      </c>
      <c r="C52" s="406" t="s">
        <v>2582</v>
      </c>
      <c r="D52" s="355" t="s">
        <v>2246</v>
      </c>
      <c r="E52" s="211">
        <v>6525</v>
      </c>
      <c r="F52" s="526">
        <v>1</v>
      </c>
      <c r="G52" s="379">
        <f t="shared" si="4"/>
        <v>6525</v>
      </c>
      <c r="H52" s="526">
        <v>1</v>
      </c>
      <c r="I52" s="380">
        <f t="shared" si="5"/>
        <v>6525</v>
      </c>
    </row>
    <row r="53" spans="1:9">
      <c r="A53" s="377"/>
      <c r="B53" s="378" t="s">
        <v>1201</v>
      </c>
      <c r="C53" s="406" t="s">
        <v>2573</v>
      </c>
      <c r="D53" s="355" t="s">
        <v>2573</v>
      </c>
      <c r="E53" s="211">
        <v>2414.41</v>
      </c>
      <c r="F53" s="526">
        <v>1</v>
      </c>
      <c r="G53" s="379">
        <f t="shared" si="4"/>
        <v>2414.41</v>
      </c>
      <c r="H53" s="526">
        <v>1</v>
      </c>
      <c r="I53" s="380">
        <f t="shared" si="5"/>
        <v>2414.41</v>
      </c>
    </row>
    <row r="54" spans="1:9">
      <c r="A54" s="377"/>
      <c r="B54" s="378" t="s">
        <v>1201</v>
      </c>
      <c r="C54" s="406" t="s">
        <v>2582</v>
      </c>
      <c r="D54" s="355" t="s">
        <v>2246</v>
      </c>
      <c r="E54" s="211">
        <v>8952.5300000000007</v>
      </c>
      <c r="F54" s="526">
        <v>1</v>
      </c>
      <c r="G54" s="379">
        <f t="shared" si="4"/>
        <v>8952.5300000000007</v>
      </c>
      <c r="H54" s="526">
        <v>1</v>
      </c>
      <c r="I54" s="380">
        <f t="shared" si="5"/>
        <v>8952.5300000000007</v>
      </c>
    </row>
    <row r="55" spans="1:9">
      <c r="A55" s="377"/>
      <c r="B55" s="378" t="s">
        <v>1201</v>
      </c>
      <c r="C55" s="406" t="s">
        <v>2573</v>
      </c>
      <c r="D55" s="355" t="s">
        <v>2573</v>
      </c>
      <c r="E55" s="211">
        <v>1211.9000000000001</v>
      </c>
      <c r="F55" s="526">
        <v>1</v>
      </c>
      <c r="G55" s="379">
        <f t="shared" si="4"/>
        <v>1211.9000000000001</v>
      </c>
      <c r="H55" s="526">
        <v>1</v>
      </c>
      <c r="I55" s="380">
        <f t="shared" si="5"/>
        <v>1211.9000000000001</v>
      </c>
    </row>
    <row r="56" spans="1:9" ht="13.5" thickBot="1">
      <c r="A56" s="377"/>
      <c r="B56" s="378"/>
      <c r="C56" s="674" t="s">
        <v>407</v>
      </c>
      <c r="D56" s="386"/>
      <c r="E56" s="387">
        <f>SUM(E50:E55)</f>
        <v>94059.89</v>
      </c>
      <c r="F56" s="388"/>
      <c r="G56" s="389">
        <f>SUM(G50:G55)</f>
        <v>94059.89</v>
      </c>
      <c r="H56" s="386"/>
      <c r="I56" s="390">
        <f>SUM(I50:I55)</f>
        <v>94059.89</v>
      </c>
    </row>
    <row r="57" spans="1:9">
      <c r="A57" s="377"/>
      <c r="B57" s="378" t="s">
        <v>1203</v>
      </c>
      <c r="C57" s="675" t="s">
        <v>2608</v>
      </c>
      <c r="D57" s="365" t="s">
        <v>2609</v>
      </c>
      <c r="E57" s="366">
        <f>134174.04</f>
        <v>134174.04</v>
      </c>
      <c r="F57" s="636">
        <v>1</v>
      </c>
      <c r="G57" s="391">
        <f>E57*F57</f>
        <v>134174.04</v>
      </c>
      <c r="H57" s="636">
        <v>1</v>
      </c>
      <c r="I57" s="392">
        <f>E57*H57</f>
        <v>134174.04</v>
      </c>
    </row>
    <row r="58" spans="1:9">
      <c r="A58" s="231"/>
      <c r="B58" s="378" t="s">
        <v>1203</v>
      </c>
      <c r="C58" s="672" t="s">
        <v>2610</v>
      </c>
      <c r="D58" s="355" t="s">
        <v>2602</v>
      </c>
      <c r="E58" s="211">
        <f>59005.31</f>
        <v>59005.31</v>
      </c>
      <c r="F58" s="526">
        <v>1</v>
      </c>
      <c r="G58" s="379">
        <f t="shared" ref="G58:G106" si="6">E58*F58</f>
        <v>59005.31</v>
      </c>
      <c r="H58" s="526">
        <v>1</v>
      </c>
      <c r="I58" s="380">
        <f t="shared" ref="I58:I106" si="7">E58*H58</f>
        <v>59005.31</v>
      </c>
    </row>
    <row r="59" spans="1:9">
      <c r="A59" s="231"/>
      <c r="B59" s="378" t="s">
        <v>1203</v>
      </c>
      <c r="C59" s="672" t="s">
        <v>2611</v>
      </c>
      <c r="D59" s="355" t="s">
        <v>2246</v>
      </c>
      <c r="E59" s="211">
        <f>119667.35</f>
        <v>119667.35</v>
      </c>
      <c r="F59" s="526">
        <v>1</v>
      </c>
      <c r="G59" s="379">
        <f t="shared" si="6"/>
        <v>119667.35</v>
      </c>
      <c r="H59" s="526">
        <v>1</v>
      </c>
      <c r="I59" s="380">
        <f t="shared" si="7"/>
        <v>119667.35</v>
      </c>
    </row>
    <row r="60" spans="1:9">
      <c r="A60" s="231"/>
      <c r="B60" s="378" t="s">
        <v>1203</v>
      </c>
      <c r="C60" s="672" t="s">
        <v>2612</v>
      </c>
      <c r="D60" s="355" t="s">
        <v>2613</v>
      </c>
      <c r="E60" s="211">
        <f>19292.2</f>
        <v>19292.2</v>
      </c>
      <c r="F60" s="526">
        <v>1</v>
      </c>
      <c r="G60" s="379">
        <f t="shared" si="6"/>
        <v>19292.2</v>
      </c>
      <c r="H60" s="526">
        <v>1</v>
      </c>
      <c r="I60" s="380">
        <f t="shared" si="7"/>
        <v>19292.2</v>
      </c>
    </row>
    <row r="61" spans="1:9">
      <c r="A61" s="231"/>
      <c r="B61" s="378" t="s">
        <v>1203</v>
      </c>
      <c r="C61" s="672" t="s">
        <v>2600</v>
      </c>
      <c r="D61" s="355" t="s">
        <v>2601</v>
      </c>
      <c r="E61" s="211">
        <f>53164.52</f>
        <v>53164.52</v>
      </c>
      <c r="F61" s="526">
        <v>1</v>
      </c>
      <c r="G61" s="379">
        <f t="shared" si="6"/>
        <v>53164.52</v>
      </c>
      <c r="H61" s="526">
        <v>1</v>
      </c>
      <c r="I61" s="380">
        <f t="shared" si="7"/>
        <v>53164.52</v>
      </c>
    </row>
    <row r="62" spans="1:9">
      <c r="A62" s="231"/>
      <c r="B62" s="378" t="s">
        <v>1203</v>
      </c>
      <c r="C62" s="672" t="s">
        <v>2600</v>
      </c>
      <c r="D62" s="355" t="s">
        <v>2602</v>
      </c>
      <c r="E62" s="211">
        <f>307465.42</f>
        <v>307465.42</v>
      </c>
      <c r="F62" s="526">
        <v>1</v>
      </c>
      <c r="G62" s="379">
        <f t="shared" si="6"/>
        <v>307465.42</v>
      </c>
      <c r="H62" s="526">
        <v>1</v>
      </c>
      <c r="I62" s="380">
        <f t="shared" si="7"/>
        <v>307465.42</v>
      </c>
    </row>
    <row r="63" spans="1:9">
      <c r="A63" s="231"/>
      <c r="B63" s="378" t="s">
        <v>1203</v>
      </c>
      <c r="C63" s="672" t="s">
        <v>2600</v>
      </c>
      <c r="D63" s="355" t="s">
        <v>2609</v>
      </c>
      <c r="E63" s="211">
        <f>12819.56</f>
        <v>12819.56</v>
      </c>
      <c r="F63" s="526">
        <v>1</v>
      </c>
      <c r="G63" s="379">
        <f t="shared" si="6"/>
        <v>12819.56</v>
      </c>
      <c r="H63" s="526">
        <v>1</v>
      </c>
      <c r="I63" s="380">
        <f t="shared" si="7"/>
        <v>12819.56</v>
      </c>
    </row>
    <row r="64" spans="1:9">
      <c r="A64" s="231"/>
      <c r="B64" s="378" t="s">
        <v>1203</v>
      </c>
      <c r="C64" s="672" t="s">
        <v>2600</v>
      </c>
      <c r="D64" s="355" t="s">
        <v>2604</v>
      </c>
      <c r="E64" s="211">
        <f>415983</f>
        <v>415983</v>
      </c>
      <c r="F64" s="526">
        <v>1</v>
      </c>
      <c r="G64" s="379">
        <f t="shared" si="6"/>
        <v>415983</v>
      </c>
      <c r="H64" s="526">
        <v>1</v>
      </c>
      <c r="I64" s="380">
        <f t="shared" si="7"/>
        <v>415983</v>
      </c>
    </row>
    <row r="65" spans="1:9">
      <c r="A65" s="231"/>
      <c r="B65" s="378" t="s">
        <v>1203</v>
      </c>
      <c r="C65" s="672" t="s">
        <v>2573</v>
      </c>
      <c r="D65" s="355" t="s">
        <v>2573</v>
      </c>
      <c r="E65" s="211">
        <f>150136.1</f>
        <v>150136.1</v>
      </c>
      <c r="F65" s="526">
        <v>1</v>
      </c>
      <c r="G65" s="379">
        <f t="shared" si="6"/>
        <v>150136.1</v>
      </c>
      <c r="H65" s="526">
        <v>1</v>
      </c>
      <c r="I65" s="380">
        <f t="shared" si="7"/>
        <v>150136.1</v>
      </c>
    </row>
    <row r="66" spans="1:9">
      <c r="A66" s="231"/>
      <c r="B66" s="378" t="s">
        <v>1203</v>
      </c>
      <c r="C66" s="672" t="s">
        <v>2573</v>
      </c>
      <c r="D66" s="355" t="s">
        <v>2573</v>
      </c>
      <c r="E66" s="211">
        <f>2533.43</f>
        <v>2533.4299999999998</v>
      </c>
      <c r="F66" s="526">
        <v>1</v>
      </c>
      <c r="G66" s="379">
        <f t="shared" si="6"/>
        <v>2533.4299999999998</v>
      </c>
      <c r="H66" s="526">
        <v>1</v>
      </c>
      <c r="I66" s="380">
        <f t="shared" si="7"/>
        <v>2533.4299999999998</v>
      </c>
    </row>
    <row r="67" spans="1:9">
      <c r="A67" s="231"/>
      <c r="B67" s="378" t="s">
        <v>1203</v>
      </c>
      <c r="C67" s="672" t="s">
        <v>2598</v>
      </c>
      <c r="D67" s="355" t="s">
        <v>2614</v>
      </c>
      <c r="E67" s="211">
        <f>31657.69</f>
        <v>31657.69</v>
      </c>
      <c r="F67" s="526">
        <v>1</v>
      </c>
      <c r="G67" s="379">
        <f t="shared" si="6"/>
        <v>31657.69</v>
      </c>
      <c r="H67" s="526">
        <v>1</v>
      </c>
      <c r="I67" s="380">
        <f t="shared" si="7"/>
        <v>31657.69</v>
      </c>
    </row>
    <row r="68" spans="1:9">
      <c r="A68" s="231"/>
      <c r="B68" s="378" t="s">
        <v>1203</v>
      </c>
      <c r="C68" s="672" t="s">
        <v>2595</v>
      </c>
      <c r="D68" s="355" t="s">
        <v>2581</v>
      </c>
      <c r="E68" s="211">
        <f>85009.25</f>
        <v>85009.25</v>
      </c>
      <c r="F68" s="526">
        <v>1</v>
      </c>
      <c r="G68" s="379">
        <f t="shared" si="6"/>
        <v>85009.25</v>
      </c>
      <c r="H68" s="526">
        <v>1</v>
      </c>
      <c r="I68" s="380">
        <f t="shared" si="7"/>
        <v>85009.25</v>
      </c>
    </row>
    <row r="69" spans="1:9">
      <c r="A69" s="231"/>
      <c r="B69" s="378" t="s">
        <v>1203</v>
      </c>
      <c r="C69" s="672" t="s">
        <v>2601</v>
      </c>
      <c r="D69" s="355" t="s">
        <v>2602</v>
      </c>
      <c r="E69" s="211">
        <f>108684.58</f>
        <v>108684.58</v>
      </c>
      <c r="F69" s="526">
        <v>1</v>
      </c>
      <c r="G69" s="379">
        <f t="shared" si="6"/>
        <v>108684.58</v>
      </c>
      <c r="H69" s="526">
        <v>1</v>
      </c>
      <c r="I69" s="380">
        <f t="shared" si="7"/>
        <v>108684.58</v>
      </c>
    </row>
    <row r="70" spans="1:9">
      <c r="A70" s="231"/>
      <c r="B70" s="378" t="s">
        <v>1203</v>
      </c>
      <c r="C70" s="672" t="s">
        <v>2601</v>
      </c>
      <c r="D70" s="355" t="s">
        <v>2604</v>
      </c>
      <c r="E70" s="211">
        <f>1933.73</f>
        <v>1933.73</v>
      </c>
      <c r="F70" s="526">
        <v>1</v>
      </c>
      <c r="G70" s="379">
        <f t="shared" si="6"/>
        <v>1933.73</v>
      </c>
      <c r="H70" s="526">
        <v>1</v>
      </c>
      <c r="I70" s="380">
        <f t="shared" si="7"/>
        <v>1933.73</v>
      </c>
    </row>
    <row r="71" spans="1:9">
      <c r="A71" s="231"/>
      <c r="B71" s="378" t="s">
        <v>1203</v>
      </c>
      <c r="C71" s="672" t="s">
        <v>2601</v>
      </c>
      <c r="D71" s="355" t="s">
        <v>2601</v>
      </c>
      <c r="E71" s="211">
        <f>38122.92</f>
        <v>38122.92</v>
      </c>
      <c r="F71" s="526">
        <v>1</v>
      </c>
      <c r="G71" s="379">
        <f t="shared" si="6"/>
        <v>38122.92</v>
      </c>
      <c r="H71" s="526">
        <v>1</v>
      </c>
      <c r="I71" s="380">
        <f t="shared" si="7"/>
        <v>38122.92</v>
      </c>
    </row>
    <row r="72" spans="1:9">
      <c r="A72" s="231"/>
      <c r="B72" s="378" t="s">
        <v>1203</v>
      </c>
      <c r="C72" s="672" t="s">
        <v>2573</v>
      </c>
      <c r="D72" s="355" t="s">
        <v>2573</v>
      </c>
      <c r="E72" s="211">
        <f>23485.53</f>
        <v>23485.53</v>
      </c>
      <c r="F72" s="526">
        <v>1</v>
      </c>
      <c r="G72" s="379">
        <f t="shared" si="6"/>
        <v>23485.53</v>
      </c>
      <c r="H72" s="526">
        <v>1</v>
      </c>
      <c r="I72" s="380">
        <f t="shared" si="7"/>
        <v>23485.53</v>
      </c>
    </row>
    <row r="73" spans="1:9">
      <c r="A73" s="231"/>
      <c r="B73" s="378" t="s">
        <v>1203</v>
      </c>
      <c r="C73" s="672" t="s">
        <v>2615</v>
      </c>
      <c r="D73" s="355" t="s">
        <v>2602</v>
      </c>
      <c r="E73" s="211">
        <f>25031.95</f>
        <v>25031.95</v>
      </c>
      <c r="F73" s="526">
        <v>1</v>
      </c>
      <c r="G73" s="379">
        <f t="shared" si="6"/>
        <v>25031.95</v>
      </c>
      <c r="H73" s="526">
        <v>1</v>
      </c>
      <c r="I73" s="380">
        <f t="shared" si="7"/>
        <v>25031.95</v>
      </c>
    </row>
    <row r="74" spans="1:9">
      <c r="A74" s="231"/>
      <c r="B74" s="378" t="s">
        <v>1203</v>
      </c>
      <c r="C74" s="672" t="s">
        <v>2616</v>
      </c>
      <c r="D74" s="355" t="s">
        <v>2573</v>
      </c>
      <c r="E74" s="211">
        <f>513.75</f>
        <v>513.75</v>
      </c>
      <c r="F74" s="526">
        <v>1</v>
      </c>
      <c r="G74" s="379">
        <f t="shared" si="6"/>
        <v>513.75</v>
      </c>
      <c r="H74" s="526">
        <v>1</v>
      </c>
      <c r="I74" s="380">
        <f t="shared" si="7"/>
        <v>513.75</v>
      </c>
    </row>
    <row r="75" spans="1:9">
      <c r="A75" s="231"/>
      <c r="B75" s="378" t="s">
        <v>1203</v>
      </c>
      <c r="C75" s="672" t="s">
        <v>2573</v>
      </c>
      <c r="D75" s="355" t="s">
        <v>2573</v>
      </c>
      <c r="E75" s="211">
        <f>18649.85</f>
        <v>18649.849999999999</v>
      </c>
      <c r="F75" s="526">
        <v>1</v>
      </c>
      <c r="G75" s="379">
        <f t="shared" si="6"/>
        <v>18649.849999999999</v>
      </c>
      <c r="H75" s="526">
        <v>1</v>
      </c>
      <c r="I75" s="380">
        <f t="shared" si="7"/>
        <v>18649.849999999999</v>
      </c>
    </row>
    <row r="76" spans="1:9">
      <c r="A76" s="231"/>
      <c r="B76" s="378" t="s">
        <v>1203</v>
      </c>
      <c r="C76" s="672" t="s">
        <v>2617</v>
      </c>
      <c r="D76" s="355" t="s">
        <v>2609</v>
      </c>
      <c r="E76" s="211">
        <f>2849.9</f>
        <v>2849.9</v>
      </c>
      <c r="F76" s="526">
        <v>1</v>
      </c>
      <c r="G76" s="379">
        <f t="shared" si="6"/>
        <v>2849.9</v>
      </c>
      <c r="H76" s="526">
        <v>1</v>
      </c>
      <c r="I76" s="380">
        <f t="shared" si="7"/>
        <v>2849.9</v>
      </c>
    </row>
    <row r="77" spans="1:9">
      <c r="A77" s="231"/>
      <c r="B77" s="378" t="s">
        <v>1203</v>
      </c>
      <c r="C77" s="672" t="s">
        <v>2618</v>
      </c>
      <c r="D77" s="355" t="s">
        <v>2609</v>
      </c>
      <c r="E77" s="211">
        <f>6624.56</f>
        <v>6624.56</v>
      </c>
      <c r="F77" s="526">
        <v>1</v>
      </c>
      <c r="G77" s="379">
        <f t="shared" si="6"/>
        <v>6624.56</v>
      </c>
      <c r="H77" s="526">
        <v>1</v>
      </c>
      <c r="I77" s="380">
        <f t="shared" si="7"/>
        <v>6624.56</v>
      </c>
    </row>
    <row r="78" spans="1:9">
      <c r="A78" s="231"/>
      <c r="B78" s="378" t="s">
        <v>1203</v>
      </c>
      <c r="C78" s="672" t="s">
        <v>2619</v>
      </c>
      <c r="D78" s="355" t="s">
        <v>2585</v>
      </c>
      <c r="E78" s="211">
        <f>98002.74</f>
        <v>98002.74</v>
      </c>
      <c r="F78" s="526">
        <v>1</v>
      </c>
      <c r="G78" s="379">
        <f t="shared" si="6"/>
        <v>98002.74</v>
      </c>
      <c r="H78" s="526">
        <v>1</v>
      </c>
      <c r="I78" s="380">
        <f t="shared" si="7"/>
        <v>98002.74</v>
      </c>
    </row>
    <row r="79" spans="1:9">
      <c r="A79" s="231"/>
      <c r="B79" s="378" t="s">
        <v>1203</v>
      </c>
      <c r="C79" s="672" t="s">
        <v>2573</v>
      </c>
      <c r="D79" s="355" t="s">
        <v>2573</v>
      </c>
      <c r="E79" s="211">
        <f>3247.51</f>
        <v>3247.51</v>
      </c>
      <c r="F79" s="526">
        <v>1</v>
      </c>
      <c r="G79" s="379">
        <f t="shared" si="6"/>
        <v>3247.51</v>
      </c>
      <c r="H79" s="526">
        <v>1</v>
      </c>
      <c r="I79" s="380">
        <f t="shared" si="7"/>
        <v>3247.51</v>
      </c>
    </row>
    <row r="80" spans="1:9">
      <c r="A80" s="231"/>
      <c r="B80" s="378" t="s">
        <v>1203</v>
      </c>
      <c r="C80" s="672" t="s">
        <v>2595</v>
      </c>
      <c r="D80" s="355" t="s">
        <v>2581</v>
      </c>
      <c r="E80" s="211">
        <f>226333.26</f>
        <v>226333.26</v>
      </c>
      <c r="F80" s="526">
        <v>1</v>
      </c>
      <c r="G80" s="379">
        <f t="shared" si="6"/>
        <v>226333.26</v>
      </c>
      <c r="H80" s="526">
        <v>1</v>
      </c>
      <c r="I80" s="380">
        <f t="shared" si="7"/>
        <v>226333.26</v>
      </c>
    </row>
    <row r="81" spans="1:9">
      <c r="A81" s="231"/>
      <c r="B81" s="378" t="s">
        <v>1203</v>
      </c>
      <c r="C81" s="672" t="s">
        <v>2573</v>
      </c>
      <c r="D81" s="355" t="s">
        <v>2573</v>
      </c>
      <c r="E81" s="211">
        <f>13470.93</f>
        <v>13470.93</v>
      </c>
      <c r="F81" s="526">
        <v>1</v>
      </c>
      <c r="G81" s="379">
        <f t="shared" si="6"/>
        <v>13470.93</v>
      </c>
      <c r="H81" s="526">
        <v>1</v>
      </c>
      <c r="I81" s="380">
        <f t="shared" si="7"/>
        <v>13470.93</v>
      </c>
    </row>
    <row r="82" spans="1:9">
      <c r="A82" s="231"/>
      <c r="B82" s="378" t="s">
        <v>1203</v>
      </c>
      <c r="C82" s="672" t="s">
        <v>2620</v>
      </c>
      <c r="D82" s="355" t="s">
        <v>2614</v>
      </c>
      <c r="E82" s="211">
        <f>70114.66</f>
        <v>70114.66</v>
      </c>
      <c r="F82" s="526">
        <v>1</v>
      </c>
      <c r="G82" s="379">
        <f t="shared" si="6"/>
        <v>70114.66</v>
      </c>
      <c r="H82" s="526">
        <v>1</v>
      </c>
      <c r="I82" s="380">
        <f t="shared" si="7"/>
        <v>70114.66</v>
      </c>
    </row>
    <row r="83" spans="1:9">
      <c r="A83" s="231"/>
      <c r="B83" s="378" t="s">
        <v>1203</v>
      </c>
      <c r="C83" s="672" t="s">
        <v>2584</v>
      </c>
      <c r="D83" s="355" t="s">
        <v>2573</v>
      </c>
      <c r="E83" s="211">
        <f>1421.38</f>
        <v>1421.38</v>
      </c>
      <c r="F83" s="526">
        <v>1</v>
      </c>
      <c r="G83" s="379">
        <f t="shared" si="6"/>
        <v>1421.38</v>
      </c>
      <c r="H83" s="526">
        <v>1</v>
      </c>
      <c r="I83" s="380">
        <f t="shared" si="7"/>
        <v>1421.38</v>
      </c>
    </row>
    <row r="84" spans="1:9">
      <c r="A84" s="231"/>
      <c r="B84" s="378" t="s">
        <v>1203</v>
      </c>
      <c r="C84" s="672" t="s">
        <v>2621</v>
      </c>
      <c r="D84" s="355" t="s">
        <v>2614</v>
      </c>
      <c r="E84" s="211">
        <f>61004.73</f>
        <v>61004.73</v>
      </c>
      <c r="F84" s="526">
        <v>1</v>
      </c>
      <c r="G84" s="379">
        <f t="shared" si="6"/>
        <v>61004.73</v>
      </c>
      <c r="H84" s="526">
        <v>1</v>
      </c>
      <c r="I84" s="380">
        <f t="shared" si="7"/>
        <v>61004.73</v>
      </c>
    </row>
    <row r="85" spans="1:9">
      <c r="A85" s="231"/>
      <c r="B85" s="378" t="s">
        <v>1203</v>
      </c>
      <c r="C85" s="672" t="s">
        <v>2622</v>
      </c>
      <c r="D85" s="355" t="s">
        <v>2246</v>
      </c>
      <c r="E85" s="211">
        <f>202050</f>
        <v>202050</v>
      </c>
      <c r="F85" s="526">
        <v>1</v>
      </c>
      <c r="G85" s="379">
        <f t="shared" si="6"/>
        <v>202050</v>
      </c>
      <c r="H85" s="526">
        <v>1</v>
      </c>
      <c r="I85" s="380">
        <f t="shared" si="7"/>
        <v>202050</v>
      </c>
    </row>
    <row r="86" spans="1:9">
      <c r="A86" s="231"/>
      <c r="B86" s="378" t="s">
        <v>1203</v>
      </c>
      <c r="C86" s="672" t="s">
        <v>2573</v>
      </c>
      <c r="D86" s="355" t="s">
        <v>2573</v>
      </c>
      <c r="E86" s="211">
        <f>6760.85</f>
        <v>6760.85</v>
      </c>
      <c r="F86" s="526">
        <v>1</v>
      </c>
      <c r="G86" s="379">
        <f t="shared" si="6"/>
        <v>6760.85</v>
      </c>
      <c r="H86" s="526">
        <v>1</v>
      </c>
      <c r="I86" s="380">
        <f t="shared" si="7"/>
        <v>6760.85</v>
      </c>
    </row>
    <row r="87" spans="1:9">
      <c r="A87" s="231"/>
      <c r="B87" s="378" t="s">
        <v>1203</v>
      </c>
      <c r="C87" s="672" t="s">
        <v>2246</v>
      </c>
      <c r="D87" s="355" t="s">
        <v>2594</v>
      </c>
      <c r="E87" s="211">
        <f>121027.36</f>
        <v>121027.36</v>
      </c>
      <c r="F87" s="526">
        <v>1</v>
      </c>
      <c r="G87" s="379">
        <f t="shared" si="6"/>
        <v>121027.36</v>
      </c>
      <c r="H87" s="526">
        <v>1</v>
      </c>
      <c r="I87" s="380">
        <f t="shared" si="7"/>
        <v>121027.36</v>
      </c>
    </row>
    <row r="88" spans="1:9">
      <c r="A88" s="231"/>
      <c r="B88" s="378" t="s">
        <v>1203</v>
      </c>
      <c r="C88" s="672" t="s">
        <v>2573</v>
      </c>
      <c r="D88" s="355" t="s">
        <v>2573</v>
      </c>
      <c r="E88" s="211">
        <f>2483.93</f>
        <v>2483.9299999999998</v>
      </c>
      <c r="F88" s="526">
        <v>1</v>
      </c>
      <c r="G88" s="379">
        <f t="shared" si="6"/>
        <v>2483.9299999999998</v>
      </c>
      <c r="H88" s="526">
        <v>1</v>
      </c>
      <c r="I88" s="380">
        <f t="shared" si="7"/>
        <v>2483.9299999999998</v>
      </c>
    </row>
    <row r="89" spans="1:9">
      <c r="A89" s="231"/>
      <c r="B89" s="378" t="s">
        <v>1203</v>
      </c>
      <c r="C89" s="672" t="s">
        <v>2623</v>
      </c>
      <c r="D89" s="355" t="s">
        <v>2592</v>
      </c>
      <c r="E89" s="211">
        <f>454503.96</f>
        <v>454503.96</v>
      </c>
      <c r="F89" s="526">
        <v>1</v>
      </c>
      <c r="G89" s="379">
        <f t="shared" si="6"/>
        <v>454503.96</v>
      </c>
      <c r="H89" s="526">
        <v>1</v>
      </c>
      <c r="I89" s="380">
        <f t="shared" si="7"/>
        <v>454503.96</v>
      </c>
    </row>
    <row r="90" spans="1:9">
      <c r="A90" s="231"/>
      <c r="B90" s="378" t="s">
        <v>1203</v>
      </c>
      <c r="C90" s="672" t="s">
        <v>2573</v>
      </c>
      <c r="D90" s="355" t="s">
        <v>2573</v>
      </c>
      <c r="E90" s="211">
        <f>12877</f>
        <v>12877</v>
      </c>
      <c r="F90" s="526">
        <v>1</v>
      </c>
      <c r="G90" s="379">
        <f t="shared" si="6"/>
        <v>12877</v>
      </c>
      <c r="H90" s="526">
        <v>1</v>
      </c>
      <c r="I90" s="380">
        <f t="shared" si="7"/>
        <v>12877</v>
      </c>
    </row>
    <row r="91" spans="1:9">
      <c r="A91" s="231"/>
      <c r="B91" s="378" t="s">
        <v>1203</v>
      </c>
      <c r="C91" s="672" t="s">
        <v>2624</v>
      </c>
      <c r="D91" s="355" t="s">
        <v>2246</v>
      </c>
      <c r="E91" s="211">
        <f>20216.8</f>
        <v>20216.8</v>
      </c>
      <c r="F91" s="526">
        <v>1</v>
      </c>
      <c r="G91" s="379">
        <f t="shared" si="6"/>
        <v>20216.8</v>
      </c>
      <c r="H91" s="526">
        <v>1</v>
      </c>
      <c r="I91" s="380">
        <f t="shared" si="7"/>
        <v>20216.8</v>
      </c>
    </row>
    <row r="92" spans="1:9">
      <c r="A92" s="231"/>
      <c r="B92" s="378" t="s">
        <v>1203</v>
      </c>
      <c r="C92" s="672" t="s">
        <v>2573</v>
      </c>
      <c r="D92" s="355" t="s">
        <v>2573</v>
      </c>
      <c r="E92" s="211">
        <f>1978.87</f>
        <v>1978.87</v>
      </c>
      <c r="F92" s="526">
        <v>1</v>
      </c>
      <c r="G92" s="379">
        <f t="shared" si="6"/>
        <v>1978.87</v>
      </c>
      <c r="H92" s="526">
        <v>1</v>
      </c>
      <c r="I92" s="380">
        <f t="shared" si="7"/>
        <v>1978.87</v>
      </c>
    </row>
    <row r="93" spans="1:9">
      <c r="A93" s="231"/>
      <c r="B93" s="378" t="s">
        <v>1203</v>
      </c>
      <c r="C93" s="672" t="s">
        <v>2625</v>
      </c>
      <c r="D93" s="355" t="s">
        <v>2596</v>
      </c>
      <c r="E93" s="211">
        <f>36320.07</f>
        <v>36320.07</v>
      </c>
      <c r="F93" s="526">
        <v>1</v>
      </c>
      <c r="G93" s="379">
        <f t="shared" si="6"/>
        <v>36320.07</v>
      </c>
      <c r="H93" s="526">
        <v>1</v>
      </c>
      <c r="I93" s="380">
        <f t="shared" si="7"/>
        <v>36320.07</v>
      </c>
    </row>
    <row r="94" spans="1:9">
      <c r="A94" s="231"/>
      <c r="B94" s="378" t="s">
        <v>1203</v>
      </c>
      <c r="C94" s="672" t="s">
        <v>2573</v>
      </c>
      <c r="D94" s="355" t="s">
        <v>2573</v>
      </c>
      <c r="E94" s="211">
        <f>630.74</f>
        <v>630.74</v>
      </c>
      <c r="F94" s="526">
        <v>1</v>
      </c>
      <c r="G94" s="379">
        <f t="shared" si="6"/>
        <v>630.74</v>
      </c>
      <c r="H94" s="526">
        <v>1</v>
      </c>
      <c r="I94" s="380">
        <f t="shared" si="7"/>
        <v>630.74</v>
      </c>
    </row>
    <row r="95" spans="1:9">
      <c r="A95" s="231"/>
      <c r="B95" s="378" t="s">
        <v>1203</v>
      </c>
      <c r="C95" s="672" t="s">
        <v>2626</v>
      </c>
      <c r="D95" s="355" t="s">
        <v>2246</v>
      </c>
      <c r="E95" s="211">
        <f>23846.74</f>
        <v>23846.74</v>
      </c>
      <c r="F95" s="526">
        <v>1</v>
      </c>
      <c r="G95" s="379">
        <f t="shared" si="6"/>
        <v>23846.74</v>
      </c>
      <c r="H95" s="526">
        <v>1</v>
      </c>
      <c r="I95" s="380">
        <f t="shared" si="7"/>
        <v>23846.74</v>
      </c>
    </row>
    <row r="96" spans="1:9">
      <c r="A96" s="231"/>
      <c r="B96" s="378" t="s">
        <v>1203</v>
      </c>
      <c r="C96" s="672" t="s">
        <v>2627</v>
      </c>
      <c r="D96" s="355" t="s">
        <v>2628</v>
      </c>
      <c r="E96" s="211">
        <f>57731</f>
        <v>57731</v>
      </c>
      <c r="F96" s="526">
        <v>1</v>
      </c>
      <c r="G96" s="379">
        <f t="shared" si="6"/>
        <v>57731</v>
      </c>
      <c r="H96" s="526">
        <v>1</v>
      </c>
      <c r="I96" s="380">
        <f t="shared" si="7"/>
        <v>57731</v>
      </c>
    </row>
    <row r="97" spans="1:9">
      <c r="A97" s="231"/>
      <c r="B97" s="378" t="s">
        <v>1203</v>
      </c>
      <c r="C97" s="672" t="s">
        <v>2598</v>
      </c>
      <c r="D97" s="355" t="s">
        <v>2599</v>
      </c>
      <c r="E97" s="211">
        <f>144190.32</f>
        <v>144190.32</v>
      </c>
      <c r="F97" s="526">
        <v>1</v>
      </c>
      <c r="G97" s="379">
        <f t="shared" si="6"/>
        <v>144190.32</v>
      </c>
      <c r="H97" s="526">
        <v>1</v>
      </c>
      <c r="I97" s="380">
        <f t="shared" si="7"/>
        <v>144190.32</v>
      </c>
    </row>
    <row r="98" spans="1:9">
      <c r="A98" s="231"/>
      <c r="B98" s="378" t="s">
        <v>1203</v>
      </c>
      <c r="C98" s="672" t="s">
        <v>2599</v>
      </c>
      <c r="D98" s="355" t="s">
        <v>2599</v>
      </c>
      <c r="E98" s="211">
        <v>167020.06</v>
      </c>
      <c r="F98" s="526">
        <v>1</v>
      </c>
      <c r="G98" s="379">
        <f t="shared" si="6"/>
        <v>167020.06</v>
      </c>
      <c r="H98" s="526">
        <v>1</v>
      </c>
      <c r="I98" s="380">
        <f t="shared" si="7"/>
        <v>167020.06</v>
      </c>
    </row>
    <row r="99" spans="1:9">
      <c r="A99" s="231"/>
      <c r="B99" s="378" t="s">
        <v>1203</v>
      </c>
      <c r="C99" s="672" t="s">
        <v>2573</v>
      </c>
      <c r="D99" s="355" t="s">
        <v>2573</v>
      </c>
      <c r="E99" s="211">
        <v>2373.14</v>
      </c>
      <c r="F99" s="526">
        <v>1</v>
      </c>
      <c r="G99" s="379">
        <f t="shared" si="6"/>
        <v>2373.14</v>
      </c>
      <c r="H99" s="526">
        <v>1</v>
      </c>
      <c r="I99" s="380">
        <f t="shared" si="7"/>
        <v>2373.14</v>
      </c>
    </row>
    <row r="100" spans="1:9">
      <c r="A100" s="231"/>
      <c r="B100" s="378" t="s">
        <v>1203</v>
      </c>
      <c r="C100" s="672" t="s">
        <v>2602</v>
      </c>
      <c r="D100" s="355" t="s">
        <v>2602</v>
      </c>
      <c r="E100" s="211">
        <v>267248.89</v>
      </c>
      <c r="F100" s="526">
        <v>1</v>
      </c>
      <c r="G100" s="379">
        <f t="shared" si="6"/>
        <v>267248.89</v>
      </c>
      <c r="H100" s="526">
        <v>1</v>
      </c>
      <c r="I100" s="380">
        <f t="shared" si="7"/>
        <v>267248.89</v>
      </c>
    </row>
    <row r="101" spans="1:9">
      <c r="A101" s="231"/>
      <c r="B101" s="378" t="s">
        <v>1203</v>
      </c>
      <c r="C101" s="672" t="s">
        <v>2573</v>
      </c>
      <c r="D101" s="355" t="s">
        <v>2573</v>
      </c>
      <c r="E101" s="211">
        <v>16353.85</v>
      </c>
      <c r="F101" s="526">
        <v>1</v>
      </c>
      <c r="G101" s="379">
        <f t="shared" si="6"/>
        <v>16353.85</v>
      </c>
      <c r="H101" s="526">
        <v>1</v>
      </c>
      <c r="I101" s="380">
        <f t="shared" si="7"/>
        <v>16353.85</v>
      </c>
    </row>
    <row r="102" spans="1:9">
      <c r="A102" s="231"/>
      <c r="B102" s="378" t="s">
        <v>1203</v>
      </c>
      <c r="C102" s="672" t="s">
        <v>2629</v>
      </c>
      <c r="D102" s="355" t="s">
        <v>2614</v>
      </c>
      <c r="E102" s="211">
        <v>559892.23</v>
      </c>
      <c r="F102" s="526">
        <v>1</v>
      </c>
      <c r="G102" s="379">
        <f t="shared" si="6"/>
        <v>559892.23</v>
      </c>
      <c r="H102" s="526">
        <v>1</v>
      </c>
      <c r="I102" s="380">
        <f t="shared" si="7"/>
        <v>559892.23</v>
      </c>
    </row>
    <row r="103" spans="1:9">
      <c r="A103" s="231"/>
      <c r="B103" s="378" t="s">
        <v>1203</v>
      </c>
      <c r="C103" s="672" t="s">
        <v>2573</v>
      </c>
      <c r="D103" s="355" t="s">
        <v>2573</v>
      </c>
      <c r="E103" s="211">
        <v>33279.980000000003</v>
      </c>
      <c r="F103" s="526">
        <v>1</v>
      </c>
      <c r="G103" s="379">
        <f t="shared" si="6"/>
        <v>33279.980000000003</v>
      </c>
      <c r="H103" s="526">
        <v>1</v>
      </c>
      <c r="I103" s="380">
        <f t="shared" si="7"/>
        <v>33279.980000000003</v>
      </c>
    </row>
    <row r="104" spans="1:9">
      <c r="A104" s="231"/>
      <c r="B104" s="378" t="s">
        <v>1203</v>
      </c>
      <c r="C104" s="672" t="s">
        <v>2246</v>
      </c>
      <c r="D104" s="355" t="s">
        <v>2246</v>
      </c>
      <c r="E104" s="211">
        <v>1215753.6000000001</v>
      </c>
      <c r="F104" s="526">
        <v>1</v>
      </c>
      <c r="G104" s="379">
        <f t="shared" si="6"/>
        <v>1215753.6000000001</v>
      </c>
      <c r="H104" s="526">
        <v>1</v>
      </c>
      <c r="I104" s="380">
        <f t="shared" si="7"/>
        <v>1215753.6000000001</v>
      </c>
    </row>
    <row r="105" spans="1:9">
      <c r="A105" s="231"/>
      <c r="B105" s="378" t="s">
        <v>1203</v>
      </c>
      <c r="C105" s="672" t="s">
        <v>2573</v>
      </c>
      <c r="D105" s="355" t="s">
        <v>2573</v>
      </c>
      <c r="E105" s="211">
        <v>15472.91</v>
      </c>
      <c r="F105" s="526">
        <v>1</v>
      </c>
      <c r="G105" s="379">
        <f t="shared" si="6"/>
        <v>15472.91</v>
      </c>
      <c r="H105" s="526">
        <v>1</v>
      </c>
      <c r="I105" s="380">
        <f t="shared" si="7"/>
        <v>15472.91</v>
      </c>
    </row>
    <row r="106" spans="1:9">
      <c r="A106" s="231"/>
      <c r="B106" s="378" t="s">
        <v>1203</v>
      </c>
      <c r="C106" s="672" t="s">
        <v>2630</v>
      </c>
      <c r="D106" s="355" t="s">
        <v>2631</v>
      </c>
      <c r="E106" s="211">
        <v>5183000</v>
      </c>
      <c r="F106" s="526">
        <v>1</v>
      </c>
      <c r="G106" s="379">
        <f t="shared" si="6"/>
        <v>5183000</v>
      </c>
      <c r="H106" s="526">
        <v>1</v>
      </c>
      <c r="I106" s="380">
        <f t="shared" si="7"/>
        <v>5183000</v>
      </c>
    </row>
    <row r="107" spans="1:9" s="393" customFormat="1" ht="13.5" thickBot="1">
      <c r="A107" s="231"/>
      <c r="B107" s="378"/>
      <c r="C107" s="676" t="s">
        <v>407</v>
      </c>
      <c r="D107" s="381"/>
      <c r="E107" s="382">
        <f>SUM(E57:E106)</f>
        <v>10635412.15</v>
      </c>
      <c r="F107" s="383"/>
      <c r="G107" s="384">
        <f>SUM(G57:G106)</f>
        <v>10635412.15</v>
      </c>
      <c r="H107" s="381"/>
      <c r="I107" s="385">
        <f>SUM(I57:I106)</f>
        <v>10635412.15</v>
      </c>
    </row>
    <row r="108" spans="1:9" ht="13.5" thickTop="1">
      <c r="A108" s="231"/>
      <c r="B108" s="378" t="s">
        <v>1203</v>
      </c>
      <c r="C108" s="672" t="s">
        <v>2632</v>
      </c>
      <c r="D108" s="355" t="s">
        <v>2633</v>
      </c>
      <c r="E108" s="211">
        <f>636801.91</f>
        <v>636801.91</v>
      </c>
      <c r="F108" s="626">
        <v>0.63700000000000001</v>
      </c>
      <c r="G108" s="379">
        <f>E108*F108</f>
        <v>405642.81667000003</v>
      </c>
      <c r="H108" s="626">
        <v>0.81499999999999995</v>
      </c>
      <c r="I108" s="380">
        <f>E108*H108</f>
        <v>518993.55664999998</v>
      </c>
    </row>
    <row r="109" spans="1:9">
      <c r="A109" s="231"/>
      <c r="B109" s="378" t="s">
        <v>1203</v>
      </c>
      <c r="C109" s="672" t="s">
        <v>2573</v>
      </c>
      <c r="D109" s="355" t="s">
        <v>2573</v>
      </c>
      <c r="E109" s="211">
        <f>3422.21</f>
        <v>3422.21</v>
      </c>
      <c r="F109" s="626">
        <v>0.63700000000000001</v>
      </c>
      <c r="G109" s="379">
        <f t="shared" ref="G109:G128" si="8">E109*F109</f>
        <v>2179.9477700000002</v>
      </c>
      <c r="H109" s="626">
        <v>0.81499999999999995</v>
      </c>
      <c r="I109" s="380">
        <f t="shared" ref="I109:I128" si="9">E109*H109</f>
        <v>2789.10115</v>
      </c>
    </row>
    <row r="110" spans="1:9">
      <c r="A110" s="231"/>
      <c r="B110" s="378" t="s">
        <v>1203</v>
      </c>
      <c r="C110" s="672" t="s">
        <v>2634</v>
      </c>
      <c r="D110" s="355" t="s">
        <v>2635</v>
      </c>
      <c r="E110" s="211">
        <f>152203.76</f>
        <v>152203.76</v>
      </c>
      <c r="F110" s="626">
        <v>0.63700000000000001</v>
      </c>
      <c r="G110" s="379">
        <f t="shared" si="8"/>
        <v>96953.79512000001</v>
      </c>
      <c r="H110" s="626">
        <v>0.81499999999999995</v>
      </c>
      <c r="I110" s="380">
        <f t="shared" si="9"/>
        <v>124046.0644</v>
      </c>
    </row>
    <row r="111" spans="1:9">
      <c r="A111" s="231"/>
      <c r="B111" s="378" t="s">
        <v>1203</v>
      </c>
      <c r="C111" s="672" t="s">
        <v>2636</v>
      </c>
      <c r="D111" s="355" t="s">
        <v>2636</v>
      </c>
      <c r="E111" s="211">
        <v>276283.57</v>
      </c>
      <c r="F111" s="626">
        <v>0.63700000000000001</v>
      </c>
      <c r="G111" s="379">
        <f t="shared" si="8"/>
        <v>175992.63409000001</v>
      </c>
      <c r="H111" s="626">
        <v>0.81499999999999995</v>
      </c>
      <c r="I111" s="380">
        <f t="shared" si="9"/>
        <v>225171.10954999999</v>
      </c>
    </row>
    <row r="112" spans="1:9">
      <c r="A112" s="231"/>
      <c r="B112" s="378" t="s">
        <v>1203</v>
      </c>
      <c r="C112" s="672" t="s">
        <v>2573</v>
      </c>
      <c r="D112" s="355" t="s">
        <v>2573</v>
      </c>
      <c r="E112" s="211">
        <v>2835.11</v>
      </c>
      <c r="F112" s="626">
        <v>0.63700000000000001</v>
      </c>
      <c r="G112" s="379">
        <f t="shared" si="8"/>
        <v>1805.9650700000002</v>
      </c>
      <c r="H112" s="626">
        <v>0.81499999999999995</v>
      </c>
      <c r="I112" s="380">
        <f t="shared" si="9"/>
        <v>2310.61465</v>
      </c>
    </row>
    <row r="113" spans="1:9">
      <c r="A113" s="231"/>
      <c r="B113" s="378" t="s">
        <v>1203</v>
      </c>
      <c r="C113" s="672" t="s">
        <v>2595</v>
      </c>
      <c r="D113" s="355" t="s">
        <v>2637</v>
      </c>
      <c r="E113" s="211">
        <f>20893.47</f>
        <v>20893.47</v>
      </c>
      <c r="F113" s="626">
        <v>0.63700000000000001</v>
      </c>
      <c r="G113" s="379">
        <f t="shared" si="8"/>
        <v>13309.14039</v>
      </c>
      <c r="H113" s="626">
        <v>0.81499999999999995</v>
      </c>
      <c r="I113" s="380">
        <f t="shared" si="9"/>
        <v>17028.178049999999</v>
      </c>
    </row>
    <row r="114" spans="1:9">
      <c r="A114" s="231"/>
      <c r="B114" s="378" t="s">
        <v>1203</v>
      </c>
      <c r="C114" s="672" t="s">
        <v>2595</v>
      </c>
      <c r="D114" s="355" t="s">
        <v>2638</v>
      </c>
      <c r="E114" s="211">
        <f>20481.87</f>
        <v>20481.87</v>
      </c>
      <c r="F114" s="626">
        <v>0.63700000000000001</v>
      </c>
      <c r="G114" s="379">
        <f t="shared" si="8"/>
        <v>13046.95119</v>
      </c>
      <c r="H114" s="626">
        <v>0.81499999999999995</v>
      </c>
      <c r="I114" s="380">
        <f t="shared" si="9"/>
        <v>16692.724049999997</v>
      </c>
    </row>
    <row r="115" spans="1:9">
      <c r="A115" s="231"/>
      <c r="B115" s="378" t="s">
        <v>1203</v>
      </c>
      <c r="C115" s="672" t="s">
        <v>2573</v>
      </c>
      <c r="D115" s="355" t="s">
        <v>2573</v>
      </c>
      <c r="E115" s="211">
        <f>405078.07</f>
        <v>405078.07</v>
      </c>
      <c r="F115" s="626">
        <v>0.63700000000000001</v>
      </c>
      <c r="G115" s="379">
        <f t="shared" si="8"/>
        <v>258034.73059000002</v>
      </c>
      <c r="H115" s="626">
        <v>0.81499999999999995</v>
      </c>
      <c r="I115" s="380">
        <f t="shared" si="9"/>
        <v>330138.62705000001</v>
      </c>
    </row>
    <row r="116" spans="1:9">
      <c r="A116" s="231"/>
      <c r="B116" s="378" t="s">
        <v>1203</v>
      </c>
      <c r="C116" s="672" t="s">
        <v>2639</v>
      </c>
      <c r="D116" s="355" t="s">
        <v>2640</v>
      </c>
      <c r="E116" s="211">
        <f>651815.82</f>
        <v>651815.81999999995</v>
      </c>
      <c r="F116" s="626">
        <v>0.63700000000000001</v>
      </c>
      <c r="G116" s="379">
        <f t="shared" si="8"/>
        <v>415206.67733999999</v>
      </c>
      <c r="H116" s="626">
        <v>0.81499999999999995</v>
      </c>
      <c r="I116" s="380">
        <f t="shared" si="9"/>
        <v>531229.89329999988</v>
      </c>
    </row>
    <row r="117" spans="1:9">
      <c r="A117" s="231"/>
      <c r="B117" s="378" t="s">
        <v>1203</v>
      </c>
      <c r="C117" s="672" t="s">
        <v>2573</v>
      </c>
      <c r="D117" s="355" t="s">
        <v>2573</v>
      </c>
      <c r="E117" s="211">
        <f>39508.27</f>
        <v>39508.269999999997</v>
      </c>
      <c r="F117" s="626">
        <v>0.63700000000000001</v>
      </c>
      <c r="G117" s="379">
        <f t="shared" si="8"/>
        <v>25166.767989999997</v>
      </c>
      <c r="H117" s="626">
        <v>0.81499999999999995</v>
      </c>
      <c r="I117" s="380">
        <f t="shared" si="9"/>
        <v>32199.240049999997</v>
      </c>
    </row>
    <row r="118" spans="1:9">
      <c r="A118" s="231"/>
      <c r="B118" s="378" t="s">
        <v>1203</v>
      </c>
      <c r="C118" s="672" t="s">
        <v>2641</v>
      </c>
      <c r="D118" s="355" t="s">
        <v>2641</v>
      </c>
      <c r="E118" s="211">
        <v>153427.82999999999</v>
      </c>
      <c r="F118" s="626">
        <v>0.63700000000000001</v>
      </c>
      <c r="G118" s="379">
        <f t="shared" si="8"/>
        <v>97733.527709999995</v>
      </c>
      <c r="H118" s="626">
        <v>0.81499999999999995</v>
      </c>
      <c r="I118" s="380">
        <f t="shared" si="9"/>
        <v>125043.68144999997</v>
      </c>
    </row>
    <row r="119" spans="1:9">
      <c r="A119" s="231"/>
      <c r="B119" s="378" t="s">
        <v>1203</v>
      </c>
      <c r="C119" s="672" t="s">
        <v>2573</v>
      </c>
      <c r="D119" s="355" t="s">
        <v>2573</v>
      </c>
      <c r="E119" s="211">
        <v>2051.63</v>
      </c>
      <c r="F119" s="626">
        <v>0.63700000000000001</v>
      </c>
      <c r="G119" s="379">
        <f t="shared" si="8"/>
        <v>1306.88831</v>
      </c>
      <c r="H119" s="626">
        <v>0.81499999999999995</v>
      </c>
      <c r="I119" s="380">
        <f t="shared" si="9"/>
        <v>1672.07845</v>
      </c>
    </row>
    <row r="120" spans="1:9">
      <c r="A120" s="231"/>
      <c r="B120" s="378" t="s">
        <v>1203</v>
      </c>
      <c r="C120" s="672" t="s">
        <v>2598</v>
      </c>
      <c r="D120" s="355" t="s">
        <v>2614</v>
      </c>
      <c r="E120" s="211">
        <f>146114.62</f>
        <v>146114.62</v>
      </c>
      <c r="F120" s="626">
        <v>0.63700000000000001</v>
      </c>
      <c r="G120" s="379">
        <f t="shared" si="8"/>
        <v>93075.012940000001</v>
      </c>
      <c r="H120" s="626">
        <v>0.81499999999999995</v>
      </c>
      <c r="I120" s="380">
        <f t="shared" si="9"/>
        <v>119083.41529999999</v>
      </c>
    </row>
    <row r="121" spans="1:9">
      <c r="A121" s="231"/>
      <c r="B121" s="378" t="s">
        <v>1203</v>
      </c>
      <c r="C121" s="672" t="s">
        <v>2642</v>
      </c>
      <c r="D121" s="355" t="s">
        <v>2573</v>
      </c>
      <c r="E121" s="211">
        <f>1844.89</f>
        <v>1844.89</v>
      </c>
      <c r="F121" s="626">
        <v>0.63700000000000001</v>
      </c>
      <c r="G121" s="379">
        <f t="shared" si="8"/>
        <v>1175.1949300000001</v>
      </c>
      <c r="H121" s="626">
        <v>0.81499999999999995</v>
      </c>
      <c r="I121" s="380">
        <f t="shared" si="9"/>
        <v>1503.5853500000001</v>
      </c>
    </row>
    <row r="122" spans="1:9">
      <c r="A122" s="231"/>
      <c r="B122" s="378" t="s">
        <v>1203</v>
      </c>
      <c r="C122" s="672" t="s">
        <v>2643</v>
      </c>
      <c r="D122" s="355" t="s">
        <v>2573</v>
      </c>
      <c r="E122" s="211">
        <f>3844.64</f>
        <v>3844.64</v>
      </c>
      <c r="F122" s="626">
        <v>0.63700000000000001</v>
      </c>
      <c r="G122" s="379">
        <f t="shared" si="8"/>
        <v>2449.03568</v>
      </c>
      <c r="H122" s="626">
        <v>0.81499999999999995</v>
      </c>
      <c r="I122" s="380">
        <f t="shared" si="9"/>
        <v>3133.3815999999997</v>
      </c>
    </row>
    <row r="123" spans="1:9">
      <c r="A123" s="231"/>
      <c r="B123" s="378" t="s">
        <v>1203</v>
      </c>
      <c r="C123" s="672" t="s">
        <v>2644</v>
      </c>
      <c r="D123" s="355" t="s">
        <v>2645</v>
      </c>
      <c r="E123" s="211">
        <f>219050.16</f>
        <v>219050.16</v>
      </c>
      <c r="F123" s="626">
        <v>0.63700000000000001</v>
      </c>
      <c r="G123" s="379">
        <f t="shared" si="8"/>
        <v>139534.95191999999</v>
      </c>
      <c r="H123" s="626">
        <v>0.81499999999999995</v>
      </c>
      <c r="I123" s="380">
        <f t="shared" si="9"/>
        <v>178525.88039999999</v>
      </c>
    </row>
    <row r="124" spans="1:9">
      <c r="A124" s="231"/>
      <c r="B124" s="378" t="s">
        <v>1203</v>
      </c>
      <c r="C124" s="672" t="s">
        <v>2573</v>
      </c>
      <c r="D124" s="355" t="s">
        <v>2573</v>
      </c>
      <c r="E124" s="211">
        <f>285734.43</f>
        <v>285734.43</v>
      </c>
      <c r="F124" s="626">
        <v>0.63700000000000001</v>
      </c>
      <c r="G124" s="379">
        <f t="shared" si="8"/>
        <v>182012.83191000001</v>
      </c>
      <c r="H124" s="626">
        <v>0.81499999999999995</v>
      </c>
      <c r="I124" s="380">
        <f t="shared" si="9"/>
        <v>232873.56044999999</v>
      </c>
    </row>
    <row r="125" spans="1:9">
      <c r="A125" s="231"/>
      <c r="B125" s="378" t="s">
        <v>1203</v>
      </c>
      <c r="C125" s="672" t="s">
        <v>2646</v>
      </c>
      <c r="D125" s="355" t="s">
        <v>2647</v>
      </c>
      <c r="E125" s="211">
        <f>1929776.32</f>
        <v>1929776.32</v>
      </c>
      <c r="F125" s="626">
        <v>0.63700000000000001</v>
      </c>
      <c r="G125" s="379">
        <f t="shared" si="8"/>
        <v>1229267.51584</v>
      </c>
      <c r="H125" s="626">
        <v>0.81499999999999995</v>
      </c>
      <c r="I125" s="380">
        <f t="shared" si="9"/>
        <v>1572767.7008</v>
      </c>
    </row>
    <row r="126" spans="1:9">
      <c r="A126" s="231"/>
      <c r="B126" s="378" t="s">
        <v>1203</v>
      </c>
      <c r="C126" s="672" t="s">
        <v>2648</v>
      </c>
      <c r="D126" s="355" t="s">
        <v>2647</v>
      </c>
      <c r="E126" s="211">
        <f>303096.04</f>
        <v>303096.03999999998</v>
      </c>
      <c r="F126" s="626">
        <v>0.63700000000000001</v>
      </c>
      <c r="G126" s="379">
        <f t="shared" si="8"/>
        <v>193072.17747999998</v>
      </c>
      <c r="H126" s="626">
        <v>0.81499999999999995</v>
      </c>
      <c r="I126" s="380">
        <f t="shared" si="9"/>
        <v>247023.27259999997</v>
      </c>
    </row>
    <row r="127" spans="1:9">
      <c r="A127" s="231"/>
      <c r="B127" s="378" t="s">
        <v>1203</v>
      </c>
      <c r="C127" s="672" t="s">
        <v>2649</v>
      </c>
      <c r="D127" s="355" t="s">
        <v>2647</v>
      </c>
      <c r="E127" s="211">
        <f>1362394.81</f>
        <v>1362394.81</v>
      </c>
      <c r="F127" s="626">
        <v>0.63700000000000001</v>
      </c>
      <c r="G127" s="379">
        <f t="shared" si="8"/>
        <v>867845.49397000007</v>
      </c>
      <c r="H127" s="626">
        <v>0.81499999999999995</v>
      </c>
      <c r="I127" s="380">
        <f t="shared" si="9"/>
        <v>1110351.77015</v>
      </c>
    </row>
    <row r="128" spans="1:9">
      <c r="A128" s="231"/>
      <c r="B128" s="378" t="s">
        <v>1203</v>
      </c>
      <c r="C128" s="394" t="s">
        <v>2650</v>
      </c>
      <c r="D128" s="355" t="s">
        <v>2651</v>
      </c>
      <c r="E128" s="211">
        <v>1870192</v>
      </c>
      <c r="F128" s="626">
        <v>0.63700000000000001</v>
      </c>
      <c r="G128" s="379">
        <f t="shared" si="8"/>
        <v>1191312.304</v>
      </c>
      <c r="H128" s="626">
        <v>0.81499999999999995</v>
      </c>
      <c r="I128" s="380">
        <f t="shared" si="9"/>
        <v>1524206.48</v>
      </c>
    </row>
    <row r="129" spans="1:9" ht="13.5" thickBot="1">
      <c r="A129" s="395"/>
      <c r="B129" s="338"/>
      <c r="C129" s="677" t="s">
        <v>407</v>
      </c>
      <c r="D129" s="396"/>
      <c r="E129" s="397">
        <f>SUM(E108:E128)</f>
        <v>8486851.4300000016</v>
      </c>
      <c r="F129" s="396"/>
      <c r="G129" s="398">
        <f>SUM(G108:G128)</f>
        <v>5406124.3609100003</v>
      </c>
      <c r="H129" s="396"/>
      <c r="I129" s="399">
        <f>SUM(I108:I128)</f>
        <v>6916783.9154499993</v>
      </c>
    </row>
    <row r="130" spans="1:9">
      <c r="B130" s="393"/>
    </row>
  </sheetData>
  <hyperlinks>
    <hyperlink ref="C1" location="'Cover Sheets'!A16" display="(Back to Worksheet Links)" xr:uid="{00000000-0004-0000-0E00-000000000000}"/>
  </hyperlinks>
  <pageMargins left="0.7" right="0.7" top="0.75" bottom="0.75" header="0.3" footer="0.3"/>
  <pageSetup scale="52" fitToHeight="0" orientation="landscape" r:id="rId1"/>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pageSetUpPr fitToPage="1"/>
  </sheetPr>
  <dimension ref="A1:E22"/>
  <sheetViews>
    <sheetView view="pageBreakPreview" zoomScaleNormal="100" zoomScaleSheetLayoutView="100" workbookViewId="0"/>
  </sheetViews>
  <sheetFormatPr defaultColWidth="9.453125" defaultRowHeight="13"/>
  <cols>
    <col min="1" max="1" width="9.453125" style="228"/>
    <col min="2" max="2" width="47.453125" style="228" customWidth="1"/>
    <col min="3" max="3" width="38.54296875" style="228" customWidth="1"/>
    <col min="4" max="4" width="21" style="228" customWidth="1"/>
    <col min="5" max="5" width="22.453125" style="228" customWidth="1"/>
    <col min="6" max="16384" width="9.453125" style="228"/>
  </cols>
  <sheetData>
    <row r="1" spans="1:5" ht="14.5">
      <c r="A1" s="793" t="str">
        <f>'Cover Sheets'!A10:B10</f>
        <v>WAPA-UGP 2022 Rate Estimate Calculation</v>
      </c>
      <c r="B1" s="229"/>
      <c r="C1" s="229"/>
      <c r="D1" s="716" t="s">
        <v>43</v>
      </c>
    </row>
    <row r="2" spans="1:5">
      <c r="A2" s="795" t="s">
        <v>2652</v>
      </c>
      <c r="B2" s="230"/>
      <c r="C2" s="230"/>
      <c r="D2" s="743"/>
    </row>
    <row r="3" spans="1:5">
      <c r="A3" s="231" t="str">
        <f>'WS1-RateBase'!A4</f>
        <v>12 Months Ending 09/30/2022 ESTIMATE</v>
      </c>
      <c r="B3" s="230"/>
      <c r="C3" s="230"/>
      <c r="D3" s="250"/>
    </row>
    <row r="4" spans="1:5">
      <c r="A4" s="57"/>
      <c r="B4" s="232" t="s">
        <v>321</v>
      </c>
      <c r="C4" s="233" t="s">
        <v>2653</v>
      </c>
      <c r="D4" s="234" t="s">
        <v>48</v>
      </c>
    </row>
    <row r="5" spans="1:5" ht="13.5" thickBot="1">
      <c r="A5" s="235" t="s">
        <v>326</v>
      </c>
      <c r="B5" s="236">
        <v>-1</v>
      </c>
      <c r="C5" s="236">
        <v>-2</v>
      </c>
      <c r="D5" s="237">
        <v>-3</v>
      </c>
    </row>
    <row r="6" spans="1:5">
      <c r="A6" s="238">
        <v>1</v>
      </c>
      <c r="B6" s="347" t="s">
        <v>2703</v>
      </c>
      <c r="C6" s="211">
        <f>C19</f>
        <v>343497.85646502295</v>
      </c>
      <c r="D6" s="251" t="s">
        <v>2654</v>
      </c>
    </row>
    <row r="7" spans="1:5" ht="14.5">
      <c r="A7" s="238">
        <v>2</v>
      </c>
      <c r="B7" s="347" t="s">
        <v>2704</v>
      </c>
      <c r="C7" s="813">
        <v>-54417</v>
      </c>
      <c r="D7" s="555" t="s">
        <v>2561</v>
      </c>
      <c r="E7" s="529"/>
    </row>
    <row r="8" spans="1:5">
      <c r="A8" s="238">
        <v>3</v>
      </c>
      <c r="B8" s="802" t="s">
        <v>2705</v>
      </c>
      <c r="C8" s="814">
        <f>SUM(C6,C7)</f>
        <v>289080.85646502295</v>
      </c>
      <c r="D8" s="252" t="s">
        <v>2655</v>
      </c>
    </row>
    <row r="9" spans="1:5">
      <c r="A9" s="253"/>
      <c r="B9" s="347"/>
      <c r="C9" s="230"/>
      <c r="D9" s="252"/>
    </row>
    <row r="10" spans="1:5">
      <c r="A10" s="231"/>
      <c r="B10" s="348" t="s">
        <v>2656</v>
      </c>
      <c r="C10" s="230"/>
      <c r="D10" s="252"/>
    </row>
    <row r="11" spans="1:5">
      <c r="A11" s="254">
        <v>4</v>
      </c>
      <c r="B11" s="241" t="s">
        <v>2657</v>
      </c>
      <c r="C11" s="255">
        <f>'WS2-AllocFactor'!E35</f>
        <v>0.15857439829639788</v>
      </c>
      <c r="D11" s="244" t="s">
        <v>2658</v>
      </c>
    </row>
    <row r="12" spans="1:5" ht="13.5" thickBot="1">
      <c r="A12" s="254">
        <v>5</v>
      </c>
      <c r="B12" s="349" t="s">
        <v>2659</v>
      </c>
      <c r="C12" s="815">
        <f>'WS2-AllocFactor'!E36</f>
        <v>592327146.18350327</v>
      </c>
      <c r="D12" s="244" t="s">
        <v>2660</v>
      </c>
    </row>
    <row r="13" spans="1:5" ht="13.5" thickTop="1">
      <c r="A13" s="254">
        <v>6</v>
      </c>
      <c r="B13" s="349" t="s">
        <v>2661</v>
      </c>
      <c r="C13" s="211">
        <f>C11*C12</f>
        <v>93927920.800671548</v>
      </c>
      <c r="D13" s="252" t="s">
        <v>2662</v>
      </c>
    </row>
    <row r="14" spans="1:5" ht="13.5" thickBot="1">
      <c r="A14" s="254">
        <v>7</v>
      </c>
      <c r="B14" s="349" t="s">
        <v>2663</v>
      </c>
      <c r="C14" s="782">
        <v>2423000</v>
      </c>
      <c r="D14" s="244" t="s">
        <v>54</v>
      </c>
    </row>
    <row r="15" spans="1:5" ht="13.5" thickTop="1">
      <c r="A15" s="254">
        <v>8</v>
      </c>
      <c r="B15" s="241" t="s">
        <v>2664</v>
      </c>
      <c r="C15" s="812">
        <f>C13/C14</f>
        <v>38.765134461688632</v>
      </c>
      <c r="D15" s="252" t="s">
        <v>2665</v>
      </c>
    </row>
    <row r="16" spans="1:5">
      <c r="A16" s="254">
        <v>9</v>
      </c>
      <c r="B16" s="241" t="s">
        <v>2666</v>
      </c>
      <c r="C16" s="256">
        <f>8861</f>
        <v>8861</v>
      </c>
      <c r="D16" s="244" t="s">
        <v>55</v>
      </c>
    </row>
    <row r="17" spans="1:4">
      <c r="A17" s="254">
        <v>10</v>
      </c>
      <c r="B17" s="241" t="s">
        <v>2667</v>
      </c>
      <c r="C17" s="211">
        <f>C16*C15</f>
        <v>343497.85646502295</v>
      </c>
      <c r="D17" s="252" t="s">
        <v>2668</v>
      </c>
    </row>
    <row r="18" spans="1:4">
      <c r="A18" s="254">
        <v>18</v>
      </c>
      <c r="B18" s="241" t="s">
        <v>2669</v>
      </c>
      <c r="C18" s="816">
        <v>0</v>
      </c>
      <c r="D18" s="244" t="s">
        <v>56</v>
      </c>
    </row>
    <row r="19" spans="1:4">
      <c r="A19" s="254">
        <v>19</v>
      </c>
      <c r="B19" s="241" t="s">
        <v>2670</v>
      </c>
      <c r="C19" s="211">
        <f>C17+C18</f>
        <v>343497.85646502295</v>
      </c>
      <c r="D19" s="252"/>
    </row>
    <row r="20" spans="1:4">
      <c r="A20" s="556" t="s">
        <v>2671</v>
      </c>
      <c r="B20" s="230" t="s">
        <v>2672</v>
      </c>
      <c r="C20" s="230"/>
      <c r="D20" s="250"/>
    </row>
    <row r="21" spans="1:4">
      <c r="A21" s="556" t="s">
        <v>2673</v>
      </c>
      <c r="B21" s="230" t="s">
        <v>2674</v>
      </c>
      <c r="C21" s="230"/>
      <c r="D21" s="250"/>
    </row>
    <row r="22" spans="1:4" ht="13.5" thickBot="1">
      <c r="A22" s="625" t="s">
        <v>2675</v>
      </c>
      <c r="B22" s="248" t="s">
        <v>2676</v>
      </c>
      <c r="C22" s="248"/>
      <c r="D22" s="309"/>
    </row>
  </sheetData>
  <hyperlinks>
    <hyperlink ref="D1" location="'Cover Sheets'!A16" display="(Back to Worksheet Links)" xr:uid="{D9399423-58E5-43D5-8260-AFF44F88BFAE}"/>
  </hyperlinks>
  <pageMargins left="0.7" right="0.7" top="0.75" bottom="0.75" header="0.3" footer="0.3"/>
  <pageSetup fitToHeight="0" orientation="landscape" r:id="rId1"/>
  <headerFooter>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dimension ref="A1:D23"/>
  <sheetViews>
    <sheetView view="pageBreakPreview" zoomScaleNormal="100" zoomScaleSheetLayoutView="100" workbookViewId="0">
      <selection activeCell="B19" sqref="B19"/>
    </sheetView>
  </sheetViews>
  <sheetFormatPr defaultColWidth="9.453125" defaultRowHeight="13"/>
  <cols>
    <col min="1" max="1" width="9.453125" style="228"/>
    <col min="2" max="2" width="46.54296875" style="228" customWidth="1"/>
    <col min="3" max="3" width="39.453125" style="228" customWidth="1"/>
    <col min="4" max="4" width="20.81640625" style="228" customWidth="1"/>
    <col min="5" max="5" width="22.54296875" style="228" customWidth="1"/>
    <col min="6" max="16384" width="9.453125" style="228"/>
  </cols>
  <sheetData>
    <row r="1" spans="1:4" ht="14.5">
      <c r="A1" s="793" t="str">
        <f>'Cover Sheets'!A10:B10</f>
        <v>WAPA-UGP 2022 Rate Estimate Calculation</v>
      </c>
      <c r="B1" s="229"/>
      <c r="C1" s="229"/>
      <c r="D1" s="687" t="s">
        <v>43</v>
      </c>
    </row>
    <row r="2" spans="1:4">
      <c r="A2" s="795" t="s">
        <v>2677</v>
      </c>
      <c r="B2" s="230"/>
      <c r="C2" s="230"/>
      <c r="D2" s="250"/>
    </row>
    <row r="3" spans="1:4">
      <c r="A3" s="231" t="str">
        <f>'WS1-RateBase'!A4</f>
        <v>12 Months Ending 09/30/2022 ESTIMATE</v>
      </c>
      <c r="B3" s="230"/>
      <c r="C3" s="230"/>
      <c r="D3" s="250"/>
    </row>
    <row r="4" spans="1:4">
      <c r="A4" s="57"/>
      <c r="B4" s="232" t="s">
        <v>321</v>
      </c>
      <c r="C4" s="233" t="s">
        <v>2678</v>
      </c>
      <c r="D4" s="234" t="s">
        <v>48</v>
      </c>
    </row>
    <row r="5" spans="1:4" ht="13.5" thickBot="1">
      <c r="A5" s="235" t="s">
        <v>326</v>
      </c>
      <c r="B5" s="236">
        <v>-1</v>
      </c>
      <c r="C5" s="236">
        <v>-2</v>
      </c>
      <c r="D5" s="237">
        <v>-3</v>
      </c>
    </row>
    <row r="6" spans="1:4">
      <c r="A6" s="238">
        <v>1</v>
      </c>
      <c r="B6" s="239" t="s">
        <v>2657</v>
      </c>
      <c r="C6" s="240">
        <f>'WS2-AllocFactor'!E35</f>
        <v>0.15857439829639788</v>
      </c>
      <c r="D6" s="244" t="s">
        <v>2658</v>
      </c>
    </row>
    <row r="7" spans="1:4" ht="13.5" thickBot="1">
      <c r="A7" s="238">
        <v>2</v>
      </c>
      <c r="B7" s="241" t="s">
        <v>2659</v>
      </c>
      <c r="C7" s="817">
        <f>'WS2-AllocFactor'!E36</f>
        <v>592327146.18350327</v>
      </c>
      <c r="D7" s="244" t="s">
        <v>2660</v>
      </c>
    </row>
    <row r="8" spans="1:4" ht="13.5" thickTop="1">
      <c r="A8" s="238">
        <v>3</v>
      </c>
      <c r="B8" s="241" t="s">
        <v>2661</v>
      </c>
      <c r="C8" s="211">
        <f>C6*C7</f>
        <v>93927920.800671548</v>
      </c>
      <c r="D8" s="252" t="s">
        <v>2662</v>
      </c>
    </row>
    <row r="9" spans="1:4" ht="13.5" thickBot="1">
      <c r="A9" s="238">
        <v>4</v>
      </c>
      <c r="B9" s="242" t="s">
        <v>2663</v>
      </c>
      <c r="C9" s="783">
        <v>2423000</v>
      </c>
      <c r="D9" s="244" t="s">
        <v>54</v>
      </c>
    </row>
    <row r="10" spans="1:4" ht="13.5" thickTop="1">
      <c r="A10" s="238">
        <v>5</v>
      </c>
      <c r="B10" s="242" t="s">
        <v>2679</v>
      </c>
      <c r="C10" s="812">
        <f>C8/C9</f>
        <v>38.765134461688632</v>
      </c>
      <c r="D10" s="252" t="s">
        <v>2665</v>
      </c>
    </row>
    <row r="11" spans="1:4">
      <c r="A11" s="238">
        <v>6</v>
      </c>
      <c r="B11" s="242" t="s">
        <v>2680</v>
      </c>
      <c r="C11" s="818">
        <f>C10/12</f>
        <v>3.230427871807386</v>
      </c>
      <c r="D11" s="252" t="s">
        <v>2681</v>
      </c>
    </row>
    <row r="12" spans="1:4">
      <c r="A12" s="238">
        <v>7</v>
      </c>
      <c r="B12" s="243" t="s">
        <v>2682</v>
      </c>
      <c r="C12" s="784">
        <v>157000</v>
      </c>
      <c r="D12" s="244" t="s">
        <v>55</v>
      </c>
    </row>
    <row r="13" spans="1:4">
      <c r="A13" s="238">
        <v>8</v>
      </c>
      <c r="B13" s="243" t="s">
        <v>2683</v>
      </c>
      <c r="C13" s="784">
        <v>94000</v>
      </c>
      <c r="D13" s="244" t="s">
        <v>56</v>
      </c>
    </row>
    <row r="14" spans="1:4">
      <c r="A14" s="238">
        <v>9</v>
      </c>
      <c r="B14" s="243" t="s">
        <v>2684</v>
      </c>
      <c r="C14" s="245">
        <f xml:space="preserve"> (0.03*C12) + (0.03 *C13)</f>
        <v>7530</v>
      </c>
      <c r="D14" s="252" t="s">
        <v>2685</v>
      </c>
    </row>
    <row r="15" spans="1:4">
      <c r="A15" s="238">
        <v>10</v>
      </c>
      <c r="B15" s="246" t="s">
        <v>2686</v>
      </c>
      <c r="C15" s="780">
        <f>C10*C14</f>
        <v>291901.46249651542</v>
      </c>
      <c r="D15" s="252" t="s">
        <v>2687</v>
      </c>
    </row>
    <row r="16" spans="1:4">
      <c r="A16" s="238">
        <v>11</v>
      </c>
      <c r="B16" s="347" t="s">
        <v>2701</v>
      </c>
      <c r="C16" s="819">
        <v>-50468</v>
      </c>
      <c r="D16" s="554" t="s">
        <v>2561</v>
      </c>
    </row>
    <row r="17" spans="1:4">
      <c r="A17" s="238">
        <v>12</v>
      </c>
      <c r="B17" s="347" t="s">
        <v>2700</v>
      </c>
      <c r="C17" s="211">
        <v>42123.38</v>
      </c>
      <c r="D17" s="244" t="s">
        <v>58</v>
      </c>
    </row>
    <row r="18" spans="1:4">
      <c r="A18" s="238">
        <v>13</v>
      </c>
      <c r="B18" s="802" t="s">
        <v>2702</v>
      </c>
      <c r="C18" s="820">
        <f>C15+C16+C17</f>
        <v>283556.84249651543</v>
      </c>
      <c r="D18" s="250" t="s">
        <v>2688</v>
      </c>
    </row>
    <row r="19" spans="1:4">
      <c r="A19" s="247" t="s">
        <v>54</v>
      </c>
      <c r="B19" s="225" t="s">
        <v>2672</v>
      </c>
      <c r="C19" s="230"/>
      <c r="D19" s="250"/>
    </row>
    <row r="20" spans="1:4">
      <c r="A20" s="247" t="s">
        <v>55</v>
      </c>
      <c r="B20" s="350" t="s">
        <v>2689</v>
      </c>
      <c r="C20" s="230"/>
      <c r="D20" s="250"/>
    </row>
    <row r="21" spans="1:4">
      <c r="A21" s="247" t="s">
        <v>56</v>
      </c>
      <c r="B21" s="350" t="s">
        <v>2690</v>
      </c>
      <c r="C21" s="230"/>
      <c r="D21" s="250"/>
    </row>
    <row r="22" spans="1:4">
      <c r="A22" s="247" t="s">
        <v>57</v>
      </c>
      <c r="B22" s="230" t="s">
        <v>2691</v>
      </c>
      <c r="C22" s="230"/>
      <c r="D22" s="250"/>
    </row>
    <row r="23" spans="1:4" ht="13.5" thickBot="1">
      <c r="A23" s="553" t="s">
        <v>58</v>
      </c>
      <c r="B23" s="248" t="s">
        <v>2692</v>
      </c>
      <c r="C23" s="248"/>
      <c r="D23" s="309"/>
    </row>
  </sheetData>
  <hyperlinks>
    <hyperlink ref="D1" location="'Cover Sheets'!A16" display="(Back to Worksheet Links)" xr:uid="{00000000-0004-0000-1000-000000000000}"/>
  </hyperlinks>
  <pageMargins left="0.7" right="0.7" top="0.75" bottom="0.75" header="0.3" footer="0.3"/>
  <pageSetup orientation="landscape"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32"/>
  <sheetViews>
    <sheetView tabSelected="1" view="pageBreakPreview" topLeftCell="A12" zoomScale="90" zoomScaleNormal="100" zoomScaleSheetLayoutView="90" workbookViewId="0">
      <selection activeCell="A16" sqref="A16"/>
    </sheetView>
  </sheetViews>
  <sheetFormatPr defaultRowHeight="14.5"/>
  <cols>
    <col min="1" max="1" width="35.54296875" bestFit="1" customWidth="1"/>
    <col min="2" max="2" width="87.54296875" customWidth="1"/>
  </cols>
  <sheetData>
    <row r="1" spans="1:3" ht="45.75" customHeight="1">
      <c r="A1" s="562"/>
      <c r="B1" s="563"/>
    </row>
    <row r="2" spans="1:3" ht="40.5" customHeight="1">
      <c r="A2" s="564"/>
      <c r="B2" s="565"/>
    </row>
    <row r="3" spans="1:3" ht="46">
      <c r="A3" s="851" t="s">
        <v>0</v>
      </c>
      <c r="B3" s="852"/>
    </row>
    <row r="4" spans="1:3" ht="36">
      <c r="A4" s="855" t="s">
        <v>1</v>
      </c>
      <c r="B4" s="856"/>
    </row>
    <row r="5" spans="1:3" ht="46">
      <c r="A5" s="851" t="s">
        <v>2</v>
      </c>
      <c r="B5" s="852"/>
    </row>
    <row r="6" spans="1:3" ht="46">
      <c r="A6" s="851" t="s">
        <v>3</v>
      </c>
      <c r="B6" s="852"/>
    </row>
    <row r="7" spans="1:3" ht="22.4" customHeight="1">
      <c r="A7" s="566"/>
      <c r="B7" s="567"/>
    </row>
    <row r="8" spans="1:3" ht="46">
      <c r="A8" s="853" t="s">
        <v>4</v>
      </c>
      <c r="B8" s="854"/>
    </row>
    <row r="9" spans="1:3" ht="46">
      <c r="A9" s="566"/>
      <c r="B9" s="567"/>
    </row>
    <row r="10" spans="1:3" ht="46">
      <c r="A10" s="851" t="s">
        <v>5</v>
      </c>
      <c r="B10" s="852"/>
    </row>
    <row r="11" spans="1:3" ht="86.5" customHeight="1">
      <c r="A11" s="849" t="s">
        <v>6</v>
      </c>
      <c r="B11" s="850"/>
    </row>
    <row r="12" spans="1:3">
      <c r="A12" s="849" t="s">
        <v>7</v>
      </c>
      <c r="B12" s="850"/>
    </row>
    <row r="13" spans="1:3">
      <c r="A13" s="849" t="s">
        <v>8</v>
      </c>
      <c r="B13" s="850"/>
      <c r="C13" s="341"/>
    </row>
    <row r="14" spans="1:3">
      <c r="A14" s="785"/>
      <c r="B14" s="786"/>
      <c r="C14" s="341"/>
    </row>
    <row r="15" spans="1:3">
      <c r="A15" s="568" t="s">
        <v>9</v>
      </c>
      <c r="B15" s="569" t="s">
        <v>10</v>
      </c>
      <c r="C15" s="341"/>
    </row>
    <row r="16" spans="1:3">
      <c r="A16" s="564" t="s">
        <v>11</v>
      </c>
      <c r="B16" s="570" t="s">
        <v>12</v>
      </c>
    </row>
    <row r="17" spans="1:2">
      <c r="A17" s="564" t="s">
        <v>13</v>
      </c>
      <c r="B17" s="570" t="s">
        <v>14</v>
      </c>
    </row>
    <row r="18" spans="1:2">
      <c r="A18" s="564" t="s">
        <v>15</v>
      </c>
      <c r="B18" s="570" t="s">
        <v>16</v>
      </c>
    </row>
    <row r="19" spans="1:2">
      <c r="A19" s="564" t="s">
        <v>17</v>
      </c>
      <c r="B19" s="570" t="s">
        <v>18</v>
      </c>
    </row>
    <row r="20" spans="1:2">
      <c r="A20" s="564" t="s">
        <v>19</v>
      </c>
      <c r="B20" s="570" t="s">
        <v>20</v>
      </c>
    </row>
    <row r="21" spans="1:2">
      <c r="A21" s="564" t="s">
        <v>21</v>
      </c>
      <c r="B21" s="570" t="s">
        <v>22</v>
      </c>
    </row>
    <row r="22" spans="1:2">
      <c r="A22" s="564" t="s">
        <v>23</v>
      </c>
      <c r="B22" s="570" t="s">
        <v>24</v>
      </c>
    </row>
    <row r="23" spans="1:2">
      <c r="A23" s="564" t="s">
        <v>25</v>
      </c>
      <c r="B23" s="570" t="s">
        <v>26</v>
      </c>
    </row>
    <row r="24" spans="1:2">
      <c r="A24" s="564" t="s">
        <v>27</v>
      </c>
      <c r="B24" s="570" t="s">
        <v>28</v>
      </c>
    </row>
    <row r="25" spans="1:2">
      <c r="A25" s="564" t="s">
        <v>29</v>
      </c>
      <c r="B25" s="570" t="s">
        <v>30</v>
      </c>
    </row>
    <row r="26" spans="1:2">
      <c r="A26" s="564" t="s">
        <v>31</v>
      </c>
      <c r="B26" s="570" t="s">
        <v>32</v>
      </c>
    </row>
    <row r="27" spans="1:2">
      <c r="A27" s="564" t="s">
        <v>33</v>
      </c>
      <c r="B27" s="570" t="s">
        <v>34</v>
      </c>
    </row>
    <row r="28" spans="1:2">
      <c r="A28" s="564" t="s">
        <v>35</v>
      </c>
      <c r="B28" s="570" t="s">
        <v>36</v>
      </c>
    </row>
    <row r="29" spans="1:2">
      <c r="A29" s="564" t="s">
        <v>37</v>
      </c>
      <c r="B29" s="570" t="s">
        <v>38</v>
      </c>
    </row>
    <row r="30" spans="1:2">
      <c r="A30" s="564" t="s">
        <v>39</v>
      </c>
      <c r="B30" s="570" t="s">
        <v>40</v>
      </c>
    </row>
    <row r="31" spans="1:2">
      <c r="A31" s="564" t="s">
        <v>41</v>
      </c>
      <c r="B31" s="570" t="s">
        <v>42</v>
      </c>
    </row>
    <row r="32" spans="1:2" ht="15" thickBot="1">
      <c r="A32" s="571"/>
      <c r="B32" s="572"/>
    </row>
  </sheetData>
  <mergeCells count="9">
    <mergeCell ref="A13:B13"/>
    <mergeCell ref="A3:B3"/>
    <mergeCell ref="A5:B5"/>
    <mergeCell ref="A6:B6"/>
    <mergeCell ref="A8:B8"/>
    <mergeCell ref="A10:B10"/>
    <mergeCell ref="A11:B11"/>
    <mergeCell ref="A4:B4"/>
    <mergeCell ref="A12:B12"/>
  </mergeCells>
  <hyperlinks>
    <hyperlink ref="B16" location="'Summary-ATRR'!A1" display="Worksheet &quot;Summary-ATRR&quot; -- Calculation of ATRRs" xr:uid="{00000000-0004-0000-0000-000000000000}"/>
    <hyperlink ref="B17" location="'WS1-RateBase'!A1" display="Worksheet 1 -- Calculation of Rate Base" xr:uid="{00000000-0004-0000-0000-000001000000}"/>
    <hyperlink ref="B18" location="'WS2-AllocFactor'!A1" display="Worksheet 2 -- Allocation Factors" xr:uid="{00000000-0004-0000-0000-000002000000}"/>
    <hyperlink ref="B19" location="'WS3-RevCredits'!A1" display="Worksheet 3 -- Revenue Credit Detail" xr:uid="{00000000-0004-0000-0000-000003000000}"/>
    <hyperlink ref="B20" location="'WS4-CostData'!A1" display="Worksheet 4 -- Cost Support Data" xr:uid="{00000000-0004-0000-0000-000004000000}"/>
    <hyperlink ref="B21" location="'WS5-BPUz'!A1" display="Worksheet 5 -- SPP Base Plan Upgrades (BPU) - Zonal" xr:uid="{00000000-0004-0000-0000-000005000000}"/>
    <hyperlink ref="B22" location="'WS6-BPUr'!A1" display="Worksheet 6 -- SPP Base Plan Upgrades (BPU) - Regional " xr:uid="{00000000-0004-0000-0000-000006000000}"/>
    <hyperlink ref="B23" location="'WS7-BPUFac'!A1" display="Worksheet 7 -- SPP Base Plan Upgrades (BPU) - Facilities" xr:uid="{00000000-0004-0000-0000-000007000000}"/>
    <hyperlink ref="B24" location="'WS8-TranFac'!A1" display="Worksheet 8 -- Transmission Facilities" xr:uid="{00000000-0004-0000-0000-000008000000}"/>
    <hyperlink ref="B25" location="'WS9-AI-Incl'!A1" display="Worksheet 9 -- WAPA-UGP Facilities Included per SPP Tariff Attachment AI" xr:uid="{00000000-0004-0000-0000-000009000000}"/>
    <hyperlink ref="B26" location="'WS10-AI-Excl'!A1" display="Worksheet 10 -- WAPA-UGP Facilities Excluded per SPP Tariff Attachment AI" xr:uid="{00000000-0004-0000-0000-00000A000000}"/>
    <hyperlink ref="B27" location="'WS11-FacChanges'!A1" display="Worksheet 11 -- Facility Changes Detail" xr:uid="{00000000-0004-0000-0000-00000B000000}"/>
    <hyperlink ref="B28" location="'WS12-SSCD'!A1" display="Worksheet 12 -- Scheduling, System Control and Dispatch Service (SSCD) ARR" xr:uid="{00000000-0004-0000-0000-00000C000000}"/>
    <hyperlink ref="B29" location="'WS13-SSCDFac'!A1" display="Worksheet 13 -- Scheduling, System Control and Dispatch Service (SSCD) Facilities" xr:uid="{00000000-0004-0000-0000-00000D000000}"/>
    <hyperlink ref="B30" location="'WS14-Reg'!A1" display="Worksheet 14 -- Regulation and Frequency Response ARR" xr:uid="{00000000-0004-0000-0000-00000E000000}"/>
    <hyperlink ref="B31" location="'Cover Sheets'!A1" display="Worksheet 15 -- Reserves ARR" xr:uid="{00000000-0004-0000-0000-00000F000000}"/>
  </hyperlinks>
  <printOptions horizontalCentered="1" verticalCentered="1"/>
  <pageMargins left="0.7" right="0.7" top="0.75" bottom="0.75" header="0.3" footer="0.3"/>
  <pageSetup scale="99" fitToHeight="2" orientation="landscape" r:id="rId1"/>
  <rowBreaks count="1" manualBreakCount="1">
    <brk id="1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3"/>
  <sheetViews>
    <sheetView view="pageBreakPreview" zoomScaleNormal="100" zoomScaleSheetLayoutView="100" workbookViewId="0"/>
  </sheetViews>
  <sheetFormatPr defaultRowHeight="14.5"/>
  <cols>
    <col min="2" max="2" width="52.54296875" bestFit="1" customWidth="1"/>
    <col min="3" max="3" width="23.453125" customWidth="1"/>
    <col min="4" max="4" width="15.453125" bestFit="1" customWidth="1"/>
    <col min="5" max="5" width="13.1796875" customWidth="1"/>
    <col min="6" max="6" width="15.81640625" customWidth="1"/>
    <col min="7" max="7" width="12.54296875" customWidth="1"/>
    <col min="8" max="8" width="18.453125" bestFit="1" customWidth="1"/>
    <col min="9" max="10" width="8.54296875" customWidth="1"/>
    <col min="11" max="11" width="22.81640625" customWidth="1"/>
  </cols>
  <sheetData>
    <row r="1" spans="1:15">
      <c r="A1" s="525" t="str">
        <f>'Cover Sheets'!A10:B10</f>
        <v>WAPA-UGP 2022 Rate Estimate Calculation</v>
      </c>
      <c r="B1" s="485"/>
      <c r="C1" s="485"/>
      <c r="D1" s="486"/>
      <c r="E1" s="130"/>
      <c r="F1" s="128"/>
      <c r="G1" s="128"/>
      <c r="H1" s="529" t="s">
        <v>43</v>
      </c>
      <c r="I1" s="128"/>
      <c r="J1" s="488"/>
    </row>
    <row r="2" spans="1:15">
      <c r="A2" s="516" t="s">
        <v>44</v>
      </c>
      <c r="B2" s="91"/>
      <c r="C2" s="91"/>
      <c r="D2" s="221"/>
      <c r="E2" s="55"/>
      <c r="F2" s="73"/>
      <c r="G2" s="73"/>
      <c r="I2" s="73"/>
      <c r="J2" s="188"/>
    </row>
    <row r="3" spans="1:15">
      <c r="A3" s="516" t="s">
        <v>45</v>
      </c>
      <c r="B3" s="91"/>
      <c r="C3" s="91"/>
      <c r="D3" s="221"/>
      <c r="E3" s="55"/>
      <c r="F3" s="73"/>
      <c r="G3" s="73"/>
      <c r="H3" s="220" t="s">
        <v>46</v>
      </c>
      <c r="I3" s="73"/>
      <c r="J3" s="188"/>
    </row>
    <row r="4" spans="1:15">
      <c r="A4" s="59" t="s">
        <v>47</v>
      </c>
      <c r="B4" s="53"/>
      <c r="C4" s="220" t="s">
        <v>48</v>
      </c>
      <c r="D4" s="220" t="s">
        <v>49</v>
      </c>
      <c r="E4" s="220" t="s">
        <v>50</v>
      </c>
      <c r="F4" s="220" t="s">
        <v>51</v>
      </c>
      <c r="G4" s="220"/>
      <c r="H4" s="220" t="s">
        <v>52</v>
      </c>
      <c r="I4" s="53"/>
      <c r="J4" s="51"/>
    </row>
    <row r="5" spans="1:15" ht="15" thickBot="1">
      <c r="A5" s="64" t="s">
        <v>53</v>
      </c>
      <c r="B5" s="90" t="s">
        <v>54</v>
      </c>
      <c r="C5" s="90" t="s">
        <v>55</v>
      </c>
      <c r="D5" s="90" t="s">
        <v>56</v>
      </c>
      <c r="E5" s="48"/>
      <c r="F5" s="218" t="s">
        <v>57</v>
      </c>
      <c r="G5" s="218"/>
      <c r="H5" s="218" t="s">
        <v>58</v>
      </c>
      <c r="I5" s="46"/>
      <c r="J5" s="44"/>
    </row>
    <row r="6" spans="1:15">
      <c r="A6" s="133">
        <v>1</v>
      </c>
      <c r="B6" s="217" t="s">
        <v>59</v>
      </c>
      <c r="C6" s="490" t="s">
        <v>60</v>
      </c>
      <c r="D6" s="491"/>
      <c r="E6" s="492"/>
      <c r="F6" s="128"/>
      <c r="G6" s="128"/>
      <c r="H6" s="757">
        <f>'WS1-RateBase'!H7</f>
        <v>160025369.58237314</v>
      </c>
      <c r="I6" s="129"/>
      <c r="J6" s="493"/>
    </row>
    <row r="7" spans="1:15">
      <c r="A7" s="62">
        <v>2</v>
      </c>
      <c r="B7" s="628" t="s">
        <v>61</v>
      </c>
      <c r="C7" s="213"/>
      <c r="D7" s="84"/>
      <c r="E7" s="185"/>
      <c r="F7" s="73"/>
      <c r="G7" s="73"/>
      <c r="H7" s="758"/>
      <c r="I7" s="53"/>
      <c r="J7" s="51"/>
    </row>
    <row r="8" spans="1:15">
      <c r="A8" s="62">
        <v>3</v>
      </c>
      <c r="B8" s="628" t="s">
        <v>62</v>
      </c>
      <c r="C8" s="160" t="s">
        <v>63</v>
      </c>
      <c r="D8" s="778">
        <f>'WS3-RevCredits'!H8+'WS3-RevCredits'!H11</f>
        <v>-6094000</v>
      </c>
      <c r="E8" s="185" t="s">
        <v>64</v>
      </c>
      <c r="F8" s="489">
        <v>1</v>
      </c>
      <c r="G8" s="489"/>
      <c r="H8" s="759">
        <f t="shared" ref="H8:H13" si="0">D8*F8</f>
        <v>-6094000</v>
      </c>
      <c r="I8" s="53"/>
      <c r="J8" s="51"/>
      <c r="K8" s="549"/>
      <c r="L8" s="549"/>
      <c r="M8" s="549"/>
      <c r="N8" s="549"/>
      <c r="O8" s="549"/>
    </row>
    <row r="9" spans="1:15">
      <c r="A9" s="62">
        <v>4</v>
      </c>
      <c r="B9" s="628" t="s">
        <v>65</v>
      </c>
      <c r="C9" s="160" t="s">
        <v>66</v>
      </c>
      <c r="D9" s="778">
        <f>'WS3-RevCredits'!H14</f>
        <v>-2725000</v>
      </c>
      <c r="E9" s="185" t="s">
        <v>64</v>
      </c>
      <c r="F9" s="489">
        <v>1</v>
      </c>
      <c r="G9" s="489"/>
      <c r="H9" s="759">
        <f t="shared" si="0"/>
        <v>-2725000</v>
      </c>
      <c r="I9" s="53"/>
      <c r="J9" s="51"/>
    </row>
    <row r="10" spans="1:15">
      <c r="A10" s="62">
        <v>5</v>
      </c>
      <c r="B10" s="628" t="s">
        <v>67</v>
      </c>
      <c r="C10" s="160" t="s">
        <v>68</v>
      </c>
      <c r="D10" s="778">
        <f>'WS3-RevCredits'!H17</f>
        <v>-1170700</v>
      </c>
      <c r="E10" s="185" t="s">
        <v>64</v>
      </c>
      <c r="F10" s="489">
        <v>1</v>
      </c>
      <c r="G10" s="489"/>
      <c r="H10" s="759">
        <f t="shared" si="0"/>
        <v>-1170700</v>
      </c>
      <c r="I10" s="53"/>
      <c r="J10" s="51"/>
    </row>
    <row r="11" spans="1:15">
      <c r="A11" s="62">
        <v>6</v>
      </c>
      <c r="B11" s="628" t="s">
        <v>69</v>
      </c>
      <c r="C11" s="160" t="s">
        <v>2723</v>
      </c>
      <c r="D11" s="778">
        <f>-('WS12-SSCD'!C16)</f>
        <v>-12798965.525599413</v>
      </c>
      <c r="E11" s="185" t="s">
        <v>64</v>
      </c>
      <c r="F11" s="489">
        <v>1</v>
      </c>
      <c r="G11" s="489"/>
      <c r="H11" s="759">
        <f t="shared" si="0"/>
        <v>-12798965.525599413</v>
      </c>
      <c r="I11" s="53"/>
      <c r="J11" s="51"/>
    </row>
    <row r="12" spans="1:15">
      <c r="A12" s="62">
        <v>7</v>
      </c>
      <c r="B12" s="787" t="s">
        <v>70</v>
      </c>
      <c r="C12" s="160" t="s">
        <v>71</v>
      </c>
      <c r="D12" s="779">
        <f>'WS3-RevCredits'!H23</f>
        <v>-61359</v>
      </c>
      <c r="E12" s="185" t="s">
        <v>72</v>
      </c>
      <c r="F12" s="489">
        <v>1</v>
      </c>
      <c r="G12" s="489"/>
      <c r="H12" s="759">
        <f t="shared" si="0"/>
        <v>-61359</v>
      </c>
      <c r="I12" s="53"/>
      <c r="J12" s="51"/>
    </row>
    <row r="13" spans="1:15">
      <c r="A13" s="62">
        <v>8</v>
      </c>
      <c r="B13" s="787" t="s">
        <v>73</v>
      </c>
      <c r="C13" s="160"/>
      <c r="D13" s="779">
        <v>0</v>
      </c>
      <c r="E13" s="185" t="s">
        <v>64</v>
      </c>
      <c r="F13" s="489">
        <v>1</v>
      </c>
      <c r="G13" s="489"/>
      <c r="H13" s="759">
        <f t="shared" si="0"/>
        <v>0</v>
      </c>
      <c r="I13" s="53"/>
      <c r="J13" s="51"/>
    </row>
    <row r="14" spans="1:15">
      <c r="A14" s="62">
        <v>9</v>
      </c>
      <c r="B14" s="787" t="s">
        <v>74</v>
      </c>
      <c r="C14" s="160" t="s">
        <v>75</v>
      </c>
      <c r="D14" s="779">
        <f>'WS3-RevCredits'!H20</f>
        <v>-68400</v>
      </c>
      <c r="E14" s="185" t="s">
        <v>64</v>
      </c>
      <c r="F14" s="489">
        <v>1</v>
      </c>
      <c r="G14" s="489"/>
      <c r="H14" s="759">
        <f>D14*F14</f>
        <v>-68400</v>
      </c>
      <c r="I14" s="53"/>
      <c r="J14" s="51"/>
    </row>
    <row r="15" spans="1:15">
      <c r="A15" s="62">
        <v>10</v>
      </c>
      <c r="B15" s="628" t="s">
        <v>76</v>
      </c>
      <c r="C15" s="212" t="s">
        <v>77</v>
      </c>
      <c r="D15" s="780">
        <f>SUM(D8:D14)</f>
        <v>-22918424.525599413</v>
      </c>
      <c r="E15" s="182"/>
      <c r="F15" s="73"/>
      <c r="G15" s="73"/>
      <c r="H15" s="760">
        <f>SUM(H8:H14)</f>
        <v>-22918424.525599413</v>
      </c>
      <c r="I15" s="494"/>
      <c r="J15" s="178"/>
    </row>
    <row r="16" spans="1:15">
      <c r="A16" s="62">
        <v>11</v>
      </c>
      <c r="B16" s="628" t="s">
        <v>78</v>
      </c>
      <c r="C16" s="534" t="s">
        <v>79</v>
      </c>
      <c r="D16" s="12">
        <v>-721952</v>
      </c>
      <c r="E16" s="182"/>
      <c r="F16" s="73"/>
      <c r="G16" s="73"/>
      <c r="H16" s="811">
        <f>D16</f>
        <v>-721952</v>
      </c>
      <c r="I16" s="53"/>
      <c r="J16" s="51"/>
    </row>
    <row r="17" spans="1:11">
      <c r="A17" s="62">
        <v>12</v>
      </c>
      <c r="B17" s="826" t="s">
        <v>80</v>
      </c>
      <c r="C17" s="827" t="s">
        <v>81</v>
      </c>
      <c r="D17" s="828"/>
      <c r="E17" s="829"/>
      <c r="F17" s="830"/>
      <c r="G17" s="830"/>
      <c r="H17" s="831">
        <f>H6+H15+H16</f>
        <v>136384993.05677372</v>
      </c>
      <c r="I17" s="53"/>
      <c r="J17" s="51"/>
      <c r="K17" s="522"/>
    </row>
    <row r="18" spans="1:11">
      <c r="A18" s="62">
        <v>13</v>
      </c>
      <c r="B18" s="628"/>
      <c r="C18" s="212"/>
      <c r="D18" s="53"/>
      <c r="E18" s="182"/>
      <c r="F18" s="73"/>
      <c r="G18" s="73"/>
      <c r="H18" s="149"/>
      <c r="I18" s="53"/>
      <c r="J18" s="51"/>
    </row>
    <row r="19" spans="1:11">
      <c r="A19" s="832" t="s">
        <v>47</v>
      </c>
      <c r="B19" s="833"/>
      <c r="C19" s="834" t="s">
        <v>82</v>
      </c>
      <c r="D19" s="835" t="s">
        <v>83</v>
      </c>
      <c r="E19" s="835" t="s">
        <v>84</v>
      </c>
      <c r="F19" s="834" t="s">
        <v>85</v>
      </c>
      <c r="G19" s="834" t="s">
        <v>86</v>
      </c>
      <c r="H19" s="834" t="s">
        <v>52</v>
      </c>
      <c r="I19" s="833"/>
      <c r="J19" s="140"/>
    </row>
    <row r="20" spans="1:11" ht="15" thickBot="1">
      <c r="A20" s="64" t="s">
        <v>53</v>
      </c>
      <c r="B20" s="90" t="s">
        <v>54</v>
      </c>
      <c r="C20" s="90" t="s">
        <v>55</v>
      </c>
      <c r="D20" s="90" t="s">
        <v>56</v>
      </c>
      <c r="E20" s="218" t="s">
        <v>57</v>
      </c>
      <c r="F20" s="218" t="s">
        <v>58</v>
      </c>
      <c r="G20" s="218" t="s">
        <v>87</v>
      </c>
      <c r="H20" s="218" t="s">
        <v>88</v>
      </c>
      <c r="I20" s="46"/>
      <c r="J20" s="44"/>
    </row>
    <row r="21" spans="1:11">
      <c r="A21" s="62">
        <v>14</v>
      </c>
      <c r="B21" s="836" t="s">
        <v>89</v>
      </c>
      <c r="C21" s="764">
        <f>'WS5-BPUz'!M17+'WS6-BPUr'!M18</f>
        <v>883738.93867211917</v>
      </c>
      <c r="D21" s="764">
        <f>'WS5-BPUz'!M17</f>
        <v>765913.40619277454</v>
      </c>
      <c r="E21" s="765">
        <f>'WS6-BPUr'!M18</f>
        <v>117825.53247934466</v>
      </c>
      <c r="F21" s="766">
        <f>'WS5-BPUz'!N17+'WS6-BPUr'!N18</f>
        <v>-76825</v>
      </c>
      <c r="G21" s="766">
        <f>G22+G23</f>
        <v>64840</v>
      </c>
      <c r="H21" s="761">
        <f>C21+F21+G21</f>
        <v>871753.93867211917</v>
      </c>
      <c r="I21" s="53"/>
      <c r="J21" s="51"/>
    </row>
    <row r="22" spans="1:11">
      <c r="A22" s="62">
        <v>15</v>
      </c>
      <c r="B22" s="628" t="s">
        <v>90</v>
      </c>
      <c r="C22" s="767"/>
      <c r="D22" s="767"/>
      <c r="E22" s="768"/>
      <c r="F22" s="769"/>
      <c r="G22" s="774">
        <v>74476</v>
      </c>
      <c r="H22" s="759">
        <f>'WS5-BPUz'!P17</f>
        <v>771989.40619277442</v>
      </c>
      <c r="I22" s="53"/>
      <c r="J22" s="51"/>
    </row>
    <row r="23" spans="1:11">
      <c r="A23" s="62">
        <v>16</v>
      </c>
      <c r="B23" s="548" t="s">
        <v>91</v>
      </c>
      <c r="C23" s="770"/>
      <c r="D23" s="770"/>
      <c r="E23" s="771"/>
      <c r="F23" s="772"/>
      <c r="G23" s="837">
        <v>-9636</v>
      </c>
      <c r="H23" s="762">
        <f>'WS6-BPUr'!P18</f>
        <v>99764.532479344649</v>
      </c>
      <c r="I23" s="53"/>
      <c r="J23" s="51"/>
    </row>
    <row r="24" spans="1:11">
      <c r="A24" s="62">
        <v>17</v>
      </c>
      <c r="B24" s="628" t="s">
        <v>92</v>
      </c>
      <c r="C24" s="767"/>
      <c r="D24" s="767"/>
      <c r="E24" s="773"/>
      <c r="F24" s="774"/>
      <c r="G24" s="774"/>
      <c r="H24" s="759"/>
      <c r="I24" s="53"/>
      <c r="J24" s="51"/>
    </row>
    <row r="25" spans="1:11">
      <c r="A25" s="62">
        <v>18</v>
      </c>
      <c r="B25" s="628" t="s">
        <v>93</v>
      </c>
      <c r="C25" s="775">
        <f>'WS5-BPUz'!M6+'WS6-BPUr'!M6</f>
        <v>14119.801605200606</v>
      </c>
      <c r="D25" s="775">
        <f>'WS5-BPUz'!M6</f>
        <v>9460.2670754844057</v>
      </c>
      <c r="E25" s="773">
        <f>'WS6-BPUr'!M6</f>
        <v>4659.5345297162003</v>
      </c>
      <c r="F25" s="774">
        <f>'WS5-BPUz'!N6+'WS6-BPUr'!N6</f>
        <v>-1178.025907221119</v>
      </c>
      <c r="G25" s="774">
        <f>'WS5-BPUz'!O6+'WS6-BPUr'!O6</f>
        <v>538.83308732928162</v>
      </c>
      <c r="H25" s="759">
        <f>C25+F25+G25</f>
        <v>13480.608785308768</v>
      </c>
      <c r="I25" s="53"/>
      <c r="J25" s="51"/>
    </row>
    <row r="26" spans="1:11">
      <c r="A26" s="62">
        <v>19</v>
      </c>
      <c r="B26" s="628" t="s">
        <v>94</v>
      </c>
      <c r="C26" s="776">
        <f>'WS5-BPUz'!M7+'WS6-BPUr'!M7</f>
        <v>342885.42621956317</v>
      </c>
      <c r="D26" s="211">
        <f>'WS5-BPUz'!M7</f>
        <v>229733.23556710733</v>
      </c>
      <c r="E26" s="777">
        <f>'WS6-BPUr'!M7</f>
        <v>113152.19065245584</v>
      </c>
      <c r="F26" s="774">
        <f>'WS5-BPUz'!N7+'WS6-BPUr'!N7</f>
        <v>-28607.194816846877</v>
      </c>
      <c r="G26" s="774">
        <f>'WS5-BPUz'!O7+'WS6-BPUr'!O7</f>
        <v>13085.028952676908</v>
      </c>
      <c r="H26" s="759">
        <f t="shared" ref="H26:H28" si="1">C26+F26+G26</f>
        <v>327363.26035539323</v>
      </c>
      <c r="I26" s="53"/>
      <c r="J26" s="51"/>
    </row>
    <row r="27" spans="1:11">
      <c r="A27" s="62">
        <v>20</v>
      </c>
      <c r="B27" s="628" t="s">
        <v>95</v>
      </c>
      <c r="C27" s="776">
        <f>'WS5-BPUz'!M8</f>
        <v>526691.87055289291</v>
      </c>
      <c r="D27" s="211">
        <f>'WS5-BPUz'!M8</f>
        <v>526691.87055289291</v>
      </c>
      <c r="E27" s="777">
        <v>0</v>
      </c>
      <c r="F27" s="774">
        <f>'WS5-BPUz'!N8</f>
        <v>-47036.288507986348</v>
      </c>
      <c r="G27" s="774">
        <f>'WS5-BPUz'!O8</f>
        <v>51214.541270771799</v>
      </c>
      <c r="H27" s="759">
        <f t="shared" si="1"/>
        <v>530870.12331567833</v>
      </c>
      <c r="I27" s="53"/>
      <c r="J27" s="51"/>
    </row>
    <row r="28" spans="1:11">
      <c r="A28" s="62">
        <v>21</v>
      </c>
      <c r="B28" s="628" t="s">
        <v>96</v>
      </c>
      <c r="C28" s="776">
        <f>'WS5-BPUz'!M9+'WS6-BPUr'!M8</f>
        <v>41.840294462469444</v>
      </c>
      <c r="D28" s="211">
        <f>'WS5-BPUz'!M9</f>
        <v>28.032997289854524</v>
      </c>
      <c r="E28" s="777">
        <f>'WS6-BPUr'!M8</f>
        <v>13.807297172614916</v>
      </c>
      <c r="F28" s="774">
        <f>'WS5-BPUz'!N9+'WS6-BPUr'!N8</f>
        <v>-3.4907679456625806</v>
      </c>
      <c r="G28" s="774">
        <f>'WS5-BPUz'!O9+'WS6-BPUr'!O8</f>
        <v>1.5966892220125035</v>
      </c>
      <c r="H28" s="759">
        <f t="shared" si="1"/>
        <v>39.946215738819362</v>
      </c>
      <c r="I28" s="53"/>
      <c r="J28" s="51"/>
    </row>
    <row r="29" spans="1:11">
      <c r="A29" s="62">
        <v>23</v>
      </c>
      <c r="B29" s="628"/>
      <c r="C29" s="776"/>
      <c r="D29" s="211"/>
      <c r="E29" s="777"/>
      <c r="F29" s="774"/>
      <c r="G29" s="774"/>
      <c r="H29" s="759"/>
      <c r="I29" s="53"/>
      <c r="J29" s="51"/>
    </row>
    <row r="30" spans="1:11">
      <c r="A30" s="62">
        <v>24</v>
      </c>
      <c r="B30" s="628"/>
      <c r="C30" s="639"/>
      <c r="D30" s="637"/>
      <c r="E30" s="640"/>
      <c r="F30" s="638"/>
      <c r="G30" s="638"/>
      <c r="H30" s="759"/>
      <c r="I30" s="53"/>
      <c r="J30" s="51"/>
    </row>
    <row r="31" spans="1:11">
      <c r="A31" s="59">
        <v>25</v>
      </c>
      <c r="B31" s="668" t="s">
        <v>80</v>
      </c>
      <c r="C31" s="669"/>
      <c r="D31" s="669"/>
      <c r="E31" s="669"/>
      <c r="F31" s="669"/>
      <c r="G31" s="669"/>
      <c r="H31" s="763">
        <f>SUM(H25:H30)</f>
        <v>871753.93867211905</v>
      </c>
      <c r="I31" s="657"/>
      <c r="J31" s="657"/>
    </row>
    <row r="32" spans="1:11">
      <c r="B32" s="496"/>
    </row>
    <row r="33" spans="2:2">
      <c r="B33" s="496"/>
    </row>
  </sheetData>
  <hyperlinks>
    <hyperlink ref="H1" location="'Cover Sheets'!A16" display="(Back to Worksheet Links)" xr:uid="{00000000-0004-0000-0100-000000000000}"/>
  </hyperlinks>
  <pageMargins left="0.7" right="0.7" top="0.75" bottom="0.75" header="0.3" footer="0.3"/>
  <pageSetup scale="69"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W173"/>
  <sheetViews>
    <sheetView view="pageBreakPreview" zoomScale="80" zoomScaleNormal="75" zoomScaleSheetLayoutView="80" workbookViewId="0"/>
  </sheetViews>
  <sheetFormatPr defaultColWidth="9.453125" defaultRowHeight="13"/>
  <cols>
    <col min="1" max="1" width="7.54296875" style="33" customWidth="1"/>
    <col min="2" max="2" width="54.453125" style="33" customWidth="1"/>
    <col min="3" max="3" width="24.54296875" style="33" customWidth="1"/>
    <col min="4" max="4" width="20" style="33" customWidth="1"/>
    <col min="5" max="5" width="13.453125" style="36" customWidth="1"/>
    <col min="6" max="6" width="14.453125" style="35" customWidth="1"/>
    <col min="7" max="7" width="13.453125" style="33" customWidth="1"/>
    <col min="8" max="8" width="17.453125" style="33" customWidth="1"/>
    <col min="9" max="9" width="15.54296875" style="33" customWidth="1"/>
    <col min="10" max="10" width="23.453125" style="34" customWidth="1"/>
    <col min="11" max="11" width="21.453125" style="34" customWidth="1"/>
    <col min="12" max="12" width="20.54296875" style="34" customWidth="1"/>
    <col min="13" max="13" width="19.54296875" style="34" customWidth="1"/>
    <col min="14" max="14" width="22.453125" style="34" customWidth="1"/>
    <col min="15" max="15" width="15.54296875" style="34" customWidth="1"/>
    <col min="16" max="16384" width="9.453125" style="33"/>
  </cols>
  <sheetData>
    <row r="1" spans="1:12" ht="14.5">
      <c r="A1" s="793" t="str">
        <f>'Cover Sheets'!A10:B10</f>
        <v>WAPA-UGP 2022 Rate Estimate Calculation</v>
      </c>
      <c r="B1" s="131"/>
      <c r="C1" s="131"/>
      <c r="D1" s="131"/>
      <c r="E1" s="206"/>
      <c r="F1" s="224"/>
      <c r="G1" s="224"/>
      <c r="H1" s="224"/>
      <c r="I1" s="223"/>
      <c r="J1" s="527" t="s">
        <v>43</v>
      </c>
    </row>
    <row r="2" spans="1:12">
      <c r="A2" s="32" t="s">
        <v>97</v>
      </c>
      <c r="B2" s="91"/>
      <c r="C2" s="91"/>
      <c r="D2" s="221"/>
      <c r="E2" s="55"/>
      <c r="F2" s="73"/>
      <c r="G2" s="53"/>
      <c r="H2" s="73"/>
      <c r="I2" s="188"/>
      <c r="J2" s="37"/>
      <c r="L2" s="37"/>
    </row>
    <row r="3" spans="1:12">
      <c r="A3" s="222" t="s">
        <v>98</v>
      </c>
      <c r="B3" s="91"/>
      <c r="C3" s="91"/>
      <c r="D3" s="221"/>
      <c r="E3" s="55"/>
      <c r="F3" s="73"/>
      <c r="G3" s="53"/>
      <c r="H3" s="73"/>
      <c r="I3" s="188"/>
      <c r="J3" s="37"/>
      <c r="L3" s="37"/>
    </row>
    <row r="4" spans="1:12">
      <c r="A4" s="523" t="str">
        <f>'Summary-ATRR'!A3</f>
        <v>12 Months Ending 09/30/2022 ESTIMATE</v>
      </c>
      <c r="B4" s="524"/>
      <c r="C4" s="91"/>
      <c r="D4" s="221"/>
      <c r="E4" s="55"/>
      <c r="F4" s="73"/>
      <c r="G4" s="53"/>
      <c r="H4" s="220" t="s">
        <v>46</v>
      </c>
      <c r="I4" s="188"/>
      <c r="J4" s="37"/>
      <c r="L4" s="37"/>
    </row>
    <row r="5" spans="1:12">
      <c r="A5" s="59" t="s">
        <v>47</v>
      </c>
      <c r="B5" s="53"/>
      <c r="C5" s="220" t="s">
        <v>48</v>
      </c>
      <c r="D5" s="220" t="s">
        <v>99</v>
      </c>
      <c r="E5" s="220" t="s">
        <v>50</v>
      </c>
      <c r="F5" s="73"/>
      <c r="G5" s="53"/>
      <c r="H5" s="220" t="s">
        <v>100</v>
      </c>
      <c r="I5" s="51"/>
      <c r="J5" s="37"/>
      <c r="L5" s="37"/>
    </row>
    <row r="6" spans="1:12" ht="13.5" thickBot="1">
      <c r="A6" s="64" t="s">
        <v>53</v>
      </c>
      <c r="B6" s="90" t="s">
        <v>54</v>
      </c>
      <c r="C6" s="90" t="s">
        <v>55</v>
      </c>
      <c r="D6" s="90" t="s">
        <v>56</v>
      </c>
      <c r="E6" s="48"/>
      <c r="F6" s="219" t="s">
        <v>57</v>
      </c>
      <c r="G6" s="46"/>
      <c r="H6" s="218" t="s">
        <v>58</v>
      </c>
      <c r="I6" s="44"/>
      <c r="J6" s="37"/>
      <c r="L6" s="37"/>
    </row>
    <row r="7" spans="1:12">
      <c r="A7" s="133">
        <v>1</v>
      </c>
      <c r="B7" s="217" t="s">
        <v>101</v>
      </c>
      <c r="C7" s="216" t="str">
        <f>"(L"&amp;A90&amp;")"</f>
        <v>(L69)</v>
      </c>
      <c r="D7" s="215">
        <f>+H90</f>
        <v>160025369.58237314</v>
      </c>
      <c r="E7" s="214"/>
      <c r="F7" s="128"/>
      <c r="G7" s="129"/>
      <c r="H7" s="799">
        <f>+H90</f>
        <v>160025369.58237314</v>
      </c>
      <c r="I7" s="205"/>
      <c r="J7" s="37"/>
      <c r="L7" s="37"/>
    </row>
    <row r="8" spans="1:12">
      <c r="A8" s="62">
        <f>A7+1</f>
        <v>2</v>
      </c>
      <c r="B8" s="628" t="s">
        <v>61</v>
      </c>
      <c r="C8" s="212" t="s">
        <v>102</v>
      </c>
      <c r="D8" s="495">
        <f>'Summary-ATRR'!D15</f>
        <v>-22918424.525599413</v>
      </c>
      <c r="E8" s="182"/>
      <c r="F8" s="73"/>
      <c r="G8" s="53"/>
      <c r="H8" s="495">
        <f>'Summary-ATRR'!H15</f>
        <v>-22918424.525599413</v>
      </c>
      <c r="I8" s="63"/>
      <c r="J8" s="37"/>
      <c r="L8" s="37"/>
    </row>
    <row r="9" spans="1:12">
      <c r="A9" s="62">
        <f>A8+1</f>
        <v>3</v>
      </c>
      <c r="B9" s="628" t="s">
        <v>2721</v>
      </c>
      <c r="C9" s="212"/>
      <c r="D9" s="342">
        <f>'Summary-ATRR'!D16</f>
        <v>-721952</v>
      </c>
      <c r="E9" s="182"/>
      <c r="F9" s="73"/>
      <c r="G9" s="53"/>
      <c r="H9" s="342">
        <f>D9</f>
        <v>-721952</v>
      </c>
      <c r="I9" s="51"/>
      <c r="J9" s="37"/>
      <c r="L9" s="37"/>
    </row>
    <row r="10" spans="1:12" ht="13.5" thickBot="1">
      <c r="A10" s="62">
        <f>A9+1</f>
        <v>4</v>
      </c>
      <c r="B10" s="74" t="s">
        <v>103</v>
      </c>
      <c r="C10" s="177" t="str">
        <f>"(L"&amp;A7&amp;" + L"&amp;A8&amp;" + L"&amp;A9&amp;")"</f>
        <v>(L1 + L2 + L3)</v>
      </c>
      <c r="D10" s="781">
        <f>+D7+D8+D9</f>
        <v>136384993.05677372</v>
      </c>
      <c r="E10" s="176"/>
      <c r="F10" s="67"/>
      <c r="G10" s="45"/>
      <c r="H10" s="781">
        <f>+H7+H8+H9</f>
        <v>136384993.05677372</v>
      </c>
      <c r="I10" s="173"/>
      <c r="J10" s="37"/>
      <c r="L10" s="37"/>
    </row>
    <row r="11" spans="1:12">
      <c r="A11" s="133"/>
      <c r="B11" s="132" t="s">
        <v>104</v>
      </c>
      <c r="C11" s="210"/>
      <c r="D11" s="210"/>
      <c r="E11" s="209"/>
      <c r="F11" s="208"/>
      <c r="G11" s="207"/>
      <c r="H11" s="84" t="s">
        <v>105</v>
      </c>
      <c r="I11" s="205"/>
      <c r="J11" s="37"/>
      <c r="L11" s="37"/>
    </row>
    <row r="12" spans="1:12">
      <c r="A12" s="62"/>
      <c r="B12" s="787" t="s">
        <v>106</v>
      </c>
      <c r="C12" s="160" t="s">
        <v>107</v>
      </c>
      <c r="D12" s="160"/>
      <c r="E12" s="185"/>
      <c r="F12" s="149"/>
      <c r="G12" s="184"/>
      <c r="H12" s="52"/>
      <c r="I12" s="63"/>
      <c r="J12" s="37"/>
      <c r="L12" s="37"/>
    </row>
    <row r="13" spans="1:12">
      <c r="A13" s="62">
        <f>A10+1</f>
        <v>5</v>
      </c>
      <c r="B13" s="787" t="s">
        <v>108</v>
      </c>
      <c r="C13" s="187" t="s">
        <v>109</v>
      </c>
      <c r="D13" s="204">
        <f>'WS4-CostData'!C9+'WS4-CostData'!E9+'WS4-CostData'!G9</f>
        <v>1215278994.32634</v>
      </c>
      <c r="E13" s="185" t="s">
        <v>64</v>
      </c>
      <c r="F13" s="165" t="s">
        <v>110</v>
      </c>
      <c r="G13" s="184"/>
      <c r="H13" s="52" t="s">
        <v>110</v>
      </c>
      <c r="I13" s="63"/>
    </row>
    <row r="14" spans="1:12">
      <c r="A14" s="62">
        <f>A13+1</f>
        <v>6</v>
      </c>
      <c r="B14" s="787" t="s">
        <v>111</v>
      </c>
      <c r="C14" s="187" t="s">
        <v>112</v>
      </c>
      <c r="D14" s="204">
        <f>'WS4-CostData'!C8+'WS4-CostData'!E8+'WS4-CostData'!G8</f>
        <v>1565254709.6446595</v>
      </c>
      <c r="E14" s="185" t="s">
        <v>72</v>
      </c>
      <c r="F14" s="165">
        <f>H103</f>
        <v>1</v>
      </c>
      <c r="G14" s="184"/>
      <c r="H14" s="54">
        <f>+F14*D14</f>
        <v>1565254709.6446595</v>
      </c>
      <c r="I14" s="63"/>
    </row>
    <row r="15" spans="1:12">
      <c r="A15" s="62">
        <f>A14+1</f>
        <v>7</v>
      </c>
      <c r="B15" s="787" t="s">
        <v>113</v>
      </c>
      <c r="C15" s="187" t="s">
        <v>114</v>
      </c>
      <c r="D15" s="204">
        <f>'WS4-CostData'!C7-'WS4-CostData'!C8-'WS4-CostData'!C9</f>
        <v>63028853.070001446</v>
      </c>
      <c r="E15" s="185" t="s">
        <v>64</v>
      </c>
      <c r="F15" s="165" t="s">
        <v>110</v>
      </c>
      <c r="G15" s="184"/>
      <c r="H15" s="54" t="s">
        <v>110</v>
      </c>
      <c r="I15" s="203"/>
    </row>
    <row r="16" spans="1:12" ht="26">
      <c r="A16" s="62">
        <f>A15+1</f>
        <v>8</v>
      </c>
      <c r="B16" s="789" t="s">
        <v>115</v>
      </c>
      <c r="C16" s="194" t="s">
        <v>116</v>
      </c>
      <c r="D16" s="202">
        <v>0</v>
      </c>
      <c r="E16" s="192" t="s">
        <v>117</v>
      </c>
      <c r="F16" s="191">
        <f>H111</f>
        <v>1</v>
      </c>
      <c r="G16" s="190"/>
      <c r="H16" s="189">
        <f>+F16*D16</f>
        <v>0</v>
      </c>
      <c r="I16" s="63"/>
    </row>
    <row r="17" spans="1:12">
      <c r="A17" s="62">
        <f>A16+1</f>
        <v>9</v>
      </c>
      <c r="B17" s="787" t="s">
        <v>118</v>
      </c>
      <c r="C17" s="160"/>
      <c r="D17" s="201">
        <v>0</v>
      </c>
      <c r="E17" s="185" t="s">
        <v>119</v>
      </c>
      <c r="F17" s="165">
        <f>I124</f>
        <v>0</v>
      </c>
      <c r="G17" s="184"/>
      <c r="H17" s="54">
        <f>+F17*D17</f>
        <v>0</v>
      </c>
      <c r="I17" s="63"/>
    </row>
    <row r="18" spans="1:12">
      <c r="A18" s="62">
        <f>A17+1</f>
        <v>10</v>
      </c>
      <c r="B18" s="787" t="s">
        <v>120</v>
      </c>
      <c r="C18" s="160" t="str">
        <f>"(sum L"&amp;A13&amp;" : "&amp;A17&amp;")"</f>
        <v>(sum L5 : 9)</v>
      </c>
      <c r="D18" s="144">
        <f>SUM(D13:D17)</f>
        <v>2843562557.0410013</v>
      </c>
      <c r="E18" s="185" t="s">
        <v>121</v>
      </c>
      <c r="F18" s="195">
        <f>IF(H18&gt;0,H18/D18,0)</f>
        <v>0.55045552128575526</v>
      </c>
      <c r="G18" s="184"/>
      <c r="H18" s="141">
        <f>SUM(H13:H17)</f>
        <v>1565254709.6446595</v>
      </c>
      <c r="I18" s="199"/>
    </row>
    <row r="19" spans="1:12">
      <c r="A19" s="62"/>
      <c r="B19" s="787" t="s">
        <v>122</v>
      </c>
      <c r="C19" s="151"/>
      <c r="D19" s="160"/>
      <c r="E19" s="196"/>
      <c r="F19" s="149"/>
      <c r="G19" s="52"/>
      <c r="H19" s="149"/>
      <c r="I19" s="155"/>
    </row>
    <row r="20" spans="1:12">
      <c r="A20" s="62">
        <f>A18+1</f>
        <v>11</v>
      </c>
      <c r="B20" s="91" t="str">
        <f>+B13</f>
        <v xml:space="preserve">  Production</v>
      </c>
      <c r="C20" s="187" t="s">
        <v>123</v>
      </c>
      <c r="D20" s="160">
        <f>'WS4-CostData'!C20+'WS4-CostData'!E20+'WS4-CostData'!G20</f>
        <v>615057020.51403952</v>
      </c>
      <c r="E20" s="185" t="str">
        <f>+E13</f>
        <v>NA</v>
      </c>
      <c r="F20" s="165" t="str">
        <f>+F13</f>
        <v xml:space="preserve"> </v>
      </c>
      <c r="G20" s="184"/>
      <c r="H20" s="54" t="s">
        <v>110</v>
      </c>
      <c r="I20" s="155"/>
    </row>
    <row r="21" spans="1:12">
      <c r="A21" s="62">
        <f>A20+1</f>
        <v>12</v>
      </c>
      <c r="B21" s="91" t="str">
        <f>+B14</f>
        <v xml:space="preserve">  Transmission</v>
      </c>
      <c r="C21" s="187" t="s">
        <v>124</v>
      </c>
      <c r="D21" s="160">
        <f>'WS4-CostData'!C19+'WS4-CostData'!E19+'WS4-CostData'!G19</f>
        <v>803509096.06112027</v>
      </c>
      <c r="E21" s="185" t="str">
        <f>+E14</f>
        <v>TP</v>
      </c>
      <c r="F21" s="165">
        <f>H103</f>
        <v>1</v>
      </c>
      <c r="G21" s="184"/>
      <c r="H21" s="54">
        <f>+F21*D21</f>
        <v>803509096.06112027</v>
      </c>
      <c r="I21" s="155"/>
    </row>
    <row r="22" spans="1:12">
      <c r="A22" s="62">
        <f>A21+1</f>
        <v>13</v>
      </c>
      <c r="B22" s="91" t="str">
        <f>+B15</f>
        <v xml:space="preserve">  Distribution</v>
      </c>
      <c r="C22" s="187" t="s">
        <v>125</v>
      </c>
      <c r="D22" s="160">
        <f>'WS4-CostData'!C18-'WS4-CostData'!C19-'WS4-CostData'!C20</f>
        <v>32384650.504957348</v>
      </c>
      <c r="E22" s="185" t="str">
        <f>+E15</f>
        <v>NA</v>
      </c>
      <c r="F22" s="165" t="str">
        <f>+F15</f>
        <v xml:space="preserve"> </v>
      </c>
      <c r="G22" s="184"/>
      <c r="H22" s="54" t="s">
        <v>110</v>
      </c>
      <c r="I22" s="155"/>
    </row>
    <row r="23" spans="1:12" ht="26">
      <c r="A23" s="62">
        <f>A22+1</f>
        <v>14</v>
      </c>
      <c r="B23" s="200" t="str">
        <f>+B16</f>
        <v xml:space="preserve">  General &amp; Intangible</v>
      </c>
      <c r="C23" s="194" t="s">
        <v>126</v>
      </c>
      <c r="D23" s="193">
        <v>0</v>
      </c>
      <c r="E23" s="192" t="str">
        <f>+E16</f>
        <v>W/S</v>
      </c>
      <c r="F23" s="191">
        <f>+F16</f>
        <v>1</v>
      </c>
      <c r="G23" s="190"/>
      <c r="H23" s="189">
        <f>+F23*D23</f>
        <v>0</v>
      </c>
      <c r="I23" s="155"/>
    </row>
    <row r="24" spans="1:12">
      <c r="A24" s="62">
        <f>A23+1</f>
        <v>15</v>
      </c>
      <c r="B24" s="91" t="str">
        <f>+B17</f>
        <v xml:space="preserve">  Common</v>
      </c>
      <c r="C24" s="160"/>
      <c r="D24" s="197">
        <v>0</v>
      </c>
      <c r="E24" s="185" t="str">
        <f>+E17</f>
        <v>CE</v>
      </c>
      <c r="F24" s="165">
        <f>+F17</f>
        <v>0</v>
      </c>
      <c r="G24" s="184"/>
      <c r="H24" s="54">
        <f>+F24*D24</f>
        <v>0</v>
      </c>
      <c r="I24" s="63"/>
    </row>
    <row r="25" spans="1:12">
      <c r="A25" s="62">
        <f>A24+1</f>
        <v>16</v>
      </c>
      <c r="B25" s="787" t="s">
        <v>127</v>
      </c>
      <c r="C25" s="151" t="str">
        <f>"(sum L"&amp;A20&amp;" : "&amp;A24&amp;")"</f>
        <v>(sum L11 : 15)</v>
      </c>
      <c r="D25" s="144">
        <f>SUM(D20:D24)</f>
        <v>1450950767.0801172</v>
      </c>
      <c r="E25" s="196"/>
      <c r="F25" s="149"/>
      <c r="G25" s="184"/>
      <c r="H25" s="141">
        <f>SUM(H20:H24)</f>
        <v>803509096.06112027</v>
      </c>
      <c r="I25" s="199"/>
    </row>
    <row r="26" spans="1:12">
      <c r="A26" s="62"/>
      <c r="B26" s="787" t="s">
        <v>128</v>
      </c>
      <c r="C26" s="160"/>
      <c r="D26" s="160"/>
      <c r="E26" s="185"/>
      <c r="F26" s="149"/>
      <c r="G26" s="52"/>
      <c r="H26" s="149"/>
      <c r="I26" s="155"/>
    </row>
    <row r="27" spans="1:12">
      <c r="A27" s="62">
        <f>A25+1</f>
        <v>17</v>
      </c>
      <c r="B27" s="91" t="str">
        <f>+B20</f>
        <v xml:space="preserve">  Production</v>
      </c>
      <c r="C27" s="160" t="str">
        <f>"(L"&amp;A13&amp; " - L"&amp;A20&amp;")"</f>
        <v>(L5 - L11)</v>
      </c>
      <c r="D27" s="160">
        <f>D13-D20</f>
        <v>600221973.81230044</v>
      </c>
      <c r="E27" s="185"/>
      <c r="F27" s="195"/>
      <c r="G27" s="184"/>
      <c r="H27" s="54" t="s">
        <v>110</v>
      </c>
      <c r="I27" s="155"/>
    </row>
    <row r="28" spans="1:12">
      <c r="A28" s="62">
        <f>A27+1</f>
        <v>18</v>
      </c>
      <c r="B28" s="91" t="str">
        <f>+B21</f>
        <v xml:space="preserve">  Transmission</v>
      </c>
      <c r="C28" s="160" t="str">
        <f>"(L"&amp;A14&amp;" - L"&amp;A21&amp;")"</f>
        <v>(L6 - L12)</v>
      </c>
      <c r="D28" s="160">
        <f>D14-D21</f>
        <v>761745613.58353925</v>
      </c>
      <c r="E28" s="185"/>
      <c r="F28" s="165"/>
      <c r="G28" s="184"/>
      <c r="H28" s="54">
        <f>H14-H21</f>
        <v>761745613.58353925</v>
      </c>
      <c r="I28" s="155"/>
    </row>
    <row r="29" spans="1:12">
      <c r="A29" s="62">
        <f>A28+1</f>
        <v>19</v>
      </c>
      <c r="B29" s="91" t="str">
        <f>+B22</f>
        <v xml:space="preserve">  Distribution</v>
      </c>
      <c r="C29" s="160" t="str">
        <f>"(L"&amp;A15&amp;" - L"&amp;A22&amp;")"</f>
        <v>(L7 - L13)</v>
      </c>
      <c r="D29" s="160">
        <f>D15-D22</f>
        <v>30644202.565044098</v>
      </c>
      <c r="E29" s="185"/>
      <c r="F29" s="195"/>
      <c r="G29" s="184"/>
      <c r="H29" s="54" t="s">
        <v>110</v>
      </c>
      <c r="I29" s="155"/>
    </row>
    <row r="30" spans="1:12">
      <c r="A30" s="62">
        <f>A29+1</f>
        <v>20</v>
      </c>
      <c r="B30" s="91" t="str">
        <f>+B23</f>
        <v xml:space="preserve">  General &amp; Intangible</v>
      </c>
      <c r="C30" s="160" t="str">
        <f>"(L"&amp;A16&amp;" - L"&amp;A23&amp;")"</f>
        <v>(L8 - L14)</v>
      </c>
      <c r="D30" s="160">
        <f>D16-D23</f>
        <v>0</v>
      </c>
      <c r="E30" s="185"/>
      <c r="F30" s="195"/>
      <c r="G30" s="184"/>
      <c r="H30" s="54">
        <f>H16-H23</f>
        <v>0</v>
      </c>
      <c r="I30" s="63"/>
    </row>
    <row r="31" spans="1:12">
      <c r="A31" s="62">
        <f>A30+1</f>
        <v>21</v>
      </c>
      <c r="B31" s="91" t="str">
        <f>+B24</f>
        <v xml:space="preserve">  Common</v>
      </c>
      <c r="C31" s="160" t="str">
        <f>"(L"&amp;A17&amp;" - L"&amp;A24&amp;")"</f>
        <v>(L9 - L15)</v>
      </c>
      <c r="D31" s="160">
        <f>D17-D24</f>
        <v>0</v>
      </c>
      <c r="E31" s="185"/>
      <c r="F31" s="195"/>
      <c r="G31" s="184"/>
      <c r="H31" s="54">
        <f>H17-H24</f>
        <v>0</v>
      </c>
      <c r="I31" s="63"/>
      <c r="J31" s="37"/>
      <c r="L31" s="37"/>
    </row>
    <row r="32" spans="1:12">
      <c r="A32" s="62">
        <f>A31+1</f>
        <v>22</v>
      </c>
      <c r="B32" s="787" t="s">
        <v>129</v>
      </c>
      <c r="C32" s="160" t="str">
        <f>"(sum L"&amp;A27&amp;" : "&amp;A31&amp;")"</f>
        <v>(sum L17 : 21)</v>
      </c>
      <c r="D32" s="144">
        <f>SUM(D27:D31)</f>
        <v>1392611789.9608839</v>
      </c>
      <c r="E32" s="185" t="s">
        <v>130</v>
      </c>
      <c r="F32" s="195">
        <f>IF(H32&gt;0,H32/D32,0)</f>
        <v>0.54699063951263505</v>
      </c>
      <c r="G32" s="184"/>
      <c r="H32" s="141">
        <f>SUM(H27:H31)</f>
        <v>761745613.58353925</v>
      </c>
      <c r="I32" s="199"/>
      <c r="J32" s="37"/>
      <c r="L32" s="37"/>
    </row>
    <row r="33" spans="1:21">
      <c r="A33" s="62"/>
      <c r="B33" s="787" t="s">
        <v>131</v>
      </c>
      <c r="C33" s="151" t="s">
        <v>132</v>
      </c>
      <c r="D33" s="160"/>
      <c r="E33" s="196"/>
      <c r="F33" s="149"/>
      <c r="G33" s="52"/>
      <c r="H33" s="149"/>
      <c r="I33" s="63"/>
      <c r="J33" s="37"/>
      <c r="L33" s="37"/>
    </row>
    <row r="34" spans="1:21">
      <c r="A34" s="62">
        <f>A32+1</f>
        <v>23</v>
      </c>
      <c r="B34" s="787" t="s">
        <v>133</v>
      </c>
      <c r="C34" s="160" t="s">
        <v>134</v>
      </c>
      <c r="D34" s="197">
        <v>0</v>
      </c>
      <c r="E34" s="185"/>
      <c r="F34" s="165">
        <v>0</v>
      </c>
      <c r="G34" s="184"/>
      <c r="H34" s="54">
        <v>0</v>
      </c>
      <c r="I34" s="63"/>
      <c r="J34" s="37"/>
      <c r="L34" s="37"/>
    </row>
    <row r="35" spans="1:21">
      <c r="A35" s="62">
        <f t="shared" ref="A35:A40" si="0">A34+1</f>
        <v>24</v>
      </c>
      <c r="B35" s="787" t="s">
        <v>135</v>
      </c>
      <c r="C35" s="160" t="s">
        <v>134</v>
      </c>
      <c r="D35" s="197">
        <v>0</v>
      </c>
      <c r="E35" s="185" t="s">
        <v>136</v>
      </c>
      <c r="F35" s="165">
        <f>+F32</f>
        <v>0.54699063951263505</v>
      </c>
      <c r="G35" s="184"/>
      <c r="H35" s="54">
        <f>D35*F35</f>
        <v>0</v>
      </c>
      <c r="I35" s="155"/>
      <c r="J35" s="37"/>
      <c r="L35" s="37"/>
    </row>
    <row r="36" spans="1:21">
      <c r="A36" s="62">
        <f t="shared" si="0"/>
        <v>25</v>
      </c>
      <c r="B36" s="787" t="s">
        <v>137</v>
      </c>
      <c r="C36" s="160" t="s">
        <v>134</v>
      </c>
      <c r="D36" s="197">
        <v>0</v>
      </c>
      <c r="E36" s="185" t="s">
        <v>136</v>
      </c>
      <c r="F36" s="165">
        <f>+F35</f>
        <v>0.54699063951263505</v>
      </c>
      <c r="G36" s="184"/>
      <c r="H36" s="54">
        <f>D36*F36</f>
        <v>0</v>
      </c>
      <c r="I36" s="198"/>
      <c r="J36" s="37"/>
      <c r="L36" s="37"/>
    </row>
    <row r="37" spans="1:21">
      <c r="A37" s="62">
        <f t="shared" si="0"/>
        <v>26</v>
      </c>
      <c r="B37" s="787" t="s">
        <v>138</v>
      </c>
      <c r="C37" s="160"/>
      <c r="D37" s="197">
        <v>0</v>
      </c>
      <c r="E37" s="185" t="str">
        <f>+E36</f>
        <v>NP</v>
      </c>
      <c r="F37" s="165">
        <f>+F36</f>
        <v>0.54699063951263505</v>
      </c>
      <c r="G37" s="184"/>
      <c r="H37" s="54">
        <f>D37*F37</f>
        <v>0</v>
      </c>
      <c r="I37" s="155"/>
      <c r="J37" s="37"/>
      <c r="L37" s="37"/>
    </row>
    <row r="38" spans="1:21">
      <c r="A38" s="62">
        <f t="shared" si="0"/>
        <v>27</v>
      </c>
      <c r="B38" s="787" t="s">
        <v>139</v>
      </c>
      <c r="C38" s="160" t="s">
        <v>134</v>
      </c>
      <c r="D38" s="197">
        <v>0</v>
      </c>
      <c r="E38" s="185" t="s">
        <v>136</v>
      </c>
      <c r="F38" s="165">
        <f>+F36</f>
        <v>0.54699063951263505</v>
      </c>
      <c r="G38" s="184"/>
      <c r="H38" s="54">
        <f>D38*F38</f>
        <v>0</v>
      </c>
      <c r="I38" s="51"/>
      <c r="J38" s="37"/>
      <c r="L38" s="37"/>
    </row>
    <row r="39" spans="1:21">
      <c r="A39" s="62">
        <f t="shared" si="0"/>
        <v>28</v>
      </c>
      <c r="B39" s="787" t="s">
        <v>140</v>
      </c>
      <c r="C39" s="160" t="str">
        <f>"(sum L"&amp;A34&amp;" : "&amp;A38&amp;")"</f>
        <v>(sum L23 : 27)</v>
      </c>
      <c r="D39" s="144">
        <f>SUM(D34:D38)</f>
        <v>0</v>
      </c>
      <c r="E39" s="185"/>
      <c r="F39" s="149"/>
      <c r="G39" s="184"/>
      <c r="H39" s="141">
        <f>SUM(H34:H38)</f>
        <v>0</v>
      </c>
      <c r="I39" s="164"/>
      <c r="J39" s="37"/>
      <c r="L39" s="37"/>
    </row>
    <row r="40" spans="1:21">
      <c r="A40" s="62">
        <f t="shared" si="0"/>
        <v>29</v>
      </c>
      <c r="B40" s="787" t="s">
        <v>141</v>
      </c>
      <c r="C40" s="151" t="s">
        <v>142</v>
      </c>
      <c r="D40" s="197">
        <v>0</v>
      </c>
      <c r="E40" s="196" t="str">
        <f>+E21</f>
        <v>TP</v>
      </c>
      <c r="F40" s="165">
        <f>+F21</f>
        <v>1</v>
      </c>
      <c r="G40" s="52"/>
      <c r="H40" s="149">
        <f>+F40*D40</f>
        <v>0</v>
      </c>
      <c r="I40" s="51"/>
      <c r="J40" s="37"/>
      <c r="L40" s="37"/>
    </row>
    <row r="41" spans="1:21">
      <c r="A41" s="62"/>
      <c r="B41" s="787" t="s">
        <v>143</v>
      </c>
      <c r="C41" s="187" t="s">
        <v>144</v>
      </c>
      <c r="D41" s="160"/>
      <c r="E41" s="185"/>
      <c r="F41" s="149"/>
      <c r="G41" s="184"/>
      <c r="H41" s="54"/>
      <c r="I41" s="80"/>
      <c r="J41" s="37"/>
    </row>
    <row r="42" spans="1:21">
      <c r="A42" s="62">
        <f>A40+1</f>
        <v>30</v>
      </c>
      <c r="B42" s="787" t="s">
        <v>145</v>
      </c>
      <c r="C42" s="160" t="s">
        <v>146</v>
      </c>
      <c r="D42" s="160">
        <f>D61/8</f>
        <v>25593569.5</v>
      </c>
      <c r="E42" s="185"/>
      <c r="F42" s="195"/>
      <c r="G42" s="184"/>
      <c r="H42" s="54">
        <v>0</v>
      </c>
      <c r="I42" s="188"/>
      <c r="J42" s="37"/>
      <c r="L42" s="37"/>
    </row>
    <row r="43" spans="1:21" ht="26">
      <c r="A43" s="62">
        <f>A42+1</f>
        <v>31</v>
      </c>
      <c r="B43" s="789" t="s">
        <v>147</v>
      </c>
      <c r="C43" s="194" t="s">
        <v>148</v>
      </c>
      <c r="D43" s="193">
        <v>0</v>
      </c>
      <c r="E43" s="192" t="s">
        <v>149</v>
      </c>
      <c r="F43" s="191">
        <f>H104</f>
        <v>0</v>
      </c>
      <c r="G43" s="190"/>
      <c r="H43" s="189">
        <f>+F43*D43</f>
        <v>0</v>
      </c>
      <c r="I43" s="188"/>
      <c r="J43" s="37"/>
      <c r="L43" s="37"/>
    </row>
    <row r="44" spans="1:21">
      <c r="A44" s="62">
        <f>A43+1</f>
        <v>32</v>
      </c>
      <c r="B44" s="787" t="s">
        <v>150</v>
      </c>
      <c r="C44" s="187" t="s">
        <v>151</v>
      </c>
      <c r="D44" s="186">
        <v>0</v>
      </c>
      <c r="E44" s="185" t="s">
        <v>152</v>
      </c>
      <c r="F44" s="165">
        <f>+F18</f>
        <v>0.55045552128575526</v>
      </c>
      <c r="G44" s="184"/>
      <c r="H44" s="54">
        <f>+F44*D44</f>
        <v>0</v>
      </c>
      <c r="I44" s="788"/>
      <c r="J44" s="37"/>
      <c r="L44" s="37"/>
    </row>
    <row r="45" spans="1:21">
      <c r="A45" s="62">
        <f>A44+1</f>
        <v>33</v>
      </c>
      <c r="B45" s="787" t="s">
        <v>153</v>
      </c>
      <c r="C45" s="160" t="str">
        <f>"(sum L"&amp;A42&amp;" : "&amp;A44&amp;")"</f>
        <v>(sum L30 : 32)</v>
      </c>
      <c r="D45" s="183">
        <f>D42+D43+D44</f>
        <v>25593569.5</v>
      </c>
      <c r="E45" s="182"/>
      <c r="F45" s="181"/>
      <c r="G45" s="180"/>
      <c r="H45" s="179">
        <f>H42+H43+H44</f>
        <v>0</v>
      </c>
      <c r="I45" s="178"/>
      <c r="J45" s="37"/>
      <c r="L45" s="37"/>
    </row>
    <row r="46" spans="1:21" ht="13.5" thickBot="1">
      <c r="A46" s="70">
        <f>A45+1</f>
        <v>34</v>
      </c>
      <c r="B46" s="74" t="s">
        <v>154</v>
      </c>
      <c r="C46" s="177" t="str">
        <f>"(sum L"&amp;A32&amp;", "&amp;A39&amp;", "&amp;A40&amp;", "&amp;A45&amp;")"</f>
        <v>(sum L22, 28, 29, 33)</v>
      </c>
      <c r="D46" s="177">
        <f>+D45+D40+D39+D32</f>
        <v>1418205359.4608839</v>
      </c>
      <c r="E46" s="176"/>
      <c r="F46" s="175"/>
      <c r="G46" s="174"/>
      <c r="H46" s="67">
        <f>+H45+H40+H39+H32</f>
        <v>761745613.58353925</v>
      </c>
      <c r="I46" s="173"/>
      <c r="J46" s="37"/>
      <c r="L46" s="39"/>
    </row>
    <row r="47" spans="1:21">
      <c r="A47" s="133"/>
      <c r="B47" s="131" t="s">
        <v>155</v>
      </c>
      <c r="C47" s="172"/>
      <c r="D47" s="172"/>
      <c r="E47" s="171"/>
      <c r="F47" s="169"/>
      <c r="G47" s="170"/>
      <c r="H47" s="169"/>
      <c r="I47" s="168"/>
      <c r="M47" s="38"/>
      <c r="N47" s="38"/>
      <c r="O47" s="38"/>
      <c r="P47" s="124"/>
      <c r="Q47" s="124"/>
      <c r="R47" s="124"/>
      <c r="S47" s="124"/>
      <c r="T47" s="124"/>
      <c r="U47" s="124"/>
    </row>
    <row r="48" spans="1:21">
      <c r="A48" s="62"/>
      <c r="B48" s="787" t="s">
        <v>156</v>
      </c>
      <c r="C48" s="145" t="s">
        <v>157</v>
      </c>
      <c r="D48" s="145"/>
      <c r="E48" s="143"/>
      <c r="F48" s="152"/>
      <c r="G48" s="787"/>
      <c r="H48" s="152"/>
      <c r="I48" s="63"/>
    </row>
    <row r="49" spans="1:9" s="163" customFormat="1">
      <c r="A49" s="62">
        <f>A46+1</f>
        <v>35</v>
      </c>
      <c r="B49" s="787" t="s">
        <v>158</v>
      </c>
      <c r="C49" s="145" t="s">
        <v>159</v>
      </c>
      <c r="D49" s="151">
        <f>'WS4-CostData'!C121</f>
        <v>75043004.75</v>
      </c>
      <c r="E49" s="143" t="s">
        <v>160</v>
      </c>
      <c r="F49" s="165">
        <f>H116</f>
        <v>0.94850683976358785</v>
      </c>
      <c r="G49" s="52"/>
      <c r="H49" s="149">
        <f>+F49*D49</f>
        <v>71178803.281786412</v>
      </c>
      <c r="I49" s="63"/>
    </row>
    <row r="50" spans="1:9">
      <c r="A50" s="62">
        <f>A49+1</f>
        <v>36</v>
      </c>
      <c r="B50" s="787" t="s">
        <v>161</v>
      </c>
      <c r="C50" s="145" t="s">
        <v>162</v>
      </c>
      <c r="D50" s="151">
        <f>'WS4-CostData'!E121</f>
        <v>46417099</v>
      </c>
      <c r="E50" s="143" t="s">
        <v>163</v>
      </c>
      <c r="F50" s="165">
        <f>H119</f>
        <v>8.9355598691476593E-3</v>
      </c>
      <c r="G50" s="52"/>
      <c r="H50" s="149">
        <f>+F50*D50</f>
        <v>414762.76706665393</v>
      </c>
      <c r="I50" s="63"/>
    </row>
    <row r="51" spans="1:9">
      <c r="A51" s="62">
        <f>A50+1</f>
        <v>37</v>
      </c>
      <c r="B51" s="787" t="s">
        <v>164</v>
      </c>
      <c r="C51" s="145" t="s">
        <v>165</v>
      </c>
      <c r="D51" s="151">
        <f>'WS4-CostData'!G121</f>
        <v>54504188</v>
      </c>
      <c r="E51" s="143" t="s">
        <v>166</v>
      </c>
      <c r="F51" s="165">
        <f>H122</f>
        <v>7.542742895807332E-2</v>
      </c>
      <c r="G51" s="52"/>
      <c r="H51" s="149">
        <f>+F51*D51</f>
        <v>4111110.7682874724</v>
      </c>
      <c r="I51" s="63"/>
    </row>
    <row r="52" spans="1:9">
      <c r="A52" s="62">
        <f>A51+1</f>
        <v>38</v>
      </c>
      <c r="B52" s="787" t="s">
        <v>167</v>
      </c>
      <c r="C52" s="145" t="s">
        <v>168</v>
      </c>
      <c r="D52" s="151"/>
      <c r="E52" s="143" t="s">
        <v>64</v>
      </c>
      <c r="F52" s="165">
        <v>1</v>
      </c>
      <c r="G52" s="52"/>
      <c r="H52" s="149">
        <f>+F52*D52</f>
        <v>0</v>
      </c>
      <c r="I52" s="63"/>
    </row>
    <row r="53" spans="1:9">
      <c r="A53" s="62"/>
      <c r="B53" s="787" t="s">
        <v>169</v>
      </c>
      <c r="C53" s="145" t="s">
        <v>170</v>
      </c>
      <c r="D53" s="151"/>
      <c r="E53" s="150"/>
      <c r="F53" s="152"/>
      <c r="G53" s="787"/>
      <c r="H53" s="152"/>
      <c r="I53" s="63"/>
    </row>
    <row r="54" spans="1:9">
      <c r="A54" s="62">
        <f>A52+1</f>
        <v>39</v>
      </c>
      <c r="B54" s="787" t="s">
        <v>158</v>
      </c>
      <c r="C54" s="145" t="s">
        <v>171</v>
      </c>
      <c r="D54" s="151">
        <f>'WS4-CostData'!C92</f>
        <v>15789470.25</v>
      </c>
      <c r="E54" s="143" t="str">
        <f>E49</f>
        <v>PTP/UGP</v>
      </c>
      <c r="F54" s="165">
        <f>F49</f>
        <v>0.94850683976358785</v>
      </c>
      <c r="G54" s="52"/>
      <c r="H54" s="149">
        <f t="shared" ref="H54:H60" si="1">+F54*D54</f>
        <v>14976420.528368687</v>
      </c>
      <c r="I54" s="155"/>
    </row>
    <row r="55" spans="1:9">
      <c r="A55" s="62">
        <f t="shared" ref="A55:A61" si="2">A54+1</f>
        <v>40</v>
      </c>
      <c r="B55" s="787" t="s">
        <v>161</v>
      </c>
      <c r="C55" s="145" t="s">
        <v>172</v>
      </c>
      <c r="D55" s="151">
        <f>'WS4-CostData'!E92</f>
        <v>12994794</v>
      </c>
      <c r="E55" s="143" t="str">
        <f>E50</f>
        <v>PTP/RMR</v>
      </c>
      <c r="F55" s="165">
        <f>F50</f>
        <v>8.9355598691476593E-3</v>
      </c>
      <c r="G55" s="52"/>
      <c r="H55" s="149">
        <f t="shared" si="1"/>
        <v>116115.75977424078</v>
      </c>
      <c r="I55" s="155"/>
    </row>
    <row r="56" spans="1:9">
      <c r="A56" s="62">
        <f t="shared" si="2"/>
        <v>41</v>
      </c>
      <c r="B56" s="787" t="s">
        <v>173</v>
      </c>
      <c r="C56" s="151"/>
      <c r="D56" s="166">
        <v>0</v>
      </c>
      <c r="E56" s="143" t="s">
        <v>117</v>
      </c>
      <c r="F56" s="165">
        <f>H111</f>
        <v>1</v>
      </c>
      <c r="G56" s="52"/>
      <c r="H56" s="149">
        <f t="shared" si="1"/>
        <v>0</v>
      </c>
      <c r="I56" s="155"/>
    </row>
    <row r="57" spans="1:9">
      <c r="A57" s="62">
        <f t="shared" si="2"/>
        <v>42</v>
      </c>
      <c r="B57" s="787" t="s">
        <v>174</v>
      </c>
      <c r="C57" s="151" t="s">
        <v>175</v>
      </c>
      <c r="D57" s="166">
        <v>0</v>
      </c>
      <c r="E57" s="143" t="str">
        <f>+E56</f>
        <v>W/S</v>
      </c>
      <c r="F57" s="165">
        <f>H111</f>
        <v>1</v>
      </c>
      <c r="G57" s="52"/>
      <c r="H57" s="149">
        <f t="shared" si="1"/>
        <v>0</v>
      </c>
      <c r="I57" s="155"/>
    </row>
    <row r="58" spans="1:9">
      <c r="A58" s="62">
        <f t="shared" si="2"/>
        <v>43</v>
      </c>
      <c r="B58" s="787" t="s">
        <v>176</v>
      </c>
      <c r="C58" s="151" t="s">
        <v>175</v>
      </c>
      <c r="D58" s="166">
        <v>0</v>
      </c>
      <c r="E58" s="143" t="s">
        <v>149</v>
      </c>
      <c r="F58" s="165">
        <f>H104</f>
        <v>0</v>
      </c>
      <c r="G58" s="52"/>
      <c r="H58" s="149">
        <f t="shared" si="1"/>
        <v>0</v>
      </c>
      <c r="I58" s="155"/>
    </row>
    <row r="59" spans="1:9">
      <c r="A59" s="62">
        <f t="shared" si="2"/>
        <v>44</v>
      </c>
      <c r="B59" s="787" t="s">
        <v>118</v>
      </c>
      <c r="C59" s="151"/>
      <c r="D59" s="166">
        <v>0</v>
      </c>
      <c r="E59" s="143" t="s">
        <v>119</v>
      </c>
      <c r="F59" s="165">
        <f>I124</f>
        <v>0</v>
      </c>
      <c r="G59" s="52"/>
      <c r="H59" s="149">
        <f t="shared" si="1"/>
        <v>0</v>
      </c>
      <c r="I59" s="63"/>
    </row>
    <row r="60" spans="1:9">
      <c r="A60" s="62">
        <f t="shared" si="2"/>
        <v>45</v>
      </c>
      <c r="B60" s="787" t="s">
        <v>177</v>
      </c>
      <c r="C60" s="151"/>
      <c r="D60" s="167">
        <v>0</v>
      </c>
      <c r="E60" s="143" t="s">
        <v>64</v>
      </c>
      <c r="F60" s="165">
        <v>1</v>
      </c>
      <c r="G60" s="52"/>
      <c r="H60" s="149">
        <f t="shared" si="1"/>
        <v>0</v>
      </c>
      <c r="I60" s="63"/>
    </row>
    <row r="61" spans="1:9" ht="26">
      <c r="A61" s="62">
        <f t="shared" si="2"/>
        <v>46</v>
      </c>
      <c r="B61" s="787" t="s">
        <v>178</v>
      </c>
      <c r="C61" s="159" t="str">
        <f>"(sum L"&amp;A49&amp;", "&amp;A50&amp;", "&amp;A51&amp;", "&amp;A54&amp;", "&amp;A55&amp;", "&amp;A58&amp;", "&amp;A59&amp;" less "&amp;A52&amp;", "&amp;A56&amp;", "&amp;A57&amp;")"</f>
        <v>(sum L35, 36, 37, 39, 40, 43, 44 less 38, 41, 42)</v>
      </c>
      <c r="D61" s="144">
        <f>+D49+D50+D51-D52+D54+D55-D56-D57+D58+D59+D60</f>
        <v>204748556</v>
      </c>
      <c r="E61" s="143"/>
      <c r="F61" s="149"/>
      <c r="G61" s="52"/>
      <c r="H61" s="141">
        <f>+H49+H50+H51-H52+H54+H55-H56-H57+H58+H59+H60</f>
        <v>90797213.105283469</v>
      </c>
      <c r="I61" s="164"/>
    </row>
    <row r="62" spans="1:9">
      <c r="A62" s="62"/>
      <c r="B62" s="787" t="s">
        <v>179</v>
      </c>
      <c r="C62" s="151"/>
      <c r="D62" s="160"/>
      <c r="E62" s="76"/>
      <c r="F62" s="149"/>
      <c r="G62" s="52"/>
      <c r="H62" s="149"/>
      <c r="I62" s="155"/>
    </row>
    <row r="63" spans="1:9">
      <c r="A63" s="62">
        <f>A61+1</f>
        <v>47</v>
      </c>
      <c r="B63" s="91" t="str">
        <f>+B48</f>
        <v xml:space="preserve">  Transmission </v>
      </c>
      <c r="C63" s="145" t="s">
        <v>180</v>
      </c>
      <c r="D63" s="151"/>
      <c r="E63" s="143"/>
      <c r="F63" s="165"/>
      <c r="G63" s="52"/>
      <c r="H63" s="149"/>
      <c r="I63" s="155"/>
    </row>
    <row r="64" spans="1:9">
      <c r="A64" s="62">
        <f t="shared" ref="A64:A69" si="3">A63+1</f>
        <v>48</v>
      </c>
      <c r="B64" s="787" t="s">
        <v>158</v>
      </c>
      <c r="C64" s="145" t="s">
        <v>181</v>
      </c>
      <c r="D64" s="153">
        <f>'WS4-CostData'!C45</f>
        <v>36477830.259999998</v>
      </c>
      <c r="E64" s="143" t="str">
        <f>E49</f>
        <v>PTP/UGP</v>
      </c>
      <c r="F64" s="165">
        <f>F49</f>
        <v>0.94850683976358785</v>
      </c>
      <c r="G64" s="52"/>
      <c r="H64" s="149">
        <f>+F64*D64</f>
        <v>34599471.501345173</v>
      </c>
      <c r="I64" s="155"/>
    </row>
    <row r="65" spans="1:15">
      <c r="A65" s="62">
        <f t="shared" si="3"/>
        <v>49</v>
      </c>
      <c r="B65" s="787" t="s">
        <v>161</v>
      </c>
      <c r="C65" s="145" t="s">
        <v>182</v>
      </c>
      <c r="D65" s="153">
        <f>'WS4-CostData'!E45</f>
        <v>18388292.57</v>
      </c>
      <c r="E65" s="143" t="str">
        <f>E50</f>
        <v>PTP/RMR</v>
      </c>
      <c r="F65" s="165">
        <f>F50</f>
        <v>8.9355598691476593E-3</v>
      </c>
      <c r="G65" s="52"/>
      <c r="H65" s="149">
        <f>+F65*D65</f>
        <v>164309.68915063806</v>
      </c>
      <c r="I65" s="155"/>
    </row>
    <row r="66" spans="1:15">
      <c r="A66" s="62">
        <f t="shared" si="3"/>
        <v>50</v>
      </c>
      <c r="B66" s="787" t="s">
        <v>164</v>
      </c>
      <c r="C66" s="145" t="s">
        <v>183</v>
      </c>
      <c r="D66" s="153">
        <f>'WS4-CostData'!G45</f>
        <v>17919229</v>
      </c>
      <c r="E66" s="143" t="s">
        <v>166</v>
      </c>
      <c r="F66" s="165">
        <f>F51</f>
        <v>7.542742895807332E-2</v>
      </c>
      <c r="G66" s="52"/>
      <c r="H66" s="149">
        <f>+F66*D66</f>
        <v>1351601.3723809472</v>
      </c>
      <c r="I66" s="155"/>
    </row>
    <row r="67" spans="1:15">
      <c r="A67" s="62">
        <f t="shared" si="3"/>
        <v>51</v>
      </c>
      <c r="B67" s="787" t="s">
        <v>184</v>
      </c>
      <c r="C67" s="145"/>
      <c r="D67" s="166">
        <v>0</v>
      </c>
      <c r="E67" s="143" t="s">
        <v>117</v>
      </c>
      <c r="F67" s="165">
        <f>H111</f>
        <v>1</v>
      </c>
      <c r="G67" s="52"/>
      <c r="H67" s="149">
        <f>+F67*D67</f>
        <v>0</v>
      </c>
      <c r="I67" s="155"/>
    </row>
    <row r="68" spans="1:15">
      <c r="A68" s="62">
        <f t="shared" si="3"/>
        <v>52</v>
      </c>
      <c r="B68" s="91" t="str">
        <f>+B59</f>
        <v xml:space="preserve">  Common</v>
      </c>
      <c r="C68" s="151"/>
      <c r="D68" s="166">
        <v>0</v>
      </c>
      <c r="E68" s="143" t="s">
        <v>119</v>
      </c>
      <c r="F68" s="165">
        <f>+F59</f>
        <v>0</v>
      </c>
      <c r="G68" s="52"/>
      <c r="H68" s="149">
        <f>+F68*D68</f>
        <v>0</v>
      </c>
      <c r="I68" s="155"/>
      <c r="J68" s="39"/>
      <c r="L68" s="39"/>
    </row>
    <row r="69" spans="1:15">
      <c r="A69" s="62">
        <f t="shared" si="3"/>
        <v>53</v>
      </c>
      <c r="B69" s="787" t="s">
        <v>185</v>
      </c>
      <c r="C69" s="151" t="str">
        <f>"(sum L"&amp;A63&amp;" : "&amp;A68&amp;")"</f>
        <v>(sum L47 : 52)</v>
      </c>
      <c r="D69" s="144">
        <f>SUM(D63:D68)</f>
        <v>72785351.829999998</v>
      </c>
      <c r="E69" s="143"/>
      <c r="F69" s="149"/>
      <c r="G69" s="52"/>
      <c r="H69" s="141">
        <f>SUM(H63:H68)</f>
        <v>36115382.562876761</v>
      </c>
      <c r="I69" s="164"/>
      <c r="J69" s="39"/>
      <c r="L69" s="39"/>
    </row>
    <row r="70" spans="1:15">
      <c r="A70" s="62"/>
      <c r="B70" s="787" t="s">
        <v>186</v>
      </c>
      <c r="C70" s="145" t="s">
        <v>187</v>
      </c>
      <c r="D70" s="160"/>
      <c r="E70" s="76"/>
      <c r="F70" s="149"/>
      <c r="G70" s="52"/>
      <c r="H70" s="149"/>
      <c r="I70" s="63"/>
      <c r="J70" s="39"/>
      <c r="L70" s="39"/>
    </row>
    <row r="71" spans="1:15" s="163" customFormat="1">
      <c r="A71" s="62"/>
      <c r="B71" s="787" t="s">
        <v>188</v>
      </c>
      <c r="C71" s="145"/>
      <c r="D71" s="145"/>
      <c r="E71" s="143"/>
      <c r="F71" s="152"/>
      <c r="G71" s="52"/>
      <c r="H71" s="152"/>
      <c r="I71" s="788"/>
      <c r="J71" s="39"/>
      <c r="K71" s="34"/>
      <c r="L71" s="39"/>
      <c r="M71" s="43"/>
      <c r="N71" s="43"/>
      <c r="O71" s="43"/>
    </row>
    <row r="72" spans="1:15">
      <c r="A72" s="62">
        <f>A69+1</f>
        <v>54</v>
      </c>
      <c r="B72" s="787" t="s">
        <v>189</v>
      </c>
      <c r="C72" s="151"/>
      <c r="D72" s="153">
        <v>0</v>
      </c>
      <c r="E72" s="143" t="s">
        <v>117</v>
      </c>
      <c r="F72" s="142">
        <f>+F67</f>
        <v>1</v>
      </c>
      <c r="G72" s="52"/>
      <c r="H72" s="149">
        <f>+F72*D72</f>
        <v>0</v>
      </c>
      <c r="I72" s="788"/>
      <c r="J72" s="39"/>
      <c r="L72" s="39"/>
    </row>
    <row r="73" spans="1:15">
      <c r="A73" s="62">
        <f>A72+1</f>
        <v>55</v>
      </c>
      <c r="B73" s="787" t="s">
        <v>190</v>
      </c>
      <c r="C73" s="151"/>
      <c r="D73" s="153">
        <v>0</v>
      </c>
      <c r="E73" s="143" t="str">
        <f>+E72</f>
        <v>W/S</v>
      </c>
      <c r="F73" s="142">
        <f>+F72</f>
        <v>1</v>
      </c>
      <c r="G73" s="52"/>
      <c r="H73" s="149">
        <f>+F73*D73</f>
        <v>0</v>
      </c>
      <c r="I73" s="788"/>
      <c r="J73" s="162"/>
      <c r="K73" s="43"/>
      <c r="L73" s="162"/>
    </row>
    <row r="74" spans="1:15">
      <c r="A74" s="62"/>
      <c r="B74" s="787" t="s">
        <v>191</v>
      </c>
      <c r="C74" s="151"/>
      <c r="D74" s="145"/>
      <c r="E74" s="143"/>
      <c r="F74" s="152"/>
      <c r="G74" s="52"/>
      <c r="H74" s="152"/>
      <c r="I74" s="788"/>
      <c r="J74" s="39"/>
      <c r="L74" s="39"/>
    </row>
    <row r="75" spans="1:15">
      <c r="A75" s="62">
        <f>A73+1</f>
        <v>56</v>
      </c>
      <c r="B75" s="787" t="s">
        <v>192</v>
      </c>
      <c r="C75" s="151"/>
      <c r="D75" s="153">
        <v>0</v>
      </c>
      <c r="E75" s="143" t="s">
        <v>152</v>
      </c>
      <c r="F75" s="142">
        <f>+F18</f>
        <v>0.55045552128575526</v>
      </c>
      <c r="G75" s="52"/>
      <c r="H75" s="149">
        <f>+F75*D75</f>
        <v>0</v>
      </c>
      <c r="I75" s="788"/>
      <c r="J75" s="39"/>
      <c r="L75" s="39"/>
    </row>
    <row r="76" spans="1:15">
      <c r="A76" s="62">
        <f>A75+1</f>
        <v>57</v>
      </c>
      <c r="B76" s="787" t="s">
        <v>193</v>
      </c>
      <c r="C76" s="151"/>
      <c r="D76" s="153">
        <v>0</v>
      </c>
      <c r="E76" s="143"/>
      <c r="F76" s="142">
        <v>0</v>
      </c>
      <c r="G76" s="52"/>
      <c r="H76" s="149">
        <v>0</v>
      </c>
      <c r="I76" s="788"/>
      <c r="J76" s="39"/>
      <c r="L76" s="39"/>
    </row>
    <row r="77" spans="1:15">
      <c r="A77" s="62">
        <f>A76+1</f>
        <v>58</v>
      </c>
      <c r="B77" s="787" t="s">
        <v>194</v>
      </c>
      <c r="C77" s="151"/>
      <c r="D77" s="153">
        <v>0</v>
      </c>
      <c r="E77" s="143" t="str">
        <f>+E75</f>
        <v>GP</v>
      </c>
      <c r="F77" s="142">
        <f>+F75</f>
        <v>0.55045552128575526</v>
      </c>
      <c r="G77" s="52"/>
      <c r="H77" s="149">
        <f>+F77*D77</f>
        <v>0</v>
      </c>
      <c r="I77" s="788"/>
      <c r="J77" s="39"/>
      <c r="L77" s="39"/>
    </row>
    <row r="78" spans="1:15">
      <c r="A78" s="62">
        <f>A77+1</f>
        <v>59</v>
      </c>
      <c r="B78" s="787" t="s">
        <v>195</v>
      </c>
      <c r="C78" s="151"/>
      <c r="D78" s="153">
        <v>0</v>
      </c>
      <c r="E78" s="143" t="s">
        <v>152</v>
      </c>
      <c r="F78" s="142">
        <f>+F77</f>
        <v>0.55045552128575526</v>
      </c>
      <c r="G78" s="52"/>
      <c r="H78" s="149">
        <f>+F78*D78</f>
        <v>0</v>
      </c>
      <c r="I78" s="788"/>
      <c r="J78" s="39"/>
      <c r="L78" s="39"/>
    </row>
    <row r="79" spans="1:15">
      <c r="A79" s="62">
        <f>A78+1</f>
        <v>60</v>
      </c>
      <c r="B79" s="787" t="s">
        <v>196</v>
      </c>
      <c r="C79" s="151" t="str">
        <f>"(sum L"&amp;A72&amp;" : "&amp;A78&amp;")"</f>
        <v>(sum L54 : 59)</v>
      </c>
      <c r="D79" s="144">
        <f>SUM(D72:D78)</f>
        <v>0</v>
      </c>
      <c r="E79" s="143"/>
      <c r="F79" s="142"/>
      <c r="G79" s="52"/>
      <c r="H79" s="141">
        <f>SUM(H72:H78)</f>
        <v>0</v>
      </c>
      <c r="I79" s="161"/>
      <c r="J79" s="39"/>
      <c r="L79" s="39"/>
    </row>
    <row r="80" spans="1:15">
      <c r="A80" s="62"/>
      <c r="B80" s="787" t="s">
        <v>197</v>
      </c>
      <c r="C80" s="147" t="s">
        <v>198</v>
      </c>
      <c r="D80" s="160"/>
      <c r="E80" s="76" t="s">
        <v>64</v>
      </c>
      <c r="F80" s="142"/>
      <c r="G80" s="52"/>
      <c r="H80" s="149"/>
      <c r="I80" s="788"/>
      <c r="J80" s="39"/>
      <c r="L80" s="39"/>
    </row>
    <row r="81" spans="1:12">
      <c r="A81" s="62">
        <f>A79+1</f>
        <v>61</v>
      </c>
      <c r="B81" s="148" t="s">
        <v>199</v>
      </c>
      <c r="C81" s="159"/>
      <c r="D81" s="158">
        <f>IF(D160&gt;0,1-(((1-D161)*(1-D160))/(1-D161*D160*D162)),0)</f>
        <v>0</v>
      </c>
      <c r="E81" s="143"/>
      <c r="F81" s="142"/>
      <c r="G81" s="52"/>
      <c r="H81" s="152"/>
      <c r="I81" s="63"/>
      <c r="J81" s="39"/>
      <c r="L81" s="39"/>
    </row>
    <row r="82" spans="1:12" ht="14">
      <c r="A82" s="62">
        <f>A81+1</f>
        <v>62</v>
      </c>
      <c r="B82" s="787" t="s">
        <v>200</v>
      </c>
      <c r="C82" s="159"/>
      <c r="D82" s="158">
        <f>IF(H135&gt;0,(D81/(1-D81))*(1-H133/H135),0)</f>
        <v>0</v>
      </c>
      <c r="E82" s="143"/>
      <c r="F82" s="157"/>
      <c r="G82" s="52"/>
      <c r="H82" s="152"/>
      <c r="I82" s="788"/>
      <c r="J82" s="39"/>
      <c r="L82" s="39"/>
    </row>
    <row r="83" spans="1:12" ht="26">
      <c r="A83" s="62"/>
      <c r="B83" s="156" t="str">
        <f>"     where WCLTD= (line "&amp;A133&amp;") and R= (line "&amp;A135&amp;") and FIT, SIT &amp; p are as given in footnote I."</f>
        <v xml:space="preserve">     where WCLTD= (line 100) and R= (line 102) and FIT, SIT &amp; p are as given in footnote I.</v>
      </c>
      <c r="C83" s="151"/>
      <c r="D83" s="151"/>
      <c r="E83" s="143"/>
      <c r="F83" s="142"/>
      <c r="G83" s="52"/>
      <c r="H83" s="152"/>
      <c r="I83" s="155"/>
      <c r="J83" s="39"/>
      <c r="L83" s="39"/>
    </row>
    <row r="84" spans="1:12">
      <c r="A84" s="62">
        <f>A82+1</f>
        <v>63</v>
      </c>
      <c r="B84" s="148" t="str">
        <f>"      1 / (1 - T)  = (from line "&amp;A81&amp;")"</f>
        <v xml:space="preserve">      1 / (1 - T)  = (from line 61)</v>
      </c>
      <c r="C84" s="151"/>
      <c r="D84" s="154">
        <f>IF(D81&gt;0,1/(1-D81),0)</f>
        <v>0</v>
      </c>
      <c r="E84" s="143"/>
      <c r="F84" s="142"/>
      <c r="G84" s="52"/>
      <c r="H84" s="152"/>
      <c r="I84" s="51"/>
      <c r="J84" s="39"/>
      <c r="L84" s="39"/>
    </row>
    <row r="85" spans="1:12">
      <c r="A85" s="62">
        <f t="shared" ref="A85:A90" si="4">A84+1</f>
        <v>64</v>
      </c>
      <c r="B85" s="787" t="s">
        <v>201</v>
      </c>
      <c r="C85" s="151" t="s">
        <v>134</v>
      </c>
      <c r="D85" s="153">
        <v>0</v>
      </c>
      <c r="E85" s="143"/>
      <c r="F85" s="142"/>
      <c r="G85" s="52"/>
      <c r="H85" s="152">
        <v>0</v>
      </c>
      <c r="I85" s="51"/>
      <c r="J85" s="37"/>
      <c r="L85" s="39"/>
    </row>
    <row r="86" spans="1:12">
      <c r="A86" s="62">
        <f t="shared" si="4"/>
        <v>65</v>
      </c>
      <c r="B86" s="148" t="s">
        <v>202</v>
      </c>
      <c r="C86" s="147" t="str">
        <f>"(L"&amp;A82&amp;" * L"&amp;A89&amp;")"</f>
        <v>(L62 * L68)</v>
      </c>
      <c r="D86" s="151">
        <f>D82*D89</f>
        <v>0</v>
      </c>
      <c r="E86" s="143" t="s">
        <v>64</v>
      </c>
      <c r="F86" s="142"/>
      <c r="G86" s="52"/>
      <c r="H86" s="149">
        <f>D82*H89</f>
        <v>0</v>
      </c>
      <c r="I86" s="51"/>
      <c r="J86" s="37"/>
      <c r="L86" s="37"/>
    </row>
    <row r="87" spans="1:12">
      <c r="A87" s="62">
        <f t="shared" si="4"/>
        <v>66</v>
      </c>
      <c r="B87" s="787" t="s">
        <v>203</v>
      </c>
      <c r="C87" s="147" t="str">
        <f>"(L"&amp;A84&amp;" * L"&amp;A85&amp;")"</f>
        <v>(L63 * L64)</v>
      </c>
      <c r="D87" s="151">
        <f>D84*D85</f>
        <v>0</v>
      </c>
      <c r="E87" s="150" t="s">
        <v>136</v>
      </c>
      <c r="F87" s="142">
        <f>F32</f>
        <v>0.54699063951263505</v>
      </c>
      <c r="G87" s="52"/>
      <c r="H87" s="149">
        <f>F87*D87</f>
        <v>0</v>
      </c>
      <c r="I87" s="51"/>
      <c r="J87" s="37"/>
      <c r="L87" s="37"/>
    </row>
    <row r="88" spans="1:12">
      <c r="A88" s="62">
        <f t="shared" si="4"/>
        <v>67</v>
      </c>
      <c r="B88" s="148" t="s">
        <v>204</v>
      </c>
      <c r="C88" s="147" t="str">
        <f>"(L"&amp;A86&amp;" + L"&amp;A87&amp;")"</f>
        <v>(L65 + L66)</v>
      </c>
      <c r="D88" s="146">
        <f>+D86+D87</f>
        <v>0</v>
      </c>
      <c r="E88" s="76" t="s">
        <v>110</v>
      </c>
      <c r="F88" s="142" t="s">
        <v>110</v>
      </c>
      <c r="G88" s="52"/>
      <c r="H88" s="141">
        <f>+H86+H87</f>
        <v>0</v>
      </c>
      <c r="I88" s="140"/>
      <c r="J88" s="37"/>
      <c r="L88" s="37"/>
    </row>
    <row r="89" spans="1:12">
      <c r="A89" s="62">
        <f t="shared" si="4"/>
        <v>68</v>
      </c>
      <c r="B89" s="787" t="s">
        <v>205</v>
      </c>
      <c r="C89" s="145" t="str">
        <f>"(L"&amp;A46&amp;" * L"&amp;A135&amp;")"</f>
        <v>(L34 * L102)</v>
      </c>
      <c r="D89" s="144">
        <f>+$H135*D46</f>
        <v>61648813.71726229</v>
      </c>
      <c r="E89" s="143" t="s">
        <v>64</v>
      </c>
      <c r="F89" s="142"/>
      <c r="G89" s="52"/>
      <c r="H89" s="141">
        <f>+$H135*H46</f>
        <v>33112773.914212894</v>
      </c>
      <c r="I89" s="140"/>
      <c r="J89" s="37"/>
      <c r="L89" s="39"/>
    </row>
    <row r="90" spans="1:12" ht="13.5" thickBot="1">
      <c r="A90" s="70">
        <f t="shared" si="4"/>
        <v>69</v>
      </c>
      <c r="B90" s="74" t="s">
        <v>206</v>
      </c>
      <c r="C90" s="139" t="str">
        <f>"(sum L"&amp;A61&amp;", "&amp;A69&amp;" ,"&amp;A79&amp;", "&amp;A88&amp;", "&amp;A89&amp;")"</f>
        <v>(sum L46, 53 ,60, 67, 68)</v>
      </c>
      <c r="D90" s="138">
        <f>+D89+D88+D79+D69+D61</f>
        <v>339182721.54726231</v>
      </c>
      <c r="E90" s="137"/>
      <c r="F90" s="136"/>
      <c r="G90" s="45"/>
      <c r="H90" s="135">
        <f>+H89+H88+H79+H69+H61</f>
        <v>160025369.58237314</v>
      </c>
      <c r="I90" s="134"/>
      <c r="J90" s="39"/>
      <c r="L90" s="39"/>
    </row>
    <row r="91" spans="1:12">
      <c r="A91" s="133"/>
      <c r="B91" s="131"/>
      <c r="C91" s="132" t="s">
        <v>207</v>
      </c>
      <c r="D91" s="131"/>
      <c r="E91" s="130"/>
      <c r="F91" s="128"/>
      <c r="G91" s="129"/>
      <c r="H91" s="128"/>
      <c r="I91" s="127"/>
      <c r="J91" s="41"/>
      <c r="L91" s="41"/>
    </row>
    <row r="92" spans="1:12">
      <c r="A92" s="62"/>
      <c r="B92" s="787" t="s">
        <v>208</v>
      </c>
      <c r="C92" s="53"/>
      <c r="D92" s="53"/>
      <c r="E92" s="55"/>
      <c r="F92" s="73"/>
      <c r="G92" s="53"/>
      <c r="H92" s="73"/>
      <c r="I92" s="63"/>
      <c r="J92" s="39"/>
      <c r="L92" s="41" t="s">
        <v>110</v>
      </c>
    </row>
    <row r="93" spans="1:12">
      <c r="A93" s="62">
        <f>A90+1</f>
        <v>70</v>
      </c>
      <c r="B93" s="628" t="s">
        <v>209</v>
      </c>
      <c r="C93" s="53" t="str">
        <f>"(L"&amp;A14&amp;", C3)"</f>
        <v>(L6, C3)</v>
      </c>
      <c r="D93" s="52"/>
      <c r="E93" s="76"/>
      <c r="F93" s="54"/>
      <c r="G93" s="52"/>
      <c r="H93" s="54">
        <f>+D14</f>
        <v>1565254709.6446595</v>
      </c>
      <c r="I93" s="63"/>
      <c r="J93" s="39"/>
      <c r="L93" s="39"/>
    </row>
    <row r="94" spans="1:12">
      <c r="A94" s="62">
        <f>A93+1</f>
        <v>71</v>
      </c>
      <c r="B94" s="628" t="s">
        <v>210</v>
      </c>
      <c r="C94" s="787" t="s">
        <v>211</v>
      </c>
      <c r="D94" s="787"/>
      <c r="E94" s="84"/>
      <c r="F94" s="83"/>
      <c r="G94" s="787"/>
      <c r="H94" s="126">
        <v>0</v>
      </c>
      <c r="I94" s="63"/>
      <c r="J94" s="39"/>
      <c r="L94" s="39"/>
    </row>
    <row r="95" spans="1:12" ht="13.5" thickBot="1">
      <c r="A95" s="62">
        <f>A94+1</f>
        <v>72</v>
      </c>
      <c r="B95" s="49" t="s">
        <v>212</v>
      </c>
      <c r="C95" s="46" t="s">
        <v>213</v>
      </c>
      <c r="D95" s="45"/>
      <c r="E95" s="76"/>
      <c r="F95" s="54"/>
      <c r="G95" s="52"/>
      <c r="H95" s="125">
        <v>0</v>
      </c>
      <c r="I95" s="788"/>
      <c r="J95" s="39"/>
      <c r="L95" s="39"/>
    </row>
    <row r="96" spans="1:12">
      <c r="A96" s="62">
        <f>A95+1</f>
        <v>73</v>
      </c>
      <c r="B96" s="628" t="s">
        <v>214</v>
      </c>
      <c r="C96" s="53" t="str">
        <f>"(L"&amp;A93&amp;" less L"&amp;A94&amp;" and L"&amp;A95&amp;")"</f>
        <v>(L70 less L71 and L72)</v>
      </c>
      <c r="D96" s="52"/>
      <c r="E96" s="76"/>
      <c r="F96" s="54"/>
      <c r="G96" s="52"/>
      <c r="H96" s="54">
        <f>H93-H94-H95</f>
        <v>1565254709.6446595</v>
      </c>
      <c r="I96" s="788"/>
      <c r="J96" s="39"/>
      <c r="L96" s="39"/>
    </row>
    <row r="97" spans="1:12">
      <c r="A97" s="62">
        <f>A96+1</f>
        <v>74</v>
      </c>
      <c r="B97" s="628" t="s">
        <v>215</v>
      </c>
      <c r="C97" s="53" t="str">
        <f>"(L"&amp;A96&amp;" / L"&amp;A93&amp;")"</f>
        <v>(L73 / L70)</v>
      </c>
      <c r="D97" s="121"/>
      <c r="E97" s="123"/>
      <c r="F97" s="122"/>
      <c r="G97" s="52" t="s">
        <v>216</v>
      </c>
      <c r="H97" s="116">
        <f>IF(H93&gt;0,H96/H93,0)</f>
        <v>1</v>
      </c>
      <c r="I97" s="788"/>
      <c r="J97" s="39"/>
      <c r="L97" s="39"/>
    </row>
    <row r="98" spans="1:12">
      <c r="A98" s="62"/>
      <c r="B98" s="787" t="s">
        <v>217</v>
      </c>
      <c r="C98" s="787"/>
      <c r="D98" s="787"/>
      <c r="E98" s="84"/>
      <c r="F98" s="83"/>
      <c r="G98" s="787"/>
      <c r="H98" s="787"/>
      <c r="I98" s="63"/>
      <c r="J98" s="39"/>
      <c r="L98" s="39"/>
    </row>
    <row r="99" spans="1:12">
      <c r="A99" s="62">
        <f>A97+1</f>
        <v>75</v>
      </c>
      <c r="B99" s="124" t="s">
        <v>218</v>
      </c>
      <c r="C99" s="53" t="str">
        <f>"(sum L"&amp;A49&amp;" to L"&amp;A51&amp;", C3)"</f>
        <v>(sum L35 to L37, C3)</v>
      </c>
      <c r="D99" s="53"/>
      <c r="E99" s="55"/>
      <c r="F99" s="73"/>
      <c r="G99" s="53"/>
      <c r="H99" s="52"/>
      <c r="I99" s="63"/>
      <c r="J99" s="39"/>
      <c r="L99" s="39"/>
    </row>
    <row r="100" spans="1:12" ht="13.5" thickBot="1">
      <c r="A100" s="62">
        <f>A99+1</f>
        <v>76</v>
      </c>
      <c r="B100" s="49" t="s">
        <v>219</v>
      </c>
      <c r="C100" s="46" t="s">
        <v>220</v>
      </c>
      <c r="D100" s="45"/>
      <c r="E100" s="68"/>
      <c r="F100" s="54"/>
      <c r="G100" s="52"/>
      <c r="H100" s="81">
        <v>0</v>
      </c>
      <c r="I100" s="63"/>
      <c r="J100" s="39"/>
      <c r="L100" s="39"/>
    </row>
    <row r="101" spans="1:12">
      <c r="A101" s="62">
        <f>A100+1</f>
        <v>77</v>
      </c>
      <c r="B101" s="628" t="s">
        <v>221</v>
      </c>
      <c r="C101" s="120" t="str">
        <f>"(L"&amp;A99&amp;" - L"&amp;A100&amp;")"</f>
        <v>(L75 - L76)</v>
      </c>
      <c r="D101" s="121"/>
      <c r="E101" s="123"/>
      <c r="F101" s="122"/>
      <c r="G101" s="121"/>
      <c r="H101" s="54">
        <f>+H99-H100</f>
        <v>0</v>
      </c>
      <c r="I101" s="63"/>
      <c r="J101" s="39"/>
      <c r="L101" s="39"/>
    </row>
    <row r="102" spans="1:12" ht="26">
      <c r="A102" s="62">
        <f>A101+1</f>
        <v>78</v>
      </c>
      <c r="B102" s="789" t="s">
        <v>222</v>
      </c>
      <c r="C102" s="120" t="str">
        <f>"(L"&amp;A101&amp;"/ L"&amp;A99&amp;")"</f>
        <v>(L77/ L75)</v>
      </c>
      <c r="D102" s="52"/>
      <c r="E102" s="76"/>
      <c r="F102" s="54"/>
      <c r="G102" s="52"/>
      <c r="H102" s="116">
        <f>IF(H99&gt;0,H101/H99,0)</f>
        <v>0</v>
      </c>
      <c r="I102" s="63"/>
      <c r="J102" s="41"/>
      <c r="L102" s="41" t="s">
        <v>110</v>
      </c>
    </row>
    <row r="103" spans="1:12">
      <c r="A103" s="62">
        <f>A102+1</f>
        <v>79</v>
      </c>
      <c r="B103" s="628" t="s">
        <v>223</v>
      </c>
      <c r="C103" s="53" t="str">
        <f>"(L"&amp;A97&amp;")"</f>
        <v>(L74)</v>
      </c>
      <c r="D103" s="52"/>
      <c r="E103" s="76"/>
      <c r="F103" s="54"/>
      <c r="G103" s="628" t="s">
        <v>72</v>
      </c>
      <c r="H103" s="116">
        <f>H97</f>
        <v>1</v>
      </c>
      <c r="I103" s="63"/>
      <c r="J103" s="41"/>
      <c r="L103" s="41"/>
    </row>
    <row r="104" spans="1:12">
      <c r="A104" s="62">
        <f>A103+1</f>
        <v>80</v>
      </c>
      <c r="B104" s="628" t="s">
        <v>224</v>
      </c>
      <c r="C104" s="120" t="str">
        <f>"(L"&amp;A103&amp;" * L"&amp;A102&amp;")"</f>
        <v>(L79 * L78)</v>
      </c>
      <c r="D104" s="53"/>
      <c r="E104" s="55"/>
      <c r="F104" s="73"/>
      <c r="G104" s="628" t="s">
        <v>225</v>
      </c>
      <c r="H104" s="110">
        <f>+H103*H102</f>
        <v>0</v>
      </c>
      <c r="I104" s="63"/>
      <c r="J104" s="41"/>
      <c r="L104" s="41"/>
    </row>
    <row r="105" spans="1:12">
      <c r="A105" s="62"/>
      <c r="B105" s="787" t="s">
        <v>226</v>
      </c>
      <c r="C105" s="52"/>
      <c r="D105" s="52"/>
      <c r="E105" s="76"/>
      <c r="F105" s="54"/>
      <c r="G105" s="52"/>
      <c r="H105" s="52"/>
      <c r="I105" s="63"/>
      <c r="J105" s="41"/>
      <c r="L105" s="119"/>
    </row>
    <row r="106" spans="1:12" ht="13.5" thickBot="1">
      <c r="A106" s="62"/>
      <c r="B106" s="91"/>
      <c r="C106" s="45"/>
      <c r="D106" s="68" t="s">
        <v>227</v>
      </c>
      <c r="E106" s="68" t="s">
        <v>72</v>
      </c>
      <c r="F106" s="67" t="s">
        <v>228</v>
      </c>
      <c r="G106" s="52"/>
      <c r="H106" s="52"/>
      <c r="I106" s="63"/>
      <c r="J106" s="41"/>
      <c r="L106" s="41"/>
    </row>
    <row r="107" spans="1:12">
      <c r="A107" s="62">
        <f>A104+1</f>
        <v>81</v>
      </c>
      <c r="B107" s="787" t="s">
        <v>108</v>
      </c>
      <c r="C107" s="52"/>
      <c r="D107" s="111">
        <v>0</v>
      </c>
      <c r="E107" s="118">
        <v>0</v>
      </c>
      <c r="F107" s="54">
        <f>D107*E107</f>
        <v>0</v>
      </c>
      <c r="G107" s="52"/>
      <c r="H107" s="52"/>
      <c r="I107" s="63"/>
      <c r="J107" s="41"/>
      <c r="L107" s="41"/>
    </row>
    <row r="108" spans="1:12">
      <c r="A108" s="62">
        <f>A107+1</f>
        <v>82</v>
      </c>
      <c r="B108" s="787" t="s">
        <v>111</v>
      </c>
      <c r="C108" s="52"/>
      <c r="D108" s="111">
        <f>'WS4-CostData'!C93</f>
        <v>14976420.528368687</v>
      </c>
      <c r="E108" s="118">
        <f>+H103</f>
        <v>1</v>
      </c>
      <c r="F108" s="54">
        <f>D108*E108</f>
        <v>14976420.528368687</v>
      </c>
      <c r="G108" s="52"/>
      <c r="H108" s="52"/>
      <c r="I108" s="63"/>
      <c r="J108" s="41"/>
      <c r="L108" s="41"/>
    </row>
    <row r="109" spans="1:12">
      <c r="A109" s="62">
        <f>A108+1</f>
        <v>83</v>
      </c>
      <c r="B109" s="787" t="s">
        <v>113</v>
      </c>
      <c r="C109" s="52"/>
      <c r="D109" s="111">
        <v>0</v>
      </c>
      <c r="E109" s="118">
        <v>0</v>
      </c>
      <c r="F109" s="54">
        <f>D109*E109</f>
        <v>0</v>
      </c>
      <c r="G109" s="52"/>
      <c r="H109" s="76" t="s">
        <v>229</v>
      </c>
      <c r="I109" s="63"/>
      <c r="J109" s="41"/>
      <c r="L109" s="41"/>
    </row>
    <row r="110" spans="1:12" ht="13.5" thickBot="1">
      <c r="A110" s="62">
        <f>A109+1</f>
        <v>84</v>
      </c>
      <c r="B110" s="787" t="s">
        <v>230</v>
      </c>
      <c r="C110" s="52"/>
      <c r="D110" s="108">
        <v>0</v>
      </c>
      <c r="E110" s="118">
        <v>0</v>
      </c>
      <c r="F110" s="67">
        <f>D110*E110</f>
        <v>0</v>
      </c>
      <c r="G110" s="52"/>
      <c r="H110" s="90" t="s">
        <v>231</v>
      </c>
      <c r="I110" s="63"/>
      <c r="J110" s="41"/>
      <c r="L110" s="41"/>
    </row>
    <row r="111" spans="1:12">
      <c r="A111" s="62">
        <f>A110+1</f>
        <v>85</v>
      </c>
      <c r="B111" s="787" t="s">
        <v>232</v>
      </c>
      <c r="C111" s="52" t="str">
        <f>"(sum L"&amp;A107&amp;" to L"&amp;A110&amp;")"</f>
        <v>(sum L81 to L84)</v>
      </c>
      <c r="D111" s="52">
        <f>SUM(D107:D110)</f>
        <v>14976420.528368687</v>
      </c>
      <c r="E111" s="76"/>
      <c r="F111" s="54">
        <f>SUM(F107:F110)</f>
        <v>14976420.528368687</v>
      </c>
      <c r="G111" s="84" t="s">
        <v>233</v>
      </c>
      <c r="H111" s="116">
        <f>IF(F111&gt;0,F111/D111,0)</f>
        <v>1</v>
      </c>
      <c r="I111" s="63"/>
      <c r="J111" s="39"/>
      <c r="L111" s="41"/>
    </row>
    <row r="112" spans="1:12">
      <c r="A112" s="62"/>
      <c r="B112" s="787" t="s">
        <v>234</v>
      </c>
      <c r="C112" s="52" t="s">
        <v>235</v>
      </c>
      <c r="D112" s="52"/>
      <c r="E112" s="76"/>
      <c r="F112" s="54"/>
      <c r="G112" s="52"/>
      <c r="H112" s="52"/>
      <c r="I112" s="63"/>
      <c r="J112" s="41"/>
      <c r="L112" s="41"/>
    </row>
    <row r="113" spans="1:12" ht="13.5" thickBot="1">
      <c r="A113" s="62"/>
      <c r="B113" s="91"/>
      <c r="C113" s="45"/>
      <c r="D113" s="68" t="s">
        <v>227</v>
      </c>
      <c r="E113" s="76"/>
      <c r="F113" s="54"/>
      <c r="G113" s="52"/>
      <c r="H113" s="117"/>
      <c r="I113" s="63"/>
      <c r="J113" s="39"/>
      <c r="L113" s="41"/>
    </row>
    <row r="114" spans="1:12">
      <c r="A114" s="62">
        <f>A111+1</f>
        <v>86</v>
      </c>
      <c r="B114" s="787" t="s">
        <v>236</v>
      </c>
      <c r="C114" s="52"/>
      <c r="D114" s="52">
        <f>'WS4-CostData'!C8</f>
        <v>1460100610.3246593</v>
      </c>
      <c r="E114" s="76"/>
      <c r="F114" s="83"/>
      <c r="G114" s="787"/>
      <c r="H114" s="787"/>
      <c r="I114" s="788"/>
      <c r="J114" s="39"/>
      <c r="L114" s="41"/>
    </row>
    <row r="115" spans="1:12">
      <c r="A115" s="62">
        <f t="shared" ref="A115:A122" si="5">A114+1</f>
        <v>87</v>
      </c>
      <c r="B115" s="787" t="s">
        <v>237</v>
      </c>
      <c r="C115" s="52"/>
      <c r="D115" s="52">
        <f>'WS4-CostData'!C7</f>
        <v>1539367508.0810008</v>
      </c>
      <c r="E115" s="76"/>
      <c r="F115" s="54"/>
      <c r="G115" s="52"/>
      <c r="H115" s="117"/>
      <c r="I115" s="788"/>
      <c r="J115" s="41"/>
      <c r="L115" s="39"/>
    </row>
    <row r="116" spans="1:12">
      <c r="A116" s="62">
        <f t="shared" si="5"/>
        <v>88</v>
      </c>
      <c r="B116" s="787" t="s">
        <v>238</v>
      </c>
      <c r="C116" s="53" t="str">
        <f>"(L"&amp;A114&amp;" / L"&amp;A115&amp;")"</f>
        <v>(L86 / L87)</v>
      </c>
      <c r="D116" s="52"/>
      <c r="E116" s="76"/>
      <c r="F116" s="54" t="s">
        <v>160</v>
      </c>
      <c r="G116" s="76" t="s">
        <v>233</v>
      </c>
      <c r="H116" s="116">
        <f>D114/D115</f>
        <v>0.94850683976358785</v>
      </c>
      <c r="I116" s="63"/>
      <c r="J116" s="39"/>
      <c r="L116" s="41"/>
    </row>
    <row r="117" spans="1:12">
      <c r="A117" s="62">
        <f t="shared" si="5"/>
        <v>89</v>
      </c>
      <c r="B117" s="787" t="s">
        <v>239</v>
      </c>
      <c r="C117" s="52"/>
      <c r="D117" s="52">
        <f>'WS4-CostData'!E8</f>
        <v>7335302.9599999981</v>
      </c>
      <c r="E117" s="76"/>
      <c r="F117" s="54"/>
      <c r="G117" s="52"/>
      <c r="H117" s="54"/>
      <c r="I117" s="63"/>
      <c r="J117" s="37"/>
      <c r="L117" s="39"/>
    </row>
    <row r="118" spans="1:12">
      <c r="A118" s="62">
        <f t="shared" si="5"/>
        <v>90</v>
      </c>
      <c r="B118" s="787" t="s">
        <v>240</v>
      </c>
      <c r="C118" s="52"/>
      <c r="D118" s="52">
        <f>'WS4-CostData'!E7</f>
        <v>820911399.77999997</v>
      </c>
      <c r="E118" s="76"/>
      <c r="F118" s="54"/>
      <c r="G118" s="52"/>
      <c r="H118" s="116"/>
      <c r="I118" s="63"/>
      <c r="J118" s="37"/>
      <c r="L118" s="39"/>
    </row>
    <row r="119" spans="1:12">
      <c r="A119" s="62">
        <f t="shared" si="5"/>
        <v>91</v>
      </c>
      <c r="B119" s="787" t="s">
        <v>241</v>
      </c>
      <c r="C119" s="53" t="str">
        <f>"(L"&amp;A117&amp;" / L"&amp;A118&amp;")"</f>
        <v>(L89 / L90)</v>
      </c>
      <c r="D119" s="787"/>
      <c r="E119" s="76"/>
      <c r="F119" s="54" t="s">
        <v>163</v>
      </c>
      <c r="G119" s="76" t="s">
        <v>233</v>
      </c>
      <c r="H119" s="116">
        <f>D117/D118</f>
        <v>8.9355598691476593E-3</v>
      </c>
      <c r="I119" s="63"/>
      <c r="J119" s="37"/>
      <c r="L119" s="39"/>
    </row>
    <row r="120" spans="1:12">
      <c r="A120" s="62">
        <f t="shared" si="5"/>
        <v>92</v>
      </c>
      <c r="B120" s="787" t="s">
        <v>242</v>
      </c>
      <c r="C120" s="52"/>
      <c r="D120" s="52">
        <f>'WS4-CostData'!G8</f>
        <v>97818796.360000014</v>
      </c>
      <c r="E120" s="76"/>
      <c r="F120" s="54"/>
      <c r="G120" s="52"/>
      <c r="H120" s="54"/>
      <c r="I120" s="63"/>
      <c r="J120" s="37"/>
      <c r="L120" s="39"/>
    </row>
    <row r="121" spans="1:12">
      <c r="A121" s="62">
        <f t="shared" si="5"/>
        <v>93</v>
      </c>
      <c r="B121" s="787" t="s">
        <v>243</v>
      </c>
      <c r="C121" s="52"/>
      <c r="D121" s="52">
        <f>'WS4-CostData'!G7</f>
        <v>1296859746</v>
      </c>
      <c r="E121" s="76"/>
      <c r="F121" s="54"/>
      <c r="G121" s="52"/>
      <c r="H121" s="116"/>
      <c r="I121" s="63"/>
      <c r="J121" s="37"/>
      <c r="L121" s="39"/>
    </row>
    <row r="122" spans="1:12">
      <c r="A122" s="62">
        <f t="shared" si="5"/>
        <v>94</v>
      </c>
      <c r="B122" s="787" t="s">
        <v>244</v>
      </c>
      <c r="C122" s="53" t="str">
        <f>"(L"&amp;A120&amp;" / L"&amp;A121&amp;")"</f>
        <v>(L92 / L93)</v>
      </c>
      <c r="D122" s="787"/>
      <c r="E122" s="76"/>
      <c r="F122" s="54" t="s">
        <v>166</v>
      </c>
      <c r="G122" s="76" t="s">
        <v>233</v>
      </c>
      <c r="H122" s="116">
        <f>D120/D121</f>
        <v>7.542742895807332E-2</v>
      </c>
      <c r="I122" s="63"/>
      <c r="J122" s="37"/>
      <c r="L122" s="39"/>
    </row>
    <row r="123" spans="1:12">
      <c r="A123" s="62"/>
      <c r="B123" s="787" t="s">
        <v>245</v>
      </c>
      <c r="C123" s="52" t="s">
        <v>246</v>
      </c>
      <c r="D123" s="52"/>
      <c r="E123" s="76"/>
      <c r="F123" s="54"/>
      <c r="G123" s="52"/>
      <c r="H123" s="54"/>
      <c r="I123" s="115" t="s">
        <v>119</v>
      </c>
      <c r="J123" s="37"/>
      <c r="L123" s="39"/>
    </row>
    <row r="124" spans="1:12">
      <c r="A124" s="62"/>
      <c r="B124" s="91"/>
      <c r="C124" s="52"/>
      <c r="D124" s="76" t="s">
        <v>227</v>
      </c>
      <c r="E124" s="76"/>
      <c r="F124" s="54" t="s">
        <v>247</v>
      </c>
      <c r="G124" s="112" t="s">
        <v>110</v>
      </c>
      <c r="H124" s="114" t="s">
        <v>248</v>
      </c>
      <c r="I124" s="113">
        <f>H126*F126</f>
        <v>0</v>
      </c>
      <c r="J124" s="37"/>
      <c r="L124" s="39"/>
    </row>
    <row r="125" spans="1:12">
      <c r="A125" s="62">
        <f>A122+1</f>
        <v>95</v>
      </c>
      <c r="B125" s="787" t="s">
        <v>249</v>
      </c>
      <c r="C125" s="52"/>
      <c r="D125" s="111">
        <v>0</v>
      </c>
      <c r="E125" s="76"/>
      <c r="F125" s="73" t="str">
        <f>"(L"&amp;A125&amp;" / L"&amp;A128&amp;")"</f>
        <v>(L95 / L98)</v>
      </c>
      <c r="G125" s="112"/>
      <c r="H125" s="84" t="str">
        <f>"(L"&amp;A111&amp;")"</f>
        <v>(L85)</v>
      </c>
      <c r="I125" s="788"/>
      <c r="J125" s="37"/>
      <c r="L125" s="41"/>
    </row>
    <row r="126" spans="1:12">
      <c r="A126" s="62">
        <f>A125+1</f>
        <v>96</v>
      </c>
      <c r="B126" s="787" t="s">
        <v>250</v>
      </c>
      <c r="C126" s="52"/>
      <c r="D126" s="111">
        <v>0</v>
      </c>
      <c r="E126" s="76"/>
      <c r="F126" s="110">
        <f>IF(D128&gt;0,D125/D128,0)</f>
        <v>0</v>
      </c>
      <c r="G126" s="76" t="s">
        <v>251</v>
      </c>
      <c r="H126" s="109">
        <f>H111</f>
        <v>1</v>
      </c>
      <c r="I126" s="788"/>
      <c r="J126" s="37"/>
    </row>
    <row r="127" spans="1:12" ht="13.5" thickBot="1">
      <c r="A127" s="62">
        <f>A126+1</f>
        <v>97</v>
      </c>
      <c r="B127" s="74" t="s">
        <v>252</v>
      </c>
      <c r="C127" s="45"/>
      <c r="D127" s="108">
        <v>0</v>
      </c>
      <c r="E127" s="76"/>
      <c r="F127" s="54" t="s">
        <v>110</v>
      </c>
      <c r="G127" s="52"/>
      <c r="H127" s="52"/>
      <c r="I127" s="788"/>
      <c r="J127" s="37"/>
      <c r="L127" s="41"/>
    </row>
    <row r="128" spans="1:12">
      <c r="A128" s="62">
        <f>A127+1</f>
        <v>98</v>
      </c>
      <c r="B128" s="787" t="s">
        <v>232</v>
      </c>
      <c r="C128" s="52" t="str">
        <f>"(sum L"&amp;A125&amp;" : L"&amp;A127&amp;")"</f>
        <v>(sum L95 : L97)</v>
      </c>
      <c r="D128" s="52">
        <f>D125+D126+D127</f>
        <v>0</v>
      </c>
      <c r="E128" s="76"/>
      <c r="F128" s="54"/>
      <c r="G128" s="52"/>
      <c r="H128" s="52"/>
      <c r="I128" s="788"/>
    </row>
    <row r="129" spans="1:23" ht="13.5" thickBot="1">
      <c r="A129" s="62"/>
      <c r="B129" s="787" t="s">
        <v>253</v>
      </c>
      <c r="C129" s="52"/>
      <c r="D129" s="68" t="s">
        <v>227</v>
      </c>
      <c r="E129" s="76"/>
      <c r="F129" s="54"/>
      <c r="G129" s="52"/>
      <c r="H129" s="787"/>
      <c r="I129" s="107"/>
    </row>
    <row r="130" spans="1:23">
      <c r="A130" s="62">
        <f>A128+1</f>
        <v>99</v>
      </c>
      <c r="B130" s="52" t="s">
        <v>254</v>
      </c>
      <c r="C130" s="53"/>
      <c r="D130" s="106">
        <f>('WS4-CostData'!C68*'WS4-CostData'!C14)+('WS4-CostData'!E68*'WS4-CostData'!E14)+('WS4-CostData'!G68*'WS4-CostData'!G14)</f>
        <v>37933681.082250714</v>
      </c>
      <c r="E130" s="76"/>
      <c r="F130" s="54"/>
      <c r="G130" s="52"/>
      <c r="H130" s="52"/>
      <c r="I130" s="788"/>
      <c r="P130" s="42"/>
      <c r="Q130" s="97"/>
      <c r="R130" s="99"/>
      <c r="S130" s="99"/>
      <c r="T130" s="99"/>
      <c r="U130" s="85"/>
      <c r="W130" s="85"/>
    </row>
    <row r="131" spans="1:23">
      <c r="A131" s="62"/>
      <c r="B131" s="91"/>
      <c r="C131" s="52"/>
      <c r="D131" s="52"/>
      <c r="E131" s="76"/>
      <c r="F131" s="54" t="s">
        <v>255</v>
      </c>
      <c r="G131" s="52"/>
      <c r="H131" s="52"/>
      <c r="I131" s="104" t="s">
        <v>256</v>
      </c>
      <c r="P131" s="42"/>
      <c r="Q131" s="97"/>
      <c r="R131" s="99"/>
      <c r="S131" s="99"/>
      <c r="T131" s="99"/>
      <c r="U131" s="85"/>
      <c r="W131" s="85"/>
    </row>
    <row r="132" spans="1:23" ht="13.5" thickBot="1">
      <c r="A132" s="62"/>
      <c r="B132" s="91"/>
      <c r="C132" s="53"/>
      <c r="D132" s="90" t="s">
        <v>227</v>
      </c>
      <c r="E132" s="90" t="s">
        <v>257</v>
      </c>
      <c r="F132" s="105" t="s">
        <v>258</v>
      </c>
      <c r="G132" s="52"/>
      <c r="H132" s="90" t="s">
        <v>259</v>
      </c>
      <c r="I132" s="788"/>
      <c r="P132" s="42"/>
      <c r="Q132" s="97"/>
      <c r="R132" s="99"/>
      <c r="S132" s="99"/>
      <c r="T132" s="99"/>
      <c r="U132" s="85"/>
      <c r="W132" s="85"/>
    </row>
    <row r="133" spans="1:23" ht="26">
      <c r="A133" s="62">
        <f>A130+1</f>
        <v>100</v>
      </c>
      <c r="B133" s="787" t="s">
        <v>260</v>
      </c>
      <c r="C133" s="789" t="s">
        <v>261</v>
      </c>
      <c r="D133" s="52">
        <f>('WS4-CostData'!C66*'WS4-CostData'!C14)+('WS4-CostData'!E66*'WS4-CostData'!E14)+('WS4-CostData'!G66*'WS4-CostData'!G14)</f>
        <v>872648581.06854355</v>
      </c>
      <c r="E133" s="102">
        <f>IF($D$135&gt;0,D133/$D$135,0)</f>
        <v>1</v>
      </c>
      <c r="F133" s="101">
        <f>IF(D130&gt;0,D130/D133,0)</f>
        <v>4.3469595785970976E-2</v>
      </c>
      <c r="G133" s="787"/>
      <c r="H133" s="101">
        <f>F133*E133</f>
        <v>4.3469595785970976E-2</v>
      </c>
      <c r="I133" s="104" t="s">
        <v>262</v>
      </c>
      <c r="P133" s="42"/>
      <c r="Q133" s="97"/>
      <c r="R133" s="99"/>
      <c r="S133" s="99"/>
      <c r="T133" s="99"/>
      <c r="U133" s="85"/>
      <c r="W133" s="85"/>
    </row>
    <row r="134" spans="1:23" ht="13.5" thickBot="1">
      <c r="A134" s="62">
        <f>A133+1</f>
        <v>101</v>
      </c>
      <c r="B134" s="787" t="s">
        <v>263</v>
      </c>
      <c r="C134" s="53"/>
      <c r="D134" s="45">
        <v>0</v>
      </c>
      <c r="E134" s="102">
        <f>IF($D$135&gt;0,D134/$D$135,0)</f>
        <v>0</v>
      </c>
      <c r="F134" s="101">
        <f>H136</f>
        <v>0.12379999999999999</v>
      </c>
      <c r="G134" s="787"/>
      <c r="H134" s="103">
        <f>F134*E134</f>
        <v>0</v>
      </c>
      <c r="I134" s="788"/>
      <c r="P134" s="42"/>
      <c r="Q134" s="97"/>
      <c r="R134" s="99"/>
      <c r="S134" s="99"/>
      <c r="T134" s="99"/>
      <c r="U134" s="85"/>
      <c r="W134" s="85"/>
    </row>
    <row r="135" spans="1:23">
      <c r="A135" s="62">
        <f>A134+1</f>
        <v>102</v>
      </c>
      <c r="B135" s="787" t="s">
        <v>264</v>
      </c>
      <c r="C135" s="52" t="str">
        <f>"(sum L"&amp;A133&amp;" : "&amp;A134&amp;")"</f>
        <v>(sum L100 : 101)</v>
      </c>
      <c r="D135" s="52">
        <f>SUM(D133:D134)</f>
        <v>872648581.06854355</v>
      </c>
      <c r="E135" s="102">
        <f>IF($D$135&gt;0,D135/$D$135,0)</f>
        <v>1</v>
      </c>
      <c r="F135" s="101"/>
      <c r="G135" s="787"/>
      <c r="H135" s="101">
        <f>SUM(H133:H134)</f>
        <v>4.3469595785970976E-2</v>
      </c>
      <c r="I135" s="788"/>
      <c r="P135" s="42"/>
      <c r="Q135" s="97"/>
      <c r="R135" s="99"/>
      <c r="S135" s="99"/>
      <c r="T135" s="99"/>
      <c r="U135" s="85"/>
      <c r="W135" s="85"/>
    </row>
    <row r="136" spans="1:23">
      <c r="A136" s="62">
        <f>A135+1</f>
        <v>103</v>
      </c>
      <c r="B136" s="787"/>
      <c r="C136" s="787"/>
      <c r="D136" s="787"/>
      <c r="E136" s="76"/>
      <c r="F136" s="54"/>
      <c r="G136" s="83" t="s">
        <v>265</v>
      </c>
      <c r="H136" s="100">
        <v>0.12379999999999999</v>
      </c>
      <c r="I136" s="788"/>
      <c r="P136" s="42"/>
      <c r="Q136" s="97"/>
      <c r="R136" s="99"/>
      <c r="S136" s="99"/>
      <c r="T136" s="99"/>
      <c r="U136" s="85"/>
      <c r="W136" s="85"/>
    </row>
    <row r="137" spans="1:23">
      <c r="A137" s="62">
        <f>A136+1</f>
        <v>104</v>
      </c>
      <c r="B137" s="787"/>
      <c r="C137" s="787"/>
      <c r="D137" s="787"/>
      <c r="E137" s="84"/>
      <c r="F137" s="83"/>
      <c r="G137" s="84" t="s">
        <v>266</v>
      </c>
      <c r="H137" s="98">
        <f>IF(H135&gt;0,H135/F133,0)</f>
        <v>1</v>
      </c>
      <c r="I137" s="788"/>
      <c r="P137" s="97" t="s">
        <v>110</v>
      </c>
      <c r="Q137" s="96"/>
      <c r="R137" s="95"/>
      <c r="S137" s="94"/>
      <c r="T137" s="85"/>
      <c r="V137" s="85"/>
    </row>
    <row r="138" spans="1:23">
      <c r="A138" s="62"/>
      <c r="B138" s="787" t="s">
        <v>61</v>
      </c>
      <c r="C138" s="53"/>
      <c r="D138" s="53"/>
      <c r="E138" s="55"/>
      <c r="F138" s="73"/>
      <c r="G138" s="53"/>
      <c r="H138" s="73"/>
      <c r="I138" s="788"/>
      <c r="P138" s="93"/>
      <c r="Q138" s="92"/>
      <c r="R138" s="92"/>
      <c r="S138" s="42"/>
      <c r="T138" s="85"/>
      <c r="V138" s="85"/>
    </row>
    <row r="139" spans="1:23" ht="13.5" thickBot="1">
      <c r="A139" s="62"/>
      <c r="B139" s="91"/>
      <c r="C139" s="91"/>
      <c r="D139" s="91"/>
      <c r="E139" s="55"/>
      <c r="F139" s="73"/>
      <c r="G139" s="91"/>
      <c r="H139" s="90" t="s">
        <v>267</v>
      </c>
      <c r="I139" s="788"/>
      <c r="P139" s="87"/>
      <c r="Q139" s="42"/>
      <c r="R139" s="42"/>
      <c r="S139" s="86"/>
      <c r="T139" s="85"/>
      <c r="V139" s="85"/>
    </row>
    <row r="140" spans="1:23">
      <c r="A140" s="62"/>
      <c r="B140" s="787" t="s">
        <v>268</v>
      </c>
      <c r="C140" s="53"/>
      <c r="D140" s="53"/>
      <c r="E140" s="55"/>
      <c r="F140" s="89" t="s">
        <v>110</v>
      </c>
      <c r="G140" s="82"/>
      <c r="H140" s="88"/>
      <c r="I140" s="788"/>
      <c r="P140" s="87"/>
      <c r="Q140" s="42"/>
      <c r="R140" s="42"/>
      <c r="S140" s="86"/>
      <c r="T140" s="85"/>
      <c r="V140" s="85"/>
    </row>
    <row r="141" spans="1:23">
      <c r="A141" s="62">
        <f>A137+1</f>
        <v>105</v>
      </c>
      <c r="B141" s="787" t="s">
        <v>269</v>
      </c>
      <c r="C141" s="53" t="s">
        <v>270</v>
      </c>
      <c r="D141" s="53"/>
      <c r="E141" s="84"/>
      <c r="F141" s="83"/>
      <c r="G141" s="82"/>
      <c r="H141" s="78">
        <v>0</v>
      </c>
      <c r="I141" s="788"/>
    </row>
    <row r="142" spans="1:23" ht="13.5" thickBot="1">
      <c r="A142" s="62">
        <f t="shared" ref="A142:A148" si="6">A141+1</f>
        <v>106</v>
      </c>
      <c r="B142" s="74" t="s">
        <v>271</v>
      </c>
      <c r="C142" s="53"/>
      <c r="D142" s="787"/>
      <c r="E142" s="55"/>
      <c r="F142" s="73"/>
      <c r="G142" s="53"/>
      <c r="H142" s="81">
        <v>0</v>
      </c>
      <c r="I142" s="80"/>
    </row>
    <row r="143" spans="1:23">
      <c r="A143" s="62">
        <f t="shared" si="6"/>
        <v>107</v>
      </c>
      <c r="B143" s="787" t="s">
        <v>272</v>
      </c>
      <c r="C143" s="53"/>
      <c r="D143" s="787"/>
      <c r="E143" s="55"/>
      <c r="F143" s="73"/>
      <c r="G143" s="53"/>
      <c r="H143" s="54">
        <f>+H141-H142</f>
        <v>0</v>
      </c>
      <c r="I143" s="80"/>
    </row>
    <row r="144" spans="1:23">
      <c r="A144" s="62">
        <f t="shared" si="6"/>
        <v>108</v>
      </c>
      <c r="B144" s="787" t="s">
        <v>273</v>
      </c>
      <c r="C144" s="53" t="s">
        <v>274</v>
      </c>
      <c r="D144" s="787"/>
      <c r="E144" s="55"/>
      <c r="F144" s="79"/>
      <c r="G144" s="53"/>
      <c r="H144" s="535">
        <f>-('Summary-ATRR'!D12)</f>
        <v>61359</v>
      </c>
      <c r="I144" s="788"/>
    </row>
    <row r="145" spans="1:12">
      <c r="A145" s="62">
        <f t="shared" si="6"/>
        <v>109</v>
      </c>
      <c r="B145" s="787" t="s">
        <v>275</v>
      </c>
      <c r="C145" s="53"/>
      <c r="D145" s="53"/>
      <c r="E145" s="55"/>
      <c r="F145" s="73"/>
      <c r="G145" s="53"/>
      <c r="H145" s="77">
        <v>0</v>
      </c>
      <c r="I145" s="71"/>
    </row>
    <row r="146" spans="1:12">
      <c r="A146" s="62">
        <f t="shared" si="6"/>
        <v>110</v>
      </c>
      <c r="B146" s="787" t="s">
        <v>276</v>
      </c>
      <c r="C146" s="52"/>
      <c r="D146" s="52"/>
      <c r="E146" s="76"/>
      <c r="F146" s="54"/>
      <c r="G146" s="52"/>
      <c r="H146" s="75">
        <v>0</v>
      </c>
      <c r="I146" s="71"/>
    </row>
    <row r="147" spans="1:12" ht="13.5" thickBot="1">
      <c r="A147" s="62">
        <f t="shared" si="6"/>
        <v>111</v>
      </c>
      <c r="B147" s="74" t="s">
        <v>277</v>
      </c>
      <c r="C147" s="46"/>
      <c r="D147" s="53"/>
      <c r="E147" s="55"/>
      <c r="F147" s="73"/>
      <c r="G147" s="53"/>
      <c r="H147" s="72">
        <v>0</v>
      </c>
      <c r="I147" s="71"/>
    </row>
    <row r="148" spans="1:12" ht="13.5" thickBot="1">
      <c r="A148" s="70">
        <f t="shared" si="6"/>
        <v>112</v>
      </c>
      <c r="B148" s="69" t="str">
        <f>+B143</f>
        <v xml:space="preserve">  Total of (a)-(b)</v>
      </c>
      <c r="C148" s="48"/>
      <c r="D148" s="45"/>
      <c r="E148" s="68"/>
      <c r="F148" s="67"/>
      <c r="G148" s="46"/>
      <c r="H148" s="66">
        <f>+H146-H147</f>
        <v>0</v>
      </c>
      <c r="I148" s="65"/>
    </row>
    <row r="149" spans="1:12">
      <c r="A149" s="59" t="s">
        <v>278</v>
      </c>
      <c r="B149" s="857" t="s">
        <v>279</v>
      </c>
      <c r="C149" s="857"/>
      <c r="D149" s="857"/>
      <c r="E149" s="857"/>
      <c r="F149" s="857"/>
      <c r="G149" s="857"/>
      <c r="H149" s="857"/>
      <c r="I149" s="858"/>
      <c r="J149" s="39"/>
      <c r="L149" s="39"/>
    </row>
    <row r="150" spans="1:12" ht="13.5" thickBot="1">
      <c r="A150" s="64" t="s">
        <v>280</v>
      </c>
      <c r="B150" s="857" t="s">
        <v>281</v>
      </c>
      <c r="C150" s="857"/>
      <c r="D150" s="857"/>
      <c r="E150" s="857"/>
      <c r="F150" s="857"/>
      <c r="G150" s="857"/>
      <c r="H150" s="857"/>
      <c r="I150" s="858"/>
      <c r="J150" s="39"/>
      <c r="L150" s="39"/>
    </row>
    <row r="151" spans="1:12" ht="13.5" customHeight="1">
      <c r="A151" s="59" t="s">
        <v>282</v>
      </c>
      <c r="B151" s="857" t="s">
        <v>283</v>
      </c>
      <c r="C151" s="857"/>
      <c r="D151" s="857"/>
      <c r="E151" s="857"/>
      <c r="F151" s="857"/>
      <c r="G151" s="857"/>
      <c r="H151" s="857"/>
      <c r="I151" s="858"/>
      <c r="J151" s="39"/>
      <c r="L151" s="39"/>
    </row>
    <row r="152" spans="1:12" ht="27" customHeight="1">
      <c r="A152" s="58" t="s">
        <v>284</v>
      </c>
      <c r="B152" s="859" t="s">
        <v>285</v>
      </c>
      <c r="C152" s="859"/>
      <c r="D152" s="859"/>
      <c r="E152" s="859"/>
      <c r="F152" s="859"/>
      <c r="G152" s="859"/>
      <c r="H152" s="859"/>
      <c r="I152" s="860"/>
      <c r="J152" s="39"/>
      <c r="L152" s="39"/>
    </row>
    <row r="153" spans="1:12">
      <c r="A153" s="59" t="s">
        <v>286</v>
      </c>
      <c r="B153" s="857" t="s">
        <v>287</v>
      </c>
      <c r="C153" s="857"/>
      <c r="D153" s="857"/>
      <c r="E153" s="857"/>
      <c r="F153" s="857"/>
      <c r="G153" s="857"/>
      <c r="H153" s="857"/>
      <c r="I153" s="858"/>
      <c r="J153" s="39"/>
      <c r="L153" s="39"/>
    </row>
    <row r="154" spans="1:12" ht="25.5" customHeight="1">
      <c r="A154" s="58" t="s">
        <v>288</v>
      </c>
      <c r="B154" s="859" t="str">
        <f>"Cash Working Capital assigned to transmission is one-eighth of O&amp;M allocated to transmission at line "&amp;A61&amp;" column 5.  Prepayments are the electric related prepayments booked to Account No. 165 and reported in the Other Assets Section of the Balance Sheet."</f>
        <v>Cash Working Capital assigned to transmission is one-eighth of O&amp;M allocated to transmission at line 46 column 5.  Prepayments are the electric related prepayments booked to Account No. 165 and reported in the Other Assets Section of the Balance Sheet.</v>
      </c>
      <c r="C154" s="859"/>
      <c r="D154" s="859"/>
      <c r="E154" s="859"/>
      <c r="F154" s="859"/>
      <c r="G154" s="859"/>
      <c r="H154" s="859"/>
      <c r="I154" s="860"/>
      <c r="J154" s="39"/>
      <c r="L154" s="39"/>
    </row>
    <row r="155" spans="1:12" ht="25.5" customHeight="1">
      <c r="A155" s="58" t="s">
        <v>289</v>
      </c>
      <c r="B155" s="859" t="s">
        <v>290</v>
      </c>
      <c r="C155" s="859"/>
      <c r="D155" s="859"/>
      <c r="E155" s="859"/>
      <c r="F155" s="859"/>
      <c r="G155" s="859"/>
      <c r="H155" s="859"/>
      <c r="I155" s="860"/>
      <c r="J155" s="39"/>
      <c r="L155" s="39"/>
    </row>
    <row r="156" spans="1:12">
      <c r="A156" s="59" t="s">
        <v>291</v>
      </c>
      <c r="B156" s="857" t="s">
        <v>292</v>
      </c>
      <c r="C156" s="857"/>
      <c r="D156" s="857"/>
      <c r="E156" s="857"/>
      <c r="F156" s="857"/>
      <c r="G156" s="857"/>
      <c r="H156" s="857"/>
      <c r="I156" s="858"/>
      <c r="J156" s="39"/>
      <c r="L156" s="39"/>
    </row>
    <row r="157" spans="1:12" ht="25.5" customHeight="1">
      <c r="A157" s="58" t="s">
        <v>293</v>
      </c>
      <c r="B157" s="859" t="str">
        <f>"Line "&amp;A57&amp;" - EPRI Annual Membership Dues, all Regulatory Commission Expenses, and non-safety related advertising.  Line "&amp;A58&amp;" - Regulatory Commission Expenses directly related to transmission service, ISO filings, or transmission siting."</f>
        <v>Line 42 - EPRI Annual Membership Dues, all Regulatory Commission Expenses, and non-safety related advertising.  Line 43 - Regulatory Commission Expenses directly related to transmission service, ISO filings, or transmission siting.</v>
      </c>
      <c r="C157" s="859"/>
      <c r="D157" s="859"/>
      <c r="E157" s="859"/>
      <c r="F157" s="859"/>
      <c r="G157" s="859"/>
      <c r="H157" s="859"/>
      <c r="I157" s="860"/>
      <c r="J157" s="39"/>
      <c r="L157" s="39"/>
    </row>
    <row r="158" spans="1:12" ht="25.5" customHeight="1">
      <c r="A158" s="58" t="s">
        <v>294</v>
      </c>
      <c r="B158" s="859" t="s">
        <v>295</v>
      </c>
      <c r="C158" s="859"/>
      <c r="D158" s="859"/>
      <c r="E158" s="859"/>
      <c r="F158" s="859"/>
      <c r="G158" s="859"/>
      <c r="H158" s="859"/>
      <c r="I158" s="860"/>
      <c r="J158" s="39"/>
      <c r="L158" s="39"/>
    </row>
    <row r="159" spans="1:12">
      <c r="A159" s="59" t="s">
        <v>296</v>
      </c>
      <c r="B159" s="628" t="s">
        <v>297</v>
      </c>
      <c r="C159" s="53"/>
      <c r="D159" s="53"/>
      <c r="E159" s="55"/>
      <c r="F159" s="54"/>
      <c r="G159" s="53"/>
      <c r="H159" s="52"/>
      <c r="I159" s="63"/>
      <c r="J159" s="39"/>
      <c r="L159" s="39"/>
    </row>
    <row r="160" spans="1:12">
      <c r="A160" s="59" t="s">
        <v>110</v>
      </c>
      <c r="B160" s="628" t="s">
        <v>298</v>
      </c>
      <c r="C160" s="628" t="s">
        <v>299</v>
      </c>
      <c r="D160" s="61">
        <v>0</v>
      </c>
      <c r="E160" s="55"/>
      <c r="F160" s="54"/>
      <c r="G160" s="53"/>
      <c r="H160" s="52"/>
      <c r="I160" s="63"/>
      <c r="J160" s="39"/>
      <c r="L160" s="39"/>
    </row>
    <row r="161" spans="1:12">
      <c r="A161" s="62"/>
      <c r="B161" s="53"/>
      <c r="C161" s="628" t="s">
        <v>300</v>
      </c>
      <c r="D161" s="61">
        <v>0</v>
      </c>
      <c r="E161" s="861" t="s">
        <v>301</v>
      </c>
      <c r="F161" s="861"/>
      <c r="G161" s="861"/>
      <c r="H161" s="861"/>
      <c r="I161" s="862"/>
      <c r="J161" s="39"/>
      <c r="L161" s="39"/>
    </row>
    <row r="162" spans="1:12">
      <c r="A162" s="62"/>
      <c r="B162" s="53"/>
      <c r="C162" s="628" t="s">
        <v>302</v>
      </c>
      <c r="D162" s="61">
        <v>0</v>
      </c>
      <c r="E162" s="861" t="s">
        <v>303</v>
      </c>
      <c r="F162" s="861"/>
      <c r="G162" s="861"/>
      <c r="H162" s="861"/>
      <c r="I162" s="862"/>
      <c r="J162" s="39"/>
      <c r="L162" s="39"/>
    </row>
    <row r="163" spans="1:12">
      <c r="A163" s="59" t="s">
        <v>304</v>
      </c>
      <c r="B163" s="857" t="s">
        <v>305</v>
      </c>
      <c r="C163" s="857"/>
      <c r="D163" s="857"/>
      <c r="E163" s="857"/>
      <c r="F163" s="857"/>
      <c r="G163" s="857"/>
      <c r="H163" s="857"/>
      <c r="I163" s="858"/>
      <c r="J163" s="39"/>
      <c r="L163" s="39"/>
    </row>
    <row r="164" spans="1:12" ht="12.75" customHeight="1">
      <c r="A164" s="58" t="s">
        <v>306</v>
      </c>
      <c r="B164" s="859" t="s">
        <v>307</v>
      </c>
      <c r="C164" s="859"/>
      <c r="D164" s="859"/>
      <c r="E164" s="859"/>
      <c r="F164" s="859"/>
      <c r="G164" s="859"/>
      <c r="H164" s="859"/>
      <c r="I164" s="860"/>
      <c r="J164" s="39"/>
      <c r="L164" s="39"/>
    </row>
    <row r="165" spans="1:12" ht="25.5" customHeight="1">
      <c r="A165" s="58" t="s">
        <v>308</v>
      </c>
      <c r="B165" s="859" t="s">
        <v>309</v>
      </c>
      <c r="C165" s="859"/>
      <c r="D165" s="859"/>
      <c r="E165" s="859"/>
      <c r="F165" s="859"/>
      <c r="G165" s="859"/>
      <c r="H165" s="859"/>
      <c r="I165" s="860"/>
      <c r="J165" s="39"/>
      <c r="L165" s="39"/>
    </row>
    <row r="166" spans="1:12" ht="13.5" customHeight="1">
      <c r="A166" s="58" t="s">
        <v>310</v>
      </c>
      <c r="B166" s="859" t="s">
        <v>311</v>
      </c>
      <c r="C166" s="859"/>
      <c r="D166" s="859"/>
      <c r="E166" s="859"/>
      <c r="F166" s="859"/>
      <c r="G166" s="859"/>
      <c r="H166" s="859"/>
      <c r="I166" s="860"/>
      <c r="J166" s="40"/>
      <c r="L166" s="39"/>
    </row>
    <row r="167" spans="1:12">
      <c r="A167" s="59" t="s">
        <v>312</v>
      </c>
      <c r="B167" s="857" t="s">
        <v>313</v>
      </c>
      <c r="C167" s="857"/>
      <c r="D167" s="857"/>
      <c r="E167" s="857"/>
      <c r="F167" s="857"/>
      <c r="G167" s="857"/>
      <c r="H167" s="857"/>
      <c r="I167" s="858"/>
      <c r="J167" s="60"/>
      <c r="L167" s="39"/>
    </row>
    <row r="168" spans="1:12" ht="25.5" customHeight="1">
      <c r="A168" s="58" t="s">
        <v>314</v>
      </c>
      <c r="B168" s="859" t="str">
        <f>"Debt cost rate = long-term interest (line "&amp;A130&amp;") / long term debt (line "&amp;A133&amp;").  The Proprietary Capital Cost rate is implicit, a residual calculation after TIER is determined."&amp;" TIER will be supported in the filing and no change in TIER may be made absent a filing with the ISO and the FERC, if the entity is under FERC's jurisdiction."</f>
        <v>Debt cost rate = long-term interest (line 99) / long term debt (line 100).  The Proprietary Capital Cost rate is implicit, a residual calculation after TIER is determined. TIER will be supported in the filing and no change in TIER may be made absent a filing with the ISO and the FERC, if the entity is under FERC's jurisdiction.</v>
      </c>
      <c r="C168" s="859"/>
      <c r="D168" s="859"/>
      <c r="E168" s="859"/>
      <c r="F168" s="859"/>
      <c r="G168" s="859"/>
      <c r="H168" s="859"/>
      <c r="I168" s="860"/>
      <c r="L168" s="39"/>
    </row>
    <row r="169" spans="1:12">
      <c r="A169" s="59" t="s">
        <v>315</v>
      </c>
      <c r="B169" s="857" t="str">
        <f>"Line "&amp;A141&amp;" must equal zero since all short-term power sales must be unbundled and the transmission component reflected in Account No. 456 and all other uses are to be included in the divisor."</f>
        <v>Line 105 must equal zero since all short-term power sales must be unbundled and the transmission component reflected in Account No. 456 and all other uses are to be included in the divisor.</v>
      </c>
      <c r="C169" s="857"/>
      <c r="D169" s="857"/>
      <c r="E169" s="857"/>
      <c r="F169" s="857"/>
      <c r="G169" s="857"/>
      <c r="H169" s="857"/>
      <c r="I169" s="858"/>
      <c r="L169" s="39"/>
    </row>
    <row r="170" spans="1:12">
      <c r="A170" s="59" t="s">
        <v>316</v>
      </c>
      <c r="B170" s="857" t="s">
        <v>317</v>
      </c>
      <c r="C170" s="857"/>
      <c r="D170" s="857"/>
      <c r="E170" s="857"/>
      <c r="F170" s="857"/>
      <c r="G170" s="857"/>
      <c r="H170" s="857"/>
      <c r="I170" s="858"/>
      <c r="L170" s="39"/>
    </row>
    <row r="171" spans="1:12" ht="25.5" customHeight="1">
      <c r="A171" s="58" t="s">
        <v>318</v>
      </c>
      <c r="B171" s="859" t="str">
        <f>"The revenues credited shall include only the amounts received directly reflecting the Transmission Owner's integrated transmission facilities.  They do not include revenues associated with FERC annual charges, "&amp;"gross receipts taxes, facilities not included in this template (e.g., direct assignment facilites and GSUs) which are not recovered under this Revenue Requirement Template."</f>
        <v>The revenues credited shall include only the amounts received directly reflecting the Transmission Owner's integrated transmission facilities.  They do not include revenues associated with FERC annual charges, gross receipts taxes, facilities not included in this template (e.g., direct assignment facilites and GSUs) which are not recovered under this Revenue Requirement Template.</v>
      </c>
      <c r="C171" s="859"/>
      <c r="D171" s="859"/>
      <c r="E171" s="859"/>
      <c r="F171" s="859"/>
      <c r="G171" s="859"/>
      <c r="H171" s="859"/>
      <c r="I171" s="860"/>
      <c r="J171" s="39"/>
    </row>
    <row r="172" spans="1:12">
      <c r="A172" s="57"/>
      <c r="B172" s="628" t="s">
        <v>319</v>
      </c>
      <c r="C172" s="56"/>
      <c r="D172" s="53"/>
      <c r="E172" s="55"/>
      <c r="F172" s="54"/>
      <c r="G172" s="53"/>
      <c r="H172" s="52"/>
      <c r="I172" s="51"/>
      <c r="J172" s="39"/>
    </row>
    <row r="173" spans="1:12" ht="13.5" thickBot="1">
      <c r="A173" s="50"/>
      <c r="B173" s="49"/>
      <c r="C173" s="46"/>
      <c r="D173" s="46"/>
      <c r="E173" s="48"/>
      <c r="F173" s="47"/>
      <c r="G173" s="46"/>
      <c r="H173" s="45"/>
      <c r="I173" s="44"/>
      <c r="J173" s="37"/>
      <c r="L173" s="37"/>
    </row>
  </sheetData>
  <mergeCells count="21">
    <mergeCell ref="B158:I158"/>
    <mergeCell ref="E161:I161"/>
    <mergeCell ref="E162:I162"/>
    <mergeCell ref="B149:I149"/>
    <mergeCell ref="B150:I150"/>
    <mergeCell ref="B151:I151"/>
    <mergeCell ref="B152:I152"/>
    <mergeCell ref="B153:I153"/>
    <mergeCell ref="B154:I154"/>
    <mergeCell ref="B155:I155"/>
    <mergeCell ref="B156:I156"/>
    <mergeCell ref="B157:I157"/>
    <mergeCell ref="B169:I169"/>
    <mergeCell ref="B170:I170"/>
    <mergeCell ref="B171:I171"/>
    <mergeCell ref="B163:I163"/>
    <mergeCell ref="B164:I164"/>
    <mergeCell ref="B165:I165"/>
    <mergeCell ref="B166:I166"/>
    <mergeCell ref="B167:I167"/>
    <mergeCell ref="B168:I168"/>
  </mergeCells>
  <hyperlinks>
    <hyperlink ref="J1" location="'Cover Sheets'!A16" display="(Back to Worksheet Links)" xr:uid="{00000000-0004-0000-0200-000000000000}"/>
  </hyperlinks>
  <pageMargins left="0.56999999999999995" right="0.3" top="0.5" bottom="0.25" header="0.28000000000000003" footer="0.08"/>
  <pageSetup scale="53" orientation="portrait" r:id="rId1"/>
  <headerFooter alignWithMargins="0">
    <oddFooter>&amp;R&amp;A</oddFooter>
  </headerFooter>
  <rowBreaks count="1" manualBreakCount="1">
    <brk id="90" max="8"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I37"/>
  <sheetViews>
    <sheetView view="pageBreakPreview" zoomScale="70" zoomScaleNormal="100" zoomScaleSheetLayoutView="70" workbookViewId="0">
      <pane ySplit="4" topLeftCell="A26" activePane="bottomLeft" state="frozen"/>
      <selection activeCell="B1" sqref="B1"/>
      <selection pane="bottomLeft"/>
    </sheetView>
  </sheetViews>
  <sheetFormatPr defaultColWidth="13.453125" defaultRowHeight="14.5"/>
  <cols>
    <col min="1" max="1" width="13.453125" style="30"/>
    <col min="2" max="2" width="89.453125" style="30" bestFit="1" customWidth="1"/>
    <col min="3" max="5" width="13.453125" style="30"/>
    <col min="6" max="6" width="13.1796875" style="30" customWidth="1"/>
    <col min="7" max="7" width="13.453125" style="30"/>
    <col min="8" max="8" width="43.54296875" style="30" customWidth="1"/>
    <col min="9" max="9" width="22.54296875" style="30" customWidth="1"/>
    <col min="10" max="16384" width="13.453125" style="30"/>
  </cols>
  <sheetData>
    <row r="1" spans="1:9">
      <c r="A1" s="793" t="str">
        <f>'Cover Sheets'!A10:B10</f>
        <v>WAPA-UGP 2022 Rate Estimate Calculation</v>
      </c>
      <c r="B1" s="257"/>
      <c r="C1" s="258"/>
      <c r="D1" s="258"/>
      <c r="E1" s="258"/>
      <c r="F1" s="258"/>
      <c r="G1" s="258"/>
      <c r="H1" s="259"/>
      <c r="I1" s="528" t="s">
        <v>43</v>
      </c>
    </row>
    <row r="2" spans="1:9">
      <c r="A2" s="57" t="s">
        <v>320</v>
      </c>
      <c r="B2" s="473"/>
      <c r="C2" s="260"/>
      <c r="D2" s="260"/>
      <c r="E2" s="260"/>
      <c r="F2" s="260"/>
      <c r="G2" s="260"/>
      <c r="H2" s="261"/>
      <c r="I2" s="528"/>
    </row>
    <row r="3" spans="1:9">
      <c r="A3" s="57" t="str">
        <f>'Summary-ATRR'!A3</f>
        <v>12 Months Ending 09/30/2022 ESTIMATE</v>
      </c>
      <c r="B3" s="260"/>
      <c r="C3" s="260"/>
      <c r="D3" s="260"/>
      <c r="E3" s="260"/>
      <c r="F3" s="260"/>
      <c r="G3" s="260"/>
      <c r="H3" s="261"/>
    </row>
    <row r="4" spans="1:9" ht="75.75" customHeight="1">
      <c r="A4" s="57"/>
      <c r="B4" s="232" t="s">
        <v>321</v>
      </c>
      <c r="C4" s="233" t="s">
        <v>46</v>
      </c>
      <c r="D4" s="233" t="s">
        <v>322</v>
      </c>
      <c r="E4" s="233" t="s">
        <v>323</v>
      </c>
      <c r="F4" s="233" t="s">
        <v>324</v>
      </c>
      <c r="G4" s="233" t="s">
        <v>325</v>
      </c>
      <c r="H4" s="234" t="s">
        <v>48</v>
      </c>
    </row>
    <row r="5" spans="1:9" ht="15" thickBot="1">
      <c r="A5" s="235" t="s">
        <v>326</v>
      </c>
      <c r="B5" s="236">
        <v>-1</v>
      </c>
      <c r="C5" s="236">
        <v>-2</v>
      </c>
      <c r="D5" s="236">
        <v>-3</v>
      </c>
      <c r="E5" s="236">
        <v>-5</v>
      </c>
      <c r="F5" s="236">
        <v>-4</v>
      </c>
      <c r="G5" s="236">
        <v>-5</v>
      </c>
      <c r="H5" s="237">
        <v>-6</v>
      </c>
    </row>
    <row r="6" spans="1:9">
      <c r="A6" s="262">
        <v>1</v>
      </c>
      <c r="B6" s="263" t="s">
        <v>327</v>
      </c>
      <c r="C6" s="275"/>
      <c r="D6" s="267"/>
      <c r="E6" s="276"/>
      <c r="F6" s="267"/>
      <c r="G6" s="267"/>
      <c r="H6" s="265"/>
    </row>
    <row r="7" spans="1:9">
      <c r="A7" s="262">
        <f t="shared" ref="A7:A37" si="0">A6+1</f>
        <v>2</v>
      </c>
      <c r="B7" s="268" t="s">
        <v>328</v>
      </c>
      <c r="C7" s="277">
        <f>'WS4-CostData'!K122</f>
        <v>75704676.817140549</v>
      </c>
      <c r="D7" s="264">
        <f>'WS4-CostData'!K123</f>
        <v>92938029.200506076</v>
      </c>
      <c r="E7" s="264">
        <f>'WS4-CostData'!G123</f>
        <v>50393077.23171252</v>
      </c>
      <c r="F7" s="264">
        <f>'WS4-CostData'!C124</f>
        <v>55324.516149749848</v>
      </c>
      <c r="G7" s="264">
        <f>'WS4-CostData'!K125</f>
        <v>359631.6326230088</v>
      </c>
      <c r="H7" s="265" t="s">
        <v>329</v>
      </c>
    </row>
    <row r="8" spans="1:9">
      <c r="A8" s="262">
        <f t="shared" si="0"/>
        <v>3</v>
      </c>
      <c r="B8" s="268" t="s">
        <v>330</v>
      </c>
      <c r="C8" s="277">
        <v>0</v>
      </c>
      <c r="D8" s="264">
        <v>0</v>
      </c>
      <c r="E8" s="264">
        <v>0</v>
      </c>
      <c r="F8" s="264">
        <v>0</v>
      </c>
      <c r="G8" s="264">
        <v>0</v>
      </c>
      <c r="H8" s="265"/>
    </row>
    <row r="9" spans="1:9">
      <c r="A9" s="262">
        <f t="shared" si="0"/>
        <v>4</v>
      </c>
      <c r="B9" s="268" t="s">
        <v>331</v>
      </c>
      <c r="C9" s="277">
        <f>SUM(C7:C8)</f>
        <v>75704676.817140549</v>
      </c>
      <c r="D9" s="264">
        <f>SUM(D7:D8)</f>
        <v>92938029.200506076</v>
      </c>
      <c r="E9" s="264">
        <f>SUM(E7:E8)</f>
        <v>50393077.23171252</v>
      </c>
      <c r="F9" s="264">
        <f>SUM(F7:F8)</f>
        <v>55324.516149749848</v>
      </c>
      <c r="G9" s="264">
        <f>SUM(G7:G8)</f>
        <v>359631.6326230088</v>
      </c>
      <c r="H9" s="265" t="s">
        <v>332</v>
      </c>
    </row>
    <row r="10" spans="1:9" ht="15" thickBot="1">
      <c r="A10" s="262">
        <f t="shared" si="0"/>
        <v>5</v>
      </c>
      <c r="B10" s="268" t="s">
        <v>333</v>
      </c>
      <c r="C10" s="277">
        <f>'WS4-CostData'!K24</f>
        <v>761745613.58353913</v>
      </c>
      <c r="D10" s="264">
        <f>'WS4-CostData'!K25</f>
        <v>778361862.49230039</v>
      </c>
      <c r="E10" s="264">
        <f>'WS4-CostData'!G25</f>
        <v>592327146.18350327</v>
      </c>
      <c r="F10" s="264">
        <f>'WS4-CostData'!K27</f>
        <v>551770.71275751991</v>
      </c>
      <c r="G10" s="264">
        <f>'WS4-CostData'!K28</f>
        <v>3586731.8157005752</v>
      </c>
      <c r="H10" s="265" t="s">
        <v>334</v>
      </c>
    </row>
    <row r="11" spans="1:9" ht="15" thickBot="1">
      <c r="A11" s="262">
        <f t="shared" si="0"/>
        <v>6</v>
      </c>
      <c r="B11" s="268" t="s">
        <v>335</v>
      </c>
      <c r="C11" s="278">
        <f>+C9/C10</f>
        <v>9.9383147690207438E-2</v>
      </c>
      <c r="D11" s="279">
        <f>+D9/D10</f>
        <v>0.11940208491577455</v>
      </c>
      <c r="E11" s="279">
        <f>+E9/E10</f>
        <v>8.5076427032605928E-2</v>
      </c>
      <c r="F11" s="279">
        <f>+F9/F10</f>
        <v>0.10026722127613659</v>
      </c>
      <c r="G11" s="279">
        <f>+G9/G10</f>
        <v>0.1002672212761366</v>
      </c>
      <c r="H11" s="265" t="s">
        <v>336</v>
      </c>
    </row>
    <row r="12" spans="1:9">
      <c r="A12" s="262">
        <f t="shared" si="0"/>
        <v>7</v>
      </c>
      <c r="B12" s="263" t="s">
        <v>337</v>
      </c>
      <c r="C12" s="275"/>
      <c r="D12" s="267"/>
      <c r="E12" s="267"/>
      <c r="F12" s="267"/>
      <c r="G12" s="267"/>
      <c r="H12" s="265"/>
    </row>
    <row r="13" spans="1:9">
      <c r="A13" s="262">
        <f t="shared" si="0"/>
        <v>8</v>
      </c>
      <c r="B13" s="268" t="s">
        <v>338</v>
      </c>
      <c r="C13" s="277">
        <f>'WS4-CostData'!K93</f>
        <v>15092536.288142929</v>
      </c>
      <c r="D13" s="264">
        <f>'WS4-CostData'!K94</f>
        <v>166555.49902619162</v>
      </c>
      <c r="E13" s="264">
        <f>'WS4-CostData'!G94</f>
        <v>0</v>
      </c>
      <c r="F13" s="264">
        <f>'WS4-CostData'!C96</f>
        <v>11640.589349430596</v>
      </c>
      <c r="G13" s="264">
        <f>'WS4-CostData'!K97</f>
        <v>75668.518114074133</v>
      </c>
      <c r="H13" s="265" t="s">
        <v>339</v>
      </c>
    </row>
    <row r="14" spans="1:9" ht="15" thickBot="1">
      <c r="A14" s="262">
        <f t="shared" si="0"/>
        <v>9</v>
      </c>
      <c r="B14" s="268" t="s">
        <v>340</v>
      </c>
      <c r="C14" s="277">
        <f>C10</f>
        <v>761745613.58353913</v>
      </c>
      <c r="D14" s="264">
        <f>D10</f>
        <v>778361862.49230039</v>
      </c>
      <c r="E14" s="264">
        <f>E10</f>
        <v>592327146.18350327</v>
      </c>
      <c r="F14" s="264">
        <f>F10</f>
        <v>551770.71275751991</v>
      </c>
      <c r="G14" s="264">
        <f>G10</f>
        <v>3586731.8157005752</v>
      </c>
      <c r="H14" s="265" t="s">
        <v>341</v>
      </c>
    </row>
    <row r="15" spans="1:9" ht="15" thickBot="1">
      <c r="A15" s="262">
        <f t="shared" si="0"/>
        <v>10</v>
      </c>
      <c r="B15" s="268" t="s">
        <v>342</v>
      </c>
      <c r="C15" s="278">
        <f>+C13/C14</f>
        <v>1.9813092479971019E-2</v>
      </c>
      <c r="D15" s="279">
        <f>+D13/D14</f>
        <v>2.1398209117399968E-4</v>
      </c>
      <c r="E15" s="279">
        <f>+E13/E14</f>
        <v>0</v>
      </c>
      <c r="F15" s="279">
        <f>+F13/F14</f>
        <v>2.1096787271031089E-2</v>
      </c>
      <c r="G15" s="279">
        <f>+G13/G14</f>
        <v>2.1096787271031092E-2</v>
      </c>
      <c r="H15" s="265" t="s">
        <v>343</v>
      </c>
    </row>
    <row r="16" spans="1:9">
      <c r="A16" s="262">
        <f t="shared" si="0"/>
        <v>11</v>
      </c>
      <c r="B16" s="263" t="s">
        <v>344</v>
      </c>
      <c r="C16" s="275"/>
      <c r="D16" s="267"/>
      <c r="E16" s="267"/>
      <c r="F16" s="267"/>
      <c r="G16" s="267"/>
      <c r="H16" s="265"/>
    </row>
    <row r="17" spans="1:8">
      <c r="A17" s="262">
        <f t="shared" si="0"/>
        <v>12</v>
      </c>
      <c r="B17" s="268" t="s">
        <v>345</v>
      </c>
      <c r="C17" s="264">
        <f>'WS4-CostData'!K46</f>
        <v>36115382.562876761</v>
      </c>
      <c r="D17" s="264">
        <f>'WS4-CostData'!K47</f>
        <v>21576013.908725537</v>
      </c>
      <c r="E17" s="264">
        <f>'WS4-CostData'!G47</f>
        <v>16567627.627619052</v>
      </c>
      <c r="F17" s="264">
        <f>'WS4-CostData'!K49</f>
        <v>26892.823868799089</v>
      </c>
      <c r="G17" s="264">
        <f>'WS4-CostData'!K50</f>
        <v>174814.18414217737</v>
      </c>
      <c r="H17" s="265" t="s">
        <v>346</v>
      </c>
    </row>
    <row r="18" spans="1:8" ht="15" thickBot="1">
      <c r="A18" s="262">
        <f t="shared" si="0"/>
        <v>13</v>
      </c>
      <c r="B18" s="268" t="s">
        <v>333</v>
      </c>
      <c r="C18" s="277">
        <f>C14</f>
        <v>761745613.58353913</v>
      </c>
      <c r="D18" s="264">
        <f>D14</f>
        <v>778361862.49230039</v>
      </c>
      <c r="E18" s="264">
        <f>E14</f>
        <v>592327146.18350327</v>
      </c>
      <c r="F18" s="264">
        <f>F14</f>
        <v>551770.71275751991</v>
      </c>
      <c r="G18" s="264">
        <f>G14</f>
        <v>3586731.8157005752</v>
      </c>
      <c r="H18" s="265" t="s">
        <v>341</v>
      </c>
    </row>
    <row r="19" spans="1:8" ht="15" thickBot="1">
      <c r="A19" s="262">
        <f t="shared" si="0"/>
        <v>14</v>
      </c>
      <c r="B19" s="268" t="s">
        <v>347</v>
      </c>
      <c r="C19" s="278">
        <f>C17/C18</f>
        <v>4.7411342998059887E-2</v>
      </c>
      <c r="D19" s="279">
        <f>D17/D18</f>
        <v>2.7719772702685531E-2</v>
      </c>
      <c r="E19" s="279">
        <f>E17/E18</f>
        <v>2.7970400705704602E-2</v>
      </c>
      <c r="F19" s="279">
        <f>F17/F18</f>
        <v>4.8739128857347234E-2</v>
      </c>
      <c r="G19" s="279">
        <f>G17/G18</f>
        <v>4.8739128857347241E-2</v>
      </c>
      <c r="H19" s="265" t="s">
        <v>348</v>
      </c>
    </row>
    <row r="20" spans="1:8">
      <c r="A20" s="262">
        <f t="shared" si="0"/>
        <v>15</v>
      </c>
      <c r="B20" s="263" t="s">
        <v>349</v>
      </c>
      <c r="C20" s="275"/>
      <c r="D20" s="267"/>
      <c r="E20" s="267"/>
      <c r="F20" s="267"/>
      <c r="G20" s="267"/>
      <c r="H20" s="265"/>
    </row>
    <row r="21" spans="1:8">
      <c r="A21" s="262">
        <f t="shared" si="0"/>
        <v>16</v>
      </c>
      <c r="B21" s="268" t="s">
        <v>350</v>
      </c>
      <c r="C21" s="275"/>
      <c r="D21" s="267"/>
      <c r="E21" s="267"/>
      <c r="F21" s="267"/>
      <c r="G21" s="267"/>
      <c r="H21" s="265"/>
    </row>
    <row r="22" spans="1:8">
      <c r="A22" s="262">
        <f t="shared" si="0"/>
        <v>17</v>
      </c>
      <c r="B22" s="263" t="s">
        <v>351</v>
      </c>
      <c r="C22" s="275"/>
      <c r="D22" s="267"/>
      <c r="E22" s="267"/>
      <c r="F22" s="267"/>
      <c r="G22" s="267"/>
      <c r="H22" s="265"/>
    </row>
    <row r="23" spans="1:8">
      <c r="A23" s="262">
        <f t="shared" si="0"/>
        <v>18</v>
      </c>
      <c r="B23" s="268" t="s">
        <v>352</v>
      </c>
      <c r="C23" s="275"/>
      <c r="D23" s="267"/>
      <c r="E23" s="267"/>
      <c r="F23" s="267"/>
      <c r="G23" s="267"/>
      <c r="H23" s="265"/>
    </row>
    <row r="24" spans="1:8" ht="15" thickBot="1">
      <c r="A24" s="262">
        <f t="shared" si="0"/>
        <v>19</v>
      </c>
      <c r="B24" s="263" t="s">
        <v>353</v>
      </c>
      <c r="C24" s="275"/>
      <c r="D24" s="267"/>
      <c r="E24" s="267"/>
      <c r="F24" s="267"/>
      <c r="G24" s="267"/>
      <c r="H24" s="265"/>
    </row>
    <row r="25" spans="1:8" ht="15" thickBot="1">
      <c r="A25" s="262">
        <f t="shared" si="0"/>
        <v>20</v>
      </c>
      <c r="B25" s="268" t="s">
        <v>354</v>
      </c>
      <c r="C25" s="278">
        <f>'WS4-CostData'!K71</f>
        <v>4.3437613771823876E-2</v>
      </c>
      <c r="D25" s="279">
        <f>'WS4-CostData'!K73</f>
        <v>4.5527570558087364E-2</v>
      </c>
      <c r="E25" s="279">
        <f>'WS4-CostData'!K73</f>
        <v>4.5527570558087364E-2</v>
      </c>
      <c r="F25" s="279">
        <f>C25</f>
        <v>4.3437613771823876E-2</v>
      </c>
      <c r="G25" s="279">
        <f>F25</f>
        <v>4.3437613771823876E-2</v>
      </c>
      <c r="H25" s="265" t="s">
        <v>355</v>
      </c>
    </row>
    <row r="26" spans="1:8">
      <c r="A26" s="262">
        <f t="shared" si="0"/>
        <v>21</v>
      </c>
      <c r="B26" s="263" t="s">
        <v>356</v>
      </c>
      <c r="C26" s="275"/>
      <c r="D26" s="267"/>
      <c r="E26" s="267"/>
      <c r="F26" s="267"/>
      <c r="G26" s="267"/>
      <c r="H26" s="265"/>
    </row>
    <row r="27" spans="1:8">
      <c r="A27" s="262">
        <f t="shared" si="0"/>
        <v>22</v>
      </c>
      <c r="B27" s="268" t="s">
        <v>357</v>
      </c>
      <c r="C27" s="280">
        <f>C11</f>
        <v>9.9383147690207438E-2</v>
      </c>
      <c r="D27" s="269">
        <f>D11</f>
        <v>0.11940208491577455</v>
      </c>
      <c r="E27" s="269">
        <f>E11</f>
        <v>8.5076427032605928E-2</v>
      </c>
      <c r="F27" s="269">
        <f>F11</f>
        <v>0.10026722127613659</v>
      </c>
      <c r="G27" s="269">
        <f>G11</f>
        <v>0.1002672212761366</v>
      </c>
      <c r="H27" s="265" t="s">
        <v>358</v>
      </c>
    </row>
    <row r="28" spans="1:8">
      <c r="A28" s="262">
        <f t="shared" si="0"/>
        <v>23</v>
      </c>
      <c r="B28" s="268" t="s">
        <v>359</v>
      </c>
      <c r="C28" s="280">
        <f>C15</f>
        <v>1.9813092479971019E-2</v>
      </c>
      <c r="D28" s="269">
        <f>D15</f>
        <v>2.1398209117399968E-4</v>
      </c>
      <c r="E28" s="269">
        <f>E15</f>
        <v>0</v>
      </c>
      <c r="F28" s="269">
        <f>F15</f>
        <v>2.1096787271031089E-2</v>
      </c>
      <c r="G28" s="269">
        <f>G15</f>
        <v>2.1096787271031092E-2</v>
      </c>
      <c r="H28" s="265" t="s">
        <v>360</v>
      </c>
    </row>
    <row r="29" spans="1:8">
      <c r="A29" s="262">
        <f t="shared" si="0"/>
        <v>24</v>
      </c>
      <c r="B29" s="268" t="s">
        <v>345</v>
      </c>
      <c r="C29" s="280">
        <f>C19</f>
        <v>4.7411342998059887E-2</v>
      </c>
      <c r="D29" s="269">
        <f>D19</f>
        <v>2.7719772702685531E-2</v>
      </c>
      <c r="E29" s="269">
        <f>E19</f>
        <v>2.7970400705704602E-2</v>
      </c>
      <c r="F29" s="269">
        <f>F19</f>
        <v>4.8739128857347234E-2</v>
      </c>
      <c r="G29" s="269">
        <f>G19</f>
        <v>4.8739128857347241E-2</v>
      </c>
      <c r="H29" s="265" t="s">
        <v>361</v>
      </c>
    </row>
    <row r="30" spans="1:8">
      <c r="A30" s="262">
        <f t="shared" si="0"/>
        <v>25</v>
      </c>
      <c r="B30" s="268" t="s">
        <v>362</v>
      </c>
      <c r="C30" s="280">
        <v>0</v>
      </c>
      <c r="D30" s="269">
        <v>0</v>
      </c>
      <c r="E30" s="269">
        <v>0</v>
      </c>
      <c r="F30" s="269">
        <v>0</v>
      </c>
      <c r="G30" s="269">
        <v>0</v>
      </c>
      <c r="H30" s="265"/>
    </row>
    <row r="31" spans="1:8">
      <c r="A31" s="262">
        <f t="shared" si="0"/>
        <v>26</v>
      </c>
      <c r="B31" s="268" t="s">
        <v>363</v>
      </c>
      <c r="C31" s="280">
        <v>0</v>
      </c>
      <c r="D31" s="269">
        <v>0</v>
      </c>
      <c r="E31" s="269">
        <v>0</v>
      </c>
      <c r="F31" s="269">
        <v>0</v>
      </c>
      <c r="G31" s="269">
        <v>0</v>
      </c>
      <c r="H31" s="265"/>
    </row>
    <row r="32" spans="1:8" ht="15" thickBot="1">
      <c r="A32" s="262">
        <f t="shared" si="0"/>
        <v>27</v>
      </c>
      <c r="B32" s="268" t="s">
        <v>364</v>
      </c>
      <c r="C32" s="280">
        <f>C25</f>
        <v>4.3437613771823876E-2</v>
      </c>
      <c r="D32" s="269">
        <f>D25</f>
        <v>4.5527570558087364E-2</v>
      </c>
      <c r="E32" s="269">
        <f>E25</f>
        <v>4.5527570558087364E-2</v>
      </c>
      <c r="F32" s="269">
        <f>F25</f>
        <v>4.3437613771823876E-2</v>
      </c>
      <c r="G32" s="269">
        <f>G25</f>
        <v>4.3437613771823876E-2</v>
      </c>
      <c r="H32" s="265" t="s">
        <v>365</v>
      </c>
    </row>
    <row r="33" spans="1:8" ht="15" thickBot="1">
      <c r="A33" s="262">
        <f t="shared" si="0"/>
        <v>28</v>
      </c>
      <c r="B33" s="268" t="s">
        <v>366</v>
      </c>
      <c r="C33" s="278">
        <f>SUM(C27:C32)</f>
        <v>0.21004519694006221</v>
      </c>
      <c r="D33" s="279">
        <f>SUM(D27:D32)</f>
        <v>0.19286341026772144</v>
      </c>
      <c r="E33" s="279">
        <f>SUM(E27:E32)</f>
        <v>0.15857439829639788</v>
      </c>
      <c r="F33" s="279">
        <f>SUM(F27:F32)</f>
        <v>0.21354075117633878</v>
      </c>
      <c r="G33" s="279">
        <f>SUM(G27:G32)</f>
        <v>0.21354075117633881</v>
      </c>
      <c r="H33" s="265"/>
    </row>
    <row r="34" spans="1:8">
      <c r="A34" s="262">
        <f t="shared" si="0"/>
        <v>29</v>
      </c>
      <c r="B34" s="263" t="s">
        <v>367</v>
      </c>
      <c r="C34" s="280"/>
      <c r="D34" s="269"/>
      <c r="E34" s="269"/>
      <c r="F34" s="269"/>
      <c r="G34" s="269"/>
      <c r="H34" s="270"/>
    </row>
    <row r="35" spans="1:8">
      <c r="A35" s="262">
        <f t="shared" si="0"/>
        <v>30</v>
      </c>
      <c r="B35" s="268" t="s">
        <v>368</v>
      </c>
      <c r="C35" s="280">
        <f>C33</f>
        <v>0.21004519694006221</v>
      </c>
      <c r="D35" s="269">
        <f>D33</f>
        <v>0.19286341026772144</v>
      </c>
      <c r="E35" s="269">
        <f>E33</f>
        <v>0.15857439829639788</v>
      </c>
      <c r="F35" s="269">
        <f>F33</f>
        <v>0.21354075117633878</v>
      </c>
      <c r="G35" s="269">
        <f>G33</f>
        <v>0.21354075117633881</v>
      </c>
      <c r="H35" s="281" t="s">
        <v>369</v>
      </c>
    </row>
    <row r="36" spans="1:8">
      <c r="A36" s="262">
        <f t="shared" si="0"/>
        <v>31</v>
      </c>
      <c r="B36" s="268" t="s">
        <v>333</v>
      </c>
      <c r="C36" s="282">
        <f>C10</f>
        <v>761745613.58353913</v>
      </c>
      <c r="D36" s="283">
        <f>D10</f>
        <v>778361862.49230039</v>
      </c>
      <c r="E36" s="283">
        <f>E10</f>
        <v>592327146.18350327</v>
      </c>
      <c r="F36" s="283">
        <f>F10</f>
        <v>551770.71275751991</v>
      </c>
      <c r="G36" s="283">
        <f>G10</f>
        <v>3586731.8157005752</v>
      </c>
      <c r="H36" s="265" t="s">
        <v>341</v>
      </c>
    </row>
    <row r="37" spans="1:8" ht="15" thickBot="1">
      <c r="A37" s="235">
        <f t="shared" si="0"/>
        <v>32</v>
      </c>
      <c r="B37" s="271" t="s">
        <v>370</v>
      </c>
      <c r="C37" s="284">
        <f>C36*C35</f>
        <v>160001007.423383</v>
      </c>
      <c r="D37" s="272">
        <f>D36*D35</f>
        <v>150117523.22260031</v>
      </c>
      <c r="E37" s="272">
        <f>E36*E35</f>
        <v>93927920.800671548</v>
      </c>
      <c r="F37" s="272">
        <f>F36*F35</f>
        <v>117825.53247934465</v>
      </c>
      <c r="G37" s="272">
        <f>G36*G35</f>
        <v>765913.40619277442</v>
      </c>
      <c r="H37" s="273" t="s">
        <v>371</v>
      </c>
    </row>
  </sheetData>
  <hyperlinks>
    <hyperlink ref="I1" location="'Cover Sheets'!A16" display="(Back to Worksheet Links)" xr:uid="{00000000-0004-0000-0300-000000000000}"/>
  </hyperlinks>
  <pageMargins left="0.7" right="0.7" top="0.75" bottom="0.75" header="0.3" footer="0.3"/>
  <pageSetup scale="57" fitToHeight="0" orientation="landscape"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8"/>
  <sheetViews>
    <sheetView view="pageBreakPreview" zoomScale="90" zoomScaleNormal="100" zoomScaleSheetLayoutView="90" workbookViewId="0"/>
  </sheetViews>
  <sheetFormatPr defaultRowHeight="14.5"/>
  <cols>
    <col min="3" max="3" width="47.54296875" bestFit="1" customWidth="1"/>
    <col min="4" max="4" width="26.453125" bestFit="1" customWidth="1"/>
    <col min="5" max="5" width="14.54296875" customWidth="1"/>
    <col min="8" max="8" width="24.453125" customWidth="1"/>
    <col min="9" max="9" width="7" customWidth="1"/>
    <col min="10" max="10" width="3.54296875" customWidth="1"/>
    <col min="11" max="11" width="22.81640625" customWidth="1"/>
  </cols>
  <sheetData>
    <row r="1" spans="1:11">
      <c r="A1" s="525" t="str">
        <f>'Cover Sheets'!A10:B10</f>
        <v>WAPA-UGP 2022 Rate Estimate Calculation</v>
      </c>
      <c r="B1" s="217"/>
      <c r="C1" s="485"/>
      <c r="D1" s="485"/>
      <c r="E1" s="486"/>
      <c r="F1" s="130"/>
      <c r="G1" s="128"/>
      <c r="H1" s="487"/>
      <c r="I1" s="128"/>
      <c r="J1" s="488"/>
      <c r="K1" s="529" t="s">
        <v>43</v>
      </c>
    </row>
    <row r="2" spans="1:11">
      <c r="A2" s="516" t="s">
        <v>372</v>
      </c>
      <c r="B2" s="628"/>
      <c r="C2" s="91"/>
      <c r="D2" s="91"/>
      <c r="E2" s="221"/>
      <c r="F2" s="55"/>
      <c r="G2" s="73"/>
      <c r="H2" s="220"/>
      <c r="I2" s="73"/>
      <c r="J2" s="188"/>
    </row>
    <row r="3" spans="1:11">
      <c r="A3" s="516" t="str">
        <f>'WS1-RateBase'!A4</f>
        <v>12 Months Ending 09/30/2022 ESTIMATE</v>
      </c>
      <c r="B3" s="628"/>
      <c r="C3" s="91"/>
      <c r="D3" s="91"/>
      <c r="E3" s="221"/>
      <c r="F3" s="55"/>
      <c r="G3" s="73"/>
      <c r="H3" s="220" t="s">
        <v>46</v>
      </c>
      <c r="I3" s="73"/>
      <c r="J3" s="188"/>
    </row>
    <row r="4" spans="1:11" ht="26.5">
      <c r="A4" s="59" t="s">
        <v>47</v>
      </c>
      <c r="B4" s="220" t="s">
        <v>373</v>
      </c>
      <c r="C4" s="220" t="s">
        <v>374</v>
      </c>
      <c r="D4" s="220" t="s">
        <v>48</v>
      </c>
      <c r="E4" s="546" t="s">
        <v>49</v>
      </c>
      <c r="F4" s="220" t="s">
        <v>50</v>
      </c>
      <c r="G4" s="220" t="s">
        <v>51</v>
      </c>
      <c r="H4" s="220" t="s">
        <v>52</v>
      </c>
      <c r="I4" s="53"/>
      <c r="J4" s="51"/>
    </row>
    <row r="5" spans="1:11" ht="15" thickBot="1">
      <c r="A5" s="64" t="s">
        <v>53</v>
      </c>
      <c r="B5" s="90"/>
      <c r="C5" s="90" t="s">
        <v>54</v>
      </c>
      <c r="D5" s="90" t="s">
        <v>55</v>
      </c>
      <c r="E5" s="90" t="s">
        <v>56</v>
      </c>
      <c r="F5" s="48"/>
      <c r="G5" s="218" t="s">
        <v>57</v>
      </c>
      <c r="H5" s="218" t="s">
        <v>58</v>
      </c>
      <c r="I5" s="46"/>
      <c r="J5" s="44"/>
    </row>
    <row r="6" spans="1:11">
      <c r="A6" s="133">
        <v>1</v>
      </c>
      <c r="B6" s="130" t="s">
        <v>375</v>
      </c>
      <c r="C6" s="502"/>
      <c r="D6" s="503" t="s">
        <v>376</v>
      </c>
      <c r="E6" s="671">
        <v>56000</v>
      </c>
      <c r="F6" s="492" t="s">
        <v>64</v>
      </c>
      <c r="G6" s="505">
        <v>1</v>
      </c>
      <c r="H6" s="517">
        <f>E6</f>
        <v>56000</v>
      </c>
      <c r="I6" s="129"/>
      <c r="J6" s="129"/>
      <c r="K6" s="659"/>
    </row>
    <row r="7" spans="1:11">
      <c r="A7" s="62">
        <v>2</v>
      </c>
      <c r="B7" s="55" t="s">
        <v>375</v>
      </c>
      <c r="C7" s="628" t="s">
        <v>377</v>
      </c>
      <c r="D7" s="507" t="s">
        <v>376</v>
      </c>
      <c r="E7" s="671">
        <v>0</v>
      </c>
      <c r="F7" s="506"/>
      <c r="G7" s="489">
        <v>1</v>
      </c>
      <c r="H7" s="518">
        <f>E7</f>
        <v>0</v>
      </c>
      <c r="I7" s="509"/>
      <c r="J7" s="510"/>
    </row>
    <row r="8" spans="1:11" ht="15" thickBot="1">
      <c r="A8" s="70">
        <v>3</v>
      </c>
      <c r="B8" s="48" t="s">
        <v>378</v>
      </c>
      <c r="C8" s="49"/>
      <c r="D8" s="511"/>
      <c r="E8" s="512">
        <f>SUM(E6:E7)</f>
        <v>56000</v>
      </c>
      <c r="F8" s="513"/>
      <c r="G8" s="47"/>
      <c r="H8" s="519">
        <f>SUM(H6:H7)</f>
        <v>56000</v>
      </c>
      <c r="I8" s="46"/>
      <c r="J8" s="44"/>
    </row>
    <row r="9" spans="1:11">
      <c r="A9" s="133">
        <v>4</v>
      </c>
      <c r="B9" s="130" t="s">
        <v>379</v>
      </c>
      <c r="C9" s="502"/>
      <c r="D9" s="503" t="s">
        <v>380</v>
      </c>
      <c r="E9" s="671">
        <v>-6150000</v>
      </c>
      <c r="F9" s="492" t="s">
        <v>72</v>
      </c>
      <c r="G9" s="505">
        <v>1</v>
      </c>
      <c r="H9" s="517">
        <f>E9</f>
        <v>-6150000</v>
      </c>
      <c r="I9" s="129"/>
      <c r="J9" s="493"/>
      <c r="K9" s="659"/>
    </row>
    <row r="10" spans="1:11">
      <c r="A10" s="62">
        <v>5</v>
      </c>
      <c r="B10" s="55" t="s">
        <v>379</v>
      </c>
      <c r="C10" s="628" t="s">
        <v>377</v>
      </c>
      <c r="D10" s="507" t="s">
        <v>380</v>
      </c>
      <c r="E10" s="671">
        <v>0</v>
      </c>
      <c r="F10" s="506" t="s">
        <v>72</v>
      </c>
      <c r="G10" s="489">
        <v>1</v>
      </c>
      <c r="H10" s="518">
        <f>E10</f>
        <v>0</v>
      </c>
      <c r="I10" s="509"/>
      <c r="J10" s="510"/>
    </row>
    <row r="11" spans="1:11" ht="15" thickBot="1">
      <c r="A11" s="70">
        <v>6</v>
      </c>
      <c r="B11" s="48" t="s">
        <v>378</v>
      </c>
      <c r="C11" s="49"/>
      <c r="D11" s="511"/>
      <c r="E11" s="512">
        <f>SUM(E9:E10)</f>
        <v>-6150000</v>
      </c>
      <c r="F11" s="513"/>
      <c r="G11" s="47"/>
      <c r="H11" s="519">
        <f>SUM(H9:H10)</f>
        <v>-6150000</v>
      </c>
      <c r="I11" s="46"/>
      <c r="J11" s="44"/>
    </row>
    <row r="12" spans="1:11">
      <c r="A12" s="133">
        <v>7</v>
      </c>
      <c r="B12" s="130" t="s">
        <v>381</v>
      </c>
      <c r="C12" s="502"/>
      <c r="D12" s="503" t="s">
        <v>382</v>
      </c>
      <c r="E12" s="671">
        <v>-2725000</v>
      </c>
      <c r="F12" s="492" t="s">
        <v>72</v>
      </c>
      <c r="G12" s="505">
        <v>1</v>
      </c>
      <c r="H12" s="517">
        <f>E12</f>
        <v>-2725000</v>
      </c>
      <c r="I12" s="129"/>
      <c r="J12" s="493"/>
      <c r="K12" s="659"/>
    </row>
    <row r="13" spans="1:11">
      <c r="A13" s="62">
        <v>8</v>
      </c>
      <c r="B13" s="55" t="s">
        <v>381</v>
      </c>
      <c r="C13" s="628" t="s">
        <v>377</v>
      </c>
      <c r="D13" s="514" t="s">
        <v>382</v>
      </c>
      <c r="E13" s="671">
        <v>0</v>
      </c>
      <c r="F13" s="506" t="s">
        <v>72</v>
      </c>
      <c r="G13" s="489">
        <v>1</v>
      </c>
      <c r="H13" s="533">
        <f>E13</f>
        <v>0</v>
      </c>
      <c r="I13" s="509"/>
      <c r="J13" s="510"/>
    </row>
    <row r="14" spans="1:11" ht="15" thickBot="1">
      <c r="A14" s="70">
        <v>9</v>
      </c>
      <c r="B14" s="48" t="s">
        <v>378</v>
      </c>
      <c r="C14" s="49"/>
      <c r="D14" s="511"/>
      <c r="E14" s="512">
        <f>SUM(E12:E13)</f>
        <v>-2725000</v>
      </c>
      <c r="F14" s="513"/>
      <c r="G14" s="47"/>
      <c r="H14" s="519">
        <f>SUM(H12:H13)</f>
        <v>-2725000</v>
      </c>
      <c r="I14" s="46"/>
      <c r="J14" s="44"/>
    </row>
    <row r="15" spans="1:11">
      <c r="A15" s="133">
        <v>10</v>
      </c>
      <c r="B15" s="130" t="s">
        <v>383</v>
      </c>
      <c r="C15" s="502"/>
      <c r="D15" s="503" t="s">
        <v>384</v>
      </c>
      <c r="E15" s="671">
        <v>-1170700</v>
      </c>
      <c r="F15" s="492" t="s">
        <v>72</v>
      </c>
      <c r="G15" s="505">
        <v>1</v>
      </c>
      <c r="H15" s="517">
        <f>E15</f>
        <v>-1170700</v>
      </c>
      <c r="I15" s="129"/>
      <c r="J15" s="493"/>
      <c r="K15" s="659"/>
    </row>
    <row r="16" spans="1:11">
      <c r="A16" s="62">
        <v>11</v>
      </c>
      <c r="B16" s="55" t="s">
        <v>383</v>
      </c>
      <c r="C16" s="628" t="s">
        <v>377</v>
      </c>
      <c r="D16" s="670" t="s">
        <v>384</v>
      </c>
      <c r="E16" s="671">
        <v>0</v>
      </c>
      <c r="F16" s="506" t="s">
        <v>72</v>
      </c>
      <c r="G16" s="489">
        <v>1</v>
      </c>
      <c r="H16" s="518">
        <f>E16</f>
        <v>0</v>
      </c>
      <c r="I16" s="509"/>
      <c r="J16" s="510"/>
    </row>
    <row r="17" spans="1:12" ht="15" thickBot="1">
      <c r="A17" s="70">
        <v>12</v>
      </c>
      <c r="B17" s="48" t="s">
        <v>378</v>
      </c>
      <c r="C17" s="49"/>
      <c r="D17" s="511"/>
      <c r="E17" s="512">
        <f>SUM(E15:E16)</f>
        <v>-1170700</v>
      </c>
      <c r="F17" s="513"/>
      <c r="G17" s="47"/>
      <c r="H17" s="519">
        <f>SUM(H15:H16)</f>
        <v>-1170700</v>
      </c>
      <c r="I17" s="46"/>
      <c r="J17" s="44"/>
    </row>
    <row r="18" spans="1:12">
      <c r="A18" s="133">
        <v>13</v>
      </c>
      <c r="B18" s="130" t="s">
        <v>385</v>
      </c>
      <c r="C18" s="502"/>
      <c r="D18" s="503" t="s">
        <v>386</v>
      </c>
      <c r="E18" s="671">
        <v>-68400</v>
      </c>
      <c r="F18" s="492" t="s">
        <v>64</v>
      </c>
      <c r="G18" s="505">
        <v>1</v>
      </c>
      <c r="H18" s="517">
        <f>E18</f>
        <v>-68400</v>
      </c>
      <c r="I18" s="129"/>
      <c r="J18" s="493"/>
    </row>
    <row r="19" spans="1:12">
      <c r="A19" s="62">
        <v>14</v>
      </c>
      <c r="B19" s="55" t="s">
        <v>385</v>
      </c>
      <c r="C19" s="628" t="s">
        <v>377</v>
      </c>
      <c r="D19" s="507" t="s">
        <v>387</v>
      </c>
      <c r="E19" s="671">
        <v>0</v>
      </c>
      <c r="F19" s="506" t="s">
        <v>64</v>
      </c>
      <c r="G19" s="489">
        <v>1</v>
      </c>
      <c r="H19" s="518">
        <f>E19</f>
        <v>0</v>
      </c>
      <c r="I19" s="509"/>
      <c r="J19" s="510"/>
    </row>
    <row r="20" spans="1:12" ht="15" thickBot="1">
      <c r="A20" s="70">
        <v>15</v>
      </c>
      <c r="B20" s="48" t="s">
        <v>378</v>
      </c>
      <c r="C20" s="49"/>
      <c r="D20" s="511"/>
      <c r="E20" s="512">
        <f>SUM(E18:E19)</f>
        <v>-68400</v>
      </c>
      <c r="F20" s="513"/>
      <c r="G20" s="47"/>
      <c r="H20" s="519">
        <f>SUM(H18:H19)</f>
        <v>-68400</v>
      </c>
      <c r="I20" s="46"/>
      <c r="J20" s="44"/>
    </row>
    <row r="21" spans="1:12">
      <c r="A21" s="133">
        <v>16</v>
      </c>
      <c r="B21" s="130">
        <v>45420</v>
      </c>
      <c r="C21" s="502"/>
      <c r="D21" s="503" t="s">
        <v>388</v>
      </c>
      <c r="E21" s="504">
        <v>-61359</v>
      </c>
      <c r="F21" s="492" t="s">
        <v>72</v>
      </c>
      <c r="G21" s="505">
        <v>1</v>
      </c>
      <c r="H21" s="517">
        <f>E21</f>
        <v>-61359</v>
      </c>
      <c r="I21" s="129"/>
      <c r="J21" s="493"/>
    </row>
    <row r="22" spans="1:12">
      <c r="A22" s="62">
        <v>17</v>
      </c>
      <c r="B22" s="55">
        <v>45420</v>
      </c>
      <c r="C22" s="628" t="s">
        <v>377</v>
      </c>
      <c r="D22" s="514" t="s">
        <v>388</v>
      </c>
      <c r="E22" s="508">
        <v>0</v>
      </c>
      <c r="F22" s="506" t="s">
        <v>72</v>
      </c>
      <c r="G22" s="489">
        <v>1</v>
      </c>
      <c r="H22" s="533">
        <f>E22</f>
        <v>0</v>
      </c>
      <c r="I22" s="509"/>
      <c r="J22" s="510"/>
    </row>
    <row r="23" spans="1:12" ht="15" thickBot="1">
      <c r="A23" s="70">
        <v>18</v>
      </c>
      <c r="B23" s="48" t="s">
        <v>378</v>
      </c>
      <c r="C23" s="49"/>
      <c r="D23" s="511"/>
      <c r="E23" s="512">
        <f>SUM(E21:E22)</f>
        <v>-61359</v>
      </c>
      <c r="F23" s="513"/>
      <c r="G23" s="47"/>
      <c r="H23" s="519">
        <f>SUM(H21:H22)</f>
        <v>-61359</v>
      </c>
      <c r="I23" s="46"/>
      <c r="J23" s="44"/>
    </row>
    <row r="24" spans="1:12">
      <c r="A24" s="133">
        <v>19</v>
      </c>
      <c r="B24" s="130" t="s">
        <v>389</v>
      </c>
      <c r="C24" s="502"/>
      <c r="D24" s="503" t="s">
        <v>390</v>
      </c>
      <c r="E24" s="504">
        <v>-68400</v>
      </c>
      <c r="F24" s="492" t="s">
        <v>64</v>
      </c>
      <c r="G24" s="505">
        <v>1</v>
      </c>
      <c r="H24" s="517">
        <f>E24</f>
        <v>-68400</v>
      </c>
      <c r="I24" s="129"/>
      <c r="J24" s="493"/>
      <c r="L24" s="659"/>
    </row>
    <row r="25" spans="1:12">
      <c r="A25" s="62">
        <v>20</v>
      </c>
      <c r="B25" s="55" t="s">
        <v>389</v>
      </c>
      <c r="C25" s="628" t="s">
        <v>377</v>
      </c>
      <c r="D25" s="514" t="s">
        <v>390</v>
      </c>
      <c r="E25" s="508">
        <v>0</v>
      </c>
      <c r="F25" s="506" t="s">
        <v>64</v>
      </c>
      <c r="G25" s="489">
        <v>1</v>
      </c>
      <c r="H25" s="533">
        <f>E25</f>
        <v>0</v>
      </c>
      <c r="I25" s="509"/>
      <c r="J25" s="510"/>
      <c r="L25" s="659"/>
    </row>
    <row r="26" spans="1:12" ht="15" thickBot="1">
      <c r="A26" s="70">
        <v>21</v>
      </c>
      <c r="B26" s="48" t="s">
        <v>378</v>
      </c>
      <c r="C26" s="49"/>
      <c r="D26" s="511"/>
      <c r="E26" s="512">
        <f>SUM(E24:E25)</f>
        <v>-68400</v>
      </c>
      <c r="F26" s="513"/>
      <c r="G26" s="47"/>
      <c r="H26" s="519">
        <f>SUM(H24:H25)</f>
        <v>-68400</v>
      </c>
      <c r="I26" s="46"/>
      <c r="J26" s="44"/>
    </row>
    <row r="27" spans="1:12">
      <c r="A27" s="133">
        <v>22</v>
      </c>
      <c r="B27" s="130" t="s">
        <v>389</v>
      </c>
      <c r="C27" s="502"/>
      <c r="D27" s="503" t="s">
        <v>391</v>
      </c>
      <c r="E27" s="504">
        <v>-8425</v>
      </c>
      <c r="F27" s="492" t="s">
        <v>64</v>
      </c>
      <c r="G27" s="505">
        <v>1</v>
      </c>
      <c r="H27" s="517">
        <f>E27</f>
        <v>-8425</v>
      </c>
      <c r="I27" s="129"/>
      <c r="J27" s="493"/>
      <c r="L27" s="659"/>
    </row>
    <row r="28" spans="1:12">
      <c r="A28" s="62">
        <v>23</v>
      </c>
      <c r="B28" s="55" t="s">
        <v>389</v>
      </c>
      <c r="C28" s="628" t="s">
        <v>377</v>
      </c>
      <c r="D28" s="514" t="s">
        <v>391</v>
      </c>
      <c r="E28" s="508">
        <v>0</v>
      </c>
      <c r="F28" s="506" t="s">
        <v>64</v>
      </c>
      <c r="G28" s="489">
        <v>1</v>
      </c>
      <c r="H28" s="533">
        <f>E28</f>
        <v>0</v>
      </c>
      <c r="I28" s="509"/>
      <c r="J28" s="510"/>
      <c r="L28" s="659"/>
    </row>
    <row r="29" spans="1:12" ht="15" thickBot="1">
      <c r="A29" s="70">
        <v>24</v>
      </c>
      <c r="B29" s="48" t="s">
        <v>378</v>
      </c>
      <c r="C29" s="49"/>
      <c r="D29" s="511"/>
      <c r="E29" s="512">
        <f>SUM(E27:E28)</f>
        <v>-8425</v>
      </c>
      <c r="F29" s="513"/>
      <c r="G29" s="47"/>
      <c r="H29" s="519">
        <f>SUM(H27:H28)</f>
        <v>-8425</v>
      </c>
      <c r="I29" s="46"/>
      <c r="J29" s="44"/>
    </row>
    <row r="30" spans="1:12">
      <c r="A30" s="294">
        <v>25</v>
      </c>
      <c r="B30" s="229" t="s">
        <v>392</v>
      </c>
      <c r="C30" s="229" t="s">
        <v>393</v>
      </c>
      <c r="D30" s="229"/>
      <c r="E30" s="229"/>
      <c r="F30" s="229"/>
      <c r="G30" s="229"/>
      <c r="H30" s="229"/>
      <c r="I30" s="229"/>
      <c r="J30" s="249"/>
    </row>
    <row r="31" spans="1:12">
      <c r="A31" s="285">
        <v>26</v>
      </c>
      <c r="B31" s="230"/>
      <c r="C31" s="230" t="s">
        <v>394</v>
      </c>
      <c r="D31" s="230"/>
      <c r="E31" s="230"/>
      <c r="F31" s="230"/>
      <c r="G31" s="230"/>
      <c r="H31" s="230"/>
      <c r="I31" s="230"/>
      <c r="J31" s="250"/>
    </row>
    <row r="32" spans="1:12">
      <c r="A32" s="285">
        <v>27</v>
      </c>
      <c r="B32" s="230"/>
      <c r="C32" s="865" t="s">
        <v>395</v>
      </c>
      <c r="D32" s="865"/>
      <c r="E32" s="865"/>
      <c r="F32" s="865"/>
      <c r="G32" s="865"/>
      <c r="H32" s="865"/>
      <c r="I32" s="865"/>
      <c r="J32" s="866"/>
    </row>
    <row r="33" spans="1:10">
      <c r="A33" s="285">
        <v>28</v>
      </c>
      <c r="B33" s="230"/>
      <c r="C33" s="865" t="s">
        <v>396</v>
      </c>
      <c r="D33" s="865"/>
      <c r="E33" s="865"/>
      <c r="F33" s="865"/>
      <c r="G33" s="865"/>
      <c r="H33" s="865"/>
      <c r="I33" s="865"/>
      <c r="J33" s="866"/>
    </row>
    <row r="34" spans="1:10">
      <c r="A34" s="285">
        <v>29</v>
      </c>
      <c r="B34" s="230"/>
      <c r="C34" s="865" t="s">
        <v>397</v>
      </c>
      <c r="D34" s="865"/>
      <c r="E34" s="865"/>
      <c r="F34" s="865"/>
      <c r="G34" s="865"/>
      <c r="H34" s="865"/>
      <c r="I34" s="865"/>
      <c r="J34" s="866"/>
    </row>
    <row r="35" spans="1:10">
      <c r="A35" s="285">
        <v>30</v>
      </c>
      <c r="B35" s="230"/>
      <c r="C35" s="865" t="s">
        <v>398</v>
      </c>
      <c r="D35" s="865"/>
      <c r="E35" s="865"/>
      <c r="F35" s="865"/>
      <c r="G35" s="865"/>
      <c r="H35" s="865"/>
      <c r="I35" s="865"/>
      <c r="J35" s="866"/>
    </row>
    <row r="36" spans="1:10">
      <c r="A36" s="530">
        <v>31</v>
      </c>
      <c r="B36" s="230"/>
      <c r="C36" s="791" t="s">
        <v>399</v>
      </c>
      <c r="D36" s="791"/>
      <c r="E36" s="791"/>
      <c r="F36" s="791"/>
      <c r="G36" s="791"/>
      <c r="H36" s="791"/>
      <c r="I36" s="791"/>
      <c r="J36" s="792"/>
    </row>
    <row r="37" spans="1:10">
      <c r="A37" s="285">
        <v>32</v>
      </c>
      <c r="B37" s="230"/>
      <c r="C37" s="865" t="s">
        <v>400</v>
      </c>
      <c r="D37" s="865"/>
      <c r="E37" s="865"/>
      <c r="F37" s="865"/>
      <c r="G37" s="865"/>
      <c r="H37" s="865"/>
      <c r="I37" s="865"/>
      <c r="J37" s="866"/>
    </row>
    <row r="38" spans="1:10" ht="15" thickBot="1">
      <c r="A38" s="307">
        <v>33</v>
      </c>
      <c r="B38" s="627"/>
      <c r="C38" s="863" t="s">
        <v>401</v>
      </c>
      <c r="D38" s="863"/>
      <c r="E38" s="863"/>
      <c r="F38" s="863"/>
      <c r="G38" s="863"/>
      <c r="H38" s="863"/>
      <c r="I38" s="863"/>
      <c r="J38" s="864"/>
    </row>
  </sheetData>
  <mergeCells count="6">
    <mergeCell ref="C38:J38"/>
    <mergeCell ref="C32:J32"/>
    <mergeCell ref="C33:J33"/>
    <mergeCell ref="C34:J34"/>
    <mergeCell ref="C35:J35"/>
    <mergeCell ref="C37:J37"/>
  </mergeCells>
  <hyperlinks>
    <hyperlink ref="K1" location="'Cover Sheets'!A16" display="(Back to Worksheet Links)" xr:uid="{00000000-0004-0000-0400-000000000000}"/>
  </hyperlinks>
  <pageMargins left="0.7" right="0.7" top="0.75" bottom="0.75" header="0.3" footer="0.3"/>
  <pageSetup scale="57" fitToHeight="0"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L138"/>
  <sheetViews>
    <sheetView view="pageBreakPreview" zoomScaleNormal="100" zoomScaleSheetLayoutView="100" workbookViewId="0"/>
  </sheetViews>
  <sheetFormatPr defaultColWidth="12.54296875" defaultRowHeight="13"/>
  <cols>
    <col min="1" max="1" width="12.54296875" style="226"/>
    <col min="2" max="2" width="37.1796875" style="225" customWidth="1"/>
    <col min="3" max="3" width="18.54296875" style="225" bestFit="1" customWidth="1"/>
    <col min="4" max="4" width="7.453125" style="225" bestFit="1" customWidth="1"/>
    <col min="5" max="5" width="12.54296875" style="225"/>
    <col min="6" max="6" width="6.54296875" style="225" customWidth="1"/>
    <col min="7" max="7" width="13.453125" style="225" bestFit="1" customWidth="1"/>
    <col min="8" max="8" width="6" style="225" bestFit="1" customWidth="1"/>
    <col min="9" max="9" width="12.54296875" style="225"/>
    <col min="10" max="10" width="7" style="225" customWidth="1"/>
    <col min="11" max="11" width="13.453125" style="225" bestFit="1" customWidth="1"/>
    <col min="12" max="12" width="38.7265625" style="225" customWidth="1"/>
    <col min="13" max="13" width="21.81640625" style="225" customWidth="1"/>
    <col min="14" max="16384" width="12.54296875" style="225"/>
  </cols>
  <sheetData>
    <row r="1" spans="1:12" ht="14.5">
      <c r="A1" s="793" t="str">
        <f>'Cover Sheets'!A10:B10</f>
        <v>WAPA-UGP 2022 Rate Estimate Calculation</v>
      </c>
      <c r="B1" s="794"/>
      <c r="C1" s="229"/>
      <c r="D1" s="229"/>
      <c r="E1" s="229"/>
      <c r="F1" s="229"/>
      <c r="G1" s="229"/>
      <c r="H1" s="229"/>
      <c r="I1" s="229"/>
      <c r="J1" s="229"/>
      <c r="K1" s="718" t="s">
        <v>43</v>
      </c>
      <c r="L1" s="249"/>
    </row>
    <row r="2" spans="1:12">
      <c r="A2" s="795" t="s">
        <v>402</v>
      </c>
      <c r="B2" s="790"/>
      <c r="C2" s="230"/>
      <c r="D2" s="230"/>
      <c r="E2" s="230"/>
      <c r="F2" s="230"/>
      <c r="G2" s="230"/>
      <c r="H2" s="230"/>
      <c r="I2" s="230"/>
      <c r="J2" s="230"/>
      <c r="L2" s="250"/>
    </row>
    <row r="3" spans="1:12">
      <c r="A3" s="795" t="str">
        <f>'Summary-ATRR'!A3</f>
        <v>12 Months Ending 09/30/2022 ESTIMATE</v>
      </c>
      <c r="B3" s="790"/>
      <c r="C3" s="230"/>
      <c r="D3" s="230"/>
      <c r="E3" s="230"/>
      <c r="F3" s="230"/>
      <c r="G3" s="230"/>
      <c r="H3" s="230"/>
      <c r="I3" s="230"/>
      <c r="J3" s="230"/>
      <c r="K3" s="230"/>
      <c r="L3" s="250"/>
    </row>
    <row r="4" spans="1:12">
      <c r="A4" s="285"/>
      <c r="B4" s="286"/>
      <c r="C4" s="286" t="s">
        <v>403</v>
      </c>
      <c r="D4" s="287"/>
      <c r="E4" s="286" t="s">
        <v>404</v>
      </c>
      <c r="F4" s="287"/>
      <c r="G4" s="286" t="s">
        <v>405</v>
      </c>
      <c r="H4" s="288"/>
      <c r="I4" s="286" t="s">
        <v>406</v>
      </c>
      <c r="J4" s="288"/>
      <c r="K4" s="286" t="s">
        <v>407</v>
      </c>
      <c r="L4" s="250"/>
    </row>
    <row r="5" spans="1:12" s="226" customFormat="1" ht="13.5" thickBot="1">
      <c r="A5" s="285" t="s">
        <v>408</v>
      </c>
      <c r="B5" s="289">
        <v>-1</v>
      </c>
      <c r="C5" s="290">
        <v>-2</v>
      </c>
      <c r="D5" s="291"/>
      <c r="E5" s="290">
        <v>-3</v>
      </c>
      <c r="F5" s="291"/>
      <c r="G5" s="289">
        <v>-4</v>
      </c>
      <c r="H5" s="292"/>
      <c r="I5" s="289">
        <v>-5</v>
      </c>
      <c r="J5" s="292"/>
      <c r="K5" s="289">
        <v>-6</v>
      </c>
      <c r="L5" s="293"/>
    </row>
    <row r="6" spans="1:12">
      <c r="A6" s="294">
        <v>1</v>
      </c>
      <c r="B6" s="295" t="s">
        <v>409</v>
      </c>
      <c r="C6" s="296"/>
      <c r="D6" s="296"/>
      <c r="E6" s="296"/>
      <c r="F6" s="296"/>
      <c r="G6" s="296"/>
      <c r="H6" s="296"/>
      <c r="I6" s="296"/>
      <c r="J6" s="296"/>
      <c r="K6" s="296"/>
      <c r="L6" s="249"/>
    </row>
    <row r="7" spans="1:12">
      <c r="A7" s="285">
        <f t="shared" ref="A7:A29" si="0">A6+1</f>
        <v>2</v>
      </c>
      <c r="B7" s="297" t="s">
        <v>410</v>
      </c>
      <c r="C7" s="298">
        <f>'WS8-TransFac'!G518</f>
        <v>1539367508.0810008</v>
      </c>
      <c r="D7" s="292" t="s">
        <v>411</v>
      </c>
      <c r="E7" s="298">
        <f>820911399.78</f>
        <v>820911399.77999997</v>
      </c>
      <c r="F7" s="292" t="s">
        <v>412</v>
      </c>
      <c r="G7" s="298">
        <f>1278859746+18000000</f>
        <v>1296859746</v>
      </c>
      <c r="H7" s="292" t="s">
        <v>413</v>
      </c>
      <c r="I7" s="298">
        <f>552632733.68</f>
        <v>552632733.67999995</v>
      </c>
      <c r="J7" s="292" t="s">
        <v>414</v>
      </c>
      <c r="K7" s="297">
        <f t="shared" ref="K7:K12" si="1">C7+E7+G7+I7</f>
        <v>4209771387.5410008</v>
      </c>
      <c r="L7" s="250"/>
    </row>
    <row r="8" spans="1:12">
      <c r="A8" s="285">
        <f t="shared" si="0"/>
        <v>3</v>
      </c>
      <c r="B8" s="297" t="s">
        <v>415</v>
      </c>
      <c r="C8" s="298">
        <f>'WS8-TransFac'!K518</f>
        <v>1460100610.3246593</v>
      </c>
      <c r="D8" s="292" t="s">
        <v>416</v>
      </c>
      <c r="E8" s="297">
        <f>'WS8-TransFac'!K509</f>
        <v>7335302.9599999981</v>
      </c>
      <c r="F8" s="292" t="s">
        <v>417</v>
      </c>
      <c r="G8" s="297">
        <f>'WS8-TransFac'!K516</f>
        <v>97818796.360000014</v>
      </c>
      <c r="H8" s="292" t="s">
        <v>418</v>
      </c>
      <c r="I8" s="297">
        <v>0</v>
      </c>
      <c r="J8" s="292"/>
      <c r="K8" s="297">
        <f t="shared" si="1"/>
        <v>1565254709.6446595</v>
      </c>
      <c r="L8" s="250"/>
    </row>
    <row r="9" spans="1:12">
      <c r="A9" s="285">
        <f t="shared" si="0"/>
        <v>4</v>
      </c>
      <c r="B9" s="838" t="s">
        <v>2724</v>
      </c>
      <c r="C9" s="298">
        <f>'WS8-TransFac'!I518</f>
        <v>16238044.68634001</v>
      </c>
      <c r="D9" s="292" t="s">
        <v>419</v>
      </c>
      <c r="E9" s="297">
        <v>0</v>
      </c>
      <c r="F9" s="292"/>
      <c r="G9" s="298">
        <f>G7-G8</f>
        <v>1199040949.6399999</v>
      </c>
      <c r="H9" s="292" t="s">
        <v>420</v>
      </c>
      <c r="I9" s="298">
        <f>I7-I8</f>
        <v>552632733.67999995</v>
      </c>
      <c r="J9" s="292" t="s">
        <v>420</v>
      </c>
      <c r="K9" s="297">
        <f t="shared" si="1"/>
        <v>1767911728.00634</v>
      </c>
      <c r="L9" s="250"/>
    </row>
    <row r="10" spans="1:12">
      <c r="A10" s="285">
        <f>A9+1</f>
        <v>5</v>
      </c>
      <c r="B10" s="297" t="s">
        <v>421</v>
      </c>
      <c r="C10" s="298">
        <f>'WS13-SSCDFac'!$G$43+'WS13-SSCDFac'!$G$49+'WS13-SSCDFac'!$G$56+'WS13-SSCDFac'!$G$107+'WS13-SSCDFac'!$G$129</f>
        <v>23121573.39734</v>
      </c>
      <c r="D10" s="292" t="s">
        <v>422</v>
      </c>
      <c r="E10" s="297"/>
      <c r="F10" s="292"/>
      <c r="G10" s="298"/>
      <c r="H10" s="292"/>
      <c r="I10" s="298"/>
      <c r="J10" s="292"/>
      <c r="K10" s="297">
        <f t="shared" si="1"/>
        <v>23121573.39734</v>
      </c>
      <c r="L10" s="250"/>
    </row>
    <row r="11" spans="1:12">
      <c r="A11" s="285">
        <f t="shared" si="0"/>
        <v>6</v>
      </c>
      <c r="B11" s="297" t="s">
        <v>423</v>
      </c>
      <c r="C11" s="298">
        <f>'WS7-BPUFac'!G9</f>
        <v>1134879.4314000001</v>
      </c>
      <c r="D11" s="292"/>
      <c r="E11" s="297"/>
      <c r="F11" s="292"/>
      <c r="G11" s="298"/>
      <c r="H11" s="292"/>
      <c r="I11" s="298"/>
      <c r="J11" s="292"/>
      <c r="K11" s="297">
        <f t="shared" si="1"/>
        <v>1134879.4314000001</v>
      </c>
      <c r="L11" s="250"/>
    </row>
    <row r="12" spans="1:12">
      <c r="A12" s="285">
        <f t="shared" si="0"/>
        <v>7</v>
      </c>
      <c r="B12" s="297" t="s">
        <v>424</v>
      </c>
      <c r="C12" s="298">
        <f>'WS7-BPUFac'!H9</f>
        <v>7377173.2886000006</v>
      </c>
      <c r="D12" s="292"/>
      <c r="E12" s="297"/>
      <c r="F12" s="292"/>
      <c r="G12" s="298"/>
      <c r="H12" s="292"/>
      <c r="I12" s="298"/>
      <c r="J12" s="292"/>
      <c r="K12" s="297">
        <f t="shared" si="1"/>
        <v>7377173.2886000006</v>
      </c>
      <c r="L12" s="250"/>
    </row>
    <row r="13" spans="1:12">
      <c r="A13" s="285">
        <f t="shared" si="0"/>
        <v>8</v>
      </c>
      <c r="B13" s="297" t="s">
        <v>425</v>
      </c>
      <c r="C13" s="299">
        <f>C9/C7</f>
        <v>1.0548517232627968E-2</v>
      </c>
      <c r="D13" s="300" t="s">
        <v>426</v>
      </c>
      <c r="E13" s="299">
        <f>E9/E7</f>
        <v>0</v>
      </c>
      <c r="F13" s="300" t="s">
        <v>426</v>
      </c>
      <c r="G13" s="299">
        <f>G9/G7</f>
        <v>0.92457257104192658</v>
      </c>
      <c r="H13" s="300" t="s">
        <v>426</v>
      </c>
      <c r="I13" s="299">
        <f>I9/I7</f>
        <v>1</v>
      </c>
      <c r="J13" s="300" t="s">
        <v>426</v>
      </c>
      <c r="K13" s="297"/>
      <c r="L13" s="250"/>
    </row>
    <row r="14" spans="1:12">
      <c r="A14" s="285">
        <f t="shared" si="0"/>
        <v>9</v>
      </c>
      <c r="B14" s="297" t="s">
        <v>427</v>
      </c>
      <c r="C14" s="299">
        <f>C8/C7</f>
        <v>0.94850683976358785</v>
      </c>
      <c r="D14" s="300" t="s">
        <v>428</v>
      </c>
      <c r="E14" s="299">
        <f>E8/E7</f>
        <v>8.9355598691476593E-3</v>
      </c>
      <c r="F14" s="300" t="s">
        <v>428</v>
      </c>
      <c r="G14" s="299">
        <f>G8/G7</f>
        <v>7.542742895807332E-2</v>
      </c>
      <c r="H14" s="300" t="s">
        <v>428</v>
      </c>
      <c r="I14" s="299">
        <f>I8/I7</f>
        <v>0</v>
      </c>
      <c r="J14" s="300" t="s">
        <v>428</v>
      </c>
      <c r="K14" s="297"/>
      <c r="L14" s="250"/>
    </row>
    <row r="15" spans="1:12">
      <c r="A15" s="285">
        <f t="shared" si="0"/>
        <v>10</v>
      </c>
      <c r="B15" s="297" t="s">
        <v>429</v>
      </c>
      <c r="C15" s="299">
        <f>C10/C7</f>
        <v>1.5020177622277937E-2</v>
      </c>
      <c r="D15" s="300" t="s">
        <v>430</v>
      </c>
      <c r="E15" s="299"/>
      <c r="F15" s="300"/>
      <c r="G15" s="299"/>
      <c r="H15" s="300"/>
      <c r="I15" s="299"/>
      <c r="J15" s="300"/>
      <c r="K15" s="297"/>
      <c r="L15" s="250"/>
    </row>
    <row r="16" spans="1:12">
      <c r="A16" s="285">
        <f t="shared" si="0"/>
        <v>11</v>
      </c>
      <c r="B16" s="297" t="s">
        <v>431</v>
      </c>
      <c r="C16" s="299">
        <f>C11/C7</f>
        <v>7.37237485813091E-4</v>
      </c>
      <c r="D16" s="300" t="s">
        <v>432</v>
      </c>
      <c r="E16" s="299"/>
      <c r="F16" s="300"/>
      <c r="G16" s="299"/>
      <c r="H16" s="300"/>
      <c r="I16" s="299"/>
      <c r="J16" s="300"/>
      <c r="K16" s="297"/>
      <c r="L16" s="250"/>
    </row>
    <row r="17" spans="1:12">
      <c r="A17" s="285">
        <f t="shared" si="0"/>
        <v>12</v>
      </c>
      <c r="B17" s="297" t="s">
        <v>433</v>
      </c>
      <c r="C17" s="299">
        <f>C12/C7</f>
        <v>4.7923405228920924E-3</v>
      </c>
      <c r="D17" s="300" t="s">
        <v>434</v>
      </c>
      <c r="E17" s="299"/>
      <c r="F17" s="300"/>
      <c r="G17" s="299"/>
      <c r="H17" s="300"/>
      <c r="I17" s="299"/>
      <c r="J17" s="300"/>
      <c r="K17" s="297"/>
      <c r="L17" s="250"/>
    </row>
    <row r="18" spans="1:12">
      <c r="A18" s="285">
        <f t="shared" si="0"/>
        <v>13</v>
      </c>
      <c r="B18" s="297" t="s">
        <v>435</v>
      </c>
      <c r="C18" s="298">
        <v>790937425</v>
      </c>
      <c r="D18" s="292" t="s">
        <v>436</v>
      </c>
      <c r="E18" s="717">
        <f>425636729.63</f>
        <v>425636729.63</v>
      </c>
      <c r="F18" s="301" t="s">
        <v>437</v>
      </c>
      <c r="G18" s="297">
        <v>656210039.60000002</v>
      </c>
      <c r="H18" s="292" t="s">
        <v>438</v>
      </c>
      <c r="I18" s="298">
        <f>374492845</f>
        <v>374492845</v>
      </c>
      <c r="J18" s="292" t="s">
        <v>414</v>
      </c>
      <c r="K18" s="297">
        <f t="shared" ref="K18:K28" si="2">C18+E18+G18+I18</f>
        <v>2247277039.23</v>
      </c>
      <c r="L18" s="250"/>
    </row>
    <row r="19" spans="1:12">
      <c r="A19" s="285">
        <f t="shared" si="0"/>
        <v>14</v>
      </c>
      <c r="B19" s="297" t="s">
        <v>439</v>
      </c>
      <c r="C19" s="297">
        <f>C18*C14</f>
        <v>750209557.43749976</v>
      </c>
      <c r="D19" s="292" t="s">
        <v>440</v>
      </c>
      <c r="E19" s="297">
        <f>E18*E14</f>
        <v>3803302.4801170803</v>
      </c>
      <c r="F19" s="292" t="s">
        <v>440</v>
      </c>
      <c r="G19" s="297">
        <f>G18*G14</f>
        <v>49496236.14350348</v>
      </c>
      <c r="H19" s="292" t="s">
        <v>440</v>
      </c>
      <c r="I19" s="297">
        <f>I18*I14</f>
        <v>0</v>
      </c>
      <c r="J19" s="292" t="s">
        <v>440</v>
      </c>
      <c r="K19" s="297">
        <f t="shared" si="2"/>
        <v>803509096.06112027</v>
      </c>
      <c r="L19" s="250"/>
    </row>
    <row r="20" spans="1:12">
      <c r="A20" s="285">
        <f t="shared" si="0"/>
        <v>15</v>
      </c>
      <c r="B20" s="297" t="s">
        <v>441</v>
      </c>
      <c r="C20" s="297">
        <f>C18*C$13</f>
        <v>8343217.0575428903</v>
      </c>
      <c r="D20" s="292" t="s">
        <v>442</v>
      </c>
      <c r="E20" s="297">
        <v>0</v>
      </c>
      <c r="F20" s="292"/>
      <c r="G20" s="298">
        <f>G18-G19</f>
        <v>606713803.4564966</v>
      </c>
      <c r="H20" s="292" t="s">
        <v>443</v>
      </c>
      <c r="I20" s="297">
        <f>I13*I18</f>
        <v>374492845</v>
      </c>
      <c r="J20" s="292" t="s">
        <v>442</v>
      </c>
      <c r="K20" s="297">
        <f t="shared" si="2"/>
        <v>989549865.51403952</v>
      </c>
      <c r="L20" s="250"/>
    </row>
    <row r="21" spans="1:12">
      <c r="A21" s="285">
        <f>A20+1</f>
        <v>16</v>
      </c>
      <c r="B21" s="297" t="s">
        <v>444</v>
      </c>
      <c r="C21" s="297">
        <f>C18*C$15</f>
        <v>11880020.611607134</v>
      </c>
      <c r="D21" s="292" t="s">
        <v>445</v>
      </c>
      <c r="E21" s="297"/>
      <c r="F21" s="292"/>
      <c r="G21" s="298"/>
      <c r="H21" s="292"/>
      <c r="I21" s="297"/>
      <c r="J21" s="292"/>
      <c r="K21" s="297">
        <f t="shared" si="2"/>
        <v>11880020.611607134</v>
      </c>
      <c r="L21" s="250"/>
    </row>
    <row r="22" spans="1:12">
      <c r="A22" s="285">
        <f t="shared" si="0"/>
        <v>17</v>
      </c>
      <c r="B22" s="297" t="s">
        <v>446</v>
      </c>
      <c r="C22" s="297">
        <f>C18*C16</f>
        <v>583108.71864248021</v>
      </c>
      <c r="D22" s="292" t="s">
        <v>447</v>
      </c>
      <c r="E22" s="297"/>
      <c r="F22" s="292"/>
      <c r="G22" s="298"/>
      <c r="H22" s="292"/>
      <c r="I22" s="297"/>
      <c r="J22" s="292"/>
      <c r="K22" s="297">
        <f t="shared" si="2"/>
        <v>583108.71864248021</v>
      </c>
      <c r="L22" s="250"/>
    </row>
    <row r="23" spans="1:12">
      <c r="A23" s="285">
        <f t="shared" si="0"/>
        <v>18</v>
      </c>
      <c r="B23" s="302" t="s">
        <v>448</v>
      </c>
      <c r="C23" s="302">
        <f>C18*C17</f>
        <v>3790441.4728994253</v>
      </c>
      <c r="D23" s="303" t="s">
        <v>449</v>
      </c>
      <c r="E23" s="302"/>
      <c r="F23" s="303"/>
      <c r="G23" s="304"/>
      <c r="H23" s="303"/>
      <c r="I23" s="302"/>
      <c r="J23" s="303"/>
      <c r="K23" s="297">
        <f t="shared" si="2"/>
        <v>3790441.4728994253</v>
      </c>
      <c r="L23" s="250"/>
    </row>
    <row r="24" spans="1:12">
      <c r="A24" s="285">
        <f t="shared" si="0"/>
        <v>19</v>
      </c>
      <c r="B24" s="297" t="s">
        <v>450</v>
      </c>
      <c r="C24" s="297">
        <f>C8-C19</f>
        <v>709891052.88715959</v>
      </c>
      <c r="D24" s="292" t="s">
        <v>451</v>
      </c>
      <c r="E24" s="297">
        <f>E8-E19</f>
        <v>3532000.4798829178</v>
      </c>
      <c r="F24" s="292" t="s">
        <v>451</v>
      </c>
      <c r="G24" s="297">
        <f>G8-G19</f>
        <v>48322560.216496535</v>
      </c>
      <c r="H24" s="292" t="s">
        <v>451</v>
      </c>
      <c r="I24" s="297">
        <f>I8-I19</f>
        <v>0</v>
      </c>
      <c r="J24" s="292" t="s">
        <v>451</v>
      </c>
      <c r="K24" s="297">
        <f t="shared" si="2"/>
        <v>761745613.58353913</v>
      </c>
      <c r="L24" s="250"/>
    </row>
    <row r="25" spans="1:12">
      <c r="A25" s="285">
        <f t="shared" si="0"/>
        <v>20</v>
      </c>
      <c r="B25" s="297" t="s">
        <v>452</v>
      </c>
      <c r="C25" s="297">
        <f>C9-C20</f>
        <v>7894827.6287971195</v>
      </c>
      <c r="D25" s="292" t="s">
        <v>453</v>
      </c>
      <c r="E25" s="297">
        <v>0</v>
      </c>
      <c r="F25" s="292" t="s">
        <v>453</v>
      </c>
      <c r="G25" s="298">
        <f>G9-G20</f>
        <v>592327146.18350327</v>
      </c>
      <c r="H25" s="292" t="s">
        <v>453</v>
      </c>
      <c r="I25" s="297">
        <f>I9-I20</f>
        <v>178139888.67999995</v>
      </c>
      <c r="J25" s="292" t="s">
        <v>453</v>
      </c>
      <c r="K25" s="297">
        <f>C25+E25+G25+I25</f>
        <v>778361862.49230039</v>
      </c>
      <c r="L25" s="250"/>
    </row>
    <row r="26" spans="1:12">
      <c r="A26" s="285">
        <f t="shared" si="0"/>
        <v>21</v>
      </c>
      <c r="B26" s="297" t="s">
        <v>454</v>
      </c>
      <c r="C26" s="297">
        <f>C10-C21</f>
        <v>11241552.785732865</v>
      </c>
      <c r="D26" s="292" t="s">
        <v>455</v>
      </c>
      <c r="E26" s="297"/>
      <c r="F26" s="292"/>
      <c r="G26" s="298"/>
      <c r="H26" s="292"/>
      <c r="I26" s="297"/>
      <c r="J26" s="292"/>
      <c r="K26" s="297">
        <f t="shared" si="2"/>
        <v>11241552.785732865</v>
      </c>
      <c r="L26" s="250"/>
    </row>
    <row r="27" spans="1:12">
      <c r="A27" s="285">
        <f t="shared" si="0"/>
        <v>22</v>
      </c>
      <c r="B27" s="297" t="s">
        <v>456</v>
      </c>
      <c r="C27" s="297">
        <f>C11-C22</f>
        <v>551770.71275751991</v>
      </c>
      <c r="D27" s="292" t="s">
        <v>457</v>
      </c>
      <c r="E27" s="297"/>
      <c r="F27" s="292"/>
      <c r="G27" s="298"/>
      <c r="H27" s="292"/>
      <c r="I27" s="297"/>
      <c r="J27" s="292"/>
      <c r="K27" s="297">
        <f t="shared" si="2"/>
        <v>551770.71275751991</v>
      </c>
      <c r="L27" s="250"/>
    </row>
    <row r="28" spans="1:12">
      <c r="A28" s="285">
        <f>A27+1</f>
        <v>23</v>
      </c>
      <c r="B28" s="297" t="s">
        <v>458</v>
      </c>
      <c r="C28" s="297">
        <f>C12-C23</f>
        <v>3586731.8157005752</v>
      </c>
      <c r="D28" s="292" t="s">
        <v>459</v>
      </c>
      <c r="E28" s="297"/>
      <c r="F28" s="292"/>
      <c r="G28" s="298"/>
      <c r="H28" s="292"/>
      <c r="I28" s="297"/>
      <c r="J28" s="292"/>
      <c r="K28" s="297">
        <f t="shared" si="2"/>
        <v>3586731.8157005752</v>
      </c>
      <c r="L28" s="250"/>
    </row>
    <row r="29" spans="1:12">
      <c r="A29" s="285">
        <f t="shared" si="0"/>
        <v>24</v>
      </c>
      <c r="B29" s="297" t="s">
        <v>2725</v>
      </c>
      <c r="C29" s="297"/>
      <c r="D29" s="297"/>
      <c r="E29" s="297"/>
      <c r="F29" s="297"/>
      <c r="G29" s="297"/>
      <c r="H29" s="297"/>
      <c r="I29" s="297"/>
      <c r="J29" s="297"/>
      <c r="K29" s="297"/>
      <c r="L29" s="250"/>
    </row>
    <row r="30" spans="1:12">
      <c r="A30" s="285">
        <f t="shared" ref="A30:A40" si="3">A29+1</f>
        <v>25</v>
      </c>
      <c r="B30" s="839" t="s">
        <v>2726</v>
      </c>
      <c r="C30" s="297"/>
      <c r="D30" s="297"/>
      <c r="E30" s="297"/>
      <c r="F30" s="297"/>
      <c r="G30" s="297"/>
      <c r="H30" s="297"/>
      <c r="I30" s="297"/>
      <c r="J30" s="297"/>
      <c r="K30" s="297"/>
      <c r="L30" s="250"/>
    </row>
    <row r="31" spans="1:12">
      <c r="A31" s="285">
        <f t="shared" si="3"/>
        <v>26</v>
      </c>
      <c r="B31" s="838" t="s">
        <v>2727</v>
      </c>
      <c r="C31" s="297"/>
      <c r="D31" s="297"/>
      <c r="E31" s="297"/>
      <c r="F31" s="297"/>
      <c r="G31" s="297"/>
      <c r="H31" s="297"/>
      <c r="I31" s="297"/>
      <c r="J31" s="297"/>
      <c r="K31" s="297"/>
      <c r="L31" s="250"/>
    </row>
    <row r="32" spans="1:12">
      <c r="A32" s="285">
        <f t="shared" si="3"/>
        <v>27</v>
      </c>
      <c r="B32" s="297" t="s">
        <v>2728</v>
      </c>
      <c r="C32" s="297"/>
      <c r="D32" s="297"/>
      <c r="E32" s="297"/>
      <c r="F32" s="297"/>
      <c r="G32" s="297"/>
      <c r="H32" s="297"/>
      <c r="I32" s="297"/>
      <c r="J32" s="297"/>
      <c r="K32" s="297"/>
      <c r="L32" s="250"/>
    </row>
    <row r="33" spans="1:12">
      <c r="A33" s="285">
        <f t="shared" si="3"/>
        <v>28</v>
      </c>
      <c r="B33" s="297" t="s">
        <v>2729</v>
      </c>
      <c r="C33" s="297"/>
      <c r="D33" s="297"/>
      <c r="E33" s="297"/>
      <c r="F33" s="297"/>
      <c r="G33" s="297"/>
      <c r="H33" s="297"/>
      <c r="I33" s="297"/>
      <c r="J33" s="297"/>
      <c r="K33" s="306"/>
      <c r="L33" s="250"/>
    </row>
    <row r="34" spans="1:12">
      <c r="A34" s="285">
        <f t="shared" si="3"/>
        <v>29</v>
      </c>
      <c r="B34" s="297" t="s">
        <v>2730</v>
      </c>
      <c r="C34" s="297"/>
      <c r="D34" s="297"/>
      <c r="E34" s="297"/>
      <c r="F34" s="297"/>
      <c r="G34" s="297"/>
      <c r="H34" s="297"/>
      <c r="I34" s="297"/>
      <c r="J34" s="297"/>
      <c r="K34" s="297"/>
      <c r="L34" s="250"/>
    </row>
    <row r="35" spans="1:12">
      <c r="A35" s="285">
        <f t="shared" si="3"/>
        <v>30</v>
      </c>
      <c r="B35" s="297" t="s">
        <v>2731</v>
      </c>
      <c r="C35" s="297"/>
      <c r="D35" s="297"/>
      <c r="E35" s="297"/>
      <c r="F35" s="297"/>
      <c r="G35" s="297"/>
      <c r="H35" s="297"/>
      <c r="I35" s="297"/>
      <c r="J35" s="297"/>
      <c r="K35" s="297"/>
      <c r="L35" s="250"/>
    </row>
    <row r="36" spans="1:12">
      <c r="A36" s="285">
        <f t="shared" si="3"/>
        <v>31</v>
      </c>
      <c r="B36" s="230" t="s">
        <v>460</v>
      </c>
      <c r="C36" s="297"/>
      <c r="D36" s="297"/>
      <c r="E36" s="297"/>
      <c r="F36" s="297"/>
      <c r="G36" s="297"/>
      <c r="H36" s="297"/>
      <c r="I36" s="297"/>
      <c r="J36" s="297"/>
      <c r="K36" s="297"/>
      <c r="L36" s="250"/>
    </row>
    <row r="37" spans="1:12">
      <c r="A37" s="285">
        <f t="shared" si="3"/>
        <v>32</v>
      </c>
      <c r="B37" s="305" t="s">
        <v>461</v>
      </c>
      <c r="C37" s="297"/>
      <c r="D37" s="297"/>
      <c r="E37" s="297"/>
      <c r="F37" s="297"/>
      <c r="G37" s="297"/>
      <c r="H37" s="297"/>
      <c r="I37" s="297"/>
      <c r="J37" s="297"/>
      <c r="K37" s="297"/>
      <c r="L37" s="250"/>
    </row>
    <row r="38" spans="1:12">
      <c r="A38" s="285">
        <f t="shared" si="3"/>
        <v>33</v>
      </c>
      <c r="B38" s="305" t="s">
        <v>462</v>
      </c>
      <c r="C38" s="297"/>
      <c r="D38" s="297"/>
      <c r="E38" s="297"/>
      <c r="F38" s="297"/>
      <c r="G38" s="297"/>
      <c r="H38" s="297"/>
      <c r="I38" s="297"/>
      <c r="J38" s="297"/>
      <c r="K38" s="297"/>
      <c r="L38" s="250"/>
    </row>
    <row r="39" spans="1:12">
      <c r="A39" s="285">
        <f t="shared" si="3"/>
        <v>34</v>
      </c>
      <c r="B39" s="297" t="s">
        <v>463</v>
      </c>
      <c r="C39" s="297"/>
      <c r="D39" s="297"/>
      <c r="E39" s="297"/>
      <c r="F39" s="297"/>
      <c r="G39" s="297"/>
      <c r="H39" s="297"/>
      <c r="I39" s="297"/>
      <c r="J39" s="297"/>
      <c r="K39" s="297"/>
      <c r="L39" s="250"/>
    </row>
    <row r="40" spans="1:12" ht="13.5" thickBot="1">
      <c r="A40" s="307">
        <f t="shared" si="3"/>
        <v>35</v>
      </c>
      <c r="B40" s="308" t="s">
        <v>464</v>
      </c>
      <c r="C40" s="308"/>
      <c r="D40" s="308"/>
      <c r="E40" s="308"/>
      <c r="F40" s="308"/>
      <c r="G40" s="308"/>
      <c r="H40" s="308"/>
      <c r="I40" s="308"/>
      <c r="J40" s="308"/>
      <c r="K40" s="308"/>
      <c r="L40" s="309"/>
    </row>
    <row r="41" spans="1:12">
      <c r="A41" s="793" t="str">
        <f>A1</f>
        <v>WAPA-UGP 2022 Rate Estimate Calculation</v>
      </c>
      <c r="B41" s="794"/>
      <c r="C41" s="229"/>
      <c r="D41" s="229"/>
      <c r="E41" s="229"/>
      <c r="F41" s="229"/>
      <c r="G41" s="229"/>
      <c r="H41" s="229"/>
      <c r="I41" s="229"/>
      <c r="J41" s="229"/>
      <c r="K41" s="229"/>
      <c r="L41" s="249"/>
    </row>
    <row r="42" spans="1:12">
      <c r="A42" s="285"/>
      <c r="B42" s="286"/>
      <c r="C42" s="286" t="s">
        <v>403</v>
      </c>
      <c r="D42" s="287"/>
      <c r="E42" s="286" t="s">
        <v>404</v>
      </c>
      <c r="F42" s="287"/>
      <c r="G42" s="286" t="s">
        <v>405</v>
      </c>
      <c r="H42" s="288"/>
      <c r="I42" s="286" t="s">
        <v>406</v>
      </c>
      <c r="J42" s="288"/>
      <c r="K42" s="286" t="s">
        <v>407</v>
      </c>
      <c r="L42" s="250"/>
    </row>
    <row r="43" spans="1:12" s="226" customFormat="1" ht="13.5" thickBot="1">
      <c r="A43" s="285" t="s">
        <v>408</v>
      </c>
      <c r="B43" s="289">
        <v>-1</v>
      </c>
      <c r="C43" s="290">
        <v>-2</v>
      </c>
      <c r="D43" s="291"/>
      <c r="E43" s="290">
        <v>-3</v>
      </c>
      <c r="F43" s="291"/>
      <c r="G43" s="289">
        <v>-4</v>
      </c>
      <c r="H43" s="292"/>
      <c r="I43" s="289">
        <v>-5</v>
      </c>
      <c r="J43" s="292"/>
      <c r="K43" s="289">
        <v>-6</v>
      </c>
      <c r="L43" s="293"/>
    </row>
    <row r="44" spans="1:12">
      <c r="A44" s="294">
        <f>A40+1</f>
        <v>36</v>
      </c>
      <c r="B44" s="295" t="s">
        <v>465</v>
      </c>
      <c r="C44" s="296"/>
      <c r="D44" s="296"/>
      <c r="E44" s="296"/>
      <c r="F44" s="296"/>
      <c r="G44" s="296"/>
      <c r="H44" s="296"/>
      <c r="I44" s="296"/>
      <c r="J44" s="296"/>
      <c r="K44" s="296"/>
      <c r="L44" s="249"/>
    </row>
    <row r="45" spans="1:12">
      <c r="A45" s="285">
        <f>A44+1</f>
        <v>37</v>
      </c>
      <c r="B45" s="302" t="s">
        <v>466</v>
      </c>
      <c r="C45" s="302">
        <v>36477830.259999998</v>
      </c>
      <c r="D45" s="303" t="s">
        <v>411</v>
      </c>
      <c r="E45" s="310">
        <v>18388292.57</v>
      </c>
      <c r="F45" s="311" t="s">
        <v>412</v>
      </c>
      <c r="G45" s="304">
        <v>17919229</v>
      </c>
      <c r="H45" s="311" t="s">
        <v>413</v>
      </c>
      <c r="I45" s="310">
        <v>4623599.26</v>
      </c>
      <c r="J45" s="311" t="s">
        <v>416</v>
      </c>
      <c r="K45" s="302">
        <f t="shared" ref="K45:K50" si="4">SUM(C45:I45)</f>
        <v>77408951.090000004</v>
      </c>
      <c r="L45" s="312"/>
    </row>
    <row r="46" spans="1:12">
      <c r="A46" s="285">
        <f>A45+1</f>
        <v>38</v>
      </c>
      <c r="B46" s="297" t="s">
        <v>467</v>
      </c>
      <c r="C46" s="297">
        <f>C45*C14</f>
        <v>34599471.501345173</v>
      </c>
      <c r="D46" s="292" t="s">
        <v>468</v>
      </c>
      <c r="E46" s="297">
        <f>E45*E14</f>
        <v>164309.68915063806</v>
      </c>
      <c r="F46" s="292" t="s">
        <v>468</v>
      </c>
      <c r="G46" s="313">
        <f>G45*G14</f>
        <v>1351601.3723809472</v>
      </c>
      <c r="H46" s="292" t="s">
        <v>468</v>
      </c>
      <c r="I46" s="297">
        <f>I45*I14</f>
        <v>0</v>
      </c>
      <c r="J46" s="292" t="s">
        <v>468</v>
      </c>
      <c r="K46" s="297">
        <f t="shared" si="4"/>
        <v>36115382.562876761</v>
      </c>
      <c r="L46" s="312"/>
    </row>
    <row r="47" spans="1:12">
      <c r="A47" s="285">
        <f>A46+1</f>
        <v>39</v>
      </c>
      <c r="B47" s="297" t="s">
        <v>469</v>
      </c>
      <c r="C47" s="297">
        <f>C45*C13</f>
        <v>384787.0211064879</v>
      </c>
      <c r="D47" s="292" t="s">
        <v>470</v>
      </c>
      <c r="E47" s="297">
        <v>0</v>
      </c>
      <c r="F47" s="292" t="s">
        <v>470</v>
      </c>
      <c r="G47" s="298">
        <f>G45-G46</f>
        <v>16567627.627619052</v>
      </c>
      <c r="H47" s="292" t="s">
        <v>470</v>
      </c>
      <c r="I47" s="297">
        <f>I45*I13</f>
        <v>4623599.26</v>
      </c>
      <c r="J47" s="292" t="s">
        <v>470</v>
      </c>
      <c r="K47" s="297">
        <f t="shared" si="4"/>
        <v>21576013.908725537</v>
      </c>
      <c r="L47" s="312"/>
    </row>
    <row r="48" spans="1:12">
      <c r="A48" s="285">
        <f>A47+1</f>
        <v>40</v>
      </c>
      <c r="B48" s="297" t="s">
        <v>471</v>
      </c>
      <c r="C48" s="297">
        <f>C45*C15</f>
        <v>547903.48978050495</v>
      </c>
      <c r="D48" s="292" t="s">
        <v>472</v>
      </c>
      <c r="E48" s="297"/>
      <c r="F48" s="292"/>
      <c r="G48" s="298"/>
      <c r="H48" s="292"/>
      <c r="I48" s="297"/>
      <c r="J48" s="292"/>
      <c r="K48" s="297">
        <f t="shared" si="4"/>
        <v>547903.48978050495</v>
      </c>
      <c r="L48" s="312"/>
    </row>
    <row r="49" spans="1:12">
      <c r="A49" s="285">
        <f t="shared" ref="A49:A56" si="5">A48+1</f>
        <v>41</v>
      </c>
      <c r="B49" s="297" t="s">
        <v>473</v>
      </c>
      <c r="C49" s="297">
        <f>C45*C16</f>
        <v>26892.823868799089</v>
      </c>
      <c r="D49" s="292" t="s">
        <v>474</v>
      </c>
      <c r="E49" s="297"/>
      <c r="F49" s="292"/>
      <c r="G49" s="298"/>
      <c r="H49" s="292"/>
      <c r="I49" s="297"/>
      <c r="J49" s="292"/>
      <c r="K49" s="297">
        <f t="shared" si="4"/>
        <v>26892.823868799089</v>
      </c>
      <c r="L49" s="312"/>
    </row>
    <row r="50" spans="1:12">
      <c r="A50" s="285">
        <f t="shared" si="5"/>
        <v>42</v>
      </c>
      <c r="B50" s="297" t="s">
        <v>475</v>
      </c>
      <c r="C50" s="297">
        <f>C45*C17</f>
        <v>174814.18414217737</v>
      </c>
      <c r="D50" s="292" t="s">
        <v>476</v>
      </c>
      <c r="E50" s="297"/>
      <c r="F50" s="292"/>
      <c r="G50" s="298"/>
      <c r="H50" s="292"/>
      <c r="I50" s="297"/>
      <c r="J50" s="292"/>
      <c r="K50" s="297">
        <f t="shared" si="4"/>
        <v>174814.18414217737</v>
      </c>
      <c r="L50" s="312"/>
    </row>
    <row r="51" spans="1:12">
      <c r="A51" s="285">
        <f t="shared" si="5"/>
        <v>43</v>
      </c>
      <c r="B51" s="314" t="s">
        <v>477</v>
      </c>
      <c r="C51" s="297"/>
      <c r="D51" s="297"/>
      <c r="E51" s="297"/>
      <c r="F51" s="297"/>
      <c r="G51" s="297"/>
      <c r="H51" s="297"/>
      <c r="I51" s="297"/>
      <c r="J51" s="297"/>
      <c r="K51" s="297"/>
      <c r="L51" s="312"/>
    </row>
    <row r="52" spans="1:12">
      <c r="A52" s="285">
        <f t="shared" si="5"/>
        <v>44</v>
      </c>
      <c r="B52" s="314" t="s">
        <v>478</v>
      </c>
      <c r="C52" s="297"/>
      <c r="D52" s="297"/>
      <c r="E52" s="297"/>
      <c r="F52" s="297"/>
      <c r="G52" s="297"/>
      <c r="H52" s="297"/>
      <c r="I52" s="297"/>
      <c r="J52" s="297"/>
      <c r="K52" s="297"/>
      <c r="L52" s="312"/>
    </row>
    <row r="53" spans="1:12">
      <c r="A53" s="285">
        <f t="shared" si="5"/>
        <v>45</v>
      </c>
      <c r="B53" s="297" t="s">
        <v>479</v>
      </c>
      <c r="C53" s="297"/>
      <c r="D53" s="297"/>
      <c r="E53" s="297"/>
      <c r="F53" s="297"/>
      <c r="G53" s="297"/>
      <c r="H53" s="297"/>
      <c r="I53" s="297"/>
      <c r="J53" s="297"/>
      <c r="K53" s="297"/>
      <c r="L53" s="312"/>
    </row>
    <row r="54" spans="1:12">
      <c r="A54" s="285">
        <f t="shared" si="5"/>
        <v>46</v>
      </c>
      <c r="B54" s="297" t="s">
        <v>480</v>
      </c>
      <c r="C54" s="297"/>
      <c r="D54" s="297"/>
      <c r="E54" s="297"/>
      <c r="F54" s="297"/>
      <c r="G54" s="297"/>
      <c r="H54" s="297"/>
      <c r="I54" s="297"/>
      <c r="J54" s="297"/>
      <c r="K54" s="297"/>
      <c r="L54" s="312"/>
    </row>
    <row r="55" spans="1:12">
      <c r="A55" s="285">
        <f t="shared" si="5"/>
        <v>47</v>
      </c>
      <c r="B55" s="314" t="s">
        <v>481</v>
      </c>
      <c r="C55" s="297"/>
      <c r="D55" s="297"/>
      <c r="E55" s="297"/>
      <c r="F55" s="297"/>
      <c r="G55" s="297"/>
      <c r="H55" s="297"/>
      <c r="I55" s="297"/>
      <c r="J55" s="297"/>
      <c r="K55" s="297"/>
      <c r="L55" s="312"/>
    </row>
    <row r="56" spans="1:12">
      <c r="A56" s="285">
        <f t="shared" si="5"/>
        <v>48</v>
      </c>
      <c r="B56" s="314" t="s">
        <v>482</v>
      </c>
      <c r="C56" s="297"/>
      <c r="D56" s="297"/>
      <c r="E56" s="297"/>
      <c r="F56" s="297"/>
      <c r="G56" s="297"/>
      <c r="H56" s="297"/>
      <c r="I56" s="297"/>
      <c r="J56" s="297"/>
      <c r="K56" s="297"/>
      <c r="L56" s="312"/>
    </row>
    <row r="57" spans="1:12">
      <c r="A57" s="285">
        <f>A56+1</f>
        <v>49</v>
      </c>
      <c r="B57" s="314" t="s">
        <v>483</v>
      </c>
      <c r="C57" s="297"/>
      <c r="D57" s="297"/>
      <c r="E57" s="297"/>
      <c r="F57" s="297"/>
      <c r="G57" s="297"/>
      <c r="H57" s="297"/>
      <c r="I57" s="297"/>
      <c r="J57" s="297"/>
      <c r="K57" s="297"/>
      <c r="L57" s="312"/>
    </row>
    <row r="58" spans="1:12">
      <c r="A58" s="285">
        <f>A57+1</f>
        <v>50</v>
      </c>
      <c r="B58" s="314" t="s">
        <v>484</v>
      </c>
      <c r="C58" s="297"/>
      <c r="D58" s="297"/>
      <c r="E58" s="297"/>
      <c r="F58" s="297"/>
      <c r="G58" s="297"/>
      <c r="H58" s="297"/>
      <c r="I58" s="297"/>
      <c r="J58" s="297"/>
      <c r="K58" s="297"/>
      <c r="L58" s="312"/>
    </row>
    <row r="59" spans="1:12">
      <c r="A59" s="285">
        <f>A58+1</f>
        <v>51</v>
      </c>
      <c r="B59" s="314" t="s">
        <v>485</v>
      </c>
      <c r="C59" s="297"/>
      <c r="D59" s="297"/>
      <c r="E59" s="297"/>
      <c r="F59" s="297"/>
      <c r="G59" s="297"/>
      <c r="H59" s="297"/>
      <c r="I59" s="297"/>
      <c r="J59" s="297"/>
      <c r="K59" s="297"/>
      <c r="L59" s="312"/>
    </row>
    <row r="60" spans="1:12" ht="13.5" thickBot="1">
      <c r="A60" s="307">
        <f>A59+1</f>
        <v>52</v>
      </c>
      <c r="B60" s="315" t="s">
        <v>486</v>
      </c>
      <c r="C60" s="308"/>
      <c r="D60" s="308"/>
      <c r="E60" s="308"/>
      <c r="F60" s="308"/>
      <c r="G60" s="308"/>
      <c r="H60" s="308"/>
      <c r="I60" s="308"/>
      <c r="J60" s="308"/>
      <c r="K60" s="308"/>
      <c r="L60" s="316"/>
    </row>
    <row r="61" spans="1:12">
      <c r="A61" s="793" t="str">
        <f>A1</f>
        <v>WAPA-UGP 2022 Rate Estimate Calculation</v>
      </c>
      <c r="B61" s="794"/>
      <c r="C61" s="229"/>
      <c r="D61" s="229"/>
      <c r="E61" s="229"/>
      <c r="F61" s="229"/>
      <c r="G61" s="229"/>
      <c r="H61" s="229"/>
      <c r="I61" s="229"/>
      <c r="J61" s="229"/>
      <c r="K61" s="229"/>
      <c r="L61" s="249"/>
    </row>
    <row r="62" spans="1:12">
      <c r="A62" s="285"/>
      <c r="B62" s="286"/>
      <c r="C62" s="286" t="s">
        <v>403</v>
      </c>
      <c r="D62" s="287"/>
      <c r="E62" s="286" t="s">
        <v>404</v>
      </c>
      <c r="F62" s="287"/>
      <c r="G62" s="286" t="s">
        <v>405</v>
      </c>
      <c r="H62" s="288"/>
      <c r="I62" s="286" t="s">
        <v>406</v>
      </c>
      <c r="J62" s="288"/>
      <c r="K62" s="286" t="s">
        <v>407</v>
      </c>
      <c r="L62" s="250"/>
    </row>
    <row r="63" spans="1:12" s="226" customFormat="1" ht="13.5" thickBot="1">
      <c r="A63" s="285" t="s">
        <v>408</v>
      </c>
      <c r="B63" s="289">
        <v>-1</v>
      </c>
      <c r="C63" s="290">
        <v>-2</v>
      </c>
      <c r="D63" s="291"/>
      <c r="E63" s="290">
        <v>-3</v>
      </c>
      <c r="F63" s="291"/>
      <c r="G63" s="289">
        <v>-4</v>
      </c>
      <c r="H63" s="292"/>
      <c r="I63" s="289">
        <v>-5</v>
      </c>
      <c r="J63" s="292"/>
      <c r="K63" s="289">
        <v>-6</v>
      </c>
      <c r="L63" s="293"/>
    </row>
    <row r="64" spans="1:12">
      <c r="A64" s="294">
        <f>A60+1</f>
        <v>53</v>
      </c>
      <c r="B64" s="295" t="s">
        <v>487</v>
      </c>
      <c r="C64" s="296"/>
      <c r="D64" s="296"/>
      <c r="E64" s="296"/>
      <c r="F64" s="296"/>
      <c r="G64" s="296"/>
      <c r="H64" s="296"/>
      <c r="I64" s="296"/>
      <c r="J64" s="296"/>
      <c r="K64" s="296"/>
      <c r="L64" s="317"/>
    </row>
    <row r="65" spans="1:12">
      <c r="A65" s="285">
        <f t="shared" ref="A65:A86" si="6">A64+1</f>
        <v>54</v>
      </c>
      <c r="B65" s="318" t="s">
        <v>488</v>
      </c>
      <c r="C65" s="297"/>
      <c r="D65" s="297"/>
      <c r="E65" s="297"/>
      <c r="F65" s="297"/>
      <c r="G65" s="297"/>
      <c r="H65" s="297"/>
      <c r="I65" s="297"/>
      <c r="J65" s="297"/>
      <c r="K65" s="297"/>
      <c r="L65" s="312"/>
    </row>
    <row r="66" spans="1:12">
      <c r="A66" s="285">
        <f t="shared" si="6"/>
        <v>55</v>
      </c>
      <c r="B66" s="297" t="s">
        <v>489</v>
      </c>
      <c r="C66" s="297">
        <f>338925654+65723275+345597756+114363919</f>
        <v>864610604</v>
      </c>
      <c r="D66" s="292" t="s">
        <v>411</v>
      </c>
      <c r="E66" s="297">
        <f>184223078+5062592+149418974+5012074</f>
        <v>343716718</v>
      </c>
      <c r="F66" s="292" t="s">
        <v>411</v>
      </c>
      <c r="G66" s="297">
        <f>539336983+116766623</f>
        <v>656103606</v>
      </c>
      <c r="H66" s="292" t="s">
        <v>411</v>
      </c>
      <c r="I66" s="297">
        <f>165202656+59625406</f>
        <v>224828062</v>
      </c>
      <c r="J66" s="292" t="s">
        <v>411</v>
      </c>
      <c r="K66" s="297">
        <f>SUM(C66:I66)</f>
        <v>2089258990</v>
      </c>
      <c r="L66" s="312"/>
    </row>
    <row r="67" spans="1:12">
      <c r="A67" s="285">
        <f t="shared" si="6"/>
        <v>56</v>
      </c>
      <c r="B67" s="318" t="s">
        <v>490</v>
      </c>
      <c r="C67" s="297"/>
      <c r="D67" s="292"/>
      <c r="E67" s="297"/>
      <c r="F67" s="292"/>
      <c r="G67" s="297"/>
      <c r="H67" s="292"/>
      <c r="I67" s="297"/>
      <c r="J67" s="292"/>
      <c r="K67" s="297"/>
      <c r="L67" s="312"/>
    </row>
    <row r="68" spans="1:12">
      <c r="A68" s="285">
        <f t="shared" si="6"/>
        <v>57</v>
      </c>
      <c r="B68" s="297" t="s">
        <v>491</v>
      </c>
      <c r="C68" s="297">
        <f>14280469+15841916-1060464+269319.26+3158876+5704299-292537</f>
        <v>37901878.260000005</v>
      </c>
      <c r="D68" s="292" t="s">
        <v>492</v>
      </c>
      <c r="E68" s="297">
        <f>11322098+6549274-472262.41</f>
        <v>17399109.59</v>
      </c>
      <c r="F68" s="292" t="s">
        <v>492</v>
      </c>
      <c r="G68" s="297">
        <v>24235474.449999999</v>
      </c>
      <c r="H68" s="292" t="s">
        <v>412</v>
      </c>
      <c r="I68" s="297">
        <v>14436858.189999999</v>
      </c>
      <c r="J68" s="292" t="s">
        <v>412</v>
      </c>
      <c r="K68" s="297">
        <f>SUM(C68:I68)</f>
        <v>93973320.49000001</v>
      </c>
      <c r="L68" s="312"/>
    </row>
    <row r="69" spans="1:12">
      <c r="A69" s="285">
        <f t="shared" si="6"/>
        <v>58</v>
      </c>
      <c r="B69" s="297" t="s">
        <v>493</v>
      </c>
      <c r="C69" s="319">
        <f>C68/C66</f>
        <v>4.383693432008845E-2</v>
      </c>
      <c r="D69" s="320" t="s">
        <v>494</v>
      </c>
      <c r="E69" s="319">
        <f>E68/E66</f>
        <v>5.0620492629049253E-2</v>
      </c>
      <c r="F69" s="320" t="s">
        <v>494</v>
      </c>
      <c r="G69" s="319">
        <f>G68/G66</f>
        <v>3.6938486891961997E-2</v>
      </c>
      <c r="H69" s="320" t="s">
        <v>494</v>
      </c>
      <c r="I69" s="319">
        <f>I68/I66</f>
        <v>6.4212883665740975E-2</v>
      </c>
      <c r="J69" s="320" t="s">
        <v>494</v>
      </c>
      <c r="K69" s="321"/>
      <c r="L69" s="312"/>
    </row>
    <row r="70" spans="1:12">
      <c r="A70" s="285">
        <f t="shared" si="6"/>
        <v>59</v>
      </c>
      <c r="B70" s="297" t="s">
        <v>495</v>
      </c>
      <c r="C70" s="322">
        <f>C8/(C8+E8+G8)</f>
        <v>0.93281981605161757</v>
      </c>
      <c r="D70" s="300" t="s">
        <v>413</v>
      </c>
      <c r="E70" s="322">
        <f>E8/(C8+E8+G8)</f>
        <v>4.6863318249751448E-3</v>
      </c>
      <c r="F70" s="300" t="s">
        <v>416</v>
      </c>
      <c r="G70" s="322">
        <f>G8/(C8+E8+G8)</f>
        <v>6.249385212340719E-2</v>
      </c>
      <c r="H70" s="300" t="s">
        <v>417</v>
      </c>
      <c r="I70" s="322">
        <v>0</v>
      </c>
      <c r="J70" s="300" t="s">
        <v>418</v>
      </c>
      <c r="K70" s="321"/>
      <c r="L70" s="312"/>
    </row>
    <row r="71" spans="1:12">
      <c r="A71" s="285">
        <f t="shared" si="6"/>
        <v>60</v>
      </c>
      <c r="B71" s="297" t="s">
        <v>496</v>
      </c>
      <c r="C71" s="321"/>
      <c r="D71" s="320"/>
      <c r="E71" s="321"/>
      <c r="F71" s="320"/>
      <c r="G71" s="321"/>
      <c r="H71" s="320"/>
      <c r="I71" s="321"/>
      <c r="J71" s="320"/>
      <c r="K71" s="319">
        <f>C69*C70+E69*E70+G69*G70+I69*I70</f>
        <v>4.3437613771823876E-2</v>
      </c>
      <c r="L71" s="323" t="s">
        <v>419</v>
      </c>
    </row>
    <row r="72" spans="1:12">
      <c r="A72" s="285">
        <f t="shared" si="6"/>
        <v>61</v>
      </c>
      <c r="B72" s="297" t="s">
        <v>497</v>
      </c>
      <c r="C72" s="322">
        <f>C9/(C9+E9+G9+I9)</f>
        <v>9.1848729939992668E-3</v>
      </c>
      <c r="D72" s="300" t="s">
        <v>422</v>
      </c>
      <c r="E72" s="322">
        <v>0</v>
      </c>
      <c r="F72" s="320" t="s">
        <v>436</v>
      </c>
      <c r="G72" s="322">
        <f>G9/(C9+G9+I9)</f>
        <v>0.6782244444931359</v>
      </c>
      <c r="H72" s="300" t="s">
        <v>437</v>
      </c>
      <c r="I72" s="322">
        <f>I9/(C9+G9+I9)</f>
        <v>0.31259068251286476</v>
      </c>
      <c r="J72" s="300" t="s">
        <v>438</v>
      </c>
      <c r="K72" s="321"/>
      <c r="L72" s="312"/>
    </row>
    <row r="73" spans="1:12">
      <c r="A73" s="285">
        <f t="shared" si="6"/>
        <v>62</v>
      </c>
      <c r="B73" s="297" t="s">
        <v>498</v>
      </c>
      <c r="C73" s="321"/>
      <c r="D73" s="320"/>
      <c r="E73" s="321"/>
      <c r="F73" s="321"/>
      <c r="G73" s="324"/>
      <c r="H73" s="324"/>
      <c r="I73" s="324"/>
      <c r="J73" s="320"/>
      <c r="K73" s="319">
        <f>C69*C72+E69*E72+G69*G72+I69*I72</f>
        <v>4.5527570558087364E-2</v>
      </c>
      <c r="L73" s="323" t="s">
        <v>414</v>
      </c>
    </row>
    <row r="74" spans="1:12">
      <c r="A74" s="285">
        <f t="shared" si="6"/>
        <v>63</v>
      </c>
      <c r="B74" s="297" t="s">
        <v>499</v>
      </c>
      <c r="C74" s="297"/>
      <c r="D74" s="297"/>
      <c r="E74" s="297"/>
      <c r="F74" s="297"/>
      <c r="G74" s="297"/>
      <c r="H74" s="297"/>
      <c r="I74" s="297"/>
      <c r="J74" s="297"/>
      <c r="K74" s="297"/>
      <c r="L74" s="312"/>
    </row>
    <row r="75" spans="1:12">
      <c r="A75" s="285">
        <f t="shared" si="6"/>
        <v>64</v>
      </c>
      <c r="B75" s="297" t="s">
        <v>500</v>
      </c>
      <c r="C75" s="297"/>
      <c r="D75" s="297"/>
      <c r="E75" s="297"/>
      <c r="F75" s="297"/>
      <c r="G75" s="297"/>
      <c r="H75" s="297"/>
      <c r="I75" s="297"/>
      <c r="J75" s="297"/>
      <c r="K75" s="297"/>
      <c r="L75" s="312"/>
    </row>
    <row r="76" spans="1:12">
      <c r="A76" s="285">
        <f t="shared" si="6"/>
        <v>65</v>
      </c>
      <c r="B76" s="297" t="s">
        <v>501</v>
      </c>
      <c r="C76" s="297"/>
      <c r="D76" s="297"/>
      <c r="E76" s="297"/>
      <c r="F76" s="297"/>
      <c r="G76" s="297"/>
      <c r="H76" s="297"/>
      <c r="I76" s="297"/>
      <c r="J76" s="297"/>
      <c r="K76" s="297"/>
      <c r="L76" s="312"/>
    </row>
    <row r="77" spans="1:12">
      <c r="A77" s="285">
        <f t="shared" si="6"/>
        <v>66</v>
      </c>
      <c r="B77" s="297" t="s">
        <v>502</v>
      </c>
      <c r="C77" s="297"/>
      <c r="D77" s="297"/>
      <c r="E77" s="297"/>
      <c r="F77" s="297"/>
      <c r="G77" s="297"/>
      <c r="H77" s="297"/>
      <c r="I77" s="297"/>
      <c r="J77" s="297"/>
      <c r="K77" s="297"/>
      <c r="L77" s="312"/>
    </row>
    <row r="78" spans="1:12">
      <c r="A78" s="285">
        <f t="shared" si="6"/>
        <v>67</v>
      </c>
      <c r="B78" s="297" t="s">
        <v>503</v>
      </c>
      <c r="C78" s="297"/>
      <c r="D78" s="297"/>
      <c r="E78" s="297"/>
      <c r="F78" s="297"/>
      <c r="G78" s="297"/>
      <c r="H78" s="297"/>
      <c r="I78" s="297"/>
      <c r="J78" s="297"/>
      <c r="K78" s="297"/>
      <c r="L78" s="312"/>
    </row>
    <row r="79" spans="1:12">
      <c r="A79" s="285">
        <f t="shared" si="6"/>
        <v>68</v>
      </c>
      <c r="B79" s="297" t="s">
        <v>504</v>
      </c>
      <c r="C79" s="297"/>
      <c r="D79" s="297"/>
      <c r="E79" s="297"/>
      <c r="F79" s="297"/>
      <c r="G79" s="297"/>
      <c r="H79" s="297"/>
      <c r="I79" s="297"/>
      <c r="J79" s="297"/>
      <c r="K79" s="297"/>
      <c r="L79" s="312"/>
    </row>
    <row r="80" spans="1:12">
      <c r="A80" s="285">
        <f t="shared" si="6"/>
        <v>69</v>
      </c>
      <c r="B80" s="297" t="s">
        <v>505</v>
      </c>
      <c r="C80" s="297"/>
      <c r="D80" s="297"/>
      <c r="E80" s="297"/>
      <c r="F80" s="297"/>
      <c r="G80" s="297"/>
      <c r="H80" s="297"/>
      <c r="I80" s="297"/>
      <c r="J80" s="297"/>
      <c r="K80" s="297"/>
      <c r="L80" s="312"/>
    </row>
    <row r="81" spans="1:12">
      <c r="A81" s="285">
        <f t="shared" si="6"/>
        <v>70</v>
      </c>
      <c r="B81" s="297" t="s">
        <v>506</v>
      </c>
      <c r="C81" s="297"/>
      <c r="D81" s="297"/>
      <c r="E81" s="297"/>
      <c r="F81" s="297"/>
      <c r="G81" s="297"/>
      <c r="H81" s="297"/>
      <c r="I81" s="297"/>
      <c r="J81" s="297"/>
      <c r="K81" s="297"/>
      <c r="L81" s="312"/>
    </row>
    <row r="82" spans="1:12">
      <c r="A82" s="285">
        <f t="shared" si="6"/>
        <v>71</v>
      </c>
      <c r="B82" s="297" t="s">
        <v>507</v>
      </c>
      <c r="C82" s="297"/>
      <c r="D82" s="297"/>
      <c r="E82" s="297"/>
      <c r="F82" s="297"/>
      <c r="G82" s="297"/>
      <c r="H82" s="297"/>
      <c r="I82" s="297"/>
      <c r="J82" s="297"/>
      <c r="K82" s="297"/>
      <c r="L82" s="312"/>
    </row>
    <row r="83" spans="1:12">
      <c r="A83" s="285">
        <f t="shared" si="6"/>
        <v>72</v>
      </c>
      <c r="B83" s="297" t="s">
        <v>508</v>
      </c>
      <c r="C83" s="297"/>
      <c r="D83" s="297"/>
      <c r="E83" s="297"/>
      <c r="F83" s="297"/>
      <c r="G83" s="297"/>
      <c r="H83" s="297"/>
      <c r="I83" s="297"/>
      <c r="J83" s="297"/>
      <c r="K83" s="297"/>
      <c r="L83" s="312"/>
    </row>
    <row r="84" spans="1:12">
      <c r="A84" s="285">
        <f t="shared" si="6"/>
        <v>73</v>
      </c>
      <c r="B84" s="297" t="s">
        <v>509</v>
      </c>
      <c r="C84" s="297"/>
      <c r="D84" s="297"/>
      <c r="E84" s="297"/>
      <c r="F84" s="297"/>
      <c r="G84" s="297"/>
      <c r="H84" s="297"/>
      <c r="I84" s="297"/>
      <c r="J84" s="297"/>
      <c r="K84" s="297"/>
      <c r="L84" s="312"/>
    </row>
    <row r="85" spans="1:12">
      <c r="A85" s="285">
        <f t="shared" si="6"/>
        <v>74</v>
      </c>
      <c r="B85" s="297" t="s">
        <v>510</v>
      </c>
      <c r="C85" s="297"/>
      <c r="D85" s="297"/>
      <c r="E85" s="297"/>
      <c r="F85" s="297"/>
      <c r="G85" s="297"/>
      <c r="H85" s="297"/>
      <c r="I85" s="297"/>
      <c r="J85" s="297"/>
      <c r="K85" s="297"/>
      <c r="L85" s="312"/>
    </row>
    <row r="86" spans="1:12" ht="13.5" thickBot="1">
      <c r="A86" s="307">
        <f t="shared" si="6"/>
        <v>75</v>
      </c>
      <c r="B86" s="308" t="s">
        <v>511</v>
      </c>
      <c r="C86" s="308"/>
      <c r="D86" s="308"/>
      <c r="E86" s="308"/>
      <c r="F86" s="308"/>
      <c r="G86" s="308"/>
      <c r="H86" s="308"/>
      <c r="I86" s="308"/>
      <c r="J86" s="308"/>
      <c r="K86" s="308"/>
      <c r="L86" s="316"/>
    </row>
    <row r="87" spans="1:12">
      <c r="A87" s="793" t="str">
        <f>A1</f>
        <v>WAPA-UGP 2022 Rate Estimate Calculation</v>
      </c>
      <c r="B87" s="794"/>
      <c r="C87" s="229"/>
      <c r="D87" s="229"/>
      <c r="E87" s="229"/>
      <c r="F87" s="229"/>
      <c r="G87" s="229"/>
      <c r="H87" s="229"/>
      <c r="I87" s="229"/>
      <c r="J87" s="229"/>
      <c r="K87" s="229"/>
      <c r="L87" s="249"/>
    </row>
    <row r="88" spans="1:12">
      <c r="A88" s="285"/>
      <c r="B88" s="286"/>
      <c r="C88" s="286" t="s">
        <v>403</v>
      </c>
      <c r="D88" s="287"/>
      <c r="E88" s="286" t="s">
        <v>404</v>
      </c>
      <c r="F88" s="287"/>
      <c r="G88" s="286" t="s">
        <v>405</v>
      </c>
      <c r="H88" s="288"/>
      <c r="I88" s="286" t="s">
        <v>406</v>
      </c>
      <c r="J88" s="288"/>
      <c r="K88" s="286" t="s">
        <v>407</v>
      </c>
      <c r="L88" s="250"/>
    </row>
    <row r="89" spans="1:12" s="226" customFormat="1" ht="13.5" thickBot="1">
      <c r="A89" s="285" t="s">
        <v>408</v>
      </c>
      <c r="B89" s="289">
        <v>-1</v>
      </c>
      <c r="C89" s="290">
        <v>-2</v>
      </c>
      <c r="D89" s="291"/>
      <c r="E89" s="290">
        <v>-3</v>
      </c>
      <c r="F89" s="291"/>
      <c r="G89" s="289">
        <v>-4</v>
      </c>
      <c r="H89" s="292"/>
      <c r="I89" s="289">
        <v>-5</v>
      </c>
      <c r="J89" s="292"/>
      <c r="K89" s="289">
        <v>-6</v>
      </c>
      <c r="L89" s="293"/>
    </row>
    <row r="90" spans="1:12">
      <c r="A90" s="294">
        <f>A86+1</f>
        <v>76</v>
      </c>
      <c r="B90" s="295" t="s">
        <v>512</v>
      </c>
      <c r="C90" s="325"/>
      <c r="D90" s="325"/>
      <c r="E90" s="325"/>
      <c r="F90" s="325"/>
      <c r="G90" s="325"/>
      <c r="H90" s="326"/>
      <c r="I90" s="326"/>
      <c r="J90" s="326"/>
      <c r="K90" s="326"/>
      <c r="L90" s="317"/>
    </row>
    <row r="91" spans="1:12">
      <c r="A91" s="285">
        <f t="shared" ref="A91:A105" si="7">A90+1</f>
        <v>77</v>
      </c>
      <c r="B91" s="327"/>
      <c r="C91" s="327" t="s">
        <v>513</v>
      </c>
      <c r="D91" s="230"/>
      <c r="E91" s="327" t="s">
        <v>514</v>
      </c>
      <c r="F91" s="328"/>
      <c r="G91" s="327" t="s">
        <v>515</v>
      </c>
      <c r="H91" s="230"/>
      <c r="I91" s="327" t="s">
        <v>516</v>
      </c>
      <c r="J91" s="230"/>
      <c r="K91" s="327" t="s">
        <v>517</v>
      </c>
      <c r="L91" s="250"/>
    </row>
    <row r="92" spans="1:12">
      <c r="A92" s="285">
        <f>A91+1</f>
        <v>78</v>
      </c>
      <c r="B92" s="329" t="s">
        <v>518</v>
      </c>
      <c r="C92" s="330">
        <v>15789470.25</v>
      </c>
      <c r="D92" s="230"/>
      <c r="E92" s="330">
        <v>12994794</v>
      </c>
      <c r="F92" s="230"/>
      <c r="G92" s="330">
        <v>0</v>
      </c>
      <c r="H92" s="230"/>
      <c r="I92" s="330">
        <v>0</v>
      </c>
      <c r="J92" s="230"/>
      <c r="K92" s="330">
        <f>SUM(C92:I92)</f>
        <v>28784264.25</v>
      </c>
      <c r="L92" s="250"/>
    </row>
    <row r="93" spans="1:12">
      <c r="A93" s="285">
        <f t="shared" si="7"/>
        <v>79</v>
      </c>
      <c r="B93" s="329" t="s">
        <v>519</v>
      </c>
      <c r="C93" s="330">
        <f>C92*C14</f>
        <v>14976420.528368687</v>
      </c>
      <c r="D93" s="230"/>
      <c r="E93" s="330">
        <f>E92*E14</f>
        <v>116115.75977424078</v>
      </c>
      <c r="F93" s="230"/>
      <c r="G93" s="330">
        <v>0</v>
      </c>
      <c r="H93" s="230"/>
      <c r="I93" s="330">
        <v>0</v>
      </c>
      <c r="J93" s="230"/>
      <c r="K93" s="330">
        <f>SUM(C93:I93)</f>
        <v>15092536.288142929</v>
      </c>
      <c r="L93" s="250"/>
    </row>
    <row r="94" spans="1:12">
      <c r="A94" s="285">
        <f t="shared" si="7"/>
        <v>80</v>
      </c>
      <c r="B94" s="329" t="s">
        <v>520</v>
      </c>
      <c r="C94" s="330">
        <f>C92*C13</f>
        <v>166555.49902619162</v>
      </c>
      <c r="D94" s="230"/>
      <c r="E94" s="330">
        <v>0</v>
      </c>
      <c r="F94" s="330"/>
      <c r="G94" s="330">
        <v>0</v>
      </c>
      <c r="H94" s="230"/>
      <c r="I94" s="230">
        <v>0</v>
      </c>
      <c r="J94" s="230"/>
      <c r="K94" s="330">
        <f>SUM(C94:G94)</f>
        <v>166555.49902619162</v>
      </c>
      <c r="L94" s="250"/>
    </row>
    <row r="95" spans="1:12">
      <c r="A95" s="285">
        <f>A94+1</f>
        <v>81</v>
      </c>
      <c r="B95" s="329" t="s">
        <v>521</v>
      </c>
      <c r="C95" s="330">
        <f>C92*C15</f>
        <v>237160.64771667321</v>
      </c>
      <c r="D95" s="230"/>
      <c r="E95" s="330">
        <v>0</v>
      </c>
      <c r="F95" s="330"/>
      <c r="G95" s="330">
        <v>0</v>
      </c>
      <c r="H95" s="230"/>
      <c r="I95" s="230">
        <v>0</v>
      </c>
      <c r="J95" s="230"/>
      <c r="K95" s="330">
        <f>SUM(C95:G95)</f>
        <v>237160.64771667321</v>
      </c>
      <c r="L95" s="250"/>
    </row>
    <row r="96" spans="1:12">
      <c r="A96" s="285">
        <f t="shared" si="7"/>
        <v>82</v>
      </c>
      <c r="B96" s="329" t="s">
        <v>522</v>
      </c>
      <c r="C96" s="330">
        <f>C92*C16</f>
        <v>11640.589349430596</v>
      </c>
      <c r="D96" s="230"/>
      <c r="E96" s="330">
        <v>0</v>
      </c>
      <c r="F96" s="330"/>
      <c r="G96" s="330">
        <v>0</v>
      </c>
      <c r="H96" s="230"/>
      <c r="I96" s="230">
        <v>0</v>
      </c>
      <c r="J96" s="230"/>
      <c r="K96" s="330">
        <f>SUM(C96:G96)</f>
        <v>11640.589349430596</v>
      </c>
      <c r="L96" s="250"/>
    </row>
    <row r="97" spans="1:12">
      <c r="A97" s="285">
        <f t="shared" si="7"/>
        <v>83</v>
      </c>
      <c r="B97" s="329" t="s">
        <v>523</v>
      </c>
      <c r="C97" s="330">
        <f>C92*C17</f>
        <v>75668.518114074133</v>
      </c>
      <c r="D97" s="230"/>
      <c r="E97" s="330">
        <v>0</v>
      </c>
      <c r="F97" s="330"/>
      <c r="G97" s="330">
        <v>0</v>
      </c>
      <c r="H97" s="230"/>
      <c r="I97" s="230">
        <v>0</v>
      </c>
      <c r="J97" s="230"/>
      <c r="K97" s="330">
        <f>SUM(C97:G97)</f>
        <v>75668.518114074133</v>
      </c>
      <c r="L97" s="250"/>
    </row>
    <row r="98" spans="1:12">
      <c r="A98" s="285">
        <f t="shared" si="7"/>
        <v>84</v>
      </c>
      <c r="B98" s="331" t="s">
        <v>524</v>
      </c>
      <c r="C98" s="330"/>
      <c r="D98" s="230"/>
      <c r="E98" s="330"/>
      <c r="F98" s="330"/>
      <c r="G98" s="330"/>
      <c r="H98" s="230"/>
      <c r="I98" s="230"/>
      <c r="J98" s="230"/>
      <c r="K98" s="330"/>
      <c r="L98" s="250"/>
    </row>
    <row r="99" spans="1:12">
      <c r="A99" s="285">
        <f t="shared" si="7"/>
        <v>85</v>
      </c>
      <c r="B99" s="331" t="s">
        <v>525</v>
      </c>
      <c r="C99" s="330"/>
      <c r="D99" s="230"/>
      <c r="E99" s="330"/>
      <c r="F99" s="330"/>
      <c r="G99" s="330"/>
      <c r="H99" s="230"/>
      <c r="I99" s="230"/>
      <c r="J99" s="230"/>
      <c r="K99" s="330"/>
      <c r="L99" s="250"/>
    </row>
    <row r="100" spans="1:12">
      <c r="A100" s="285">
        <f t="shared" si="7"/>
        <v>86</v>
      </c>
      <c r="B100" s="331" t="s">
        <v>526</v>
      </c>
      <c r="C100" s="330"/>
      <c r="D100" s="230"/>
      <c r="E100" s="330"/>
      <c r="F100" s="330"/>
      <c r="G100" s="330"/>
      <c r="H100" s="230"/>
      <c r="I100" s="230"/>
      <c r="J100" s="230"/>
      <c r="K100" s="330"/>
      <c r="L100" s="250"/>
    </row>
    <row r="101" spans="1:12">
      <c r="A101" s="285">
        <f t="shared" si="7"/>
        <v>87</v>
      </c>
      <c r="B101" s="331" t="s">
        <v>527</v>
      </c>
      <c r="C101" s="330"/>
      <c r="D101" s="230"/>
      <c r="E101" s="330"/>
      <c r="F101" s="330"/>
      <c r="G101" s="330"/>
      <c r="H101" s="230"/>
      <c r="I101" s="230"/>
      <c r="J101" s="230"/>
      <c r="K101" s="330"/>
      <c r="L101" s="250"/>
    </row>
    <row r="102" spans="1:12">
      <c r="A102" s="285">
        <f t="shared" si="7"/>
        <v>88</v>
      </c>
      <c r="B102" s="331" t="s">
        <v>528</v>
      </c>
      <c r="C102" s="330"/>
      <c r="D102" s="230"/>
      <c r="E102" s="330"/>
      <c r="F102" s="330"/>
      <c r="G102" s="330"/>
      <c r="H102" s="230"/>
      <c r="I102" s="230"/>
      <c r="J102" s="230"/>
      <c r="K102" s="330"/>
      <c r="L102" s="250"/>
    </row>
    <row r="103" spans="1:12">
      <c r="A103" s="285">
        <f t="shared" si="7"/>
        <v>89</v>
      </c>
      <c r="B103" s="331" t="s">
        <v>529</v>
      </c>
      <c r="C103" s="330"/>
      <c r="D103" s="230"/>
      <c r="E103" s="330"/>
      <c r="F103" s="330"/>
      <c r="G103" s="330"/>
      <c r="H103" s="230"/>
      <c r="I103" s="230"/>
      <c r="J103" s="230"/>
      <c r="K103" s="330"/>
      <c r="L103" s="250"/>
    </row>
    <row r="104" spans="1:12">
      <c r="A104" s="285">
        <f t="shared" si="7"/>
        <v>90</v>
      </c>
      <c r="B104" s="331" t="s">
        <v>528</v>
      </c>
      <c r="C104" s="330"/>
      <c r="D104" s="230"/>
      <c r="E104" s="330"/>
      <c r="F104" s="330"/>
      <c r="G104" s="330"/>
      <c r="H104" s="230"/>
      <c r="I104" s="230"/>
      <c r="J104" s="230"/>
      <c r="K104" s="330"/>
      <c r="L104" s="250"/>
    </row>
    <row r="105" spans="1:12" ht="13.5" thickBot="1">
      <c r="A105" s="307">
        <f t="shared" si="7"/>
        <v>91</v>
      </c>
      <c r="B105" s="332" t="s">
        <v>530</v>
      </c>
      <c r="C105" s="333"/>
      <c r="D105" s="248"/>
      <c r="E105" s="333"/>
      <c r="F105" s="333"/>
      <c r="G105" s="333"/>
      <c r="H105" s="248"/>
      <c r="I105" s="248"/>
      <c r="J105" s="248"/>
      <c r="K105" s="333"/>
      <c r="L105" s="309"/>
    </row>
    <row r="106" spans="1:12">
      <c r="A106" s="793" t="str">
        <f>A1</f>
        <v>WAPA-UGP 2022 Rate Estimate Calculation</v>
      </c>
      <c r="B106" s="794"/>
      <c r="C106" s="229"/>
      <c r="D106" s="229"/>
      <c r="E106" s="229"/>
      <c r="F106" s="229"/>
      <c r="G106" s="229"/>
      <c r="H106" s="229"/>
      <c r="I106" s="229"/>
      <c r="J106" s="229"/>
      <c r="K106" s="229"/>
      <c r="L106" s="249"/>
    </row>
    <row r="107" spans="1:12">
      <c r="A107" s="285"/>
      <c r="B107" s="286"/>
      <c r="C107" s="286" t="s">
        <v>403</v>
      </c>
      <c r="D107" s="287"/>
      <c r="E107" s="286" t="s">
        <v>404</v>
      </c>
      <c r="F107" s="287"/>
      <c r="G107" s="286" t="s">
        <v>405</v>
      </c>
      <c r="H107" s="288"/>
      <c r="I107" s="286" t="s">
        <v>406</v>
      </c>
      <c r="J107" s="288"/>
      <c r="K107" s="286" t="s">
        <v>407</v>
      </c>
      <c r="L107" s="250"/>
    </row>
    <row r="108" spans="1:12" s="226" customFormat="1" ht="13.5" thickBot="1">
      <c r="A108" s="285" t="s">
        <v>408</v>
      </c>
      <c r="B108" s="289">
        <v>-1</v>
      </c>
      <c r="C108" s="290">
        <v>-2</v>
      </c>
      <c r="D108" s="291"/>
      <c r="E108" s="290">
        <v>-3</v>
      </c>
      <c r="F108" s="291"/>
      <c r="G108" s="289">
        <v>-4</v>
      </c>
      <c r="H108" s="292"/>
      <c r="I108" s="289">
        <v>-5</v>
      </c>
      <c r="J108" s="292"/>
      <c r="K108" s="289">
        <v>-6</v>
      </c>
      <c r="L108" s="293"/>
    </row>
    <row r="109" spans="1:12">
      <c r="A109" s="294">
        <f>A105+1</f>
        <v>92</v>
      </c>
      <c r="B109" s="295" t="s">
        <v>531</v>
      </c>
      <c r="C109" s="325"/>
      <c r="D109" s="325"/>
      <c r="E109" s="325"/>
      <c r="F109" s="325"/>
      <c r="G109" s="325"/>
      <c r="H109" s="229"/>
      <c r="I109" s="229"/>
      <c r="J109" s="229"/>
      <c r="K109" s="229"/>
      <c r="L109" s="249"/>
    </row>
    <row r="110" spans="1:12">
      <c r="A110" s="285">
        <f>A109+1</f>
        <v>93</v>
      </c>
      <c r="B110" s="343"/>
      <c r="C110" s="334" t="s">
        <v>513</v>
      </c>
      <c r="D110" s="344"/>
      <c r="E110" s="334" t="s">
        <v>514</v>
      </c>
      <c r="F110" s="344"/>
      <c r="G110" s="345" t="s">
        <v>532</v>
      </c>
      <c r="H110" s="230"/>
      <c r="I110" s="345" t="s">
        <v>533</v>
      </c>
      <c r="J110" s="230"/>
      <c r="K110" s="230"/>
      <c r="L110" s="250"/>
    </row>
    <row r="111" spans="1:12">
      <c r="A111" s="285">
        <f t="shared" ref="A111:A125" si="8">A110+1</f>
        <v>94</v>
      </c>
      <c r="B111" s="327" t="s">
        <v>534</v>
      </c>
      <c r="C111" s="314">
        <v>82647000</v>
      </c>
      <c r="D111" s="230"/>
      <c r="E111" s="314">
        <v>45826814</v>
      </c>
      <c r="F111" s="230"/>
      <c r="G111" s="314">
        <f>8422783+7634407+10820424+6120686+13327550+8178338</f>
        <v>54504188</v>
      </c>
      <c r="H111" s="230"/>
      <c r="I111" s="314">
        <v>41753359.539999999</v>
      </c>
      <c r="J111" s="230"/>
      <c r="K111" s="314">
        <f>SUM(C111:I111)</f>
        <v>224731361.53999999</v>
      </c>
      <c r="L111" s="250"/>
    </row>
    <row r="112" spans="1:12">
      <c r="A112" s="285">
        <f t="shared" si="8"/>
        <v>95</v>
      </c>
      <c r="B112" s="334" t="s">
        <v>535</v>
      </c>
      <c r="C112" s="314"/>
      <c r="D112" s="230"/>
      <c r="E112" s="314"/>
      <c r="F112" s="230"/>
      <c r="G112" s="314"/>
      <c r="H112" s="230"/>
      <c r="I112" s="314"/>
      <c r="J112" s="230"/>
      <c r="K112" s="314"/>
      <c r="L112" s="250"/>
    </row>
    <row r="113" spans="1:12">
      <c r="A113" s="285">
        <f t="shared" si="8"/>
        <v>96</v>
      </c>
      <c r="B113" s="334" t="s">
        <v>536</v>
      </c>
      <c r="C113" s="314"/>
      <c r="D113" s="230"/>
      <c r="E113" s="314"/>
      <c r="F113" s="230"/>
      <c r="G113" s="314"/>
      <c r="H113" s="230"/>
      <c r="I113" s="314"/>
      <c r="J113" s="230"/>
      <c r="K113" s="314"/>
      <c r="L113" s="250"/>
    </row>
    <row r="114" spans="1:12">
      <c r="A114" s="285">
        <f>A113+1</f>
        <v>97</v>
      </c>
      <c r="B114" s="334" t="s">
        <v>537</v>
      </c>
      <c r="C114" s="346">
        <f>C92</f>
        <v>15789470.25</v>
      </c>
      <c r="D114" s="230"/>
      <c r="E114" s="314"/>
      <c r="F114" s="230"/>
      <c r="G114" s="314"/>
      <c r="H114" s="230"/>
      <c r="I114" s="314"/>
      <c r="J114" s="230"/>
      <c r="K114" s="314">
        <f>SUM(C114:I114)</f>
        <v>15789470.25</v>
      </c>
      <c r="L114" s="250"/>
    </row>
    <row r="115" spans="1:12">
      <c r="A115" s="285">
        <f t="shared" si="8"/>
        <v>98</v>
      </c>
      <c r="B115" s="334" t="s">
        <v>538</v>
      </c>
      <c r="C115" s="314"/>
      <c r="D115" s="230"/>
      <c r="E115" s="314"/>
      <c r="F115" s="230"/>
      <c r="G115" s="314"/>
      <c r="H115" s="230"/>
      <c r="I115" s="314"/>
      <c r="J115" s="230"/>
      <c r="K115" s="314"/>
      <c r="L115" s="250"/>
    </row>
    <row r="116" spans="1:12">
      <c r="A116" s="285">
        <f t="shared" si="8"/>
        <v>99</v>
      </c>
      <c r="B116" s="334" t="s">
        <v>539</v>
      </c>
      <c r="C116" s="314">
        <v>65525</v>
      </c>
      <c r="D116" s="230"/>
      <c r="E116" s="314"/>
      <c r="F116" s="230"/>
      <c r="G116" s="314"/>
      <c r="H116" s="230"/>
      <c r="I116" s="314"/>
      <c r="J116" s="230"/>
      <c r="K116" s="314">
        <f>SUM(C116:I116)</f>
        <v>65525</v>
      </c>
      <c r="L116" s="250"/>
    </row>
    <row r="117" spans="1:12">
      <c r="A117" s="285">
        <f t="shared" si="8"/>
        <v>100</v>
      </c>
      <c r="B117" s="334" t="s">
        <v>540</v>
      </c>
      <c r="C117" s="314"/>
      <c r="D117" s="230"/>
      <c r="E117" s="314"/>
      <c r="F117" s="230"/>
      <c r="G117" s="314"/>
      <c r="H117" s="230"/>
      <c r="I117" s="314"/>
      <c r="J117" s="230"/>
      <c r="K117" s="314"/>
      <c r="L117" s="250"/>
    </row>
    <row r="118" spans="1:12">
      <c r="A118" s="285">
        <f t="shared" si="8"/>
        <v>101</v>
      </c>
      <c r="B118" s="334" t="s">
        <v>541</v>
      </c>
      <c r="C118" s="314">
        <v>8251000</v>
      </c>
      <c r="D118" s="230"/>
      <c r="E118" s="314"/>
      <c r="F118" s="230"/>
      <c r="G118" s="314"/>
      <c r="H118" s="230"/>
      <c r="I118" s="314"/>
      <c r="J118" s="230"/>
      <c r="K118" s="314">
        <f>SUM(C118:I118)</f>
        <v>8251000</v>
      </c>
      <c r="L118" s="250"/>
    </row>
    <row r="119" spans="1:12">
      <c r="A119" s="285">
        <f t="shared" si="8"/>
        <v>102</v>
      </c>
      <c r="B119" s="334" t="s">
        <v>542</v>
      </c>
      <c r="C119" s="314"/>
      <c r="D119" s="230"/>
      <c r="E119" s="314"/>
      <c r="F119" s="230"/>
      <c r="G119" s="314"/>
      <c r="H119" s="230"/>
      <c r="I119" s="314"/>
      <c r="J119" s="230"/>
      <c r="K119" s="314"/>
      <c r="L119" s="250"/>
    </row>
    <row r="120" spans="1:12">
      <c r="A120" s="285">
        <f t="shared" ref="A120:A134" si="9">A119+1</f>
        <v>103</v>
      </c>
      <c r="B120" s="630" t="s">
        <v>543</v>
      </c>
      <c r="C120" s="631">
        <f>8054107.22+3471487.94</f>
        <v>11525595.16</v>
      </c>
      <c r="D120" s="632"/>
      <c r="E120" s="631"/>
      <c r="F120" s="632"/>
      <c r="G120" s="631"/>
      <c r="H120" s="632"/>
      <c r="I120" s="631"/>
      <c r="J120" s="632"/>
      <c r="K120" s="631">
        <f>SUM(C120:I120)</f>
        <v>11525595.16</v>
      </c>
      <c r="L120" s="250"/>
    </row>
    <row r="121" spans="1:12">
      <c r="A121" s="285">
        <f t="shared" si="8"/>
        <v>104</v>
      </c>
      <c r="B121" s="335" t="s">
        <v>544</v>
      </c>
      <c r="C121" s="336">
        <f>C111-C114-C116+C118</f>
        <v>75043004.75</v>
      </c>
      <c r="D121" s="230"/>
      <c r="E121" s="356">
        <v>46417099</v>
      </c>
      <c r="F121" s="230"/>
      <c r="G121" s="336">
        <f>G111</f>
        <v>54504188</v>
      </c>
      <c r="H121" s="230"/>
      <c r="I121" s="336">
        <f>I111</f>
        <v>41753359.539999999</v>
      </c>
      <c r="J121" s="230"/>
      <c r="K121" s="336">
        <f>K111-K113-K114-K115-K116+K118+K119</f>
        <v>217127366.28999999</v>
      </c>
      <c r="L121" s="250"/>
    </row>
    <row r="122" spans="1:12">
      <c r="A122" s="285">
        <f t="shared" si="8"/>
        <v>105</v>
      </c>
      <c r="B122" s="335" t="s">
        <v>545</v>
      </c>
      <c r="C122" s="336">
        <f>C121*C14</f>
        <v>71178803.281786412</v>
      </c>
      <c r="D122" s="230"/>
      <c r="E122" s="336">
        <f>E121*E14</f>
        <v>414762.76706665393</v>
      </c>
      <c r="F122" s="230"/>
      <c r="G122" s="336">
        <f>G121*G14</f>
        <v>4111110.7682874724</v>
      </c>
      <c r="H122" s="230"/>
      <c r="I122" s="336">
        <f>I121*I14</f>
        <v>0</v>
      </c>
      <c r="J122" s="230"/>
      <c r="K122" s="336">
        <f>SUM(C122:I122)</f>
        <v>75704676.817140549</v>
      </c>
      <c r="L122" s="250"/>
    </row>
    <row r="123" spans="1:12">
      <c r="A123" s="285">
        <f t="shared" si="8"/>
        <v>106</v>
      </c>
      <c r="B123" s="335" t="s">
        <v>546</v>
      </c>
      <c r="C123" s="336">
        <f>C121*C13</f>
        <v>791592.42879355745</v>
      </c>
      <c r="D123" s="230"/>
      <c r="E123" s="336">
        <v>0</v>
      </c>
      <c r="F123" s="230"/>
      <c r="G123" s="314">
        <f>G121*G13</f>
        <v>50393077.23171252</v>
      </c>
      <c r="H123" s="230"/>
      <c r="I123" s="314">
        <f>I121*I13</f>
        <v>41753359.539999999</v>
      </c>
      <c r="J123" s="230"/>
      <c r="K123" s="336">
        <f>SUM(C123:I123)</f>
        <v>92938029.200506076</v>
      </c>
      <c r="L123" s="250"/>
    </row>
    <row r="124" spans="1:12">
      <c r="A124" s="285">
        <f>A123+1</f>
        <v>107</v>
      </c>
      <c r="B124" s="335" t="s">
        <v>547</v>
      </c>
      <c r="C124" s="336">
        <f>C121*C16</f>
        <v>55324.516149749848</v>
      </c>
      <c r="D124" s="230"/>
      <c r="E124" s="336"/>
      <c r="F124" s="230"/>
      <c r="G124" s="314"/>
      <c r="H124" s="230"/>
      <c r="I124" s="314"/>
      <c r="J124" s="230"/>
      <c r="K124" s="336">
        <f>SUM(C124:I124)</f>
        <v>55324.516149749848</v>
      </c>
      <c r="L124" s="250"/>
    </row>
    <row r="125" spans="1:12">
      <c r="A125" s="285">
        <f t="shared" si="8"/>
        <v>108</v>
      </c>
      <c r="B125" s="335" t="s">
        <v>548</v>
      </c>
      <c r="C125" s="336">
        <f>C121*C17</f>
        <v>359631.6326230088</v>
      </c>
      <c r="D125" s="230"/>
      <c r="E125" s="336"/>
      <c r="F125" s="230"/>
      <c r="G125" s="314"/>
      <c r="H125" s="230"/>
      <c r="I125" s="314"/>
      <c r="J125" s="230"/>
      <c r="K125" s="336">
        <f>SUM(C125:I125)</f>
        <v>359631.6326230088</v>
      </c>
      <c r="L125" s="250"/>
    </row>
    <row r="126" spans="1:12">
      <c r="A126" s="285">
        <f t="shared" si="9"/>
        <v>109</v>
      </c>
      <c r="B126" s="314" t="s">
        <v>549</v>
      </c>
      <c r="C126" s="314"/>
      <c r="D126" s="314"/>
      <c r="E126" s="314"/>
      <c r="F126" s="314"/>
      <c r="G126" s="314"/>
      <c r="H126" s="230"/>
      <c r="I126" s="230"/>
      <c r="J126" s="230"/>
      <c r="K126" s="230"/>
      <c r="L126" s="250"/>
    </row>
    <row r="127" spans="1:12">
      <c r="A127" s="285">
        <f t="shared" si="9"/>
        <v>110</v>
      </c>
      <c r="B127" s="314" t="s">
        <v>550</v>
      </c>
      <c r="C127" s="314"/>
      <c r="D127" s="314"/>
      <c r="E127" s="314"/>
      <c r="F127" s="314"/>
      <c r="G127" s="314"/>
      <c r="H127" s="230"/>
      <c r="I127" s="230"/>
      <c r="J127" s="230"/>
      <c r="K127" s="230"/>
      <c r="L127" s="250"/>
    </row>
    <row r="128" spans="1:12">
      <c r="A128" s="285">
        <f t="shared" si="9"/>
        <v>111</v>
      </c>
      <c r="B128" s="314" t="s">
        <v>551</v>
      </c>
      <c r="C128" s="314"/>
      <c r="D128" s="314"/>
      <c r="E128" s="314"/>
      <c r="F128" s="314"/>
      <c r="G128" s="314"/>
      <c r="H128" s="230"/>
      <c r="I128" s="230"/>
      <c r="J128" s="230"/>
      <c r="K128" s="230"/>
      <c r="L128" s="250"/>
    </row>
    <row r="129" spans="1:12">
      <c r="A129" s="285">
        <f t="shared" si="9"/>
        <v>112</v>
      </c>
      <c r="B129" s="314" t="s">
        <v>552</v>
      </c>
      <c r="C129" s="314"/>
      <c r="D129" s="314"/>
      <c r="E129" s="314"/>
      <c r="F129" s="314"/>
      <c r="G129" s="314"/>
      <c r="H129" s="230"/>
      <c r="I129" s="230"/>
      <c r="J129" s="230"/>
      <c r="K129" s="230"/>
      <c r="L129" s="250"/>
    </row>
    <row r="130" spans="1:12">
      <c r="A130" s="285">
        <f t="shared" si="9"/>
        <v>113</v>
      </c>
      <c r="B130" s="314" t="s">
        <v>553</v>
      </c>
      <c r="C130" s="314"/>
      <c r="D130" s="314"/>
      <c r="E130" s="314"/>
      <c r="F130" s="314"/>
      <c r="G130" s="314"/>
      <c r="H130" s="230"/>
      <c r="I130" s="230"/>
      <c r="J130" s="230"/>
      <c r="K130" s="230"/>
      <c r="L130" s="250"/>
    </row>
    <row r="131" spans="1:12">
      <c r="A131" s="285">
        <f t="shared" si="9"/>
        <v>114</v>
      </c>
      <c r="B131" s="314" t="s">
        <v>554</v>
      </c>
      <c r="C131" s="314"/>
      <c r="D131" s="314"/>
      <c r="E131" s="314"/>
      <c r="F131" s="314"/>
      <c r="G131" s="314"/>
      <c r="H131" s="230"/>
      <c r="I131" s="230"/>
      <c r="J131" s="230"/>
      <c r="K131" s="230"/>
      <c r="L131" s="250"/>
    </row>
    <row r="132" spans="1:12">
      <c r="A132" s="285">
        <f t="shared" si="9"/>
        <v>115</v>
      </c>
      <c r="B132" s="314" t="s">
        <v>555</v>
      </c>
      <c r="C132" s="314"/>
      <c r="D132" s="314"/>
      <c r="E132" s="314"/>
      <c r="F132" s="314"/>
      <c r="G132" s="314"/>
      <c r="H132" s="230"/>
      <c r="I132" s="230"/>
      <c r="J132" s="230"/>
      <c r="K132" s="230"/>
      <c r="L132" s="250"/>
    </row>
    <row r="133" spans="1:12">
      <c r="A133" s="285">
        <f t="shared" si="9"/>
        <v>116</v>
      </c>
      <c r="B133" s="314" t="s">
        <v>556</v>
      </c>
      <c r="C133" s="314"/>
      <c r="D133" s="314"/>
      <c r="E133" s="314"/>
      <c r="F133" s="314"/>
      <c r="G133" s="314"/>
      <c r="H133" s="230"/>
      <c r="I133" s="230"/>
      <c r="J133" s="230"/>
      <c r="K133" s="230"/>
      <c r="L133" s="250"/>
    </row>
    <row r="134" spans="1:12" ht="13.5" thickBot="1">
      <c r="A134" s="307">
        <f t="shared" si="9"/>
        <v>117</v>
      </c>
      <c r="B134" s="315" t="s">
        <v>409</v>
      </c>
      <c r="C134" s="315"/>
      <c r="D134" s="315"/>
      <c r="E134" s="315"/>
      <c r="F134" s="315"/>
      <c r="G134" s="315"/>
      <c r="H134" s="248"/>
      <c r="I134" s="248"/>
      <c r="J134" s="248"/>
      <c r="K134" s="248"/>
      <c r="L134" s="309"/>
    </row>
    <row r="135" spans="1:12">
      <c r="C135" s="227"/>
      <c r="D135" s="227"/>
      <c r="E135" s="227"/>
      <c r="F135" s="227"/>
      <c r="G135" s="227"/>
    </row>
    <row r="136" spans="1:12">
      <c r="B136" s="227"/>
      <c r="C136" s="227"/>
      <c r="D136" s="227"/>
      <c r="E136" s="227"/>
      <c r="F136" s="227"/>
      <c r="G136" s="227"/>
    </row>
    <row r="137" spans="1:12">
      <c r="C137" s="227"/>
      <c r="D137" s="227"/>
      <c r="E137" s="227"/>
      <c r="F137" s="227"/>
      <c r="G137" s="227"/>
    </row>
    <row r="138" spans="1:12">
      <c r="B138" s="227"/>
      <c r="C138" s="227"/>
      <c r="D138" s="227"/>
      <c r="E138" s="227"/>
      <c r="F138" s="227"/>
      <c r="G138" s="227"/>
    </row>
  </sheetData>
  <hyperlinks>
    <hyperlink ref="K1" location="'Cover Sheets'!A16" display="(Back to Worksheet Links)" xr:uid="{00000000-0004-0000-0500-000000000000}"/>
  </hyperlinks>
  <pageMargins left="0.7" right="0.7" top="0.75" bottom="0.75" header="0.3" footer="0.3"/>
  <pageSetup scale="65" fitToHeight="0" orientation="landscape" r:id="rId1"/>
  <headerFooter>
    <oddFooter>&amp;R&amp;A</oddFooter>
  </headerFooter>
  <rowBreaks count="4" manualBreakCount="4">
    <brk id="40" max="16383" man="1"/>
    <brk id="60" max="16383" man="1"/>
    <brk id="86" max="16383" man="1"/>
    <brk id="105"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19"/>
  <sheetViews>
    <sheetView view="pageBreakPreview" zoomScale="70" zoomScaleNormal="100" zoomScaleSheetLayoutView="70" workbookViewId="0">
      <selection sqref="A1:B1"/>
    </sheetView>
  </sheetViews>
  <sheetFormatPr defaultColWidth="13.453125" defaultRowHeight="14.5"/>
  <cols>
    <col min="1" max="1" width="9.54296875" style="30" customWidth="1"/>
    <col min="2" max="2" width="44.81640625" style="30" bestFit="1" customWidth="1"/>
    <col min="3" max="3" width="10.81640625" style="30" customWidth="1"/>
    <col min="4" max="4" width="16.54296875" style="30" customWidth="1"/>
    <col min="5" max="5" width="13.453125" style="30"/>
    <col min="6" max="6" width="13.54296875" style="30" bestFit="1" customWidth="1"/>
    <col min="7" max="9" width="13.453125" style="30"/>
    <col min="10" max="10" width="10.81640625" style="30" customWidth="1"/>
    <col min="11" max="12" width="13.54296875" style="30" bestFit="1" customWidth="1"/>
    <col min="13" max="13" width="13.453125" style="30"/>
    <col min="14" max="14" width="10.54296875" style="30" customWidth="1"/>
    <col min="15" max="15" width="10" style="30" customWidth="1"/>
    <col min="16" max="16" width="13.453125" style="30"/>
    <col min="17" max="17" width="22.453125" style="30" customWidth="1"/>
    <col min="18" max="16384" width="13.453125" style="30"/>
  </cols>
  <sheetData>
    <row r="1" spans="1:17">
      <c r="A1" s="867" t="str">
        <f>'Cover Sheets'!A10:B10</f>
        <v>WAPA-UGP 2022 Rate Estimate Calculation</v>
      </c>
      <c r="B1" s="868"/>
      <c r="C1" s="258"/>
      <c r="D1" s="718" t="s">
        <v>43</v>
      </c>
      <c r="E1" s="258"/>
      <c r="F1" s="258"/>
      <c r="G1" s="258"/>
      <c r="H1" s="258"/>
      <c r="I1" s="258"/>
      <c r="J1" s="258"/>
      <c r="K1" s="258"/>
      <c r="L1" s="258"/>
      <c r="M1" s="258"/>
      <c r="N1" s="258"/>
      <c r="O1" s="258"/>
      <c r="P1" s="259"/>
    </row>
    <row r="2" spans="1:17">
      <c r="A2" s="869" t="s">
        <v>557</v>
      </c>
      <c r="B2" s="861"/>
      <c r="C2" s="260"/>
      <c r="E2" s="260"/>
      <c r="F2" s="260"/>
      <c r="G2" s="260"/>
      <c r="H2" s="260"/>
      <c r="I2" s="260"/>
      <c r="J2" s="260"/>
      <c r="K2" s="260"/>
      <c r="L2" s="260"/>
      <c r="M2" s="260"/>
      <c r="N2" s="260"/>
      <c r="O2" s="260"/>
      <c r="P2" s="261"/>
    </row>
    <row r="3" spans="1:17">
      <c r="A3" s="869" t="str">
        <f>'Summary-ATRR'!A3</f>
        <v>12 Months Ending 09/30/2022 ESTIMATE</v>
      </c>
      <c r="B3" s="861"/>
      <c r="C3" s="260"/>
      <c r="D3" s="260"/>
      <c r="E3" s="260"/>
      <c r="F3" s="260"/>
      <c r="G3" s="260"/>
      <c r="H3" s="260"/>
      <c r="I3" s="260"/>
      <c r="J3" s="260"/>
      <c r="K3" s="260"/>
      <c r="L3" s="260"/>
      <c r="M3" s="260"/>
      <c r="N3" s="260"/>
      <c r="O3" s="260"/>
      <c r="P3" s="261"/>
    </row>
    <row r="4" spans="1:17" ht="52.5">
      <c r="A4" s="57"/>
      <c r="B4" s="232" t="s">
        <v>558</v>
      </c>
      <c r="C4" s="233" t="s">
        <v>559</v>
      </c>
      <c r="D4" s="232" t="s">
        <v>560</v>
      </c>
      <c r="E4" s="232" t="s">
        <v>561</v>
      </c>
      <c r="F4" s="232" t="s">
        <v>562</v>
      </c>
      <c r="G4" s="232" t="s">
        <v>563</v>
      </c>
      <c r="H4" s="232" t="s">
        <v>564</v>
      </c>
      <c r="I4" s="232" t="s">
        <v>565</v>
      </c>
      <c r="J4" s="232" t="s">
        <v>566</v>
      </c>
      <c r="K4" s="232" t="s">
        <v>567</v>
      </c>
      <c r="L4" s="232" t="s">
        <v>568</v>
      </c>
      <c r="M4" s="233" t="s">
        <v>569</v>
      </c>
      <c r="N4" s="233" t="s">
        <v>570</v>
      </c>
      <c r="O4" s="233" t="s">
        <v>571</v>
      </c>
      <c r="P4" s="234" t="s">
        <v>572</v>
      </c>
    </row>
    <row r="5" spans="1:17">
      <c r="A5" s="678" t="s">
        <v>326</v>
      </c>
      <c r="B5" s="477">
        <v>-1</v>
      </c>
      <c r="C5" s="477">
        <v>-2</v>
      </c>
      <c r="D5" s="477">
        <v>-3</v>
      </c>
      <c r="E5" s="477">
        <v>-4</v>
      </c>
      <c r="F5" s="477">
        <v>-5</v>
      </c>
      <c r="G5" s="477">
        <v>-6</v>
      </c>
      <c r="H5" s="477">
        <v>-7</v>
      </c>
      <c r="I5" s="477">
        <v>-8</v>
      </c>
      <c r="J5" s="477">
        <v>-9</v>
      </c>
      <c r="K5" s="477">
        <v>-10</v>
      </c>
      <c r="L5" s="477">
        <v>-11</v>
      </c>
      <c r="M5" s="477">
        <v>-12</v>
      </c>
      <c r="N5" s="477">
        <v>-13</v>
      </c>
      <c r="O5" s="477">
        <v>-14</v>
      </c>
      <c r="P5" s="679">
        <v>-15</v>
      </c>
      <c r="Q5" s="31"/>
    </row>
    <row r="6" spans="1:17">
      <c r="A6" s="262">
        <v>1</v>
      </c>
      <c r="B6" s="479" t="s">
        <v>573</v>
      </c>
      <c r="C6" s="481" t="s">
        <v>574</v>
      </c>
      <c r="D6" s="744">
        <f>'WS7-BPUFac'!H5</f>
        <v>91120</v>
      </c>
      <c r="E6" s="482">
        <f>D6/$D$17</f>
        <v>1.2351614424024496E-2</v>
      </c>
      <c r="F6" s="483">
        <f>'WS4-CostData'!$C$23*'WS5-BPUz'!E6</f>
        <v>46818.071570085202</v>
      </c>
      <c r="G6" s="744">
        <f>'WS4-CostData'!$C$125*'WS5-BPUz'!E6</f>
        <v>4442.0312608418344</v>
      </c>
      <c r="H6" s="744">
        <f>'WS4-CostData'!$C$50*'WS5-BPUz'!E6</f>
        <v>2159.2373983745924</v>
      </c>
      <c r="I6" s="744">
        <f>'WS4-CostData'!$C$97*'WS5-BPUz'!E6</f>
        <v>934.62835978235694</v>
      </c>
      <c r="J6" s="482">
        <f>'WS2-AllocFactor'!$F$25</f>
        <v>4.3437613771823876E-2</v>
      </c>
      <c r="K6" s="744">
        <f>D6-F6</f>
        <v>44301.928429914798</v>
      </c>
      <c r="L6" s="744">
        <f>J6*K6</f>
        <v>1924.3700564856226</v>
      </c>
      <c r="M6" s="744">
        <f>L6+G6+I6+H6</f>
        <v>9460.2670754844057</v>
      </c>
      <c r="N6" s="744">
        <f>N17*E6</f>
        <v>-844.85042660327554</v>
      </c>
      <c r="O6" s="747">
        <f>$O$17*E6</f>
        <v>919.89883584364838</v>
      </c>
      <c r="P6" s="748">
        <f>M6+N6+O6</f>
        <v>9535.3154847247788</v>
      </c>
      <c r="Q6" s="662"/>
    </row>
    <row r="7" spans="1:17">
      <c r="A7" s="262">
        <f t="shared" ref="A7:A19" si="0">A6+1</f>
        <v>2</v>
      </c>
      <c r="B7" s="479" t="s">
        <v>575</v>
      </c>
      <c r="C7" s="481" t="s">
        <v>576</v>
      </c>
      <c r="D7" s="744">
        <f>'WS7-BPUFac'!H6</f>
        <v>2212759.1386000002</v>
      </c>
      <c r="E7" s="482">
        <f t="shared" ref="E7:E9" si="1">D7/$D$17</f>
        <v>0.2999467481697079</v>
      </c>
      <c r="F7" s="483">
        <f>'WS4-CostData'!$C$23*'WS5-BPUz'!E7</f>
        <v>1136930.5939237806</v>
      </c>
      <c r="G7" s="744">
        <f>'WS4-CostData'!$C$125*'WS5-BPUz'!E7</f>
        <v>107870.33874423453</v>
      </c>
      <c r="H7" s="744">
        <f>'WS4-CostData'!$C$50*'WS5-BPUz'!E7</f>
        <v>52434.94606738662</v>
      </c>
      <c r="I7" s="744">
        <f>'WS4-CostData'!$C$97*'WS5-BPUz'!E7</f>
        <v>22696.525947137176</v>
      </c>
      <c r="J7" s="482">
        <f>'WS2-AllocFactor'!$F$25</f>
        <v>4.3437613771823876E-2</v>
      </c>
      <c r="K7" s="744">
        <f t="shared" ref="K7:K9" si="2">D7-F7</f>
        <v>1075828.5446762196</v>
      </c>
      <c r="L7" s="744">
        <f t="shared" ref="L7:L9" si="3">J7*K7</f>
        <v>46731.424808348995</v>
      </c>
      <c r="M7" s="744">
        <f>L7+G7+I7+H7</f>
        <v>229733.23556710733</v>
      </c>
      <c r="N7" s="744">
        <f>N17*E7</f>
        <v>-20516.357574808022</v>
      </c>
      <c r="O7" s="747">
        <f>$O$17*E7</f>
        <v>22338.834016687164</v>
      </c>
      <c r="P7" s="748">
        <f t="shared" ref="P7:P9" si="4">M7+N7+O7</f>
        <v>231555.71200898645</v>
      </c>
      <c r="Q7" s="662"/>
    </row>
    <row r="8" spans="1:17">
      <c r="A8" s="262">
        <f t="shared" si="0"/>
        <v>3</v>
      </c>
      <c r="B8" s="479" t="s">
        <v>577</v>
      </c>
      <c r="C8" s="481" t="s">
        <v>576</v>
      </c>
      <c r="D8" s="744">
        <f>'WS7-BPUFac'!H7</f>
        <v>5073024.1400000006</v>
      </c>
      <c r="E8" s="482">
        <f t="shared" si="1"/>
        <v>0.68766503666646706</v>
      </c>
      <c r="F8" s="483">
        <f>'WS4-CostData'!$C$23*'WS5-BPUz'!E8</f>
        <v>2606554.0744434805</v>
      </c>
      <c r="G8" s="744">
        <f>'WS4-CostData'!$C$125*'WS5-BPUz'!E8</f>
        <v>247306.09983412275</v>
      </c>
      <c r="H8" s="744">
        <f>'WS4-CostData'!$C$50*'WS5-BPUz'!E8</f>
        <v>120213.60234794892</v>
      </c>
      <c r="I8" s="744">
        <f>'WS4-CostData'!$C$97*'WS5-BPUz'!E8</f>
        <v>52034.594283412014</v>
      </c>
      <c r="J8" s="482">
        <f>'WS2-AllocFactor'!$F$25</f>
        <v>4.3437613771823876E-2</v>
      </c>
      <c r="K8" s="744">
        <f t="shared" si="2"/>
        <v>2466470.0655565201</v>
      </c>
      <c r="L8" s="744">
        <f t="shared" si="3"/>
        <v>107137.57408740923</v>
      </c>
      <c r="M8" s="744">
        <f>L8+G8+I8+H8</f>
        <v>526691.87055289291</v>
      </c>
      <c r="N8" s="744">
        <f>N17*E8</f>
        <v>-47036.288507986348</v>
      </c>
      <c r="O8" s="747">
        <f>$O$17*E8</f>
        <v>51214.541270771799</v>
      </c>
      <c r="P8" s="748">
        <f t="shared" si="4"/>
        <v>530870.12331567833</v>
      </c>
      <c r="Q8" s="662"/>
    </row>
    <row r="9" spans="1:17">
      <c r="A9" s="262">
        <f t="shared" si="0"/>
        <v>4</v>
      </c>
      <c r="B9" s="479" t="s">
        <v>578</v>
      </c>
      <c r="C9" s="481" t="s">
        <v>576</v>
      </c>
      <c r="D9" s="744">
        <f>'WS7-BPUFac'!H8</f>
        <v>270.01</v>
      </c>
      <c r="E9" s="482">
        <f t="shared" si="1"/>
        <v>3.6600739800601999E-5</v>
      </c>
      <c r="F9" s="483">
        <f>'WS4-CostData'!$C$23*'WS5-BPUz'!E9</f>
        <v>138.73296207900245</v>
      </c>
      <c r="G9" s="744">
        <f>'WS4-CostData'!$C$125*'WS5-BPUz'!E9</f>
        <v>13.162783809700434</v>
      </c>
      <c r="H9" s="744">
        <f>'WS4-CostData'!$C$50*'WS5-BPUz'!E9</f>
        <v>6.3983284672423579</v>
      </c>
      <c r="I9" s="744">
        <f>'WS4-CostData'!$C$97*'WS5-BPUz'!E9</f>
        <v>2.7695237425903665</v>
      </c>
      <c r="J9" s="482">
        <f>'WS2-AllocFactor'!$F$25</f>
        <v>4.3437613771823876E-2</v>
      </c>
      <c r="K9" s="744">
        <f t="shared" si="2"/>
        <v>131.27703792099754</v>
      </c>
      <c r="L9" s="744">
        <f t="shared" si="3"/>
        <v>5.7023612703213677</v>
      </c>
      <c r="M9" s="744">
        <f>L9+G9+I9+H9</f>
        <v>28.032997289854524</v>
      </c>
      <c r="N9" s="744">
        <f>N17*E9</f>
        <v>-2.5034906023611767</v>
      </c>
      <c r="O9" s="747">
        <f>$O$17*E9</f>
        <v>2.7258766973896345</v>
      </c>
      <c r="P9" s="748">
        <f t="shared" si="4"/>
        <v>28.255383384882983</v>
      </c>
      <c r="Q9" s="662"/>
    </row>
    <row r="10" spans="1:17">
      <c r="A10" s="262">
        <f t="shared" si="0"/>
        <v>5</v>
      </c>
      <c r="B10" s="10"/>
      <c r="C10" s="472"/>
      <c r="D10" s="744"/>
      <c r="E10" s="268"/>
      <c r="F10" s="483"/>
      <c r="G10" s="744"/>
      <c r="H10" s="744"/>
      <c r="I10" s="744"/>
      <c r="J10" s="268"/>
      <c r="K10" s="744"/>
      <c r="L10" s="744"/>
      <c r="M10" s="744"/>
      <c r="N10" s="744"/>
      <c r="O10" s="744"/>
      <c r="P10" s="748"/>
    </row>
    <row r="11" spans="1:17">
      <c r="A11" s="262">
        <f t="shared" si="0"/>
        <v>6</v>
      </c>
      <c r="B11" s="479"/>
      <c r="C11" s="471"/>
      <c r="D11" s="744"/>
      <c r="E11" s="268"/>
      <c r="F11" s="483"/>
      <c r="G11" s="744"/>
      <c r="H11" s="744"/>
      <c r="I11" s="744"/>
      <c r="J11" s="268"/>
      <c r="K11" s="744"/>
      <c r="L11" s="744"/>
      <c r="M11" s="744"/>
      <c r="N11" s="744"/>
      <c r="O11" s="744"/>
      <c r="P11" s="748"/>
    </row>
    <row r="12" spans="1:17">
      <c r="A12" s="262">
        <f t="shared" si="0"/>
        <v>7</v>
      </c>
      <c r="B12" s="479"/>
      <c r="C12" s="471"/>
      <c r="D12" s="744"/>
      <c r="E12" s="268"/>
      <c r="F12" s="483"/>
      <c r="G12" s="744"/>
      <c r="H12" s="744"/>
      <c r="I12" s="744"/>
      <c r="J12" s="268"/>
      <c r="K12" s="744"/>
      <c r="L12" s="744"/>
      <c r="M12" s="744"/>
      <c r="N12" s="744"/>
      <c r="O12" s="744"/>
      <c r="P12" s="748"/>
    </row>
    <row r="13" spans="1:17">
      <c r="A13" s="262">
        <f t="shared" si="0"/>
        <v>8</v>
      </c>
      <c r="B13" s="478"/>
      <c r="C13" s="472"/>
      <c r="D13" s="745"/>
      <c r="E13" s="475"/>
      <c r="F13" s="656"/>
      <c r="G13" s="744"/>
      <c r="H13" s="745"/>
      <c r="I13" s="745"/>
      <c r="J13" s="475"/>
      <c r="K13" s="745"/>
      <c r="L13" s="745"/>
      <c r="M13" s="745"/>
      <c r="N13" s="745"/>
      <c r="O13" s="745"/>
      <c r="P13" s="749"/>
    </row>
    <row r="14" spans="1:17">
      <c r="A14" s="262">
        <f t="shared" si="0"/>
        <v>9</v>
      </c>
      <c r="B14" s="479"/>
      <c r="C14" s="471"/>
      <c r="D14" s="744"/>
      <c r="E14" s="268"/>
      <c r="F14" s="483"/>
      <c r="G14" s="744"/>
      <c r="H14" s="744"/>
      <c r="I14" s="744"/>
      <c r="J14" s="268"/>
      <c r="K14" s="744"/>
      <c r="L14" s="744"/>
      <c r="M14" s="744"/>
      <c r="N14" s="744"/>
      <c r="O14" s="744"/>
      <c r="P14" s="748"/>
    </row>
    <row r="15" spans="1:17">
      <c r="A15" s="262">
        <f t="shared" si="0"/>
        <v>10</v>
      </c>
      <c r="B15" s="480"/>
      <c r="C15" s="337"/>
      <c r="D15" s="543"/>
      <c r="E15" s="476"/>
      <c r="F15" s="337"/>
      <c r="G15" s="744"/>
      <c r="H15" s="543"/>
      <c r="I15" s="543"/>
      <c r="J15" s="476"/>
      <c r="K15" s="543"/>
      <c r="L15" s="543"/>
      <c r="M15" s="543"/>
      <c r="N15" s="543"/>
      <c r="O15" s="543"/>
      <c r="P15" s="750"/>
    </row>
    <row r="16" spans="1:17">
      <c r="A16" s="262">
        <f t="shared" si="0"/>
        <v>11</v>
      </c>
      <c r="B16" s="480"/>
      <c r="C16" s="337"/>
      <c r="D16" s="543"/>
      <c r="E16" s="476"/>
      <c r="F16" s="476"/>
      <c r="G16" s="543"/>
      <c r="H16" s="543"/>
      <c r="I16" s="543"/>
      <c r="J16" s="547"/>
      <c r="K16" s="543"/>
      <c r="L16" s="543"/>
      <c r="M16" s="543"/>
      <c r="N16" s="544"/>
      <c r="O16" s="544"/>
      <c r="P16" s="751"/>
    </row>
    <row r="17" spans="1:17" ht="15" thickBot="1">
      <c r="A17" s="262">
        <f t="shared" si="0"/>
        <v>12</v>
      </c>
      <c r="B17" s="682" t="s">
        <v>517</v>
      </c>
      <c r="C17" s="683"/>
      <c r="D17" s="746">
        <f>SUM(D6:D15)</f>
        <v>7377173.2886000006</v>
      </c>
      <c r="E17" s="685">
        <v>1</v>
      </c>
      <c r="F17" s="684">
        <f>SUM(F6:F15)</f>
        <v>3790441.4728994253</v>
      </c>
      <c r="G17" s="746">
        <f>SUM(G6:G16)</f>
        <v>359631.6326230088</v>
      </c>
      <c r="H17" s="746">
        <f>SUM(H6:H16)</f>
        <v>174814.18414217737</v>
      </c>
      <c r="I17" s="746">
        <f>SUM(I6:I16)</f>
        <v>75668.518114074148</v>
      </c>
      <c r="J17" s="686"/>
      <c r="K17" s="746">
        <f>SUM(K6:K16)</f>
        <v>3586731.8157005752</v>
      </c>
      <c r="L17" s="746">
        <f>SUM(L6:L16)</f>
        <v>155799.07131351417</v>
      </c>
      <c r="M17" s="746">
        <f>SUM(M6:M16)</f>
        <v>765913.40619277454</v>
      </c>
      <c r="N17" s="746">
        <f>'WS3-RevCredits'!H26</f>
        <v>-68400</v>
      </c>
      <c r="O17" s="752">
        <f>'Summary-ATRR'!G22</f>
        <v>74476</v>
      </c>
      <c r="P17" s="753">
        <f>SUM(P6:P9)</f>
        <v>771989.40619277442</v>
      </c>
    </row>
    <row r="18" spans="1:17" ht="15" thickTop="1">
      <c r="A18" s="262">
        <f t="shared" si="0"/>
        <v>13</v>
      </c>
      <c r="B18" s="476" t="s">
        <v>579</v>
      </c>
      <c r="C18" s="476"/>
      <c r="D18" s="484"/>
      <c r="E18" s="484"/>
      <c r="F18" s="484"/>
      <c r="G18" s="484"/>
      <c r="H18" s="484"/>
      <c r="I18" s="484"/>
      <c r="J18" s="484"/>
      <c r="K18" s="484"/>
      <c r="L18" s="484"/>
      <c r="M18" s="484"/>
      <c r="N18" s="484"/>
      <c r="O18" s="484"/>
      <c r="P18" s="589"/>
      <c r="Q18" s="661"/>
    </row>
    <row r="19" spans="1:17" ht="15" thickBot="1">
      <c r="A19" s="235">
        <f t="shared" si="0"/>
        <v>14</v>
      </c>
      <c r="B19" s="551" t="s">
        <v>580</v>
      </c>
      <c r="C19" s="680"/>
      <c r="D19" s="680"/>
      <c r="E19" s="680"/>
      <c r="F19" s="680"/>
      <c r="G19" s="680"/>
      <c r="H19" s="680"/>
      <c r="I19" s="680"/>
      <c r="J19" s="680"/>
      <c r="K19" s="680"/>
      <c r="L19" s="680"/>
      <c r="M19" s="680"/>
      <c r="N19" s="680"/>
      <c r="O19" s="680"/>
      <c r="P19" s="681"/>
    </row>
  </sheetData>
  <mergeCells count="3">
    <mergeCell ref="A1:B1"/>
    <mergeCell ref="A2:B2"/>
    <mergeCell ref="A3:B3"/>
  </mergeCells>
  <hyperlinks>
    <hyperlink ref="D1" location="'Cover Sheets'!A16" display="(Back to Worksheet Links)" xr:uid="{00000000-0004-0000-0600-000000000000}"/>
  </hyperlinks>
  <pageMargins left="0.7" right="0.7" top="0.75" bottom="0.75" header="0.3" footer="0.3"/>
  <pageSetup scale="52" fitToHeight="0" orientation="landscape" r:id="rId1"/>
  <headerFooter>
    <oddFooter>&amp;R&amp;A</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20"/>
  <sheetViews>
    <sheetView view="pageBreakPreview" zoomScale="70" zoomScaleNormal="100" zoomScaleSheetLayoutView="70" workbookViewId="0"/>
  </sheetViews>
  <sheetFormatPr defaultColWidth="13.453125" defaultRowHeight="14.5"/>
  <cols>
    <col min="1" max="1" width="9.54296875" style="30" customWidth="1"/>
    <col min="2" max="2" width="44.81640625" style="30" bestFit="1" customWidth="1"/>
    <col min="3" max="3" width="9.54296875" style="30" customWidth="1"/>
    <col min="4" max="16" width="13.54296875" style="30" customWidth="1"/>
    <col min="17" max="16384" width="13.453125" style="30"/>
  </cols>
  <sheetData>
    <row r="1" spans="1:17">
      <c r="A1" s="793" t="str">
        <f>'Cover Sheets'!A10:B10</f>
        <v>WAPA-UGP 2022 Rate Estimate Calculation</v>
      </c>
      <c r="B1" s="257"/>
      <c r="C1" s="258"/>
      <c r="D1" s="718" t="s">
        <v>43</v>
      </c>
      <c r="E1" s="258"/>
      <c r="F1" s="258"/>
      <c r="G1" s="258"/>
      <c r="H1" s="258"/>
      <c r="I1" s="258"/>
      <c r="J1" s="258"/>
      <c r="K1" s="258"/>
      <c r="L1" s="258"/>
      <c r="M1" s="581"/>
      <c r="N1" s="581"/>
      <c r="O1" s="581"/>
      <c r="P1" s="584"/>
    </row>
    <row r="2" spans="1:17">
      <c r="A2" s="795" t="s">
        <v>581</v>
      </c>
      <c r="B2" s="473"/>
      <c r="C2" s="260"/>
      <c r="E2" s="260"/>
      <c r="F2" s="260"/>
      <c r="G2" s="260"/>
      <c r="H2" s="260"/>
      <c r="I2" s="260"/>
      <c r="J2" s="260"/>
      <c r="K2" s="260"/>
      <c r="L2" s="260"/>
      <c r="M2" s="484"/>
      <c r="N2" s="484"/>
      <c r="O2" s="484"/>
      <c r="P2" s="589"/>
    </row>
    <row r="3" spans="1:17">
      <c r="A3" s="57" t="str">
        <f>'Summary-ATRR'!A3</f>
        <v>12 Months Ending 09/30/2022 ESTIMATE</v>
      </c>
      <c r="B3" s="260"/>
      <c r="C3" s="260"/>
      <c r="D3" s="260"/>
      <c r="E3" s="260"/>
      <c r="F3" s="260"/>
      <c r="G3" s="260"/>
      <c r="H3" s="260"/>
      <c r="I3" s="260"/>
      <c r="J3" s="260"/>
      <c r="K3" s="260"/>
      <c r="L3" s="260"/>
      <c r="M3" s="484"/>
      <c r="N3" s="484"/>
      <c r="O3" s="484"/>
      <c r="P3" s="589"/>
    </row>
    <row r="4" spans="1:17" ht="39.5">
      <c r="A4" s="57"/>
      <c r="B4" s="232" t="s">
        <v>558</v>
      </c>
      <c r="C4" s="233" t="s">
        <v>559</v>
      </c>
      <c r="D4" s="232" t="s">
        <v>582</v>
      </c>
      <c r="E4" s="232" t="s">
        <v>583</v>
      </c>
      <c r="F4" s="232" t="s">
        <v>584</v>
      </c>
      <c r="G4" s="232" t="s">
        <v>563</v>
      </c>
      <c r="H4" s="232" t="s">
        <v>564</v>
      </c>
      <c r="I4" s="232" t="s">
        <v>565</v>
      </c>
      <c r="J4" s="232" t="s">
        <v>566</v>
      </c>
      <c r="K4" s="232" t="s">
        <v>567</v>
      </c>
      <c r="L4" s="232" t="s">
        <v>568</v>
      </c>
      <c r="M4" s="233" t="s">
        <v>569</v>
      </c>
      <c r="N4" s="232" t="s">
        <v>585</v>
      </c>
      <c r="O4" s="232" t="s">
        <v>586</v>
      </c>
      <c r="P4" s="234" t="s">
        <v>572</v>
      </c>
    </row>
    <row r="5" spans="1:17">
      <c r="A5" s="678" t="s">
        <v>326</v>
      </c>
      <c r="B5" s="477">
        <v>-1</v>
      </c>
      <c r="C5" s="477">
        <v>-2</v>
      </c>
      <c r="D5" s="477">
        <v>-3</v>
      </c>
      <c r="E5" s="477">
        <v>-4</v>
      </c>
      <c r="F5" s="477">
        <v>-5</v>
      </c>
      <c r="G5" s="477">
        <v>-6</v>
      </c>
      <c r="H5" s="477">
        <v>-7</v>
      </c>
      <c r="I5" s="477">
        <v>-8</v>
      </c>
      <c r="J5" s="477">
        <v>-9</v>
      </c>
      <c r="K5" s="477">
        <v>-10</v>
      </c>
      <c r="L5" s="477">
        <v>-11</v>
      </c>
      <c r="M5" s="477">
        <v>-12</v>
      </c>
      <c r="N5" s="477">
        <v>-13</v>
      </c>
      <c r="O5" s="477">
        <v>-14</v>
      </c>
      <c r="P5" s="679">
        <v>-15</v>
      </c>
      <c r="Q5" s="31"/>
    </row>
    <row r="6" spans="1:17">
      <c r="A6" s="262">
        <v>1</v>
      </c>
      <c r="B6" s="479" t="s">
        <v>587</v>
      </c>
      <c r="C6" s="481" t="s">
        <v>574</v>
      </c>
      <c r="D6" s="744">
        <f>'WS7-BPUFac'!G5</f>
        <v>44880</v>
      </c>
      <c r="E6" s="482">
        <f>D6/$D$18</f>
        <v>3.9546051111910209E-2</v>
      </c>
      <c r="F6" s="744">
        <f>'WS4-CostData'!$C$22*'WS6-BPUr'!E6</f>
        <v>23059.647191235992</v>
      </c>
      <c r="G6" s="744">
        <f>'WS4-CostData'!$C$124*'WS6-BPUr'!E6</f>
        <v>2187.8661433997095</v>
      </c>
      <c r="H6" s="744">
        <f>'WS4-CostData'!$C$49*'WS6-BPUr'!E6</f>
        <v>1063.5049872591276</v>
      </c>
      <c r="I6" s="744">
        <f>'WS4-CostData'!$C$96*'WS6-BPUr'!E6</f>
        <v>460.33934138533999</v>
      </c>
      <c r="J6" s="482">
        <f>'WS2-AllocFactor'!$F$25</f>
        <v>4.3437613771823876E-2</v>
      </c>
      <c r="K6" s="744">
        <f>D6-F6</f>
        <v>21820.352808764008</v>
      </c>
      <c r="L6" s="744">
        <f>J6*K6</f>
        <v>947.82405767202329</v>
      </c>
      <c r="M6" s="744">
        <f>L6+H6+G6+I6</f>
        <v>4659.5345297162003</v>
      </c>
      <c r="N6" s="744">
        <f>N18*E6</f>
        <v>-333.1754806178435</v>
      </c>
      <c r="O6" s="747">
        <f>$O$18*E6</f>
        <v>-381.06574851436676</v>
      </c>
      <c r="P6" s="748">
        <f>M6+N6+O6</f>
        <v>3945.2933005839905</v>
      </c>
      <c r="Q6" s="662"/>
    </row>
    <row r="7" spans="1:17">
      <c r="A7" s="262">
        <f t="shared" ref="A7:A20" si="0">A6+1</f>
        <v>2</v>
      </c>
      <c r="B7" s="479" t="s">
        <v>575</v>
      </c>
      <c r="C7" s="481" t="s">
        <v>576</v>
      </c>
      <c r="D7" s="744">
        <f>'WS7-BPUFac'!G6</f>
        <v>1089866.4414000001</v>
      </c>
      <c r="E7" s="482">
        <f t="shared" ref="E7:E8" si="1">D7/$D$18</f>
        <v>0.960336764633692</v>
      </c>
      <c r="F7" s="744">
        <f>'WS4-CostData'!$C$22*'WS6-BPUr'!E7</f>
        <v>559980.74029081722</v>
      </c>
      <c r="G7" s="744">
        <f>'WS4-CostData'!$C$124*'WS6-BPUr'!E7</f>
        <v>53130.166844175212</v>
      </c>
      <c r="H7" s="744">
        <f>'WS4-CostData'!$C$49*'WS6-BPUr'!E7</f>
        <v>25826.167466026243</v>
      </c>
      <c r="I7" s="744">
        <f>'WS4-CostData'!$C$96*'WS6-BPUr'!E7</f>
        <v>11178.885914261593</v>
      </c>
      <c r="J7" s="482">
        <f>'WS2-AllocFactor'!$F$25</f>
        <v>4.3437613771823876E-2</v>
      </c>
      <c r="K7" s="744">
        <f t="shared" ref="K7:K8" si="2">D7-F7</f>
        <v>529885.7011091829</v>
      </c>
      <c r="L7" s="744">
        <f t="shared" ref="L7:L8" si="3">J7*K7</f>
        <v>23016.970427992794</v>
      </c>
      <c r="M7" s="744">
        <f t="shared" ref="M7:M8" si="4">L7+H7+G7+I7</f>
        <v>113152.19065245584</v>
      </c>
      <c r="N7" s="744">
        <f>N18*E7</f>
        <v>-8090.837242038855</v>
      </c>
      <c r="O7" s="747">
        <f>$O$18*E7</f>
        <v>-9253.8050640102556</v>
      </c>
      <c r="P7" s="748">
        <f t="shared" ref="P7:P8" si="5">M7+N7+O7</f>
        <v>95807.548346406722</v>
      </c>
      <c r="Q7" s="662"/>
    </row>
    <row r="8" spans="1:17">
      <c r="A8" s="262">
        <f t="shared" si="0"/>
        <v>3</v>
      </c>
      <c r="B8" s="479" t="s">
        <v>578</v>
      </c>
      <c r="C8" s="481" t="s">
        <v>576</v>
      </c>
      <c r="D8" s="744">
        <f>'WS7-BPUFac'!G8</f>
        <v>132.99</v>
      </c>
      <c r="E8" s="482">
        <f t="shared" si="1"/>
        <v>1.1718425439779276E-4</v>
      </c>
      <c r="F8" s="744">
        <f>'WS4-CostData'!$C$22*'WS6-BPUr'!E8</f>
        <v>68.331160426971365</v>
      </c>
      <c r="G8" s="744">
        <f>'WS4-CostData'!$C$124*'WS6-BPUr'!E8</f>
        <v>6.48316217492708</v>
      </c>
      <c r="H8" s="744">
        <f>'WS4-CostData'!$C$49*'WS6-BPUr'!E8</f>
        <v>3.1514155137163855</v>
      </c>
      <c r="I8" s="744">
        <f>'WS4-CostData'!$C$96*'WS6-BPUr'!E8</f>
        <v>1.364093783663912</v>
      </c>
      <c r="J8" s="482">
        <f>'WS2-AllocFactor'!$F$25</f>
        <v>4.3437613771823876E-2</v>
      </c>
      <c r="K8" s="744">
        <f t="shared" si="2"/>
        <v>64.658839573028644</v>
      </c>
      <c r="L8" s="744">
        <f t="shared" si="3"/>
        <v>2.8086257003075397</v>
      </c>
      <c r="M8" s="744">
        <f t="shared" si="4"/>
        <v>13.807297172614916</v>
      </c>
      <c r="N8" s="744">
        <f>N18*E8</f>
        <v>-0.98727734330140393</v>
      </c>
      <c r="O8" s="747">
        <f>$O$18*E8</f>
        <v>-1.1291874753771309</v>
      </c>
      <c r="P8" s="748">
        <f t="shared" si="5"/>
        <v>11.690832353936381</v>
      </c>
      <c r="Q8" s="662"/>
    </row>
    <row r="9" spans="1:17">
      <c r="A9" s="262">
        <v>4</v>
      </c>
      <c r="B9" s="355"/>
      <c r="C9" s="471"/>
      <c r="D9" s="754"/>
      <c r="E9" s="474"/>
      <c r="F9" s="754"/>
      <c r="G9" s="754"/>
      <c r="H9" s="754"/>
      <c r="I9" s="754"/>
      <c r="J9" s="474"/>
      <c r="K9" s="754"/>
      <c r="L9" s="754"/>
      <c r="M9" s="747"/>
      <c r="N9" s="747"/>
      <c r="O9" s="747"/>
      <c r="P9" s="755"/>
      <c r="Q9" s="662"/>
    </row>
    <row r="10" spans="1:17">
      <c r="A10" s="262">
        <f t="shared" si="0"/>
        <v>5</v>
      </c>
      <c r="B10" s="355"/>
      <c r="C10" s="268"/>
      <c r="D10" s="744"/>
      <c r="E10" s="268"/>
      <c r="F10" s="744"/>
      <c r="G10" s="744"/>
      <c r="H10" s="744"/>
      <c r="I10" s="744"/>
      <c r="J10" s="268"/>
      <c r="K10" s="744"/>
      <c r="L10" s="744"/>
      <c r="M10" s="747"/>
      <c r="N10" s="747"/>
      <c r="O10" s="747"/>
      <c r="P10" s="755"/>
    </row>
    <row r="11" spans="1:17">
      <c r="A11" s="262">
        <f t="shared" si="0"/>
        <v>6</v>
      </c>
      <c r="B11" s="479"/>
      <c r="C11" s="472"/>
      <c r="D11" s="744"/>
      <c r="E11" s="268"/>
      <c r="F11" s="744"/>
      <c r="G11" s="744"/>
      <c r="H11" s="744"/>
      <c r="I11" s="744"/>
      <c r="J11" s="268"/>
      <c r="K11" s="744"/>
      <c r="L11" s="744"/>
      <c r="M11" s="747"/>
      <c r="N11" s="747"/>
      <c r="O11" s="747"/>
      <c r="P11" s="755"/>
    </row>
    <row r="12" spans="1:17">
      <c r="A12" s="262">
        <f t="shared" si="0"/>
        <v>7</v>
      </c>
      <c r="B12" s="479"/>
      <c r="C12" s="471"/>
      <c r="D12" s="744"/>
      <c r="E12" s="268"/>
      <c r="F12" s="744"/>
      <c r="G12" s="744"/>
      <c r="H12" s="744"/>
      <c r="I12" s="744"/>
      <c r="J12" s="268"/>
      <c r="K12" s="744"/>
      <c r="L12" s="744"/>
      <c r="M12" s="747"/>
      <c r="N12" s="747"/>
      <c r="O12" s="747"/>
      <c r="P12" s="755"/>
    </row>
    <row r="13" spans="1:17">
      <c r="A13" s="262">
        <f t="shared" si="0"/>
        <v>8</v>
      </c>
      <c r="B13" s="479"/>
      <c r="C13" s="471"/>
      <c r="D13" s="744"/>
      <c r="E13" s="268"/>
      <c r="F13" s="744"/>
      <c r="G13" s="744"/>
      <c r="H13" s="744"/>
      <c r="I13" s="744"/>
      <c r="J13" s="268"/>
      <c r="K13" s="744"/>
      <c r="L13" s="744"/>
      <c r="M13" s="747"/>
      <c r="N13" s="747"/>
      <c r="O13" s="747"/>
      <c r="P13" s="755"/>
    </row>
    <row r="14" spans="1:17">
      <c r="A14" s="262">
        <f t="shared" si="0"/>
        <v>9</v>
      </c>
      <c r="B14" s="478"/>
      <c r="C14" s="472"/>
      <c r="D14" s="745"/>
      <c r="E14" s="475"/>
      <c r="F14" s="745"/>
      <c r="G14" s="745"/>
      <c r="H14" s="745"/>
      <c r="I14" s="745"/>
      <c r="J14" s="475"/>
      <c r="K14" s="745"/>
      <c r="L14" s="745"/>
      <c r="M14" s="747"/>
      <c r="N14" s="747"/>
      <c r="O14" s="747"/>
      <c r="P14" s="755"/>
    </row>
    <row r="15" spans="1:17">
      <c r="A15" s="262">
        <f t="shared" si="0"/>
        <v>10</v>
      </c>
      <c r="B15" s="479"/>
      <c r="C15" s="471"/>
      <c r="D15" s="744"/>
      <c r="E15" s="268"/>
      <c r="F15" s="744"/>
      <c r="G15" s="744"/>
      <c r="H15" s="744"/>
      <c r="I15" s="744"/>
      <c r="J15" s="268"/>
      <c r="K15" s="744"/>
      <c r="L15" s="744"/>
      <c r="M15" s="747"/>
      <c r="N15" s="747"/>
      <c r="O15" s="747"/>
      <c r="P15" s="755"/>
    </row>
    <row r="16" spans="1:17">
      <c r="A16" s="262">
        <f t="shared" si="0"/>
        <v>11</v>
      </c>
      <c r="B16" s="480"/>
      <c r="C16" s="337"/>
      <c r="D16" s="543"/>
      <c r="E16" s="476"/>
      <c r="F16" s="543"/>
      <c r="G16" s="543"/>
      <c r="H16" s="543"/>
      <c r="I16" s="543"/>
      <c r="J16" s="476"/>
      <c r="K16" s="543"/>
      <c r="L16" s="543"/>
      <c r="M16" s="747"/>
      <c r="N16" s="747"/>
      <c r="O16" s="747"/>
      <c r="P16" s="755"/>
    </row>
    <row r="17" spans="1:17">
      <c r="A17" s="262">
        <f t="shared" si="0"/>
        <v>12</v>
      </c>
      <c r="B17" s="480"/>
      <c r="C17" s="337"/>
      <c r="D17" s="543"/>
      <c r="E17" s="476"/>
      <c r="F17" s="543"/>
      <c r="G17" s="543"/>
      <c r="H17" s="543"/>
      <c r="I17" s="543"/>
      <c r="J17" s="547"/>
      <c r="K17" s="543"/>
      <c r="L17" s="543"/>
      <c r="M17" s="747"/>
      <c r="N17" s="545"/>
      <c r="O17" s="545"/>
      <c r="P17" s="756"/>
    </row>
    <row r="18" spans="1:17" ht="15" thickBot="1">
      <c r="A18" s="262">
        <f t="shared" si="0"/>
        <v>13</v>
      </c>
      <c r="B18" s="682" t="s">
        <v>517</v>
      </c>
      <c r="C18" s="683"/>
      <c r="D18" s="746">
        <f>SUM(D6:D16)</f>
        <v>1134879.4314000001</v>
      </c>
      <c r="E18" s="685">
        <v>1</v>
      </c>
      <c r="F18" s="746">
        <f>SUM(F6:F16)</f>
        <v>583108.71864248021</v>
      </c>
      <c r="G18" s="746">
        <f>SUM(G6:G16)</f>
        <v>55324.516149749848</v>
      </c>
      <c r="H18" s="746">
        <f>SUM(H6:H16)</f>
        <v>26892.823868799085</v>
      </c>
      <c r="I18" s="746">
        <f>SUM(I6:I16)</f>
        <v>11640.589349430596</v>
      </c>
      <c r="J18" s="686"/>
      <c r="K18" s="746">
        <f>SUM(K6:K16)</f>
        <v>551770.71275751991</v>
      </c>
      <c r="L18" s="746">
        <f>SUM(L6:L16)</f>
        <v>23967.603111365126</v>
      </c>
      <c r="M18" s="746">
        <f>SUM(M6:M16)</f>
        <v>117825.53247934466</v>
      </c>
      <c r="N18" s="746">
        <f>'WS3-RevCredits'!H29</f>
        <v>-8425</v>
      </c>
      <c r="O18" s="752">
        <f>'Summary-ATRR'!G23</f>
        <v>-9636</v>
      </c>
      <c r="P18" s="753">
        <f>SUM(P6:P16)</f>
        <v>99764.532479344649</v>
      </c>
      <c r="Q18" s="661"/>
    </row>
    <row r="19" spans="1:17" ht="15" thickTop="1">
      <c r="A19" s="262">
        <f t="shared" si="0"/>
        <v>14</v>
      </c>
      <c r="B19" s="476" t="s">
        <v>588</v>
      </c>
      <c r="C19" s="476"/>
      <c r="D19" s="476"/>
      <c r="E19" s="484"/>
      <c r="F19" s="484"/>
      <c r="G19" s="484"/>
      <c r="H19" s="484"/>
      <c r="I19" s="484"/>
      <c r="J19" s="484"/>
      <c r="K19" s="484"/>
      <c r="L19" s="484"/>
      <c r="M19" s="484"/>
      <c r="N19" s="484"/>
      <c r="O19" s="484"/>
      <c r="P19" s="589"/>
    </row>
    <row r="20" spans="1:17" ht="15" thickBot="1">
      <c r="A20" s="235">
        <f t="shared" si="0"/>
        <v>15</v>
      </c>
      <c r="B20" s="551" t="s">
        <v>589</v>
      </c>
      <c r="C20" s="680"/>
      <c r="D20" s="680"/>
      <c r="E20" s="680"/>
      <c r="F20" s="680"/>
      <c r="G20" s="680"/>
      <c r="H20" s="680"/>
      <c r="I20" s="680"/>
      <c r="J20" s="680"/>
      <c r="K20" s="680"/>
      <c r="L20" s="680"/>
      <c r="M20" s="680"/>
      <c r="N20" s="680"/>
      <c r="O20" s="680"/>
      <c r="P20" s="681"/>
    </row>
  </sheetData>
  <hyperlinks>
    <hyperlink ref="D1" location="'Cover Sheets'!A16" display="(Back to Worksheet Links)" xr:uid="{00000000-0004-0000-0700-000000000000}"/>
  </hyperlinks>
  <pageMargins left="0.7" right="0.7" top="0.75" bottom="0.75" header="0.3" footer="0.3"/>
  <pageSetup scale="50" fitToHeight="0" orientation="landscape" r:id="rId1"/>
  <headerFooter>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B612BF1E09FF47A2B6C3D4D1677B0D" ma:contentTypeVersion="4" ma:contentTypeDescription="Create a new document." ma:contentTypeScope="" ma:versionID="1ad09f207620b30ac7d69b4541729870">
  <xsd:schema xmlns:xsd="http://www.w3.org/2001/XMLSchema" xmlns:xs="http://www.w3.org/2001/XMLSchema" xmlns:p="http://schemas.microsoft.com/office/2006/metadata/properties" xmlns:ns2="486804b4-8bf7-446c-9514-b62a6521dc7d" xmlns:ns3="cd37e4ec-a4e5-4d0a-bdfa-5343415a77e2" targetNamespace="http://schemas.microsoft.com/office/2006/metadata/properties" ma:root="true" ma:fieldsID="9ee3c2ae74e6aba82ad4bd3581edfe05" ns2:_="" ns3:_="">
    <xsd:import namespace="486804b4-8bf7-446c-9514-b62a6521dc7d"/>
    <xsd:import namespace="cd37e4ec-a4e5-4d0a-bdfa-5343415a77e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6804b4-8bf7-446c-9514-b62a6521dc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d37e4ec-a4e5-4d0a-bdfa-5343415a77e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E6E457-94E0-46C7-9DA7-B8E67ACFF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6804b4-8bf7-446c-9514-b62a6521dc7d"/>
    <ds:schemaRef ds:uri="cd37e4ec-a4e5-4d0a-bdfa-5343415a77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D0378D-6065-49F7-8C64-7C994AC1ADC7}">
  <ds:schemaRefs>
    <ds:schemaRef ds:uri="http://schemas.microsoft.com/sharepoint/v3/contenttype/forms"/>
  </ds:schemaRefs>
</ds:datastoreItem>
</file>

<file path=customXml/itemProps3.xml><?xml version="1.0" encoding="utf-8"?>
<ds:datastoreItem xmlns:ds="http://schemas.openxmlformats.org/officeDocument/2006/customXml" ds:itemID="{FEF8C9F3-7F4D-4FE8-964A-5445C194410F}">
  <ds:schemaRefs>
    <ds:schemaRef ds:uri="http://schemas.microsoft.com/office/2006/documentManagement/types"/>
    <ds:schemaRef ds:uri="cd37e4ec-a4e5-4d0a-bdfa-5343415a77e2"/>
    <ds:schemaRef ds:uri="http://www.w3.org/XML/1998/namespace"/>
    <ds:schemaRef ds:uri="http://schemas.microsoft.com/office/2006/metadata/properties"/>
    <ds:schemaRef ds:uri="486804b4-8bf7-446c-9514-b62a6521dc7d"/>
    <ds:schemaRef ds:uri="http://purl.org/dc/elements/1.1/"/>
    <ds:schemaRef ds:uri="http://purl.org/dc/term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Rev Log</vt:lpstr>
      <vt:lpstr>Cover Sheets</vt:lpstr>
      <vt:lpstr>Summary-ATRR</vt:lpstr>
      <vt:lpstr>WS1-RateBase</vt:lpstr>
      <vt:lpstr>WS2-AllocFactor</vt:lpstr>
      <vt:lpstr>WS3-RevCredits</vt:lpstr>
      <vt:lpstr>WS4-CostData</vt:lpstr>
      <vt:lpstr>WS5-BPUz</vt:lpstr>
      <vt:lpstr>WS6-BPUr</vt:lpstr>
      <vt:lpstr>WS7-BPUFac</vt:lpstr>
      <vt:lpstr>WS8-TransFac</vt:lpstr>
      <vt:lpstr>WS9-AI-Incl</vt:lpstr>
      <vt:lpstr>WS10-AI-Excl</vt:lpstr>
      <vt:lpstr>WS11-FacChanges</vt:lpstr>
      <vt:lpstr>WS12-SSCD</vt:lpstr>
      <vt:lpstr>WS13-SSCDFac</vt:lpstr>
      <vt:lpstr>WS14-Reg</vt:lpstr>
      <vt:lpstr>WS15-Res</vt:lpstr>
      <vt:lpstr>'Rev Log'!Print_Area</vt:lpstr>
      <vt:lpstr>'Summary-ATRR'!Print_Area</vt:lpstr>
      <vt:lpstr>'WS10-AI-Excl'!Print_Area</vt:lpstr>
      <vt:lpstr>'WS11-FacChanges'!Print_Area</vt:lpstr>
      <vt:lpstr>'WS12-SSCD'!Print_Area</vt:lpstr>
      <vt:lpstr>'WS13-SSCDFac'!Print_Area</vt:lpstr>
      <vt:lpstr>'WS14-Reg'!Print_Area</vt:lpstr>
      <vt:lpstr>'WS15-Res'!Print_Area</vt:lpstr>
      <vt:lpstr>'WS1-RateBase'!Print_Area</vt:lpstr>
      <vt:lpstr>'WS2-AllocFactor'!Print_Area</vt:lpstr>
      <vt:lpstr>'WS3-RevCredits'!Print_Area</vt:lpstr>
      <vt:lpstr>'WS4-CostData'!Print_Area</vt:lpstr>
      <vt:lpstr>'WS5-BPUz'!Print_Area</vt:lpstr>
      <vt:lpstr>'WS6-BPUr'!Print_Area</vt:lpstr>
      <vt:lpstr>'WS7-BPUFac'!Print_Area</vt:lpstr>
      <vt:lpstr>'WS8-TransFac'!Print_Area</vt:lpstr>
      <vt:lpstr>'WS9-AI-Incl'!Print_Area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Baker, Sara</dc:creator>
  <cp:keywords/>
  <dc:description/>
  <cp:lastModifiedBy>Steve Sanders</cp:lastModifiedBy>
  <cp:revision/>
  <dcterms:created xsi:type="dcterms:W3CDTF">2016-09-02T16:44:11Z</dcterms:created>
  <dcterms:modified xsi:type="dcterms:W3CDTF">2021-09-24T03:32:24Z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0x01010022B612BF1E09FF47A2B6C3D4D1677B0D</vt:lpwstr>
  </property>
</Properties>
</file>