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aa-Docs\aa-Rates\2024\"/>
    </mc:Choice>
  </mc:AlternateContent>
  <xr:revisionPtr revIDLastSave="0" documentId="8_{C428CC01-F9A6-4809-80C1-3F35042ED136}" xr6:coauthVersionLast="47" xr6:coauthVersionMax="47" xr10:uidLastSave="{00000000-0000-0000-0000-000000000000}"/>
  <bookViews>
    <workbookView xWindow="-110" yWindow="-110" windowWidth="19420" windowHeight="10300" tabRatio="745" xr2:uid="{00000000-000D-0000-FFFF-FFFF00000000}"/>
  </bookViews>
  <sheets>
    <sheet name="Cover Sheets" sheetId="12" r:id="rId1"/>
    <sheet name="Summary-ATRR" sheetId="37" r:id="rId2"/>
    <sheet name="Rev Log" sheetId="36" r:id="rId3"/>
    <sheet name="WS1-RateBase" sheetId="39" r:id="rId4"/>
    <sheet name="WS2-AllocFactor" sheetId="7" r:id="rId5"/>
    <sheet name="WS3-RevCredits" sheetId="33" r:id="rId6"/>
    <sheet name="WS4-CostData" sheetId="6" r:id="rId7"/>
    <sheet name="WS5-BPUz" sheetId="31" r:id="rId8"/>
    <sheet name="WS6-BPUr" sheetId="29" r:id="rId9"/>
    <sheet name="WS8-TransFac" sheetId="13" r:id="rId10"/>
    <sheet name="WS7-BPUFac" sheetId="30" r:id="rId11"/>
    <sheet name="WS9-AI-Incl" sheetId="27" r:id="rId12"/>
    <sheet name="WS10-AI-Excl" sheetId="28" r:id="rId13"/>
    <sheet name="WS11-FacChanges" sheetId="18" r:id="rId14"/>
    <sheet name="WS12-SSCD" sheetId="4" r:id="rId15"/>
    <sheet name="WS13-SSCDFac" sheetId="2" r:id="rId16"/>
    <sheet name="WS14-Reg" sheetId="8" r:id="rId17"/>
    <sheet name="WS15-Res" sheetId="9" r:id="rId18"/>
  </sheets>
  <externalReferences>
    <externalReference r:id="rId19"/>
    <externalReference r:id="rId20"/>
  </externalReferences>
  <definedNames>
    <definedName name="Act14_ActRegRevRqmt" localSheetId="2">'[1]Input Sheet'!#REF!</definedName>
    <definedName name="Act14_ActRegRevRqmt" localSheetId="13">'[2]Input Sheet'!#REF!</definedName>
    <definedName name="Act14_ActRegRevRqmt" localSheetId="5">'[2]Input Sheet'!#REF!</definedName>
    <definedName name="Act14_ActRegRevRqmt" localSheetId="7">'[2]Input Sheet'!#REF!</definedName>
    <definedName name="Act14_ActRegRevRqmt" localSheetId="8">'[2]Input Sheet'!#REF!</definedName>
    <definedName name="Act14_ActRegRevRqmt" localSheetId="10">'[2]Input Sheet'!#REF!</definedName>
    <definedName name="Act14_ActRegRevRqmt" localSheetId="9">'[2]Input Sheet'!#REF!</definedName>
    <definedName name="Act14_ActRegRevRqmt">'[2]Input Sheet'!#REF!</definedName>
    <definedName name="Act14_AveControlAreaLoad" localSheetId="2">'[1]Input Sheet'!$H$143</definedName>
    <definedName name="Act14_AveControlAreaLoad">'[2]Input Sheet'!$H$143</definedName>
    <definedName name="Act14_BOR_AccumDepr" localSheetId="2">'[1]Input Sheet'!$H$42</definedName>
    <definedName name="Act14_BOR_AccumDepr">'[2]Input Sheet'!$H$42</definedName>
    <definedName name="Act14_BOR_DeprExp" localSheetId="2">'[1]Input Sheet'!$H$87</definedName>
    <definedName name="Act14_BOR_DeprExp">'[2]Input Sheet'!$H$87</definedName>
    <definedName name="Act14_BOR_LTDebt" localSheetId="2">'[1]Input Sheet'!$H$96</definedName>
    <definedName name="Act14_BOR_LTDebt">'[2]Input Sheet'!$H$96</definedName>
    <definedName name="Act14_BOR_LTInt" localSheetId="2">'[1]Input Sheet'!$H$97</definedName>
    <definedName name="Act14_BOR_LTInt">'[2]Input Sheet'!$H$97</definedName>
    <definedName name="Act14_BOR_OM" localSheetId="2">'[1]Input Sheet'!$H$81</definedName>
    <definedName name="Act14_BOR_OM">'[2]Input Sheet'!$H$81</definedName>
    <definedName name="Act14_BOR_Plant" localSheetId="2">'[1]Input Sheet'!$H$31</definedName>
    <definedName name="Act14_BOR_Plant">'[2]Input Sheet'!$H$31</definedName>
    <definedName name="Act14_BxPS_BEFP_1411" localSheetId="2">'[1]Input Sheet'!$H$100</definedName>
    <definedName name="Act14_BxPS_BEFP_1411">'[2]Input Sheet'!$H$100</definedName>
    <definedName name="Act14_BxPS_BEFP_1412" localSheetId="2">'[1]Input Sheet'!$H$101</definedName>
    <definedName name="Act14_BxPS_BEFP_1412">'[2]Input Sheet'!$H$101</definedName>
    <definedName name="Act14_BxPS_BEFP_1415" localSheetId="2">'[1]Input Sheet'!$H$102</definedName>
    <definedName name="Act14_BxPS_BEFP_1415">'[2]Input Sheet'!$H$102</definedName>
    <definedName name="Act14_BxPS_BEFP_1416" localSheetId="2">'[1]Input Sheet'!$H$103</definedName>
    <definedName name="Act14_BxPS_BEFP_1416">'[2]Input Sheet'!$H$103</definedName>
    <definedName name="Act14_BxPS_BEFP_1421" localSheetId="2">'[1]Input Sheet'!$H$104</definedName>
    <definedName name="Act14_BxPS_BEFP_1421">'[2]Input Sheet'!$H$104</definedName>
    <definedName name="Act14_BxPS_BEFP_1422" localSheetId="2">'[1]Input Sheet'!$H$105</definedName>
    <definedName name="Act14_BxPS_BEFP_1422">'[2]Input Sheet'!$H$105</definedName>
    <definedName name="Act14_BxPS_BEFP_1425" localSheetId="2">'[1]Input Sheet'!$H$106</definedName>
    <definedName name="Act14_BxPS_BEFP_1425">'[2]Input Sheet'!$H$106</definedName>
    <definedName name="Act14_BxPS_BEFP_1426" localSheetId="2">'[1]Input Sheet'!$H$107</definedName>
    <definedName name="Act14_BxPS_BEFP_1426">'[2]Input Sheet'!$H$107</definedName>
    <definedName name="Act14_BxPS_BEFP_1431" localSheetId="2">'[1]Input Sheet'!$H$108</definedName>
    <definedName name="Act14_BxPS_BEFP_1431">'[2]Input Sheet'!$H$108</definedName>
    <definedName name="Act14_BxPS_BEFP_1432" localSheetId="2">'[1]Input Sheet'!$H$109</definedName>
    <definedName name="Act14_BxPS_BEFP_1432">'[2]Input Sheet'!$H$109</definedName>
    <definedName name="Act14_BxPS_BEFP_1441" localSheetId="2">'[1]Input Sheet'!$H$110</definedName>
    <definedName name="Act14_BxPS_BEFP_1441">'[2]Input Sheet'!$H$110</definedName>
    <definedName name="Act14_BxPS_BEFP_1442" localSheetId="2">'[1]Input Sheet'!$H$111</definedName>
    <definedName name="Act14_BxPS_BEFP_1442">'[2]Input Sheet'!$H$111</definedName>
    <definedName name="Act14_BxPS_BEFP_AccumDepr" localSheetId="2">'[1]Input Sheet'!$H$34</definedName>
    <definedName name="Act14_BxPS_BEFP_AccumDepr">'[2]Input Sheet'!$H$34</definedName>
    <definedName name="Act14_BxPS_BEFP_Additions" localSheetId="2">'[1]Input Sheet'!$H$45</definedName>
    <definedName name="Act14_BxPS_BEFP_Additions">'[2]Input Sheet'!$H$45</definedName>
    <definedName name="Act14_BxPS_BEFP_AdjTrans" localSheetId="2">'[1]Input Sheet'!$H$47</definedName>
    <definedName name="Act14_BxPS_BEFP_AdjTrans">'[2]Input Sheet'!$H$47</definedName>
    <definedName name="Act14_BxPS_BEFP_AGExp" localSheetId="2">'[1]Input Sheet'!$H$65</definedName>
    <definedName name="Act14_BxPS_BEFP_AGExp">'[2]Input Sheet'!$H$65</definedName>
    <definedName name="Act14_BxPS_BEFP_CME" localSheetId="2">'[1]Input Sheet'!$H$69</definedName>
    <definedName name="Act14_BxPS_BEFP_CME">'[2]Input Sheet'!$H$69</definedName>
    <definedName name="Act14_BxPS_BEFP_DepMOVP" localSheetId="2">'[1]Input Sheet'!$H$67</definedName>
    <definedName name="Act14_BxPS_BEFP_DepMOVP">'[2]Input Sheet'!$H$67</definedName>
    <definedName name="Act14_BxPS_BEFP_DeprExp" localSheetId="2">'[1]Input Sheet'!$H$84</definedName>
    <definedName name="Act14_BxPS_BEFP_DeprExp">'[2]Input Sheet'!$H$84</definedName>
    <definedName name="Act14_BxPS_BEFP_DispofAssets" localSheetId="2">'[1]Input Sheet'!$H$68</definedName>
    <definedName name="Act14_BxPS_BEFP_DispofAssets">'[2]Input Sheet'!$H$68</definedName>
    <definedName name="Act14_BxPS_BEFP_GenAccumDepr" localSheetId="2">'[1]Input Sheet'!$H$36</definedName>
    <definedName name="Act14_BxPS_BEFP_GenAccumDepr">'[2]Input Sheet'!$H$36</definedName>
    <definedName name="Act14_BxPS_BEFP_GenPlant" localSheetId="2">'[1]Input Sheet'!$H$19</definedName>
    <definedName name="Act14_BxPS_BEFP_GenPlant">'[2]Input Sheet'!$H$19</definedName>
    <definedName name="Act14_BxPS_BEFP_LTDebt" localSheetId="2">'[1]Input Sheet'!$H$90</definedName>
    <definedName name="Act14_BxPS_BEFP_LTDebt">'[2]Input Sheet'!$H$90</definedName>
    <definedName name="Act14_BxPS_BEFP_LTInt" localSheetId="2">'[1]Input Sheet'!$H$91</definedName>
    <definedName name="Act14_BxPS_BEFP_LTInt">'[2]Input Sheet'!$H$91</definedName>
    <definedName name="Act14_BxPS_BEFP_OtherPowerExp" localSheetId="2">'[1]Input Sheet'!$H$64</definedName>
    <definedName name="Act14_BxPS_BEFP_OtherPowerExp">'[2]Input Sheet'!$H$64</definedName>
    <definedName name="Act14_BxPS_BEFP_Plant" localSheetId="2">'[1]Input Sheet'!$H$16</definedName>
    <definedName name="Act14_BxPS_BEFP_Plant">'[2]Input Sheet'!$H$16</definedName>
    <definedName name="Act14_BxPS_BEFP_PY_Adj" localSheetId="2">'[1]Input Sheet'!$H$66</definedName>
    <definedName name="Act14_BxPS_BEFP_PY_Adj">'[2]Input Sheet'!$H$66</definedName>
    <definedName name="Act14_BxPS_BEFP_Repl" localSheetId="2">'[1]Input Sheet'!$H$46</definedName>
    <definedName name="Act14_BxPS_BEFP_Repl">'[2]Input Sheet'!$H$46</definedName>
    <definedName name="Act14_BxPS_BEFP_Retr" localSheetId="2">'[1]Input Sheet'!$H$48</definedName>
    <definedName name="Act14_BxPS_BEFP_Retr">'[2]Input Sheet'!$H$48</definedName>
    <definedName name="Act14_BxPS_BEFP_SSCD_OpExp" localSheetId="2">'[1]Input Sheet'!$H$71</definedName>
    <definedName name="Act14_BxPS_BEFP_SSCD_OpExp">'[2]Input Sheet'!$H$71</definedName>
    <definedName name="Act14_BxPS_BEFP_SSCDPlant" localSheetId="2">'[1]Input Sheet'!$H$21</definedName>
    <definedName name="Act14_BxPS_BEFP_SSCDPlant">'[2]Input Sheet'!$H$21</definedName>
    <definedName name="Act14_BxPS_BEFP_TotalOpExpense" localSheetId="2">'[1]Input Sheet'!$H$62</definedName>
    <definedName name="Act14_BxPS_BEFP_TotalOpExpense">'[2]Input Sheet'!$H$62</definedName>
    <definedName name="Act14_BxPS_BEFP_TPlant" localSheetId="2">'[1]Input Sheet'!$H$17</definedName>
    <definedName name="Act14_BxPS_BEFP_TPlant">'[2]Input Sheet'!$H$17</definedName>
    <definedName name="Act14_BxPS_BEFP_TransAccumDepr" localSheetId="2">'[1]Input Sheet'!$H$35</definedName>
    <definedName name="Act14_BxPS_BEFP_TransAccumDepr">'[2]Input Sheet'!$H$35</definedName>
    <definedName name="Act14_BxPS_BEFP_WageSalary" localSheetId="2">'[1]Input Sheet'!$H$125</definedName>
    <definedName name="Act14_BxPS_BEFP_WageSalary">'[2]Input Sheet'!$H$125</definedName>
    <definedName name="Act14_BxPS_BEFP_Warehouse_Stores" localSheetId="2">'[1]Input Sheet'!$H$70</definedName>
    <definedName name="Act14_BxPS_BEFP_Warehouse_Stores">'[2]Input Sheet'!$H$70</definedName>
    <definedName name="Act14_BXPS_OM" localSheetId="2">'[1]2014 COST DATA'!$C$120</definedName>
    <definedName name="Act14_BXPS_OM">'[2]2014 COST DATA'!$C$120</definedName>
    <definedName name="Act14_COE_AccumDepr" localSheetId="2">'[1]Input Sheet'!$H$39</definedName>
    <definedName name="Act14_COE_AccumDepr">'[2]Input Sheet'!$H$39</definedName>
    <definedName name="Act14_COE_AccumDeprGen" localSheetId="2">'[1]Input Sheet'!$H$41</definedName>
    <definedName name="Act14_COE_AccumDeprGen">'[2]Input Sheet'!$H$41</definedName>
    <definedName name="Act14_COE_AG" localSheetId="2">'[1]2014 COST DATA'!$G$95</definedName>
    <definedName name="Act14_COE_AG">'[2]2014 COST DATA'!$G$95</definedName>
    <definedName name="Act14_COE_DeprExp" localSheetId="2">'[1]Input Sheet'!$H$86</definedName>
    <definedName name="Act14_COE_DeprExp">'[2]Input Sheet'!$H$86</definedName>
    <definedName name="Act14_COE_Gen" localSheetId="2">'[1]Input Sheet'!$H$29</definedName>
    <definedName name="Act14_COE_Gen">'[2]Input Sheet'!$H$29</definedName>
    <definedName name="Act14_COE_GenDepr" localSheetId="2">'[1]2014 COST DATA'!$G$38</definedName>
    <definedName name="Act14_COE_GenDepr">'[2]2014 COST DATA'!$G$38</definedName>
    <definedName name="Act14_COE_GenOM" localSheetId="2">'[1]2014 COST DATA'!$G$122</definedName>
    <definedName name="Act14_COE_GenOM">'[2]2014 COST DATA'!$G$122</definedName>
    <definedName name="Act14_COE_GenPlant" localSheetId="2">'[1]2014 COST DATA'!$G$17</definedName>
    <definedName name="Act14_COE_GenPlant">'[2]2014 COST DATA'!$G$17</definedName>
    <definedName name="Act14_COE_LTDebt" localSheetId="2">'[1]Input Sheet'!$H$94</definedName>
    <definedName name="Act14_COE_LTDebt">'[2]Input Sheet'!$H$94</definedName>
    <definedName name="Act14_COE_LTInt" localSheetId="2">'[1]Input Sheet'!$H$95</definedName>
    <definedName name="Act14_COE_LTInt">'[2]Input Sheet'!$H$95</definedName>
    <definedName name="Act14_COE_OM" localSheetId="2">'[1]Input Sheet'!$H$80</definedName>
    <definedName name="Act14_COE_OM">'[2]Input Sheet'!$H$80</definedName>
    <definedName name="Act14_COE_Plant" localSheetId="2">'[1]Input Sheet'!$H$26</definedName>
    <definedName name="Act14_COE_Plant">'[2]Input Sheet'!$H$26</definedName>
    <definedName name="Act14_COE_TPlant" localSheetId="2">'[1]Input Sheet'!$H$27</definedName>
    <definedName name="Act14_COE_TPlant">'[2]Input Sheet'!$H$27</definedName>
    <definedName name="Act14_COE_TransAccumDepr" localSheetId="2">'[1]Input Sheet'!$H$40</definedName>
    <definedName name="Act14_COE_TransAccumDepr">'[2]Input Sheet'!$H$40</definedName>
    <definedName name="Act14_ControlAreaLoad" localSheetId="2">'[1]Input Sheet'!$H$146</definedName>
    <definedName name="Act14_ControlAreaLoad">'[2]Input Sheet'!$H$146</definedName>
    <definedName name="Act14_Credit_Acct454" localSheetId="2">'[1]Input Sheet'!$H$14</definedName>
    <definedName name="Act14_Credit_Acct454">'[2]Input Sheet'!$H$14</definedName>
    <definedName name="Act14_Credit_ExstRev" localSheetId="2">'[1]Input Sheet'!$H$12</definedName>
    <definedName name="Act14_Credit_ExstRev">'[2]Input Sheet'!$H$12</definedName>
    <definedName name="Act14_Credit_NFPTP" localSheetId="2">'[1]Input Sheet'!$H$11</definedName>
    <definedName name="Act14_Credit_NFPTP">'[2]Input Sheet'!$H$11</definedName>
    <definedName name="Act14_Credit_SSCD" localSheetId="2">'[1]Input Sheet'!$H$13</definedName>
    <definedName name="Act14_Credit_SSCD">'[2]Input Sheet'!$H$13</definedName>
    <definedName name="Act14_Credit_STPTP" localSheetId="2">'[1]Input Sheet'!$H$10</definedName>
    <definedName name="Act14_Credit_STPTP">'[2]Input Sheet'!$H$10</definedName>
    <definedName name="Act14_GenAG" localSheetId="2">'[1]2014 COST DATA'!$K$95</definedName>
    <definedName name="Act14_GenAG">'[2]2014 COST DATA'!$K$95</definedName>
    <definedName name="Act14_GenCompRate" localSheetId="2">'[1]2014 COST DATA'!$K$62</definedName>
    <definedName name="Act14_GenCompRate">'[2]2014 COST DATA'!$K$62</definedName>
    <definedName name="Act14_GenDepr" localSheetId="2">'[1]2014 COST DATA'!$K$38</definedName>
    <definedName name="Act14_GenDepr">'[2]2014 COST DATA'!$K$38</definedName>
    <definedName name="Act14_GenOM" localSheetId="2">'[1]2014 COST DATA'!$K$122</definedName>
    <definedName name="Act14_GenOM">'[2]2014 COST DATA'!$K$122</definedName>
    <definedName name="Act14_GenPlant" localSheetId="2">'[1]2014 COST DATA'!$K$17</definedName>
    <definedName name="Act14_GenPlant">'[2]2014 COST DATA'!$K$17</definedName>
    <definedName name="Act14_MaxControlAreaLoad" localSheetId="2">'[1]Input Sheet'!$H$144</definedName>
    <definedName name="Act14_MaxControlAreaLoad">'[2]Input Sheet'!$H$144</definedName>
    <definedName name="Act14_MaxGenControlArea" localSheetId="2">'[1]Input Sheet'!$H$145</definedName>
    <definedName name="Act14_MaxGenControlArea">'[2]Input Sheet'!$H$145</definedName>
    <definedName name="Act14_RateLoadControlArea" localSheetId="2">'[1]Input Sheet'!$H$147</definedName>
    <definedName name="Act14_RateLoadControlArea">'[2]Input Sheet'!$H$147</definedName>
    <definedName name="Act14_RegRateRevRqmt" localSheetId="2">'[1]Input Sheet'!$H$150</definedName>
    <definedName name="Act14_RegRateRevRqmt">'[2]Input Sheet'!$H$150</definedName>
    <definedName name="Act14_RMR_1411" localSheetId="2">'[1]Input Sheet'!$H$112</definedName>
    <definedName name="Act14_RMR_1411">'[2]Input Sheet'!$H$112</definedName>
    <definedName name="Act14_RMR_1412" localSheetId="2">'[1]Input Sheet'!$H$113</definedName>
    <definedName name="Act14_RMR_1412">'[2]Input Sheet'!$H$113</definedName>
    <definedName name="Act14_RMR_1415" localSheetId="2">'[1]Input Sheet'!$H$114</definedName>
    <definedName name="Act14_RMR_1415">'[2]Input Sheet'!$H$114</definedName>
    <definedName name="Act14_RMR_1416" localSheetId="2">'[1]Input Sheet'!$H$115</definedName>
    <definedName name="Act14_RMR_1416">'[2]Input Sheet'!$H$115</definedName>
    <definedName name="Act14_RMR_1421" localSheetId="2">'[1]Input Sheet'!$H$116</definedName>
    <definedName name="Act14_RMR_1421">'[2]Input Sheet'!$H$116</definedName>
    <definedName name="Act14_RMR_1422" localSheetId="2">'[1]Input Sheet'!$H$117</definedName>
    <definedName name="Act14_RMR_1422">'[2]Input Sheet'!$H$117</definedName>
    <definedName name="Act14_RMR_1425" localSheetId="2">'[1]Input Sheet'!$H$118</definedName>
    <definedName name="Act14_RMR_1425">'[2]Input Sheet'!$H$118</definedName>
    <definedName name="Act14_RMR_1426" localSheetId="2">'[1]Input Sheet'!$H$119</definedName>
    <definedName name="Act14_RMR_1426">'[2]Input Sheet'!$H$119</definedName>
    <definedName name="Act14_RMR_1431" localSheetId="2">'[1]Input Sheet'!$H$120</definedName>
    <definedName name="Act14_RMR_1431">'[2]Input Sheet'!$H$120</definedName>
    <definedName name="Act14_RMR_1432" localSheetId="2">'[1]Input Sheet'!$H$121</definedName>
    <definedName name="Act14_RMR_1432">'[2]Input Sheet'!$H$121</definedName>
    <definedName name="Act14_RMR_1441" localSheetId="2">'[1]Input Sheet'!$H$122</definedName>
    <definedName name="Act14_RMR_1441">'[2]Input Sheet'!$H$122</definedName>
    <definedName name="Act14_RMR_1442" localSheetId="2">'[1]Input Sheet'!$H$123</definedName>
    <definedName name="Act14_RMR_1442">'[2]Input Sheet'!$H$123</definedName>
    <definedName name="Act14_RMR_AccumDepr" localSheetId="2">'[1]Input Sheet'!$H$37</definedName>
    <definedName name="Act14_RMR_AccumDepr">'[2]Input Sheet'!$H$37</definedName>
    <definedName name="Act14_RMR_AGExp" localSheetId="2">'[1]Input Sheet'!$H$75</definedName>
    <definedName name="Act14_RMR_AGExp">'[2]Input Sheet'!$H$75</definedName>
    <definedName name="Act14_RMR_CME" localSheetId="2">'[1]Input Sheet'!$H$78</definedName>
    <definedName name="Act14_RMR_CME">'[2]Input Sheet'!$H$78</definedName>
    <definedName name="Act14_RMR_DeprExp" localSheetId="2">'[1]Input Sheet'!$H$85</definedName>
    <definedName name="Act14_RMR_DeprExp">'[2]Input Sheet'!$H$85</definedName>
    <definedName name="Act14_RMR_DispofAssets" localSheetId="2">'[1]Input Sheet'!$H$77</definedName>
    <definedName name="Act14_RMR_DispofAssets">'[2]Input Sheet'!$H$77</definedName>
    <definedName name="Act14_RMR_LTDebt" localSheetId="2">'[1]Input Sheet'!$H$92</definedName>
    <definedName name="Act14_RMR_LTDebt">'[2]Input Sheet'!$H$92</definedName>
    <definedName name="Act14_RMR_LTInt" localSheetId="2">'[1]Input Sheet'!$H$93</definedName>
    <definedName name="Act14_RMR_LTInt">'[2]Input Sheet'!$H$93</definedName>
    <definedName name="Act14_RMR_MOVP_Depr" localSheetId="2">'[1]Input Sheet'!$H$76</definedName>
    <definedName name="Act14_RMR_MOVP_Depr">'[2]Input Sheet'!$H$76</definedName>
    <definedName name="Act14_RMR_OM" localSheetId="2">'[1]2014 COST DATA'!$E$120</definedName>
    <definedName name="Act14_RMR_OM">'[2]2014 COST DATA'!$E$120</definedName>
    <definedName name="Act14_RMR_Other_Power_Exp" localSheetId="2">'[1]Input Sheet'!$H$74</definedName>
    <definedName name="Act14_RMR_Other_Power_Exp">'[2]Input Sheet'!$H$74</definedName>
    <definedName name="Act14_RMR_Plant" localSheetId="2">'[1]Input Sheet'!$H$23</definedName>
    <definedName name="Act14_RMR_Plant">'[2]Input Sheet'!$H$23</definedName>
    <definedName name="Act14_RMR_Total_OM" localSheetId="2">'[1]Input Sheet'!$H$73</definedName>
    <definedName name="Act14_RMR_Total_OM">'[2]Input Sheet'!$H$73</definedName>
    <definedName name="Act14_RMR_Total_OpExp" localSheetId="2">'[1]Input Sheet'!$H$72</definedName>
    <definedName name="Act14_RMR_Total_OpExp">'[2]Input Sheet'!$H$72</definedName>
    <definedName name="Act14_RMR_TPlant" localSheetId="2">'[1]Input Sheet'!$H$24</definedName>
    <definedName name="Act14_RMR_TPlant">'[2]Input Sheet'!$H$24</definedName>
    <definedName name="Act14_RMR_TransAccumDepr" localSheetId="2">'[1]Input Sheet'!$H$38</definedName>
    <definedName name="Act14_RMR_TransAccumDepr">'[2]Input Sheet'!$H$38</definedName>
    <definedName name="Act14_RMR_Warehouse_Stores" localSheetId="2">'[1]Input Sheet'!$H$79</definedName>
    <definedName name="Act14_RMR_Warehouse_Stores">'[2]Input Sheet'!$H$79</definedName>
    <definedName name="Act14_TotalTransPlant" localSheetId="2">'[1]2014 COST DATA'!$K$6</definedName>
    <definedName name="Act14_TotalTransPlant">'[2]2014 COST DATA'!$K$6</definedName>
    <definedName name="Act14_TransAG" localSheetId="2">'[1]2014 COST DATA'!$K$94</definedName>
    <definedName name="Act14_TransAG">'[2]2014 COST DATA'!$K$94</definedName>
    <definedName name="Act14_TransCompRate" localSheetId="2">'[1]2014 COST DATA'!$K$60</definedName>
    <definedName name="Act14_TransCompRate">'[2]2014 COST DATA'!$K$60</definedName>
    <definedName name="Act14_TransDepr" localSheetId="2">'[1]2014 COST DATA'!$K$37</definedName>
    <definedName name="Act14_TransDepr">'[2]2014 COST DATA'!$K$37</definedName>
    <definedName name="Act14_TransOM" localSheetId="2">'[1]2014 COST DATA'!$K$121</definedName>
    <definedName name="Act14_TransOM">'[2]2014 COST DATA'!$K$121</definedName>
    <definedName name="Act14_TransPlant" localSheetId="2">'[1]2014 COST DATA'!$K$16</definedName>
    <definedName name="Act14_TransPlant">'[2]2014 COST DATA'!$K$16</definedName>
    <definedName name="Act15_BxPS_BEFP_Additions" localSheetId="2">'[1]Input Sheet'!$E$45</definedName>
    <definedName name="Act15_BxPS_BEFP_Additions">'[2]Input Sheet'!$E$45</definedName>
    <definedName name="Act15_BxPS_BEFP_AdjTrans" localSheetId="2">'[1]Input Sheet'!$E$47</definedName>
    <definedName name="Act15_BxPS_BEFP_AdjTrans">'[2]Input Sheet'!$E$47</definedName>
    <definedName name="Act15_BxPS_BEFP_AGExp" localSheetId="2">'[1]Input Sheet'!$E$65</definedName>
    <definedName name="Act15_BxPS_BEFP_AGExp">'[2]Input Sheet'!$E$65</definedName>
    <definedName name="Act15_BxPS_BEFP_CME" localSheetId="2">'[1]Input Sheet'!$E$69</definedName>
    <definedName name="Act15_BxPS_BEFP_CME">'[2]Input Sheet'!$E$69</definedName>
    <definedName name="Act15_BxPS_BEFP_OtherPowerExp" localSheetId="2">'[1]Input Sheet'!$E$64</definedName>
    <definedName name="Act15_BxPS_BEFP_OtherPowerExp">'[2]Input Sheet'!$E$64</definedName>
    <definedName name="Act15_BxPS_BEFP_Plant" localSheetId="2">'[1]Input Sheet'!$E$16</definedName>
    <definedName name="Act15_BxPS_BEFP_Plant">'[2]Input Sheet'!$E$16</definedName>
    <definedName name="Act15_BxPS_BEFP_PY_Adj" localSheetId="2">'[1]Input Sheet'!$E$66</definedName>
    <definedName name="Act15_BxPS_BEFP_PY_Adj">'[2]Input Sheet'!$E$66</definedName>
    <definedName name="Act15_BxPS_BEFP_Repl" localSheetId="2">'[1]Input Sheet'!$E$46</definedName>
    <definedName name="Act15_BxPS_BEFP_Repl">'[2]Input Sheet'!$E$46</definedName>
    <definedName name="Act15_BxPS_BEFP_Retr" localSheetId="2">'[1]Input Sheet'!$E$48</definedName>
    <definedName name="Act15_BxPS_BEFP_Retr">'[2]Input Sheet'!$E$48</definedName>
    <definedName name="Act15_BxPS_BEFP_TotalOpExpense" localSheetId="2">'[1]Input Sheet'!$E$62</definedName>
    <definedName name="Act15_BxPS_BEFP_TotalOpExpense">'[2]Input Sheet'!$E$62</definedName>
    <definedName name="Act15_BxPS_BEFP_Warehouse_Stores" localSheetId="2">'[1]Input Sheet'!$E$70</definedName>
    <definedName name="Act15_BxPS_BEFP_Warehouse_Stores">'[2]Input Sheet'!$E$70</definedName>
    <definedName name="Act15_RMR_AGExp" localSheetId="2">'[1]Input Sheet'!$E$75</definedName>
    <definedName name="Act15_RMR_AGExp">'[2]Input Sheet'!$E$75</definedName>
    <definedName name="Act15_RMR_CME" localSheetId="2">'[1]Input Sheet'!$E$78</definedName>
    <definedName name="Act15_RMR_CME">'[2]Input Sheet'!$E$78</definedName>
    <definedName name="Act15_RMR_Other_Power_Exp" localSheetId="2">'[1]Input Sheet'!$E$74</definedName>
    <definedName name="Act15_RMR_Other_Power_Exp">'[2]Input Sheet'!$E$74</definedName>
    <definedName name="Act15_RMR_Plant" localSheetId="2">'[1]Input Sheet'!$E$23</definedName>
    <definedName name="Act15_RMR_Plant">'[2]Input Sheet'!$E$23</definedName>
    <definedName name="Act15_RMR_Total_OpExp" localSheetId="2">'[1]Input Sheet'!$E$72</definedName>
    <definedName name="Act15_RMR_Total_OpExp">'[2]Input Sheet'!$E$72</definedName>
    <definedName name="Act15_RMR_Warehouse_Stores" localSheetId="2">'[1]Input Sheet'!$E$79</definedName>
    <definedName name="Act15_RMR_Warehouse_Stores">'[2]Input Sheet'!$E$79</definedName>
    <definedName name="CUSTAR" localSheetId="0">#REF!</definedName>
    <definedName name="CUSTAR" localSheetId="1">#REF!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10">#REF!</definedName>
    <definedName name="CUSTAR" localSheetId="9">#REF!</definedName>
    <definedName name="CUSTAR">#REF!</definedName>
    <definedName name="Custar1" localSheetId="0">#REF!</definedName>
    <definedName name="Custar1" localSheetId="1">#REF!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10">#REF!</definedName>
    <definedName name="Custar1" localSheetId="9">#REF!</definedName>
    <definedName name="Custar1">#REF!</definedName>
    <definedName name="CUYAHOGA_FALLS" localSheetId="0">#REF!</definedName>
    <definedName name="CUYAHOGA_FALLS" localSheetId="1">#REF!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10">#REF!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10">#REF!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10">#REF!</definedName>
    <definedName name="EDGERTON" localSheetId="9">#REF!</definedName>
    <definedName name="EDGERTON">#REF!</definedName>
    <definedName name="Ellwood_City" localSheetId="0">#REF!</definedName>
    <definedName name="Ellwood_City" localSheetId="1">#REF!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10">#REF!</definedName>
    <definedName name="Ellwood_City" localSheetId="9">#REF!</definedName>
    <definedName name="Ellwood_City">#REF!</definedName>
    <definedName name="ELMORE" localSheetId="0">#REF!</definedName>
    <definedName name="ELMORE" localSheetId="1">#REF!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10">#REF!</definedName>
    <definedName name="ELMORE" localSheetId="9">#REF!</definedName>
    <definedName name="ELMORE">#REF!</definedName>
    <definedName name="Est16_BOR_AccumDepr" localSheetId="2">'[1]Input Sheet'!$C$42</definedName>
    <definedName name="Est16_BOR_AccumDepr">'[2]Input Sheet'!$C$42</definedName>
    <definedName name="Est16_BOR_DeprExp" localSheetId="2">'[1]Input Sheet'!$C$87</definedName>
    <definedName name="Est16_BOR_DeprExp">'[2]Input Sheet'!$C$87</definedName>
    <definedName name="Est16_BOR_LTDebt" localSheetId="2">'[1]Input Sheet'!$C$96</definedName>
    <definedName name="Est16_BOR_LTDebt">'[2]Input Sheet'!$C$96</definedName>
    <definedName name="Est16_BOR_LTInt" localSheetId="2">'[1]Input Sheet'!$C$97</definedName>
    <definedName name="Est16_BOR_LTInt">'[2]Input Sheet'!$C$97</definedName>
    <definedName name="Est16_BOR_OM" localSheetId="2">'[1]Input Sheet'!$C$81</definedName>
    <definedName name="Est16_BOR_OM">'[2]Input Sheet'!$C$81</definedName>
    <definedName name="Est16_BOR_Plant" localSheetId="2">'[1]Input Sheet'!$C$31</definedName>
    <definedName name="Est16_BOR_Plant">'[2]Input Sheet'!$C$31</definedName>
    <definedName name="Est16_BxPS_BEFP_AccumDepr" localSheetId="2">'[1]Input Sheet'!$C$34</definedName>
    <definedName name="Est16_BxPS_BEFP_AccumDepr">'[2]Input Sheet'!$C$34</definedName>
    <definedName name="Est16_BxPS_BEFP_AGExp" localSheetId="2">'[1]Input Sheet'!$C$65</definedName>
    <definedName name="Est16_BxPS_BEFP_AGExp">'[2]Input Sheet'!$C$65</definedName>
    <definedName name="Est16_BxPS_BEFP_CME" localSheetId="2">'[1]Input Sheet'!$C$69</definedName>
    <definedName name="Est16_BxPS_BEFP_CME">'[2]Input Sheet'!$C$69</definedName>
    <definedName name="Est16_BxPS_BEFP_DepMOVP" localSheetId="2">'[1]Input Sheet'!$C$67</definedName>
    <definedName name="Est16_BxPS_BEFP_DepMOVP">'[2]Input Sheet'!$C$67</definedName>
    <definedName name="Est16_BxPS_BEFP_DeprExp" localSheetId="2">'[1]Input Sheet'!$C$84</definedName>
    <definedName name="Est16_BxPS_BEFP_DeprExp">'[2]Input Sheet'!$C$84</definedName>
    <definedName name="Est16_BxPS_BEFP_DispofAssets" localSheetId="2">'[1]Input Sheet'!$C$68</definedName>
    <definedName name="Est16_BxPS_BEFP_DispofAssets">'[2]Input Sheet'!$C$68</definedName>
    <definedName name="Est16_BxPS_BEFP_GenAccumDepr" localSheetId="2">'[1]Input Sheet'!$C$36</definedName>
    <definedName name="Est16_BxPS_BEFP_GenAccumDepr">'[2]Input Sheet'!$C$36</definedName>
    <definedName name="Est16_BxPS_BEFP_GenPlant" localSheetId="2">'[1]Input Sheet'!$C$19</definedName>
    <definedName name="Est16_BxPS_BEFP_GenPlant">'[2]Input Sheet'!$C$19</definedName>
    <definedName name="Est16_BxPS_BEFP_LTDebt" localSheetId="2">'[1]Input Sheet'!$C$90</definedName>
    <definedName name="Est16_BxPS_BEFP_LTDebt">'[2]Input Sheet'!$C$90</definedName>
    <definedName name="Est16_BxPS_BEFP_LTInt" localSheetId="2">'[1]Input Sheet'!$C$91</definedName>
    <definedName name="Est16_BxPS_BEFP_LTInt">'[2]Input Sheet'!$C$91</definedName>
    <definedName name="Est16_BxPS_BEFP_Plant" localSheetId="2">'[1]Input Sheet'!$C$16</definedName>
    <definedName name="Est16_BxPS_BEFP_Plant">'[2]Input Sheet'!$C$16</definedName>
    <definedName name="Est16_BxPS_BEFP_SSCD_OpExp" localSheetId="2">'[1]Input Sheet'!$C$71</definedName>
    <definedName name="Est16_BxPS_BEFP_SSCD_OpExp">'[2]Input Sheet'!$C$71</definedName>
    <definedName name="Est16_BxPS_BEFP_SSCDAllocator" localSheetId="2">'[1]Input Sheet'!$C$22</definedName>
    <definedName name="Est16_BxPS_BEFP_SSCDAllocator">'[2]Input Sheet'!$C$22</definedName>
    <definedName name="Est16_BxPS_BEFP_SSCDPlant" localSheetId="2">'[1]Input Sheet'!$C$21</definedName>
    <definedName name="Est16_BxPS_BEFP_SSCDPlant">'[2]Input Sheet'!$C$21</definedName>
    <definedName name="Est16_BxPS_BEFP_TotalOM" localSheetId="2">'[1]Input Sheet'!$C$63</definedName>
    <definedName name="Est16_BxPS_BEFP_TotalOM">'[2]Input Sheet'!$C$63</definedName>
    <definedName name="Est16_BxPS_BEFP_TPlant" localSheetId="2">'[1]Input Sheet'!$C$17</definedName>
    <definedName name="Est16_BxPS_BEFP_TPlant">'[2]Input Sheet'!$C$17</definedName>
    <definedName name="Est16_BxPS_BEFP_TransAccumDepr" localSheetId="2">'[1]Input Sheet'!$C$35</definedName>
    <definedName name="Est16_BxPS_BEFP_TransAccumDepr">'[2]Input Sheet'!$C$35</definedName>
    <definedName name="Est16_BxPS_BEFP_WageSalary" localSheetId="2">'[1]Input Sheet'!$C$125</definedName>
    <definedName name="Est16_BxPS_BEFP_WageSalary">'[2]Input Sheet'!$C$125</definedName>
    <definedName name="Est16_BxPS_BEFP_Warehouse_Stores" localSheetId="2">'[1]Input Sheet'!$C$70</definedName>
    <definedName name="Est16_BxPS_BEFP_Warehouse_Stores">'[2]Input Sheet'!$C$70</definedName>
    <definedName name="Est16_BXPS_OM" localSheetId="2">'[1]2016 EST COST DATA'!$C$119</definedName>
    <definedName name="Est16_BXPS_OM">'[2]2016 EST COST DATA'!$C$119</definedName>
    <definedName name="Est16_COE_AccumDepr" localSheetId="2">'[1]Input Sheet'!$C$39</definedName>
    <definedName name="Est16_COE_AccumDepr">'[2]Input Sheet'!$C$39</definedName>
    <definedName name="Est16_COE_AG" localSheetId="2">'[1]2016 EST COST DATA'!$G$95</definedName>
    <definedName name="Est16_COE_AG">'[2]2016 EST COST DATA'!$G$95</definedName>
    <definedName name="Est16_COE_DeprExp" localSheetId="2">'[1]Input Sheet'!$C$86</definedName>
    <definedName name="Est16_COE_DeprExp">'[2]Input Sheet'!$C$86</definedName>
    <definedName name="Est16_COE_FixedChargeRate" localSheetId="2">'[1]2016 est ANNUAL COSTS'!$E$34</definedName>
    <definedName name="Est16_COE_FixedChargeRate">'[2]2016 est ANNUAL COSTS'!$E$34</definedName>
    <definedName name="Est16_COE_Gen" localSheetId="2">'[1]Input Sheet'!$C$29</definedName>
    <definedName name="Est16_COE_Gen">'[2]Input Sheet'!$C$29</definedName>
    <definedName name="Est16_COE_GenAccumDepr" localSheetId="2">'[1]Input Sheet'!$C$41</definedName>
    <definedName name="Est16_COE_GenAccumDepr">'[2]Input Sheet'!$C$41</definedName>
    <definedName name="Est16_COE_GenDepr" localSheetId="2">'[1]2016 EST COST DATA'!$G$38</definedName>
    <definedName name="Est16_COE_GenDepr">'[2]2016 EST COST DATA'!$G$38</definedName>
    <definedName name="Est16_COE_GenOM" localSheetId="2">'[1]2016 EST COST DATA'!$G$121</definedName>
    <definedName name="Est16_COE_GenOM">'[2]2016 EST COST DATA'!$G$121</definedName>
    <definedName name="Est16_COE_GenPlant" localSheetId="2">'[1]2016 EST COST DATA'!$G$17</definedName>
    <definedName name="Est16_COE_GenPlant">'[2]2016 EST COST DATA'!$G$17</definedName>
    <definedName name="Est16_COE_LTDebt" localSheetId="2">'[1]Input Sheet'!$C$94</definedName>
    <definedName name="Est16_COE_LTDebt">'[2]Input Sheet'!$C$94</definedName>
    <definedName name="Est16_COE_LTInt" localSheetId="2">'[1]Input Sheet'!$C$95</definedName>
    <definedName name="Est16_COE_LTInt">'[2]Input Sheet'!$C$95</definedName>
    <definedName name="Est16_COE_NetPlantInvest" localSheetId="2">'[1]2016 est ANNUAL COSTS'!$E$35</definedName>
    <definedName name="Est16_COE_NetPlantInvest">'[2]2016 est ANNUAL COSTS'!$E$35</definedName>
    <definedName name="Est16_COE_OM" localSheetId="2">'[1]Input Sheet'!$C$80</definedName>
    <definedName name="Est16_COE_OM">'[2]Input Sheet'!$C$80</definedName>
    <definedName name="Est16_COE_Plant" localSheetId="2">'[1]Input Sheet'!$C$26</definedName>
    <definedName name="Est16_COE_Plant">'[2]Input Sheet'!$C$26</definedName>
    <definedName name="Est16_COE_TPlant" localSheetId="2">'[1]Input Sheet'!$C$27</definedName>
    <definedName name="Est16_COE_TPlant">'[2]Input Sheet'!$C$27</definedName>
    <definedName name="Est16_COE_TransAccumDepr" localSheetId="2">'[1]Input Sheet'!$C$40</definedName>
    <definedName name="Est16_COE_TransAccumDepr">'[2]Input Sheet'!$C$40</definedName>
    <definedName name="Est16_Credit_Acct454" localSheetId="2">'[1]Input Sheet'!$C$14</definedName>
    <definedName name="Est16_Credit_Acct454">'[2]Input Sheet'!$C$14</definedName>
    <definedName name="Est16_Credit_ExstRev" localSheetId="2">'[1]Input Sheet'!$C$12</definedName>
    <definedName name="Est16_Credit_ExstRev">'[2]Input Sheet'!$C$12</definedName>
    <definedName name="Est16_Credit_NFPTP" localSheetId="2">'[1]Input Sheet'!$C$11</definedName>
    <definedName name="Est16_Credit_NFPTP">'[2]Input Sheet'!$C$11</definedName>
    <definedName name="Est16_Credit_STPTP" localSheetId="2">'[1]Input Sheet'!$C$10</definedName>
    <definedName name="Est16_Credit_STPTP">'[2]Input Sheet'!$C$10</definedName>
    <definedName name="Est16_GenAG" localSheetId="2">'[1]2016 EST COST DATA'!$K$95</definedName>
    <definedName name="Est16_GenAG">'[2]2016 EST COST DATA'!$K$95</definedName>
    <definedName name="Est16_GenCompRate" localSheetId="2">'[1]2016 EST COST DATA'!$K$62</definedName>
    <definedName name="Est16_GenCompRate">'[2]2016 EST COST DATA'!$K$62</definedName>
    <definedName name="Est16_GenDepr" localSheetId="2">'[1]2016 EST COST DATA'!$K$38</definedName>
    <definedName name="Est16_GenDepr">'[2]2016 EST COST DATA'!$K$38</definedName>
    <definedName name="Est16_GenOM" localSheetId="2">'[1]2016 EST COST DATA'!$K$121</definedName>
    <definedName name="Est16_GenOM">'[2]2016 EST COST DATA'!$K$121</definedName>
    <definedName name="Est16_GenPlant" localSheetId="2">'[1]2016 EST COST DATA'!$K$17</definedName>
    <definedName name="Est16_GenPlant">'[2]2016 EST COST DATA'!$K$17</definedName>
    <definedName name="Est16_PlantCapacity" localSheetId="2">'[1]Input Sheet'!$C$148</definedName>
    <definedName name="Est16_PlantCapacity">'[2]Input Sheet'!$C$148</definedName>
    <definedName name="Est16_RegCapacity" localSheetId="2">'[1]Input Sheet'!$C$149</definedName>
    <definedName name="Est16_RegCapacity">'[2]Input Sheet'!$C$149</definedName>
    <definedName name="Est16_RMR_AccumDepr" localSheetId="2">'[1]Input Sheet'!$C$37</definedName>
    <definedName name="Est16_RMR_AccumDepr">'[2]Input Sheet'!$C$37</definedName>
    <definedName name="Est16_RMR_AGExp" localSheetId="2">'[1]Input Sheet'!$C$75</definedName>
    <definedName name="Est16_RMR_AGExp">'[2]Input Sheet'!$C$75</definedName>
    <definedName name="Est16_RMR_CME" localSheetId="2">'[1]Input Sheet'!$C$78</definedName>
    <definedName name="Est16_RMR_CME">'[2]Input Sheet'!$C$78</definedName>
    <definedName name="Est16_RMR_DeprExp" localSheetId="2">'[1]Input Sheet'!$C$85</definedName>
    <definedName name="Est16_RMR_DeprExp">'[2]Input Sheet'!$C$85</definedName>
    <definedName name="Est16_RMR_LTDebt" localSheetId="2">'[1]Input Sheet'!$C$92</definedName>
    <definedName name="Est16_RMR_LTDebt">'[2]Input Sheet'!$C$92</definedName>
    <definedName name="Est16_RMR_LTInt" localSheetId="2">'[1]Input Sheet'!$C$93</definedName>
    <definedName name="Est16_RMR_LTInt">'[2]Input Sheet'!$C$93</definedName>
    <definedName name="Est16_RMR_OM" localSheetId="2">'[1]2016 EST COST DATA'!$E$119</definedName>
    <definedName name="Est16_RMR_OM">'[2]2016 EST COST DATA'!$E$119</definedName>
    <definedName name="Est16_RMR_Plant" localSheetId="2">'[1]Input Sheet'!$C$23</definedName>
    <definedName name="Est16_RMR_Plant">'[2]Input Sheet'!$C$23</definedName>
    <definedName name="Est16_RMR_Total_OM" localSheetId="2">'[1]Input Sheet'!$C$73</definedName>
    <definedName name="Est16_RMR_Total_OM">'[2]Input Sheet'!$C$73</definedName>
    <definedName name="Est16_RMR_TPlant" localSheetId="2">'[1]Input Sheet'!$C$24</definedName>
    <definedName name="Est16_RMR_TPlant">'[2]Input Sheet'!$C$24</definedName>
    <definedName name="Est16_RMR_TransAccumDepr" localSheetId="2">'[1]Input Sheet'!$C$38</definedName>
    <definedName name="Est16_RMR_TransAccumDepr">'[2]Input Sheet'!$C$38</definedName>
    <definedName name="Est16_RMR_Warehouse_Stores" localSheetId="2">'[1]Input Sheet'!$C$79</definedName>
    <definedName name="Est16_RMR_Warehouse_Stores">'[2]Input Sheet'!$C$79</definedName>
    <definedName name="Est16_SSCD_Other_Revenue" localSheetId="2">'[1]Input Sheet'!$C$142</definedName>
    <definedName name="Est16_SSCD_Other_Revenue">'[2]Input Sheet'!$C$142</definedName>
    <definedName name="Est16_SSCD_RevRqmt" localSheetId="2">'[1]WAUGP-AS1 2016 est'!$C$17</definedName>
    <definedName name="Est16_SSCD_RevRqmt">'[2]WAUGP-AS1 2016 est'!$C$17</definedName>
    <definedName name="Est16_Trans_Composite_IntRate" localSheetId="2">'[1]2016 EST COST DATA'!$K$60</definedName>
    <definedName name="Est16_Trans_Composite_IntRate">'[2]2016 EST COST DATA'!$K$60</definedName>
    <definedName name="Est16_TransAG" localSheetId="2">'[1]2016 EST COST DATA'!$K$94</definedName>
    <definedName name="Est16_TransAG">'[2]2016 EST COST DATA'!$K$94</definedName>
    <definedName name="Est16_TransDepr" localSheetId="2">'[1]2016 EST COST DATA'!$K$37</definedName>
    <definedName name="Est16_TransDepr">'[2]2016 EST COST DATA'!$K$37</definedName>
    <definedName name="Est16_TransOM" localSheetId="2">'[1]2016 EST COST DATA'!$K$120</definedName>
    <definedName name="Est16_TransOM">'[2]2016 EST COST DATA'!$K$120</definedName>
    <definedName name="Est16_TransPlant" localSheetId="2">'[1]2016 EST COST DATA'!$K$16</definedName>
    <definedName name="Est16_TransPlant">'[2]2016 EST COST DATA'!$K$16</definedName>
    <definedName name="Est17_BOR_OM" localSheetId="2">'[1]Input Sheet'!$B$81</definedName>
    <definedName name="Est17_BOR_OM">'[2]Input Sheet'!$B$81</definedName>
    <definedName name="Est17_BxPS_BEFP_AccumDepr" localSheetId="2">'[1]Input Sheet'!$B$34</definedName>
    <definedName name="Est17_BxPS_BEFP_AccumDepr">'[2]Input Sheet'!$B$34</definedName>
    <definedName name="Est17_BxPS_BEFP_AGExp" localSheetId="2">'[1]Input Sheet'!$B$65</definedName>
    <definedName name="Est17_BxPS_BEFP_AGExp">'[2]Input Sheet'!$B$65</definedName>
    <definedName name="Est17_BxPS_BEFP_CME" localSheetId="2">'[1]Input Sheet'!$B$69</definedName>
    <definedName name="Est17_BxPS_BEFP_CME">'[2]Input Sheet'!$B$69</definedName>
    <definedName name="Est17_BxPS_BEFP_DepMOVP" localSheetId="2">'[1]Input Sheet'!$B$67</definedName>
    <definedName name="Est17_BxPS_BEFP_DepMOVP">'[2]Input Sheet'!$B$67</definedName>
    <definedName name="Est17_BxPS_BEFP_DeprExp" localSheetId="2">'[1]Input Sheet'!$B$84</definedName>
    <definedName name="Est17_BxPS_BEFP_DeprExp">'[2]Input Sheet'!$B$84</definedName>
    <definedName name="Est17_BxPS_BEFP_DispofAssets" localSheetId="2">'[1]Input Sheet'!$B$68</definedName>
    <definedName name="Est17_BxPS_BEFP_DispofAssets">'[2]Input Sheet'!$B$68</definedName>
    <definedName name="Est17_BxPS_BEFP_GenAccumDepr" localSheetId="2">'[1]Input Sheet'!$B$36</definedName>
    <definedName name="Est17_BxPS_BEFP_GenAccumDepr">'[2]Input Sheet'!$B$36</definedName>
    <definedName name="Est17_BxPS_BEFP_GenPlant" localSheetId="2">'[1]Input Sheet'!$B$19</definedName>
    <definedName name="Est17_BxPS_BEFP_GenPlant">'[2]Input Sheet'!$B$19</definedName>
    <definedName name="Est17_BxPS_BEFP_Plant" localSheetId="2">'[1]Input Sheet'!$B$16</definedName>
    <definedName name="Est17_BxPS_BEFP_Plant">'[2]Input Sheet'!$B$16</definedName>
    <definedName name="Est17_BxPS_BEFP_TotalOM" localSheetId="2">'[1]Input Sheet'!$B$63</definedName>
    <definedName name="Est17_BxPS_BEFP_TotalOM">'[2]Input Sheet'!$B$63</definedName>
    <definedName name="Est17_BxPS_BEFP_TPlant" localSheetId="2">'[1]Input Sheet'!$B$17</definedName>
    <definedName name="Est17_BxPS_BEFP_TPlant">'[2]Input Sheet'!$B$17</definedName>
    <definedName name="Est17_BxPS_BEFP_TransAccumDepr" localSheetId="2">'[1]Input Sheet'!$B$35</definedName>
    <definedName name="Est17_BxPS_BEFP_TransAccumDepr">'[2]Input Sheet'!$B$35</definedName>
    <definedName name="Est17_BxPS_BEFP_WageSalary" localSheetId="2">'[1]Input Sheet'!$B$125</definedName>
    <definedName name="Est17_BxPS_BEFP_WageSalary">'[2]Input Sheet'!$B$125</definedName>
    <definedName name="Est17_BxPS_BEFP_Warehouse_Stores" localSheetId="2">'[1]Input Sheet'!$B$70</definedName>
    <definedName name="Est17_BxPS_BEFP_Warehouse_Stores">'[2]Input Sheet'!$B$70</definedName>
    <definedName name="Est17_BXPS_OM" localSheetId="2">'[1]2017 EST COST DATA'!$C$119</definedName>
    <definedName name="Est17_BXPS_OM">'[2]2017 EST COST DATA'!$C$119</definedName>
    <definedName name="Est17_COE_AccumDeprGen" localSheetId="2">'[1]Input Sheet'!$B$41</definedName>
    <definedName name="Est17_COE_AccumDeprGen">'[2]Input Sheet'!$B$41</definedName>
    <definedName name="Est17_COE_DeprExp" localSheetId="2">'[1]Input Sheet'!$B$86</definedName>
    <definedName name="Est17_COE_DeprExp">'[2]Input Sheet'!$B$86</definedName>
    <definedName name="Est17_COE_Gen" localSheetId="2">'[1]Input Sheet'!$B$29</definedName>
    <definedName name="Est17_COE_Gen">'[2]Input Sheet'!$B$29</definedName>
    <definedName name="Est17_COE_OM" localSheetId="2">'[1]Input Sheet'!$B$80</definedName>
    <definedName name="Est17_COE_OM">'[2]Input Sheet'!$B$80</definedName>
    <definedName name="Est17_COE_Plant" localSheetId="2">'[1]Input Sheet'!$B$26</definedName>
    <definedName name="Est17_COE_Plant">'[2]Input Sheet'!$B$26</definedName>
    <definedName name="Est17_COE_TPlant" localSheetId="2">'[1]Input Sheet'!$B$27</definedName>
    <definedName name="Est17_COE_TPlant">'[2]Input Sheet'!$B$27</definedName>
    <definedName name="Est17_COE_TransAccumDepr" localSheetId="2">'[1]Input Sheet'!$B$40</definedName>
    <definedName name="Est17_COE_TransAccumDepr">'[2]Input Sheet'!$B$40</definedName>
    <definedName name="Est17_Credit_Acct454" localSheetId="2">'[1]Input Sheet'!$B$14</definedName>
    <definedName name="Est17_Credit_Acct454">'[2]Input Sheet'!$B$14</definedName>
    <definedName name="Est17_Credit_ExstRev" localSheetId="2">'[1]Input Sheet'!$B$12</definedName>
    <definedName name="Est17_Credit_ExstRev">'[2]Input Sheet'!$B$12</definedName>
    <definedName name="Est17_Credit_NFPTP" localSheetId="2">'[1]Input Sheet'!$B$11</definedName>
    <definedName name="Est17_Credit_NFPTP">'[2]Input Sheet'!$B$11</definedName>
    <definedName name="Est17_Credit_SSCD" localSheetId="2">'[1]Input Sheet'!$B$13</definedName>
    <definedName name="Est17_Credit_SSCD">'[2]Input Sheet'!$B$13</definedName>
    <definedName name="Est17_Credit_STPTP" localSheetId="2">'[1]Input Sheet'!$B$10</definedName>
    <definedName name="Est17_Credit_STPTP">'[2]Input Sheet'!$B$10</definedName>
    <definedName name="Est17_RMR_AGExp" localSheetId="2">'[1]Input Sheet'!$B$75</definedName>
    <definedName name="Est17_RMR_AGExp">'[2]Input Sheet'!$B$75</definedName>
    <definedName name="Est17_RMR_CME" localSheetId="2">'[1]Input Sheet'!$B$78</definedName>
    <definedName name="Est17_RMR_CME">'[2]Input Sheet'!$B$78</definedName>
    <definedName name="Est17_RMR_DeprExp" localSheetId="2">'[1]Input Sheet'!$B$85</definedName>
    <definedName name="Est17_RMR_DeprExp">'[2]Input Sheet'!$B$85</definedName>
    <definedName name="Est17_RMR_OM" localSheetId="2">'[1]2017 EST COST DATA'!$E$119</definedName>
    <definedName name="Est17_RMR_OM">'[2]2017 EST COST DATA'!$E$119</definedName>
    <definedName name="Est17_RMR_Plant" localSheetId="2">'[1]Input Sheet'!$B$23</definedName>
    <definedName name="Est17_RMR_Plant">'[2]Input Sheet'!$B$23</definedName>
    <definedName name="Est17_RMR_Total_OM" localSheetId="2">'[1]Input Sheet'!$B$73</definedName>
    <definedName name="Est17_RMR_Total_OM">'[2]Input Sheet'!$B$73</definedName>
    <definedName name="Est17_RMR_TPlant" localSheetId="2">'[1]Input Sheet'!$B$24</definedName>
    <definedName name="Est17_RMR_TPlant">'[2]Input Sheet'!$B$24</definedName>
    <definedName name="Est17_RMR_TransAccumDepr" localSheetId="2">'[1]Input Sheet'!$B$38</definedName>
    <definedName name="Est17_RMR_TransAccumDepr">'[2]Input Sheet'!$B$38</definedName>
    <definedName name="Est17_RMR_Warehouse_Stores" localSheetId="2">'[1]Input Sheet'!$B$79</definedName>
    <definedName name="Est17_RMR_Warehouse_Stores">'[2]Input Sheet'!$B$79</definedName>
    <definedName name="GALION" localSheetId="0">#REF!</definedName>
    <definedName name="GALION" localSheetId="1">#REF!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10">#REF!</definedName>
    <definedName name="GALION" localSheetId="9">#REF!</definedName>
    <definedName name="GALION">#REF!</definedName>
    <definedName name="GENOA" localSheetId="0">#REF!</definedName>
    <definedName name="GENOA" localSheetId="1">#REF!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10">#REF!</definedName>
    <definedName name="GENOA" localSheetId="9">#REF!</definedName>
    <definedName name="GENOA">#REF!</definedName>
    <definedName name="GENOA_NORTH" localSheetId="0">#REF!</definedName>
    <definedName name="GENOA_NORTH" localSheetId="1">#REF!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10">#REF!</definedName>
    <definedName name="GENOA_NORTH" localSheetId="9">#REF!</definedName>
    <definedName name="GENOA_NORTH">#REF!</definedName>
    <definedName name="GENOA_SOUTH" localSheetId="0">#REF!</definedName>
    <definedName name="GENOA_SOUTH" localSheetId="1">#REF!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10">#REF!</definedName>
    <definedName name="GENOA_SOUTH" localSheetId="9">#REF!</definedName>
    <definedName name="GENOA_SOUTH">#REF!</definedName>
    <definedName name="GRAFTON" localSheetId="0">#REF!</definedName>
    <definedName name="GRAFTON" localSheetId="1">#REF!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10">#REF!</definedName>
    <definedName name="GRAFTON" localSheetId="9">#REF!</definedName>
    <definedName name="GRAFTON">#REF!</definedName>
    <definedName name="Grove_City" localSheetId="0">#REF!</definedName>
    <definedName name="Grove_City" localSheetId="1">#REF!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10">#REF!</definedName>
    <definedName name="Grove_City" localSheetId="9">#REF!</definedName>
    <definedName name="Grove_City">#REF!</definedName>
    <definedName name="HASKINS" localSheetId="0">#REF!</definedName>
    <definedName name="HASKINS" localSheetId="1">#REF!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10">#REF!</definedName>
    <definedName name="HASKINS" localSheetId="9">#REF!</definedName>
    <definedName name="HASKINS">#REF!</definedName>
    <definedName name="hourending" localSheetId="0">#REF!</definedName>
    <definedName name="hourending" localSheetId="1">#REF!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10">#REF!</definedName>
    <definedName name="hourending" localSheetId="9">#REF!</definedName>
    <definedName name="hourending">#REF!</definedName>
    <definedName name="HUBBARD" localSheetId="0">#REF!</definedName>
    <definedName name="HUBBARD" localSheetId="1">#REF!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10">#REF!</definedName>
    <definedName name="HUBBARD" localSheetId="9">#REF!</definedName>
    <definedName name="HUBBARD">#REF!</definedName>
    <definedName name="HUBBARD1" localSheetId="0">#REF!</definedName>
    <definedName name="HUBBARD1" localSheetId="1">#REF!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10">#REF!</definedName>
    <definedName name="HUBBARD1" localSheetId="9">#REF!</definedName>
    <definedName name="HUBBARD1">#REF!</definedName>
    <definedName name="LODI" localSheetId="0">#REF!</definedName>
    <definedName name="LODI" localSheetId="1">#REF!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10">#REF!</definedName>
    <definedName name="LODI" localSheetId="9">#REF!</definedName>
    <definedName name="LODI">#REF!</definedName>
    <definedName name="LUCAS" localSheetId="0">#REF!</definedName>
    <definedName name="LUCAS" localSheetId="1">#REF!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10">#REF!</definedName>
    <definedName name="LUCAS" localSheetId="9">#REF!</definedName>
    <definedName name="LUCAS">#REF!</definedName>
    <definedName name="MILAN" localSheetId="0">#REF!</definedName>
    <definedName name="MILAN" localSheetId="1">#REF!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10">#REF!</definedName>
    <definedName name="MILAN" localSheetId="9">#REF!</definedName>
    <definedName name="MILAN">#REF!</definedName>
    <definedName name="MONROEVILLE" localSheetId="0">#REF!</definedName>
    <definedName name="MONROEVILLE" localSheetId="1">#REF!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10">#REF!</definedName>
    <definedName name="MONROEVILLE" localSheetId="9">#REF!</definedName>
    <definedName name="MONROEVILLE">#REF!</definedName>
    <definedName name="NAPOLEON" localSheetId="0">#REF!</definedName>
    <definedName name="NAPOLEON" localSheetId="1">#REF!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10">#REF!</definedName>
    <definedName name="NAPOLEON" localSheetId="9">#REF!</definedName>
    <definedName name="NAPOLEON">#REF!</definedName>
    <definedName name="NEASG" localSheetId="0">#REF!</definedName>
    <definedName name="NEASG" localSheetId="1">#REF!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10">#REF!</definedName>
    <definedName name="NEASG" localSheetId="9">#REF!</definedName>
    <definedName name="NEASG">#REF!</definedName>
    <definedName name="New_Wilmington" localSheetId="0">#REF!</definedName>
    <definedName name="New_Wilmington" localSheetId="1">#REF!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10">#REF!</definedName>
    <definedName name="New_Wilmington" localSheetId="9">#REF!</definedName>
    <definedName name="New_Wilmington">#REF!</definedName>
    <definedName name="NEWTON_FALLS" localSheetId="0">#REF!</definedName>
    <definedName name="NEWTON_FALLS" localSheetId="1">#REF!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10">#REF!</definedName>
    <definedName name="NEWTON_FALLS" localSheetId="9">#REF!</definedName>
    <definedName name="NEWTON_FALLS">#REF!</definedName>
    <definedName name="NILES" localSheetId="0">#REF!</definedName>
    <definedName name="NILES" localSheetId="1">#REF!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10">#REF!</definedName>
    <definedName name="NILES" localSheetId="9">#REF!</definedName>
    <definedName name="NILES">#REF!</definedName>
    <definedName name="NWASG" localSheetId="0">#REF!</definedName>
    <definedName name="NWASG" localSheetId="1">#REF!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10">#REF!</definedName>
    <definedName name="NWASG" localSheetId="9">#REF!</definedName>
    <definedName name="NWASG">#REF!</definedName>
    <definedName name="OAK_HARBOR" localSheetId="0">#REF!</definedName>
    <definedName name="OAK_HARBOR" localSheetId="1">#REF!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10">#REF!</definedName>
    <definedName name="OAK_HARBOR" localSheetId="9">#REF!</definedName>
    <definedName name="OAK_HARBOR">#REF!</definedName>
    <definedName name="OBERLIN" localSheetId="0">#REF!</definedName>
    <definedName name="OBERLIN" localSheetId="1">#REF!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10">#REF!</definedName>
    <definedName name="OBERLIN" localSheetId="9">#REF!</definedName>
    <definedName name="OBERLIN">#REF!</definedName>
    <definedName name="PEMBERVILLE" localSheetId="0">#REF!</definedName>
    <definedName name="PEMBERVILLE" localSheetId="1">#REF!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10">#REF!</definedName>
    <definedName name="PEMBERVILLE" localSheetId="9">#REF!</definedName>
    <definedName name="PEMBERVILLE">#REF!</definedName>
    <definedName name="PIONEER" localSheetId="0">#REF!</definedName>
    <definedName name="PIONEER" localSheetId="1">#REF!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10">#REF!</definedName>
    <definedName name="PIONEER" localSheetId="9">#REF!</definedName>
    <definedName name="PIONEER">#REF!</definedName>
    <definedName name="_xlnm.Print_Area" localSheetId="2">'Rev Log'!$B:$J</definedName>
    <definedName name="_xlnm.Print_Area" localSheetId="1">'Summary-ATRR'!$A$1:$J$37</definedName>
    <definedName name="_xlnm.Print_Area" localSheetId="12">'WS10-AI-Excl'!$A$1:$E$186</definedName>
    <definedName name="_xlnm.Print_Area" localSheetId="13">'WS11-FacChanges'!$A$1:$C$18</definedName>
    <definedName name="_xlnm.Print_Area" localSheetId="14">'WS12-SSCD'!$A$1:$D$21</definedName>
    <definedName name="_xlnm.Print_Area" localSheetId="15">'WS13-SSCDFac'!$A$1:$I$142</definedName>
    <definedName name="_xlnm.Print_Area" localSheetId="16">'WS14-Reg'!$A$1:$D$22</definedName>
    <definedName name="_xlnm.Print_Area" localSheetId="17">'WS15-Res'!$A$1:$D$23</definedName>
    <definedName name="_xlnm.Print_Area" localSheetId="3">'WS1-RateBase'!$A$1:$I$173</definedName>
    <definedName name="_xlnm.Print_Area" localSheetId="4">'WS2-AllocFactor'!$A$1:$H$37</definedName>
    <definedName name="_xlnm.Print_Area" localSheetId="5">'WS3-RevCredits'!$A$1:$I$35</definedName>
    <definedName name="_xlnm.Print_Area" localSheetId="6">'WS4-CostData'!$A$1:$L$134</definedName>
    <definedName name="_xlnm.Print_Area" localSheetId="7">'WS5-BPUz'!$A$1:$P$19</definedName>
    <definedName name="_xlnm.Print_Area" localSheetId="8">'WS6-BPUr'!$A$1:$P$18</definedName>
    <definedName name="_xlnm.Print_Area" localSheetId="10">'WS7-BPUFac'!$A$1:$H$74</definedName>
    <definedName name="_xlnm.Print_Area" localSheetId="9">'WS8-TransFac'!$A$1:$K$523</definedName>
    <definedName name="_xlnm.Print_Area" localSheetId="11">'WS9-AI-Incl'!$A$1:$L$804</definedName>
    <definedName name="PROSPECT" localSheetId="0">#REF!</definedName>
    <definedName name="PROSPECT" localSheetId="1">#REF!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10">#REF!</definedName>
    <definedName name="PROSPECT" localSheetId="9">#REF!</definedName>
    <definedName name="PROSPECT">#REF!</definedName>
    <definedName name="revreq" localSheetId="0">#REF!</definedName>
    <definedName name="revreq" localSheetId="1">#REF!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10">#REF!</definedName>
    <definedName name="revreq" localSheetId="9">#REF!</definedName>
    <definedName name="revreq">#REF!</definedName>
    <definedName name="SEVILLE" localSheetId="0">#REF!</definedName>
    <definedName name="SEVILLE" localSheetId="1">#REF!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10">#REF!</definedName>
    <definedName name="SEVILLE" localSheetId="9">#REF!</definedName>
    <definedName name="SEVILLE">#REF!</definedName>
    <definedName name="SOUTH_VIENNA" localSheetId="0">#REF!</definedName>
    <definedName name="SOUTH_VIENNA" localSheetId="1">#REF!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10">#REF!</definedName>
    <definedName name="SOUTH_VIENNA" localSheetId="9">#REF!</definedName>
    <definedName name="SOUTH_VIENNA">#REF!</definedName>
    <definedName name="TOTAL_COLUMBIANA" localSheetId="0">#REF!</definedName>
    <definedName name="TOTAL_COLUMBIANA" localSheetId="1">#REF!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10">#REF!</definedName>
    <definedName name="TOTAL_COLUMBIANA" localSheetId="9">#REF!</definedName>
    <definedName name="TOTAL_COLUMBIANA">#REF!</definedName>
    <definedName name="Total_Grove_City" localSheetId="0">#REF!</definedName>
    <definedName name="Total_Grove_City" localSheetId="1">#REF!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10">#REF!</definedName>
    <definedName name="Total_Grove_City" localSheetId="9">#REF!</definedName>
    <definedName name="Total_Grove_City">#REF!</definedName>
    <definedName name="TOTAL_HUDSON" localSheetId="0">#REF!</definedName>
    <definedName name="TOTAL_HUDSON" localSheetId="1">#REF!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10">#REF!</definedName>
    <definedName name="TOTAL_HUDSON" localSheetId="9">#REF!</definedName>
    <definedName name="TOTAL_HUDSON">#REF!</definedName>
    <definedName name="TOTAL_MONTPELIER" localSheetId="0">#REF!</definedName>
    <definedName name="TOTAL_MONTPELIER" localSheetId="1">#REF!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10">#REF!</definedName>
    <definedName name="TOTAL_MONTPELIER" localSheetId="9">#REF!</definedName>
    <definedName name="TOTAL_MONTPELIER">#REF!</definedName>
    <definedName name="TOTAL_WOODVILLE" localSheetId="0">#REF!</definedName>
    <definedName name="TOTAL_WOODVILLE" localSheetId="1">#REF!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10">#REF!</definedName>
    <definedName name="TOTAL_WOODVILLE" localSheetId="9">#REF!</definedName>
    <definedName name="TOTAL_WOODVILLE">#REF!</definedName>
    <definedName name="WADSWORTH" localSheetId="0">#REF!</definedName>
    <definedName name="WADSWORTH" localSheetId="1">#REF!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10">#REF!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7" l="1"/>
  <c r="C24" i="37"/>
  <c r="C29" i="37"/>
  <c r="C25" i="37"/>
  <c r="F7" i="30"/>
  <c r="H24" i="37"/>
  <c r="H14" i="37"/>
  <c r="A1" i="39"/>
  <c r="A4" i="39"/>
  <c r="A8" i="39"/>
  <c r="D8" i="39"/>
  <c r="H8" i="39"/>
  <c r="A9" i="39"/>
  <c r="A10" i="39" s="1"/>
  <c r="A13" i="39" s="1"/>
  <c r="D9" i="39"/>
  <c r="H9" i="39" s="1"/>
  <c r="D13" i="39"/>
  <c r="D27" i="39" s="1"/>
  <c r="D14" i="39"/>
  <c r="D15" i="39"/>
  <c r="D29" i="39" s="1"/>
  <c r="B20" i="39"/>
  <c r="D20" i="39"/>
  <c r="E20" i="39"/>
  <c r="F20" i="39"/>
  <c r="B21" i="39"/>
  <c r="B28" i="39" s="1"/>
  <c r="D21" i="39"/>
  <c r="D28" i="39" s="1"/>
  <c r="E21" i="39"/>
  <c r="B22" i="39"/>
  <c r="B29" i="39" s="1"/>
  <c r="D22" i="39"/>
  <c r="E22" i="39"/>
  <c r="F22" i="39"/>
  <c r="B23" i="39"/>
  <c r="E23" i="39"/>
  <c r="B24" i="39"/>
  <c r="B31" i="39" s="1"/>
  <c r="E24" i="39"/>
  <c r="D25" i="39"/>
  <c r="B27" i="39"/>
  <c r="B30" i="39"/>
  <c r="D30" i="39"/>
  <c r="D31" i="39"/>
  <c r="E37" i="39"/>
  <c r="D39" i="39"/>
  <c r="E40" i="39"/>
  <c r="D49" i="39"/>
  <c r="D50" i="39"/>
  <c r="D51" i="39"/>
  <c r="H52" i="39"/>
  <c r="D54" i="39"/>
  <c r="D61" i="39" s="1"/>
  <c r="D42" i="39" s="1"/>
  <c r="D45" i="39" s="1"/>
  <c r="E54" i="39"/>
  <c r="D55" i="39"/>
  <c r="E55" i="39"/>
  <c r="E57" i="39"/>
  <c r="H60" i="39"/>
  <c r="B63" i="39"/>
  <c r="D64" i="39"/>
  <c r="E64" i="39"/>
  <c r="D65" i="39"/>
  <c r="E65" i="39"/>
  <c r="D66" i="39"/>
  <c r="B68" i="39"/>
  <c r="D69" i="39"/>
  <c r="E73" i="39"/>
  <c r="E77" i="39"/>
  <c r="D79" i="39"/>
  <c r="D81" i="39"/>
  <c r="D84" i="39" s="1"/>
  <c r="D87" i="39" s="1"/>
  <c r="H93" i="39"/>
  <c r="H96" i="39" s="1"/>
  <c r="H101" i="39"/>
  <c r="H102" i="39"/>
  <c r="F107" i="39"/>
  <c r="D108" i="39"/>
  <c r="D111" i="39" s="1"/>
  <c r="F109" i="39"/>
  <c r="F110" i="39"/>
  <c r="D114" i="39"/>
  <c r="H116" i="39" s="1"/>
  <c r="F49" i="39" s="1"/>
  <c r="D115" i="39"/>
  <c r="D117" i="39"/>
  <c r="D118" i="39"/>
  <c r="H119" i="39" s="1"/>
  <c r="F50" i="39" s="1"/>
  <c r="D120" i="39"/>
  <c r="D121" i="39"/>
  <c r="H122" i="39" s="1"/>
  <c r="F51" i="39" s="1"/>
  <c r="F126" i="39"/>
  <c r="D128" i="39"/>
  <c r="D130" i="39"/>
  <c r="F133" i="39" s="1"/>
  <c r="D133" i="39"/>
  <c r="D135" i="39" s="1"/>
  <c r="F134" i="39"/>
  <c r="H143" i="39"/>
  <c r="H144" i="39"/>
  <c r="B148" i="39"/>
  <c r="H148" i="39"/>
  <c r="B171" i="39"/>
  <c r="E133" i="39" l="1"/>
  <c r="H133" i="39" s="1"/>
  <c r="H135" i="39" s="1"/>
  <c r="E135" i="39"/>
  <c r="E134" i="39"/>
  <c r="D32" i="39"/>
  <c r="D46" i="39" s="1"/>
  <c r="A14" i="39"/>
  <c r="F66" i="39"/>
  <c r="H66" i="39" s="1"/>
  <c r="H51" i="39"/>
  <c r="F64" i="39"/>
  <c r="H64" i="39" s="1"/>
  <c r="F54" i="39"/>
  <c r="H54" i="39" s="1"/>
  <c r="H49" i="39"/>
  <c r="F55" i="39"/>
  <c r="H55" i="39" s="1"/>
  <c r="H50" i="39"/>
  <c r="F65" i="39"/>
  <c r="H65" i="39" s="1"/>
  <c r="H134" i="39"/>
  <c r="D18" i="39"/>
  <c r="H97" i="39"/>
  <c r="H103" i="39" s="1"/>
  <c r="C10" i="39"/>
  <c r="D82" i="39" l="1"/>
  <c r="D89" i="39"/>
  <c r="H137" i="39"/>
  <c r="A15" i="39"/>
  <c r="C93" i="39"/>
  <c r="E108" i="39"/>
  <c r="F108" i="39" s="1"/>
  <c r="F111" i="39" s="1"/>
  <c r="H111" i="39" s="1"/>
  <c r="F14" i="39"/>
  <c r="H14" i="39" s="1"/>
  <c r="F21" i="39"/>
  <c r="H104" i="39"/>
  <c r="A16" i="39" l="1"/>
  <c r="F58" i="39"/>
  <c r="H58" i="39" s="1"/>
  <c r="F43" i="39"/>
  <c r="H43" i="39" s="1"/>
  <c r="F40" i="39"/>
  <c r="H40" i="39" s="1"/>
  <c r="H21" i="39"/>
  <c r="H28" i="39"/>
  <c r="F16" i="39"/>
  <c r="H126" i="39"/>
  <c r="I124" i="39" s="1"/>
  <c r="F56" i="39"/>
  <c r="H56" i="39" s="1"/>
  <c r="F67" i="39"/>
  <c r="F57" i="39"/>
  <c r="H57" i="39" s="1"/>
  <c r="D86" i="39"/>
  <c r="D88" i="39" s="1"/>
  <c r="D90" i="39" s="1"/>
  <c r="F72" i="39" l="1"/>
  <c r="H67" i="39"/>
  <c r="F17" i="39"/>
  <c r="F59" i="39"/>
  <c r="A17" i="39"/>
  <c r="H16" i="39"/>
  <c r="F23" i="39"/>
  <c r="H23" i="39" s="1"/>
  <c r="F68" i="39" l="1"/>
  <c r="H68" i="39" s="1"/>
  <c r="H59" i="39"/>
  <c r="H61" i="39" s="1"/>
  <c r="A18" i="39"/>
  <c r="A20" i="39" s="1"/>
  <c r="C18" i="39"/>
  <c r="F24" i="39"/>
  <c r="H24" i="39" s="1"/>
  <c r="H25" i="39" s="1"/>
  <c r="H17" i="39"/>
  <c r="H31" i="39" s="1"/>
  <c r="H30" i="39"/>
  <c r="H72" i="39"/>
  <c r="F73" i="39"/>
  <c r="H73" i="39" s="1"/>
  <c r="H69" i="39"/>
  <c r="A21" i="39" l="1"/>
  <c r="C27" i="39"/>
  <c r="H18" i="39"/>
  <c r="F18" i="39" s="1"/>
  <c r="H32" i="39"/>
  <c r="F32" i="39" s="1"/>
  <c r="F35" i="39" l="1"/>
  <c r="F87" i="39"/>
  <c r="H87" i="39" s="1"/>
  <c r="F44" i="39"/>
  <c r="H44" i="39" s="1"/>
  <c r="H45" i="39" s="1"/>
  <c r="F75" i="39"/>
  <c r="A22" i="39"/>
  <c r="C28" i="39"/>
  <c r="H75" i="39" l="1"/>
  <c r="F77" i="39"/>
  <c r="A23" i="39"/>
  <c r="C29" i="39"/>
  <c r="F36" i="39"/>
  <c r="H35" i="39"/>
  <c r="F38" i="39" l="1"/>
  <c r="H38" i="39" s="1"/>
  <c r="H36" i="39"/>
  <c r="F37" i="39"/>
  <c r="H37" i="39" s="1"/>
  <c r="A24" i="39"/>
  <c r="C30" i="39"/>
  <c r="F78" i="39"/>
  <c r="H78" i="39" s="1"/>
  <c r="H77" i="39"/>
  <c r="H79" i="39" s="1"/>
  <c r="H39" i="39"/>
  <c r="H46" i="39" s="1"/>
  <c r="H89" i="39" s="1"/>
  <c r="H90" i="39" l="1"/>
  <c r="H86" i="39"/>
  <c r="H88" i="39" s="1"/>
  <c r="A25" i="39"/>
  <c r="A27" i="39" s="1"/>
  <c r="C31" i="39"/>
  <c r="C25" i="39"/>
  <c r="D7" i="39" l="1"/>
  <c r="D10" i="39" s="1"/>
  <c r="H7" i="39"/>
  <c r="H10" i="39" s="1"/>
  <c r="C32" i="39"/>
  <c r="A28" i="39"/>
  <c r="A29" i="39" s="1"/>
  <c r="A30" i="39" s="1"/>
  <c r="A31" i="39" s="1"/>
  <c r="A32" i="39" s="1"/>
  <c r="A34" i="39" l="1"/>
  <c r="A35" i="39" l="1"/>
  <c r="A36" i="39" s="1"/>
  <c r="A37" i="39" s="1"/>
  <c r="A38" i="39" s="1"/>
  <c r="A39" i="39" s="1"/>
  <c r="A40" i="39" l="1"/>
  <c r="A42" i="39" s="1"/>
  <c r="C39" i="39"/>
  <c r="C45" i="39" l="1"/>
  <c r="A43" i="39"/>
  <c r="A44" i="39" s="1"/>
  <c r="A45" i="39" s="1"/>
  <c r="A46" i="39" l="1"/>
  <c r="C46" i="39"/>
  <c r="A49" i="39" l="1"/>
  <c r="C99" i="39" l="1"/>
  <c r="A50" i="39"/>
  <c r="A51" i="39" s="1"/>
  <c r="A52" i="39" s="1"/>
  <c r="A54" i="39" s="1"/>
  <c r="A55" i="39" s="1"/>
  <c r="A56" i="39" s="1"/>
  <c r="A57" i="39" s="1"/>
  <c r="A58" i="39" l="1"/>
  <c r="A59" i="39" s="1"/>
  <c r="A60" i="39" s="1"/>
  <c r="A61" i="39" s="1"/>
  <c r="B157" i="39"/>
  <c r="C61" i="39"/>
  <c r="B154" i="39" l="1"/>
  <c r="A63" i="39"/>
  <c r="C69" i="39" l="1"/>
  <c r="A64" i="39"/>
  <c r="A65" i="39" s="1"/>
  <c r="A66" i="39" s="1"/>
  <c r="A67" i="39" s="1"/>
  <c r="A68" i="39" s="1"/>
  <c r="A69" i="39" s="1"/>
  <c r="A72" i="39" l="1"/>
  <c r="A73" i="39" l="1"/>
  <c r="A75" i="39" s="1"/>
  <c r="A76" i="39" s="1"/>
  <c r="A77" i="39" s="1"/>
  <c r="A78" i="39" s="1"/>
  <c r="A79" i="39" s="1"/>
  <c r="C79" i="39"/>
  <c r="A81" i="39" l="1"/>
  <c r="A82" i="39" l="1"/>
  <c r="B84" i="39"/>
  <c r="A84" i="39" l="1"/>
  <c r="C87" i="39" l="1"/>
  <c r="A85" i="39"/>
  <c r="A86" i="39" s="1"/>
  <c r="A87" i="39" l="1"/>
  <c r="A88" i="39" s="1"/>
  <c r="A89" i="39" l="1"/>
  <c r="C90" i="39" s="1"/>
  <c r="C88" i="39"/>
  <c r="A90" i="39" l="1"/>
  <c r="C86" i="39"/>
  <c r="C7" i="39" l="1"/>
  <c r="A93" i="39"/>
  <c r="C96" i="39" l="1"/>
  <c r="A94" i="39"/>
  <c r="A95" i="39" s="1"/>
  <c r="A96" i="39" s="1"/>
  <c r="A97" i="39" l="1"/>
  <c r="C97" i="39"/>
  <c r="C103" i="39" l="1"/>
  <c r="A99" i="39"/>
  <c r="A100" i="39" l="1"/>
  <c r="A101" i="39" s="1"/>
  <c r="C102" i="39" l="1"/>
  <c r="A102" i="39"/>
  <c r="A103" i="39" s="1"/>
  <c r="C101" i="39"/>
  <c r="A104" i="39" l="1"/>
  <c r="A107" i="39" s="1"/>
  <c r="C104" i="39"/>
  <c r="A108" i="39" l="1"/>
  <c r="A109" i="39" s="1"/>
  <c r="A110" i="39" s="1"/>
  <c r="A111" i="39" s="1"/>
  <c r="A114" i="39" l="1"/>
  <c r="H125" i="39"/>
  <c r="C111" i="39"/>
  <c r="C116" i="39" l="1"/>
  <c r="A115" i="39"/>
  <c r="A116" i="39" s="1"/>
  <c r="A117" i="39" s="1"/>
  <c r="A118" i="39" l="1"/>
  <c r="A119" i="39" s="1"/>
  <c r="A120" i="39" s="1"/>
  <c r="C119" i="39" l="1"/>
  <c r="A121" i="39"/>
  <c r="A122" i="39" s="1"/>
  <c r="A125" i="39" s="1"/>
  <c r="F125" i="39" l="1"/>
  <c r="A126" i="39"/>
  <c r="A127" i="39" s="1"/>
  <c r="A128" i="39" s="1"/>
  <c r="A130" i="39" s="1"/>
  <c r="C122" i="39"/>
  <c r="B168" i="39" l="1"/>
  <c r="A133" i="39"/>
  <c r="C128" i="39"/>
  <c r="A134" i="39" l="1"/>
  <c r="A135" i="39" s="1"/>
  <c r="A136" i="39" l="1"/>
  <c r="A137" i="39" s="1"/>
  <c r="A141" i="39" s="1"/>
  <c r="C89" i="39"/>
  <c r="B83" i="39"/>
  <c r="C135" i="39"/>
  <c r="A142" i="39" l="1"/>
  <c r="A143" i="39" s="1"/>
  <c r="A144" i="39" s="1"/>
  <c r="A145" i="39" s="1"/>
  <c r="A146" i="39" s="1"/>
  <c r="A147" i="39" s="1"/>
  <c r="A148" i="39" s="1"/>
  <c r="B169" i="39"/>
  <c r="K71" i="6" l="1"/>
  <c r="A1" i="37"/>
  <c r="H6" i="37"/>
  <c r="D8" i="37"/>
  <c r="H8" i="37" s="1"/>
  <c r="D9" i="37"/>
  <c r="H9" i="37"/>
  <c r="D10" i="37"/>
  <c r="H10" i="37"/>
  <c r="D11" i="37"/>
  <c r="H11" i="37" s="1"/>
  <c r="D12" i="37"/>
  <c r="H12" i="37" s="1"/>
  <c r="D13" i="37"/>
  <c r="H13" i="37"/>
  <c r="H15" i="37"/>
  <c r="C20" i="37"/>
  <c r="D20" i="37"/>
  <c r="E20" i="37"/>
  <c r="H20" i="37"/>
  <c r="D24" i="37"/>
  <c r="D25" i="37"/>
  <c r="C26" i="37"/>
  <c r="D26" i="37"/>
  <c r="C27" i="37"/>
  <c r="D27" i="37"/>
  <c r="C28" i="37"/>
  <c r="H28" i="37" s="1"/>
  <c r="D28" i="37"/>
  <c r="D29" i="37"/>
  <c r="H29" i="37"/>
  <c r="C30" i="37"/>
  <c r="D30" i="37"/>
  <c r="H30" i="37"/>
  <c r="C31" i="37"/>
  <c r="H31" i="37" s="1"/>
  <c r="D31" i="37"/>
  <c r="C32" i="37"/>
  <c r="D32" i="37"/>
  <c r="H32" i="37"/>
  <c r="F17" i="31"/>
  <c r="D17" i="31"/>
  <c r="A7" i="28"/>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 i="28"/>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9" i="27"/>
  <c r="A10" i="27" s="1"/>
  <c r="A11" i="27" s="1"/>
  <c r="A1" i="27"/>
  <c r="A214" i="13"/>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K214" i="13"/>
  <c r="G214" i="13"/>
  <c r="H16" i="37" l="1"/>
  <c r="D14" i="37"/>
  <c r="F59" i="30"/>
  <c r="H59" i="30"/>
  <c r="D60" i="30"/>
  <c r="I66" i="6"/>
  <c r="G66" i="6"/>
  <c r="E66" i="6"/>
  <c r="C66" i="6"/>
  <c r="D69" i="30"/>
  <c r="E12" i="30" s="1"/>
  <c r="E14" i="30"/>
  <c r="E13" i="30"/>
  <c r="D15" i="30"/>
  <c r="G14" i="30"/>
  <c r="D14" i="31" s="1"/>
  <c r="F14" i="30"/>
  <c r="H14" i="30" s="1"/>
  <c r="G13" i="30"/>
  <c r="D13" i="31" s="1"/>
  <c r="H63" i="30"/>
  <c r="H64" i="30"/>
  <c r="F63" i="30"/>
  <c r="F64" i="30"/>
  <c r="D65" i="30"/>
  <c r="E11" i="30" s="1"/>
  <c r="E15" i="30" s="1"/>
  <c r="H73" i="30"/>
  <c r="F73" i="30"/>
  <c r="H71" i="30"/>
  <c r="F71" i="30"/>
  <c r="F13" i="30" s="1"/>
  <c r="H67" i="30"/>
  <c r="H68" i="30"/>
  <c r="H66" i="30"/>
  <c r="F67" i="30"/>
  <c r="F68" i="30"/>
  <c r="F66" i="30"/>
  <c r="H58" i="30"/>
  <c r="H57" i="30"/>
  <c r="H60" i="30" s="1"/>
  <c r="G10" i="30" s="1"/>
  <c r="D10" i="31" s="1"/>
  <c r="F58" i="30"/>
  <c r="F57" i="30"/>
  <c r="F60" i="30" s="1"/>
  <c r="F10" i="30" s="1"/>
  <c r="H62" i="30"/>
  <c r="F62" i="30"/>
  <c r="H61" i="30"/>
  <c r="F61" i="30"/>
  <c r="D10" i="29" l="1"/>
  <c r="H13" i="30"/>
  <c r="D7" i="29"/>
  <c r="H10" i="30"/>
  <c r="F65" i="30"/>
  <c r="F11" i="30" s="1"/>
  <c r="D11" i="29"/>
  <c r="H65" i="30"/>
  <c r="G11" i="30" s="1"/>
  <c r="D11" i="31" s="1"/>
  <c r="H69" i="30"/>
  <c r="G12" i="30" s="1"/>
  <c r="D12" i="31" s="1"/>
  <c r="F69" i="30"/>
  <c r="F12" i="30" s="1"/>
  <c r="D8" i="29" l="1"/>
  <c r="H11" i="30"/>
  <c r="D9" i="29"/>
  <c r="H12" i="30"/>
  <c r="G45" i="6"/>
  <c r="C45" i="6"/>
  <c r="G18" i="6"/>
  <c r="C18" i="6"/>
  <c r="I125" i="2"/>
  <c r="I126" i="2"/>
  <c r="I127" i="2"/>
  <c r="I128" i="2"/>
  <c r="G125" i="2"/>
  <c r="G126" i="2"/>
  <c r="G127" i="2"/>
  <c r="G128" i="2"/>
  <c r="I117" i="2"/>
  <c r="I118" i="2"/>
  <c r="G117" i="2"/>
  <c r="G118" i="2"/>
  <c r="G119" i="2"/>
  <c r="I62" i="2"/>
  <c r="I63" i="2"/>
  <c r="I64" i="2"/>
  <c r="I65" i="2"/>
  <c r="I66" i="2"/>
  <c r="I67" i="2"/>
  <c r="G62" i="2"/>
  <c r="G63" i="2"/>
  <c r="G64" i="2"/>
  <c r="G65" i="2"/>
  <c r="G66" i="2"/>
  <c r="G67" i="2"/>
  <c r="G68" i="2"/>
  <c r="E70" i="2"/>
  <c r="I48" i="2"/>
  <c r="I49" i="2"/>
  <c r="G48" i="2"/>
  <c r="G49" i="2"/>
  <c r="G50" i="2"/>
  <c r="I40" i="2"/>
  <c r="I41" i="2"/>
  <c r="I42" i="2"/>
  <c r="I43" i="2"/>
  <c r="G40" i="2"/>
  <c r="G41" i="2"/>
  <c r="G42" i="2"/>
  <c r="G43" i="2"/>
  <c r="G44" i="2"/>
  <c r="G68" i="6"/>
  <c r="E68" i="6"/>
  <c r="C68" i="6"/>
  <c r="E45" i="6"/>
  <c r="E18" i="6"/>
  <c r="E7" i="6"/>
  <c r="G7" i="6"/>
  <c r="G78" i="13" l="1"/>
  <c r="K78" i="13" s="1"/>
  <c r="H270" i="13" l="1"/>
  <c r="G475" i="13"/>
  <c r="I475" i="13" s="1"/>
  <c r="G448" i="13"/>
  <c r="I448" i="13" s="1"/>
  <c r="G384" i="13"/>
  <c r="I384" i="13" s="1"/>
  <c r="G327" i="13"/>
  <c r="I327" i="13" s="1"/>
  <c r="K448" i="13" l="1"/>
  <c r="K327" i="13"/>
  <c r="K384" i="13"/>
  <c r="K475" i="13"/>
  <c r="G126" i="13"/>
  <c r="K126" i="13" s="1"/>
  <c r="G116" i="13"/>
  <c r="K116" i="13" s="1"/>
  <c r="C120" i="6" l="1"/>
  <c r="I111" i="6" l="1"/>
  <c r="I68" i="6"/>
  <c r="I45" i="6"/>
  <c r="I18" i="6"/>
  <c r="I7" i="6"/>
  <c r="E59" i="2" l="1"/>
  <c r="O16" i="29" l="1"/>
  <c r="O6" i="29" s="1"/>
  <c r="O17" i="31"/>
  <c r="O9" i="31" l="1"/>
  <c r="E27" i="37" s="1"/>
  <c r="H27" i="37" s="1"/>
  <c r="O8" i="31"/>
  <c r="E26" i="37" s="1"/>
  <c r="H26" i="37" s="1"/>
  <c r="O7" i="31"/>
  <c r="E25" i="37" s="1"/>
  <c r="H25" i="37" s="1"/>
  <c r="O6" i="31"/>
  <c r="E24" i="37" s="1"/>
  <c r="J28" i="13"/>
  <c r="G81" i="13" l="1"/>
  <c r="G82" i="13"/>
  <c r="G80" i="13"/>
  <c r="G83" i="13"/>
  <c r="G79" i="13"/>
  <c r="K79" i="13" s="1"/>
  <c r="I74" i="2"/>
  <c r="I75" i="2"/>
  <c r="G74" i="2"/>
  <c r="G75" i="2"/>
  <c r="G51" i="2"/>
  <c r="I51" i="2"/>
  <c r="G52" i="2"/>
  <c r="I52" i="2"/>
  <c r="I24" i="2"/>
  <c r="G24" i="2"/>
  <c r="G25" i="2"/>
  <c r="C116" i="6" l="1"/>
  <c r="G111" i="6" l="1"/>
  <c r="E111" i="6" l="1"/>
  <c r="E92" i="6"/>
  <c r="E508" i="13"/>
  <c r="G287" i="13" l="1"/>
  <c r="K287" i="13" s="1"/>
  <c r="G99" i="13"/>
  <c r="K99" i="13" s="1"/>
  <c r="C69" i="6" l="1"/>
  <c r="H518" i="13"/>
  <c r="E511" i="13"/>
  <c r="E501" i="13"/>
  <c r="D54" i="30" l="1"/>
  <c r="D32" i="30"/>
  <c r="A90" i="6" l="1"/>
  <c r="A18" i="31"/>
  <c r="A19" i="31" s="1"/>
  <c r="F9" i="2" l="1"/>
  <c r="A86" i="6"/>
  <c r="G238" i="13" l="1"/>
  <c r="K238" i="13" s="1"/>
  <c r="F310" i="13" l="1"/>
  <c r="F295" i="13" l="1"/>
  <c r="F518" i="13"/>
  <c r="G309" i="13"/>
  <c r="K309" i="13" s="1"/>
  <c r="I310" i="13"/>
  <c r="H310" i="13"/>
  <c r="A10" i="31"/>
  <c r="A11" i="31" s="1"/>
  <c r="A12" i="31" s="1"/>
  <c r="A13" i="31" s="1"/>
  <c r="A14" i="31" s="1"/>
  <c r="A15" i="31" s="1"/>
  <c r="A16" i="31" s="1"/>
  <c r="A17" i="31" s="1"/>
  <c r="A8" i="29"/>
  <c r="A9" i="29" s="1"/>
  <c r="A10" i="29" s="1"/>
  <c r="A11" i="29" s="1"/>
  <c r="A12" i="29" s="1"/>
  <c r="A13" i="29" s="1"/>
  <c r="A14" i="29" s="1"/>
  <c r="A15" i="29" s="1"/>
  <c r="A16" i="29" s="1"/>
  <c r="A17" i="29" s="1"/>
  <c r="A18" i="29" s="1"/>
  <c r="I68" i="2" l="1"/>
  <c r="I69" i="2"/>
  <c r="G69" i="2"/>
  <c r="I50" i="2"/>
  <c r="I47" i="2"/>
  <c r="G47" i="2"/>
  <c r="H40" i="30"/>
  <c r="H41" i="30"/>
  <c r="H42" i="30"/>
  <c r="H43" i="30"/>
  <c r="H44" i="30"/>
  <c r="H45" i="30"/>
  <c r="H46" i="30"/>
  <c r="H47" i="30"/>
  <c r="H48" i="30"/>
  <c r="H49" i="30"/>
  <c r="H50" i="30"/>
  <c r="H51" i="30"/>
  <c r="H52" i="30"/>
  <c r="H53" i="30"/>
  <c r="F39" i="30"/>
  <c r="F40" i="30"/>
  <c r="F41" i="30"/>
  <c r="F42" i="30"/>
  <c r="F43" i="30"/>
  <c r="F44" i="30"/>
  <c r="F45" i="30"/>
  <c r="F46" i="30"/>
  <c r="F47" i="30"/>
  <c r="F48" i="30"/>
  <c r="F49" i="30"/>
  <c r="F50" i="30"/>
  <c r="F51" i="30"/>
  <c r="F52" i="30"/>
  <c r="F53" i="30"/>
  <c r="H26" i="30"/>
  <c r="H27" i="30"/>
  <c r="H28" i="30"/>
  <c r="H29" i="30"/>
  <c r="H30" i="30"/>
  <c r="H31" i="30"/>
  <c r="F26" i="30"/>
  <c r="F27" i="30"/>
  <c r="F28" i="30"/>
  <c r="F29" i="30"/>
  <c r="F30" i="30"/>
  <c r="F31" i="30"/>
  <c r="D56" i="30" l="1"/>
  <c r="H55" i="30"/>
  <c r="H56" i="30" s="1"/>
  <c r="G9" i="30" s="1"/>
  <c r="D9" i="31" s="1"/>
  <c r="F55" i="30"/>
  <c r="G504" i="13" l="1"/>
  <c r="K504" i="13" s="1"/>
  <c r="G37" i="13"/>
  <c r="K37" i="13" s="1"/>
  <c r="G103" i="13"/>
  <c r="K103" i="13" s="1"/>
  <c r="C114" i="6" l="1"/>
  <c r="C121" i="6" s="1"/>
  <c r="G307" i="13" l="1"/>
  <c r="K307" i="13" s="1"/>
  <c r="G306" i="13"/>
  <c r="K306" i="13" s="1"/>
  <c r="I121" i="6" l="1"/>
  <c r="G121" i="6"/>
  <c r="E23" i="33" l="1"/>
  <c r="H22" i="33"/>
  <c r="H21" i="33"/>
  <c r="G192" i="13"/>
  <c r="K192" i="13" s="1"/>
  <c r="I113" i="2"/>
  <c r="I114" i="2"/>
  <c r="I115" i="2"/>
  <c r="I116" i="2"/>
  <c r="I119" i="2"/>
  <c r="I120" i="2"/>
  <c r="G113" i="2"/>
  <c r="G114" i="2"/>
  <c r="G115" i="2"/>
  <c r="G116" i="2"/>
  <c r="G120" i="2"/>
  <c r="G121" i="2"/>
  <c r="G477" i="13"/>
  <c r="I477" i="13" s="1"/>
  <c r="G435" i="13"/>
  <c r="G350" i="13"/>
  <c r="I350" i="13" s="1"/>
  <c r="G21" i="13"/>
  <c r="K21" i="13" s="1"/>
  <c r="A3" i="7"/>
  <c r="H20" i="30"/>
  <c r="A1" i="18"/>
  <c r="G125" i="13"/>
  <c r="K125" i="13" s="1"/>
  <c r="G127" i="13"/>
  <c r="K127" i="13" s="1"/>
  <c r="D19" i="30"/>
  <c r="D74" i="30" s="1"/>
  <c r="K116" i="6"/>
  <c r="A1" i="9"/>
  <c r="A1" i="8"/>
  <c r="A1" i="2"/>
  <c r="A3" i="4"/>
  <c r="A1" i="4"/>
  <c r="A3" i="13"/>
  <c r="A1" i="13"/>
  <c r="A3" i="30"/>
  <c r="A1" i="30"/>
  <c r="A3" i="29"/>
  <c r="A1" i="29"/>
  <c r="A3" i="31"/>
  <c r="A1" i="31"/>
  <c r="A3" i="6"/>
  <c r="A1" i="6"/>
  <c r="A1" i="33"/>
  <c r="A1" i="7"/>
  <c r="E26" i="33"/>
  <c r="H25" i="33"/>
  <c r="H24" i="33"/>
  <c r="E20" i="33"/>
  <c r="H19" i="33"/>
  <c r="H18" i="33"/>
  <c r="H20" i="33" s="1"/>
  <c r="H16" i="33"/>
  <c r="E14" i="33"/>
  <c r="H13" i="33"/>
  <c r="H12" i="33"/>
  <c r="E11" i="33"/>
  <c r="H10" i="33"/>
  <c r="H9" i="33"/>
  <c r="H7" i="33"/>
  <c r="H6" i="33"/>
  <c r="E8" i="33"/>
  <c r="E17" i="33"/>
  <c r="H15" i="33"/>
  <c r="H18" i="30"/>
  <c r="F18" i="30"/>
  <c r="A7" i="31"/>
  <c r="A8" i="31" s="1"/>
  <c r="A9" i="31" s="1"/>
  <c r="J295" i="13"/>
  <c r="H39" i="30"/>
  <c r="H37" i="30"/>
  <c r="H36" i="30"/>
  <c r="H35" i="30"/>
  <c r="H34" i="30"/>
  <c r="H33" i="30"/>
  <c r="H25" i="30"/>
  <c r="H23" i="30"/>
  <c r="H22" i="30"/>
  <c r="H21" i="30"/>
  <c r="F33" i="30"/>
  <c r="F36" i="30"/>
  <c r="F22" i="30"/>
  <c r="F21" i="30"/>
  <c r="F25" i="30"/>
  <c r="F35" i="30"/>
  <c r="F20" i="30"/>
  <c r="F24" i="30"/>
  <c r="H24" i="30"/>
  <c r="F38" i="30"/>
  <c r="H38" i="30"/>
  <c r="F23" i="30"/>
  <c r="F34" i="30"/>
  <c r="F37" i="30"/>
  <c r="J270" i="13"/>
  <c r="G479" i="13"/>
  <c r="G378" i="13"/>
  <c r="I378" i="13" s="1"/>
  <c r="K378" i="13" s="1"/>
  <c r="G370" i="13"/>
  <c r="I370" i="13" s="1"/>
  <c r="K370" i="13" s="1"/>
  <c r="E299" i="13"/>
  <c r="E310" i="13" s="1"/>
  <c r="E222" i="13"/>
  <c r="G222" i="13" s="1"/>
  <c r="K222" i="13" s="1"/>
  <c r="E205" i="13"/>
  <c r="G205" i="13" s="1"/>
  <c r="K205" i="13" s="1"/>
  <c r="E186" i="13"/>
  <c r="G374" i="13"/>
  <c r="I374" i="13" s="1"/>
  <c r="K374" i="13" s="1"/>
  <c r="E518" i="13"/>
  <c r="I518" i="13"/>
  <c r="G513" i="13"/>
  <c r="G514" i="13"/>
  <c r="K514" i="13" s="1"/>
  <c r="G515" i="13"/>
  <c r="K515" i="13" s="1"/>
  <c r="G516" i="13"/>
  <c r="K516" i="13" s="1"/>
  <c r="G517" i="13"/>
  <c r="K517" i="13" s="1"/>
  <c r="G512" i="13"/>
  <c r="K512" i="13" s="1"/>
  <c r="E141" i="2"/>
  <c r="G141" i="2" s="1"/>
  <c r="E140" i="2"/>
  <c r="I140" i="2" s="1"/>
  <c r="E139" i="2"/>
  <c r="G139" i="2" s="1"/>
  <c r="E138" i="2"/>
  <c r="I138" i="2" s="1"/>
  <c r="E137" i="2"/>
  <c r="G137" i="2" s="1"/>
  <c r="E136" i="2"/>
  <c r="I136" i="2" s="1"/>
  <c r="E135" i="2"/>
  <c r="I135" i="2" s="1"/>
  <c r="E134" i="2"/>
  <c r="I134" i="2" s="1"/>
  <c r="E131" i="2"/>
  <c r="I131" i="2" s="1"/>
  <c r="E130" i="2"/>
  <c r="I130" i="2" s="1"/>
  <c r="E129" i="2"/>
  <c r="G129" i="2" s="1"/>
  <c r="E124" i="2"/>
  <c r="G124" i="2" s="1"/>
  <c r="E112" i="2"/>
  <c r="I112" i="2" s="1"/>
  <c r="E111" i="2"/>
  <c r="G111" i="2" s="1"/>
  <c r="E110" i="2"/>
  <c r="I110" i="2" s="1"/>
  <c r="E109" i="2"/>
  <c r="G109" i="2" s="1"/>
  <c r="E108" i="2"/>
  <c r="I108" i="2" s="1"/>
  <c r="E107" i="2"/>
  <c r="I107" i="2" s="1"/>
  <c r="E106" i="2"/>
  <c r="G106" i="2" s="1"/>
  <c r="E105" i="2"/>
  <c r="I105" i="2" s="1"/>
  <c r="E104" i="2"/>
  <c r="G104" i="2" s="1"/>
  <c r="E103" i="2"/>
  <c r="I103" i="2" s="1"/>
  <c r="E102" i="2"/>
  <c r="G102" i="2" s="1"/>
  <c r="E101" i="2"/>
  <c r="I101" i="2" s="1"/>
  <c r="E100" i="2"/>
  <c r="G100" i="2" s="1"/>
  <c r="E99" i="2"/>
  <c r="I99" i="2" s="1"/>
  <c r="E98" i="2"/>
  <c r="G98" i="2" s="1"/>
  <c r="E97" i="2"/>
  <c r="I97" i="2" s="1"/>
  <c r="E96" i="2"/>
  <c r="G96" i="2" s="1"/>
  <c r="E95" i="2"/>
  <c r="I95" i="2" s="1"/>
  <c r="I94" i="2"/>
  <c r="G93" i="2"/>
  <c r="E92" i="2"/>
  <c r="I92" i="2" s="1"/>
  <c r="E91" i="2"/>
  <c r="I91" i="2" s="1"/>
  <c r="E90" i="2"/>
  <c r="I90" i="2" s="1"/>
  <c r="E89" i="2"/>
  <c r="I89" i="2" s="1"/>
  <c r="E88" i="2"/>
  <c r="I88" i="2" s="1"/>
  <c r="E87" i="2"/>
  <c r="I87" i="2" s="1"/>
  <c r="E86" i="2"/>
  <c r="G86" i="2" s="1"/>
  <c r="E85" i="2"/>
  <c r="G85" i="2" s="1"/>
  <c r="E84" i="2"/>
  <c r="I84" i="2" s="1"/>
  <c r="E83" i="2"/>
  <c r="G83" i="2" s="1"/>
  <c r="E82" i="2"/>
  <c r="G82" i="2" s="1"/>
  <c r="E81" i="2"/>
  <c r="I81" i="2" s="1"/>
  <c r="E79" i="2"/>
  <c r="G79" i="2" s="1"/>
  <c r="E78" i="2"/>
  <c r="I78" i="2" s="1"/>
  <c r="E77" i="2"/>
  <c r="I77" i="2" s="1"/>
  <c r="E76" i="2"/>
  <c r="E73" i="2"/>
  <c r="I73" i="2" s="1"/>
  <c r="E72" i="2"/>
  <c r="I72" i="2" s="1"/>
  <c r="E71" i="2"/>
  <c r="E22" i="2"/>
  <c r="G22" i="2" s="1"/>
  <c r="E21" i="2"/>
  <c r="I21" i="2" s="1"/>
  <c r="E20" i="2"/>
  <c r="I20" i="2" s="1"/>
  <c r="E19" i="2"/>
  <c r="G19" i="2" s="1"/>
  <c r="E18" i="2"/>
  <c r="G18" i="2" s="1"/>
  <c r="E17" i="2"/>
  <c r="I17" i="2" s="1"/>
  <c r="E16" i="2"/>
  <c r="I16" i="2" s="1"/>
  <c r="E15" i="2"/>
  <c r="G15" i="2" s="1"/>
  <c r="E14" i="2"/>
  <c r="G14" i="2" s="1"/>
  <c r="E13" i="2"/>
  <c r="C16" i="8"/>
  <c r="I122" i="2"/>
  <c r="G122" i="2"/>
  <c r="I121" i="2"/>
  <c r="I58" i="2"/>
  <c r="I57" i="2"/>
  <c r="G58" i="2"/>
  <c r="G57" i="2"/>
  <c r="I34" i="2"/>
  <c r="G34" i="2"/>
  <c r="G326" i="13"/>
  <c r="G101" i="13"/>
  <c r="K101" i="13" s="1"/>
  <c r="G391" i="13"/>
  <c r="I391" i="13" s="1"/>
  <c r="K391" i="13" s="1"/>
  <c r="G9" i="13"/>
  <c r="K9" i="13" s="1"/>
  <c r="G11" i="13"/>
  <c r="K11" i="13" s="1"/>
  <c r="G13" i="13"/>
  <c r="K13" i="13" s="1"/>
  <c r="G30" i="13"/>
  <c r="K30" i="13" s="1"/>
  <c r="G39" i="13"/>
  <c r="K39" i="13" s="1"/>
  <c r="G40" i="13"/>
  <c r="K40" i="13" s="1"/>
  <c r="G47" i="13"/>
  <c r="K47" i="13" s="1"/>
  <c r="G49" i="13"/>
  <c r="K49" i="13" s="1"/>
  <c r="G53" i="13"/>
  <c r="K53" i="13" s="1"/>
  <c r="G55" i="13"/>
  <c r="K55" i="13" s="1"/>
  <c r="G56" i="13"/>
  <c r="K56" i="13" s="1"/>
  <c r="G57" i="13"/>
  <c r="K57" i="13" s="1"/>
  <c r="G58" i="13"/>
  <c r="K58" i="13" s="1"/>
  <c r="G185" i="13"/>
  <c r="K185" i="13" s="1"/>
  <c r="I270" i="13"/>
  <c r="I56" i="2"/>
  <c r="G56" i="2"/>
  <c r="I45" i="2"/>
  <c r="G45" i="2"/>
  <c r="G506" i="13"/>
  <c r="K506" i="13" s="1"/>
  <c r="G510" i="13"/>
  <c r="K510" i="13" s="1"/>
  <c r="H508" i="13"/>
  <c r="H507" i="13"/>
  <c r="G508" i="13"/>
  <c r="G507" i="13"/>
  <c r="G242" i="13"/>
  <c r="K242" i="13" s="1"/>
  <c r="G245" i="13"/>
  <c r="K245" i="13" s="1"/>
  <c r="G206" i="13"/>
  <c r="K206" i="13" s="1"/>
  <c r="F511" i="13"/>
  <c r="G503" i="13"/>
  <c r="K503" i="13" s="1"/>
  <c r="G505" i="13"/>
  <c r="K505" i="13" s="1"/>
  <c r="G509" i="13"/>
  <c r="K509" i="13" s="1"/>
  <c r="G502" i="13"/>
  <c r="F501" i="13"/>
  <c r="G485" i="13"/>
  <c r="K485" i="13" s="1"/>
  <c r="G486" i="13"/>
  <c r="K486" i="13" s="1"/>
  <c r="G487" i="13"/>
  <c r="K487" i="13" s="1"/>
  <c r="G488" i="13"/>
  <c r="K488" i="13" s="1"/>
  <c r="G489" i="13"/>
  <c r="K489" i="13" s="1"/>
  <c r="G490" i="13"/>
  <c r="K490" i="13" s="1"/>
  <c r="G491" i="13"/>
  <c r="K491" i="13" s="1"/>
  <c r="G492" i="13"/>
  <c r="K492" i="13" s="1"/>
  <c r="G493" i="13"/>
  <c r="K493" i="13" s="1"/>
  <c r="G494" i="13"/>
  <c r="K494" i="13" s="1"/>
  <c r="G495" i="13"/>
  <c r="K495" i="13" s="1"/>
  <c r="G496" i="13"/>
  <c r="K496" i="13" s="1"/>
  <c r="G497" i="13"/>
  <c r="K497" i="13" s="1"/>
  <c r="G498" i="13"/>
  <c r="K498" i="13" s="1"/>
  <c r="G499" i="13"/>
  <c r="K499" i="13" s="1"/>
  <c r="G500" i="13"/>
  <c r="K500" i="13" s="1"/>
  <c r="G484" i="13"/>
  <c r="K484" i="13" s="1"/>
  <c r="F483" i="13"/>
  <c r="G482" i="13"/>
  <c r="K482" i="13" s="1"/>
  <c r="G481" i="13"/>
  <c r="K481" i="13" s="1"/>
  <c r="F480" i="13"/>
  <c r="G468" i="13"/>
  <c r="I468" i="13" s="1"/>
  <c r="K468" i="13" s="1"/>
  <c r="G469" i="13"/>
  <c r="I469" i="13" s="1"/>
  <c r="K469" i="13" s="1"/>
  <c r="G470" i="13"/>
  <c r="G471" i="13"/>
  <c r="G472" i="13"/>
  <c r="G473" i="13"/>
  <c r="G474" i="13"/>
  <c r="G476" i="13"/>
  <c r="G478" i="13"/>
  <c r="I478" i="13" s="1"/>
  <c r="K478" i="13" s="1"/>
  <c r="G452" i="13"/>
  <c r="I452" i="13" s="1"/>
  <c r="K452" i="13" s="1"/>
  <c r="G453" i="13"/>
  <c r="I453" i="13" s="1"/>
  <c r="K453" i="13" s="1"/>
  <c r="G454" i="13"/>
  <c r="I454" i="13" s="1"/>
  <c r="K454" i="13" s="1"/>
  <c r="G455" i="13"/>
  <c r="I455" i="13" s="1"/>
  <c r="K455" i="13" s="1"/>
  <c r="G456" i="13"/>
  <c r="I456" i="13" s="1"/>
  <c r="K456" i="13" s="1"/>
  <c r="G457" i="13"/>
  <c r="I457" i="13" s="1"/>
  <c r="G458" i="13"/>
  <c r="I458" i="13" s="1"/>
  <c r="K458" i="13" s="1"/>
  <c r="G459" i="13"/>
  <c r="I459" i="13" s="1"/>
  <c r="K459" i="13" s="1"/>
  <c r="G460" i="13"/>
  <c r="I460" i="13" s="1"/>
  <c r="K460" i="13" s="1"/>
  <c r="G461" i="13"/>
  <c r="I461" i="13" s="1"/>
  <c r="K461" i="13" s="1"/>
  <c r="G462" i="13"/>
  <c r="I462" i="13" s="1"/>
  <c r="K462" i="13" s="1"/>
  <c r="G463" i="13"/>
  <c r="I463" i="13" s="1"/>
  <c r="K463" i="13" s="1"/>
  <c r="G464" i="13"/>
  <c r="I464" i="13" s="1"/>
  <c r="K464" i="13" s="1"/>
  <c r="G465" i="13"/>
  <c r="I465" i="13" s="1"/>
  <c r="G466" i="13"/>
  <c r="I466" i="13" s="1"/>
  <c r="K466" i="13" s="1"/>
  <c r="G467" i="13"/>
  <c r="I467" i="13" s="1"/>
  <c r="K467" i="13" s="1"/>
  <c r="G432" i="13"/>
  <c r="I432" i="13" s="1"/>
  <c r="K432" i="13" s="1"/>
  <c r="G433" i="13"/>
  <c r="G434" i="13"/>
  <c r="I434" i="13" s="1"/>
  <c r="K434" i="13" s="1"/>
  <c r="G436" i="13"/>
  <c r="I436" i="13" s="1"/>
  <c r="K436" i="13" s="1"/>
  <c r="G437" i="13"/>
  <c r="I437" i="13" s="1"/>
  <c r="K437" i="13" s="1"/>
  <c r="G438" i="13"/>
  <c r="I438" i="13" s="1"/>
  <c r="G439" i="13"/>
  <c r="I439" i="13" s="1"/>
  <c r="K439" i="13" s="1"/>
  <c r="G440" i="13"/>
  <c r="I440" i="13" s="1"/>
  <c r="K440" i="13" s="1"/>
  <c r="G441" i="13"/>
  <c r="I441" i="13" s="1"/>
  <c r="K441" i="13" s="1"/>
  <c r="G442" i="13"/>
  <c r="I442" i="13" s="1"/>
  <c r="K442" i="13" s="1"/>
  <c r="G443" i="13"/>
  <c r="I443" i="13" s="1"/>
  <c r="K443" i="13" s="1"/>
  <c r="G444" i="13"/>
  <c r="I444" i="13" s="1"/>
  <c r="K444" i="13" s="1"/>
  <c r="G445" i="13"/>
  <c r="I445" i="13" s="1"/>
  <c r="K445" i="13" s="1"/>
  <c r="G446" i="13"/>
  <c r="G447" i="13"/>
  <c r="G449" i="13"/>
  <c r="G450" i="13"/>
  <c r="I450" i="13" s="1"/>
  <c r="K450" i="13" s="1"/>
  <c r="G451" i="13"/>
  <c r="G410" i="13"/>
  <c r="I410" i="13" s="1"/>
  <c r="K410" i="13" s="1"/>
  <c r="G411" i="13"/>
  <c r="I411" i="13" s="1"/>
  <c r="K411" i="13" s="1"/>
  <c r="G412" i="13"/>
  <c r="I412" i="13" s="1"/>
  <c r="K412" i="13" s="1"/>
  <c r="G413" i="13"/>
  <c r="I413" i="13" s="1"/>
  <c r="K413" i="13" s="1"/>
  <c r="G414" i="13"/>
  <c r="I414" i="13" s="1"/>
  <c r="K414" i="13" s="1"/>
  <c r="G415" i="13"/>
  <c r="I415" i="13" s="1"/>
  <c r="K415" i="13" s="1"/>
  <c r="G416" i="13"/>
  <c r="I416" i="13" s="1"/>
  <c r="K416" i="13" s="1"/>
  <c r="G417" i="13"/>
  <c r="I417" i="13" s="1"/>
  <c r="K417" i="13" s="1"/>
  <c r="G418" i="13"/>
  <c r="I418" i="13" s="1"/>
  <c r="K418" i="13" s="1"/>
  <c r="G419" i="13"/>
  <c r="I419" i="13" s="1"/>
  <c r="K419" i="13" s="1"/>
  <c r="G420" i="13"/>
  <c r="I420" i="13" s="1"/>
  <c r="G421" i="13"/>
  <c r="I421" i="13" s="1"/>
  <c r="K421" i="13" s="1"/>
  <c r="G422" i="13"/>
  <c r="I422" i="13" s="1"/>
  <c r="K422" i="13" s="1"/>
  <c r="G423" i="13"/>
  <c r="I423" i="13" s="1"/>
  <c r="K423" i="13" s="1"/>
  <c r="G424" i="13"/>
  <c r="G425" i="13"/>
  <c r="I425" i="13" s="1"/>
  <c r="K425" i="13" s="1"/>
  <c r="G426" i="13"/>
  <c r="I426" i="13" s="1"/>
  <c r="K426" i="13" s="1"/>
  <c r="G427" i="13"/>
  <c r="I427" i="13" s="1"/>
  <c r="K427" i="13" s="1"/>
  <c r="G428" i="13"/>
  <c r="I428" i="13" s="1"/>
  <c r="K428" i="13" s="1"/>
  <c r="G429" i="13"/>
  <c r="I429" i="13" s="1"/>
  <c r="K429" i="13" s="1"/>
  <c r="G430" i="13"/>
  <c r="I430" i="13" s="1"/>
  <c r="K430" i="13" s="1"/>
  <c r="G431" i="13"/>
  <c r="I431" i="13" s="1"/>
  <c r="K431" i="13" s="1"/>
  <c r="G394" i="13"/>
  <c r="I394" i="13" s="1"/>
  <c r="K394" i="13" s="1"/>
  <c r="G395" i="13"/>
  <c r="I395" i="13" s="1"/>
  <c r="K395" i="13" s="1"/>
  <c r="G396" i="13"/>
  <c r="I396" i="13" s="1"/>
  <c r="K396" i="13" s="1"/>
  <c r="G397" i="13"/>
  <c r="I397" i="13" s="1"/>
  <c r="G398" i="13"/>
  <c r="I398" i="13" s="1"/>
  <c r="K398" i="13" s="1"/>
  <c r="G399" i="13"/>
  <c r="I399" i="13" s="1"/>
  <c r="K399" i="13" s="1"/>
  <c r="G400" i="13"/>
  <c r="I400" i="13" s="1"/>
  <c r="K400" i="13" s="1"/>
  <c r="G401" i="13"/>
  <c r="I401" i="13" s="1"/>
  <c r="K401" i="13" s="1"/>
  <c r="G402" i="13"/>
  <c r="I402" i="13" s="1"/>
  <c r="K402" i="13" s="1"/>
  <c r="G403" i="13"/>
  <c r="I403" i="13" s="1"/>
  <c r="K403" i="13" s="1"/>
  <c r="G404" i="13"/>
  <c r="I404" i="13" s="1"/>
  <c r="K404" i="13" s="1"/>
  <c r="G405" i="13"/>
  <c r="I405" i="13" s="1"/>
  <c r="G406" i="13"/>
  <c r="I406" i="13" s="1"/>
  <c r="K406" i="13" s="1"/>
  <c r="G407" i="13"/>
  <c r="I407" i="13" s="1"/>
  <c r="K407" i="13" s="1"/>
  <c r="G408" i="13"/>
  <c r="I408" i="13" s="1"/>
  <c r="K408" i="13" s="1"/>
  <c r="G409" i="13"/>
  <c r="G386" i="13"/>
  <c r="G387" i="13"/>
  <c r="G388" i="13"/>
  <c r="I388" i="13" s="1"/>
  <c r="K388" i="13" s="1"/>
  <c r="G389" i="13"/>
  <c r="I389" i="13" s="1"/>
  <c r="G390" i="13"/>
  <c r="I390" i="13" s="1"/>
  <c r="K390" i="13" s="1"/>
  <c r="G392" i="13"/>
  <c r="I392" i="13" s="1"/>
  <c r="K392" i="13" s="1"/>
  <c r="G393" i="13"/>
  <c r="I393" i="13" s="1"/>
  <c r="K393" i="13" s="1"/>
  <c r="G361" i="13"/>
  <c r="I361" i="13" s="1"/>
  <c r="K361" i="13" s="1"/>
  <c r="G362" i="13"/>
  <c r="I362" i="13" s="1"/>
  <c r="K362" i="13" s="1"/>
  <c r="G363" i="13"/>
  <c r="I363" i="13" s="1"/>
  <c r="K363" i="13" s="1"/>
  <c r="G364" i="13"/>
  <c r="I364" i="13" s="1"/>
  <c r="K364" i="13" s="1"/>
  <c r="G365" i="13"/>
  <c r="I365" i="13" s="1"/>
  <c r="G366" i="13"/>
  <c r="I366" i="13" s="1"/>
  <c r="K366" i="13" s="1"/>
  <c r="G367" i="13"/>
  <c r="I367" i="13" s="1"/>
  <c r="K367" i="13" s="1"/>
  <c r="G368" i="13"/>
  <c r="I368" i="13" s="1"/>
  <c r="K368" i="13" s="1"/>
  <c r="G369" i="13"/>
  <c r="G371" i="13"/>
  <c r="I371" i="13" s="1"/>
  <c r="K371" i="13" s="1"/>
  <c r="G372" i="13"/>
  <c r="I372" i="13" s="1"/>
  <c r="K372" i="13" s="1"/>
  <c r="G373" i="13"/>
  <c r="I373" i="13" s="1"/>
  <c r="K373" i="13" s="1"/>
  <c r="G375" i="13"/>
  <c r="I375" i="13" s="1"/>
  <c r="G376" i="13"/>
  <c r="G377" i="13"/>
  <c r="I377" i="13" s="1"/>
  <c r="K377" i="13" s="1"/>
  <c r="G379" i="13"/>
  <c r="I379" i="13" s="1"/>
  <c r="K379" i="13" s="1"/>
  <c r="G380" i="13"/>
  <c r="G381" i="13"/>
  <c r="G382" i="13"/>
  <c r="G383" i="13"/>
  <c r="G385" i="13"/>
  <c r="G344" i="13"/>
  <c r="I344" i="13" s="1"/>
  <c r="K344" i="13" s="1"/>
  <c r="G345" i="13"/>
  <c r="I345" i="13" s="1"/>
  <c r="K345" i="13" s="1"/>
  <c r="G346" i="13"/>
  <c r="I346" i="13" s="1"/>
  <c r="K346" i="13" s="1"/>
  <c r="G347" i="13"/>
  <c r="I347" i="13" s="1"/>
  <c r="K347" i="13" s="1"/>
  <c r="G348" i="13"/>
  <c r="I348" i="13" s="1"/>
  <c r="K348" i="13" s="1"/>
  <c r="G349" i="13"/>
  <c r="I349" i="13" s="1"/>
  <c r="K349" i="13" s="1"/>
  <c r="G351" i="13"/>
  <c r="I351" i="13" s="1"/>
  <c r="K351" i="13" s="1"/>
  <c r="G352" i="13"/>
  <c r="I352" i="13" s="1"/>
  <c r="G353" i="13"/>
  <c r="I353" i="13" s="1"/>
  <c r="K353" i="13" s="1"/>
  <c r="G354" i="13"/>
  <c r="I354" i="13" s="1"/>
  <c r="K354" i="13" s="1"/>
  <c r="G355" i="13"/>
  <c r="I355" i="13" s="1"/>
  <c r="K355" i="13" s="1"/>
  <c r="G356" i="13"/>
  <c r="G357" i="13"/>
  <c r="I357" i="13" s="1"/>
  <c r="K357" i="13" s="1"/>
  <c r="G358" i="13"/>
  <c r="I358" i="13" s="1"/>
  <c r="K358" i="13" s="1"/>
  <c r="G359" i="13"/>
  <c r="I359" i="13" s="1"/>
  <c r="K359" i="13" s="1"/>
  <c r="G360" i="13"/>
  <c r="I360" i="13" s="1"/>
  <c r="G329" i="13"/>
  <c r="I329" i="13" s="1"/>
  <c r="K329" i="13" s="1"/>
  <c r="G330" i="13"/>
  <c r="I330" i="13" s="1"/>
  <c r="K330" i="13" s="1"/>
  <c r="G331" i="13"/>
  <c r="I331" i="13" s="1"/>
  <c r="K331" i="13" s="1"/>
  <c r="G332" i="13"/>
  <c r="I332" i="13" s="1"/>
  <c r="K332" i="13" s="1"/>
  <c r="G333" i="13"/>
  <c r="I333" i="13" s="1"/>
  <c r="K333" i="13" s="1"/>
  <c r="G334" i="13"/>
  <c r="I334" i="13" s="1"/>
  <c r="K334" i="13" s="1"/>
  <c r="G335" i="13"/>
  <c r="I335" i="13" s="1"/>
  <c r="K335" i="13" s="1"/>
  <c r="G336" i="13"/>
  <c r="I336" i="13" s="1"/>
  <c r="G337" i="13"/>
  <c r="I337" i="13" s="1"/>
  <c r="K337" i="13" s="1"/>
  <c r="G338" i="13"/>
  <c r="I338" i="13" s="1"/>
  <c r="K338" i="13" s="1"/>
  <c r="G339" i="13"/>
  <c r="I339" i="13" s="1"/>
  <c r="K339" i="13" s="1"/>
  <c r="G340" i="13"/>
  <c r="G341" i="13"/>
  <c r="I341" i="13" s="1"/>
  <c r="K341" i="13" s="1"/>
  <c r="G342" i="13"/>
  <c r="I342" i="13" s="1"/>
  <c r="K342" i="13" s="1"/>
  <c r="G343" i="13"/>
  <c r="I343" i="13" s="1"/>
  <c r="K343" i="13" s="1"/>
  <c r="G317" i="13"/>
  <c r="I317" i="13" s="1"/>
  <c r="G318" i="13"/>
  <c r="I318" i="13" s="1"/>
  <c r="K318" i="13" s="1"/>
  <c r="G319" i="13"/>
  <c r="I319" i="13" s="1"/>
  <c r="K319" i="13" s="1"/>
  <c r="G320" i="13"/>
  <c r="I320" i="13" s="1"/>
  <c r="K320" i="13" s="1"/>
  <c r="G321" i="13"/>
  <c r="I321" i="13" s="1"/>
  <c r="G322" i="13"/>
  <c r="G323" i="13"/>
  <c r="G324" i="13"/>
  <c r="G325" i="13"/>
  <c r="G328" i="13"/>
  <c r="G316" i="13"/>
  <c r="I316" i="13" s="1"/>
  <c r="F315" i="13"/>
  <c r="G312" i="13"/>
  <c r="K312" i="13" s="1"/>
  <c r="G313" i="13"/>
  <c r="K313" i="13" s="1"/>
  <c r="G314" i="13"/>
  <c r="K314" i="13" s="1"/>
  <c r="G311" i="13"/>
  <c r="K311" i="13" s="1"/>
  <c r="G297" i="13"/>
  <c r="K297" i="13" s="1"/>
  <c r="G298" i="13"/>
  <c r="K298" i="13" s="1"/>
  <c r="G300" i="13"/>
  <c r="K300" i="13" s="1"/>
  <c r="G301" i="13"/>
  <c r="K301" i="13" s="1"/>
  <c r="G302" i="13"/>
  <c r="K302" i="13" s="1"/>
  <c r="G303" i="13"/>
  <c r="K303" i="13" s="1"/>
  <c r="G304" i="13"/>
  <c r="K304" i="13" s="1"/>
  <c r="G305" i="13"/>
  <c r="K305" i="13" s="1"/>
  <c r="G308" i="13"/>
  <c r="K308" i="13" s="1"/>
  <c r="G296" i="13"/>
  <c r="G293" i="13"/>
  <c r="G294" i="13"/>
  <c r="G292" i="13"/>
  <c r="F291" i="13"/>
  <c r="G285" i="13"/>
  <c r="K285" i="13" s="1"/>
  <c r="G286" i="13"/>
  <c r="K286" i="13" s="1"/>
  <c r="G288" i="13"/>
  <c r="K288" i="13" s="1"/>
  <c r="G289" i="13"/>
  <c r="K289" i="13" s="1"/>
  <c r="G290" i="13"/>
  <c r="K290" i="13" s="1"/>
  <c r="G272" i="13"/>
  <c r="K272" i="13" s="1"/>
  <c r="G273" i="13"/>
  <c r="K273" i="13" s="1"/>
  <c r="G274" i="13"/>
  <c r="K274" i="13" s="1"/>
  <c r="G275" i="13"/>
  <c r="K275" i="13" s="1"/>
  <c r="G276" i="13"/>
  <c r="K276" i="13" s="1"/>
  <c r="G277" i="13"/>
  <c r="K277" i="13" s="1"/>
  <c r="G278" i="13"/>
  <c r="K278" i="13" s="1"/>
  <c r="G279" i="13"/>
  <c r="K279" i="13" s="1"/>
  <c r="G280" i="13"/>
  <c r="K280" i="13" s="1"/>
  <c r="G281" i="13"/>
  <c r="K281" i="13" s="1"/>
  <c r="G282" i="13"/>
  <c r="K282" i="13" s="1"/>
  <c r="G283" i="13"/>
  <c r="K283" i="13" s="1"/>
  <c r="G284" i="13"/>
  <c r="K284" i="13" s="1"/>
  <c r="G271" i="13"/>
  <c r="K271" i="13" s="1"/>
  <c r="G257" i="13"/>
  <c r="K257" i="13" s="1"/>
  <c r="G258" i="13"/>
  <c r="K258" i="13" s="1"/>
  <c r="G259" i="13"/>
  <c r="K259" i="13" s="1"/>
  <c r="G260" i="13"/>
  <c r="K260" i="13" s="1"/>
  <c r="G261" i="13"/>
  <c r="K261" i="13" s="1"/>
  <c r="G262" i="13"/>
  <c r="K262" i="13" s="1"/>
  <c r="G263" i="13"/>
  <c r="K263" i="13" s="1"/>
  <c r="G264" i="13"/>
  <c r="K264" i="13" s="1"/>
  <c r="G265" i="13"/>
  <c r="K265" i="13" s="1"/>
  <c r="G266" i="13"/>
  <c r="K266" i="13" s="1"/>
  <c r="G267" i="13"/>
  <c r="K267" i="13" s="1"/>
  <c r="G268" i="13"/>
  <c r="K268" i="13" s="1"/>
  <c r="G269" i="13"/>
  <c r="K269" i="13" s="1"/>
  <c r="G239" i="13"/>
  <c r="K239" i="13" s="1"/>
  <c r="G240" i="13"/>
  <c r="K240" i="13" s="1"/>
  <c r="G241" i="13"/>
  <c r="K241" i="13" s="1"/>
  <c r="G243" i="13"/>
  <c r="K243" i="13" s="1"/>
  <c r="G244" i="13"/>
  <c r="K244" i="13" s="1"/>
  <c r="G246" i="13"/>
  <c r="K246" i="13" s="1"/>
  <c r="G247" i="13"/>
  <c r="K247" i="13" s="1"/>
  <c r="G248" i="13"/>
  <c r="K248" i="13" s="1"/>
  <c r="G249" i="13"/>
  <c r="K249" i="13" s="1"/>
  <c r="G250" i="13"/>
  <c r="K250" i="13" s="1"/>
  <c r="G251" i="13"/>
  <c r="K251" i="13" s="1"/>
  <c r="G252" i="13"/>
  <c r="K252" i="13" s="1"/>
  <c r="G253" i="13"/>
  <c r="K253" i="13" s="1"/>
  <c r="G254" i="13"/>
  <c r="K254" i="13" s="1"/>
  <c r="G255" i="13"/>
  <c r="K255" i="13" s="1"/>
  <c r="G256" i="13"/>
  <c r="K256" i="13" s="1"/>
  <c r="G218" i="13"/>
  <c r="K218" i="13" s="1"/>
  <c r="G219" i="13"/>
  <c r="K219" i="13" s="1"/>
  <c r="G220" i="13"/>
  <c r="K220" i="13" s="1"/>
  <c r="G221" i="13"/>
  <c r="K221" i="13" s="1"/>
  <c r="G223" i="13"/>
  <c r="K223" i="13" s="1"/>
  <c r="G225" i="13"/>
  <c r="K225" i="13" s="1"/>
  <c r="G226" i="13"/>
  <c r="K226" i="13" s="1"/>
  <c r="G227" i="13"/>
  <c r="K227" i="13" s="1"/>
  <c r="G228" i="13"/>
  <c r="K228" i="13" s="1"/>
  <c r="G229" i="13"/>
  <c r="K229" i="13" s="1"/>
  <c r="G230" i="13"/>
  <c r="K230" i="13" s="1"/>
  <c r="G231" i="13"/>
  <c r="K231" i="13" s="1"/>
  <c r="G232" i="13"/>
  <c r="K232" i="13" s="1"/>
  <c r="G233" i="13"/>
  <c r="K233" i="13" s="1"/>
  <c r="G234" i="13"/>
  <c r="K234" i="13" s="1"/>
  <c r="G235" i="13"/>
  <c r="K235" i="13" s="1"/>
  <c r="G236" i="13"/>
  <c r="K236" i="13" s="1"/>
  <c r="G237" i="13"/>
  <c r="K237" i="13" s="1"/>
  <c r="G197" i="13"/>
  <c r="K197" i="13" s="1"/>
  <c r="G198" i="13"/>
  <c r="K198" i="13" s="1"/>
  <c r="G199" i="13"/>
  <c r="K199" i="13" s="1"/>
  <c r="G200" i="13"/>
  <c r="K200" i="13" s="1"/>
  <c r="G201" i="13"/>
  <c r="K201" i="13" s="1"/>
  <c r="G202" i="13"/>
  <c r="K202" i="13" s="1"/>
  <c r="G203" i="13"/>
  <c r="K203" i="13" s="1"/>
  <c r="G204" i="13"/>
  <c r="K204" i="13" s="1"/>
  <c r="G207" i="13"/>
  <c r="K207" i="13" s="1"/>
  <c r="G208" i="13"/>
  <c r="K208" i="13" s="1"/>
  <c r="G209" i="13"/>
  <c r="K209" i="13" s="1"/>
  <c r="G210" i="13"/>
  <c r="K210" i="13" s="1"/>
  <c r="G211" i="13"/>
  <c r="K211" i="13" s="1"/>
  <c r="G212" i="13"/>
  <c r="K212" i="13" s="1"/>
  <c r="G213" i="13"/>
  <c r="K213" i="13" s="1"/>
  <c r="G215" i="13"/>
  <c r="K215" i="13" s="1"/>
  <c r="G216" i="13"/>
  <c r="K216" i="13" s="1"/>
  <c r="G217" i="13"/>
  <c r="K217" i="13" s="1"/>
  <c r="G179" i="13"/>
  <c r="K179" i="13" s="1"/>
  <c r="G180" i="13"/>
  <c r="K180" i="13" s="1"/>
  <c r="G181" i="13"/>
  <c r="K181" i="13" s="1"/>
  <c r="G182" i="13"/>
  <c r="K182" i="13" s="1"/>
  <c r="G183" i="13"/>
  <c r="K183" i="13" s="1"/>
  <c r="G184" i="13"/>
  <c r="K184" i="13" s="1"/>
  <c r="G187" i="13"/>
  <c r="K187" i="13" s="1"/>
  <c r="G188" i="13"/>
  <c r="K188" i="13" s="1"/>
  <c r="G189" i="13"/>
  <c r="K189" i="13" s="1"/>
  <c r="G190" i="13"/>
  <c r="K190" i="13" s="1"/>
  <c r="G191" i="13"/>
  <c r="K191" i="13" s="1"/>
  <c r="G193" i="13"/>
  <c r="K193" i="13" s="1"/>
  <c r="G194" i="13"/>
  <c r="K194" i="13" s="1"/>
  <c r="G195" i="13"/>
  <c r="K195" i="13" s="1"/>
  <c r="G196" i="13"/>
  <c r="K196" i="13" s="1"/>
  <c r="G161" i="13"/>
  <c r="K161" i="13" s="1"/>
  <c r="G162" i="13"/>
  <c r="K162" i="13" s="1"/>
  <c r="G163" i="13"/>
  <c r="K163" i="13" s="1"/>
  <c r="G164" i="13"/>
  <c r="K164" i="13" s="1"/>
  <c r="G165" i="13"/>
  <c r="K165" i="13" s="1"/>
  <c r="G166" i="13"/>
  <c r="K166" i="13" s="1"/>
  <c r="G167" i="13"/>
  <c r="K167" i="13" s="1"/>
  <c r="G168" i="13"/>
  <c r="K168" i="13" s="1"/>
  <c r="G169" i="13"/>
  <c r="K169" i="13" s="1"/>
  <c r="G170" i="13"/>
  <c r="K170" i="13" s="1"/>
  <c r="G171" i="13"/>
  <c r="K171" i="13" s="1"/>
  <c r="G172" i="13"/>
  <c r="K172" i="13" s="1"/>
  <c r="G173" i="13"/>
  <c r="K173" i="13" s="1"/>
  <c r="G174" i="13"/>
  <c r="K174" i="13" s="1"/>
  <c r="G175" i="13"/>
  <c r="K175" i="13" s="1"/>
  <c r="G176" i="13"/>
  <c r="K176" i="13" s="1"/>
  <c r="G177" i="13"/>
  <c r="K177" i="13" s="1"/>
  <c r="G178" i="13"/>
  <c r="K178" i="13" s="1"/>
  <c r="G141" i="13"/>
  <c r="K141"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56" i="13"/>
  <c r="K156" i="13" s="1"/>
  <c r="G157" i="13"/>
  <c r="K157" i="13" s="1"/>
  <c r="G158" i="13"/>
  <c r="K158" i="13" s="1"/>
  <c r="G159" i="13"/>
  <c r="K159" i="13" s="1"/>
  <c r="G160" i="13"/>
  <c r="K160" i="13" s="1"/>
  <c r="G128" i="13"/>
  <c r="K128" i="13" s="1"/>
  <c r="G129" i="13"/>
  <c r="K129" i="13" s="1"/>
  <c r="G130" i="13"/>
  <c r="K130" i="13" s="1"/>
  <c r="G131" i="13"/>
  <c r="K131" i="13" s="1"/>
  <c r="G132" i="13"/>
  <c r="K132" i="13" s="1"/>
  <c r="G133" i="13"/>
  <c r="K133" i="13" s="1"/>
  <c r="G134" i="13"/>
  <c r="K134" i="13" s="1"/>
  <c r="G135" i="13"/>
  <c r="K135" i="13" s="1"/>
  <c r="G136" i="13"/>
  <c r="K136" i="13" s="1"/>
  <c r="G137" i="13"/>
  <c r="K137" i="13" s="1"/>
  <c r="G138" i="13"/>
  <c r="K138" i="13" s="1"/>
  <c r="G139" i="13"/>
  <c r="K139" i="13" s="1"/>
  <c r="G140" i="13"/>
  <c r="K140" i="13" s="1"/>
  <c r="F124" i="13"/>
  <c r="G107" i="13"/>
  <c r="K107" i="13" s="1"/>
  <c r="G108" i="13"/>
  <c r="K108" i="13" s="1"/>
  <c r="G109" i="13"/>
  <c r="K109" i="13" s="1"/>
  <c r="G110" i="13"/>
  <c r="K110" i="13" s="1"/>
  <c r="G111" i="13"/>
  <c r="K111" i="13" s="1"/>
  <c r="G112" i="13"/>
  <c r="K112" i="13" s="1"/>
  <c r="G113" i="13"/>
  <c r="K113" i="13" s="1"/>
  <c r="G114" i="13"/>
  <c r="K114" i="13" s="1"/>
  <c r="G115" i="13"/>
  <c r="K115" i="13" s="1"/>
  <c r="G117" i="13"/>
  <c r="K117" i="13" s="1"/>
  <c r="G118" i="13"/>
  <c r="K118" i="13" s="1"/>
  <c r="G119" i="13"/>
  <c r="K119" i="13" s="1"/>
  <c r="G120" i="13"/>
  <c r="K120" i="13" s="1"/>
  <c r="G121" i="13"/>
  <c r="K121" i="13" s="1"/>
  <c r="G122" i="13"/>
  <c r="K122" i="13" s="1"/>
  <c r="G123" i="13"/>
  <c r="K123" i="13" s="1"/>
  <c r="G84" i="13"/>
  <c r="K84" i="13" s="1"/>
  <c r="G85" i="13"/>
  <c r="K85" i="13" s="1"/>
  <c r="G86" i="13"/>
  <c r="K86"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100" i="13"/>
  <c r="K100" i="13" s="1"/>
  <c r="G102" i="13"/>
  <c r="K102" i="13" s="1"/>
  <c r="G104" i="13"/>
  <c r="K104" i="13" s="1"/>
  <c r="G105" i="13"/>
  <c r="K105" i="13" s="1"/>
  <c r="G106" i="13"/>
  <c r="K106" i="13" s="1"/>
  <c r="G62" i="13"/>
  <c r="K62"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K77" i="13" s="1"/>
  <c r="K80" i="13"/>
  <c r="K81" i="13"/>
  <c r="K82" i="13"/>
  <c r="K83" i="13"/>
  <c r="G38" i="13"/>
  <c r="K38" i="13" s="1"/>
  <c r="G41" i="13"/>
  <c r="K41" i="13" s="1"/>
  <c r="G42" i="13"/>
  <c r="K42" i="13" s="1"/>
  <c r="G43" i="13"/>
  <c r="K43" i="13" s="1"/>
  <c r="G44" i="13"/>
  <c r="K44" i="13" s="1"/>
  <c r="G45" i="13"/>
  <c r="K45" i="13" s="1"/>
  <c r="G46" i="13"/>
  <c r="K46" i="13" s="1"/>
  <c r="G48" i="13"/>
  <c r="K48" i="13" s="1"/>
  <c r="G50" i="13"/>
  <c r="K50" i="13" s="1"/>
  <c r="G51" i="13"/>
  <c r="K51" i="13" s="1"/>
  <c r="G52" i="13"/>
  <c r="K52" i="13" s="1"/>
  <c r="G54" i="13"/>
  <c r="K54" i="13" s="1"/>
  <c r="G59" i="13"/>
  <c r="K59" i="13" s="1"/>
  <c r="G60" i="13"/>
  <c r="K60" i="13" s="1"/>
  <c r="G61" i="13"/>
  <c r="K61" i="13" s="1"/>
  <c r="G18" i="13"/>
  <c r="K18" i="13" s="1"/>
  <c r="G20" i="13"/>
  <c r="K20" i="13" s="1"/>
  <c r="G22" i="13"/>
  <c r="K22" i="13" s="1"/>
  <c r="G23" i="13"/>
  <c r="K23" i="13" s="1"/>
  <c r="G24" i="13"/>
  <c r="K24" i="13" s="1"/>
  <c r="G25" i="13"/>
  <c r="K25" i="13" s="1"/>
  <c r="G26" i="13"/>
  <c r="K26" i="13" s="1"/>
  <c r="G27" i="13"/>
  <c r="K27" i="13" s="1"/>
  <c r="G28" i="13"/>
  <c r="K28" i="13" s="1"/>
  <c r="G29" i="13"/>
  <c r="K29" i="13" s="1"/>
  <c r="G31" i="13"/>
  <c r="K31" i="13" s="1"/>
  <c r="G32" i="13"/>
  <c r="K32" i="13" s="1"/>
  <c r="G33" i="13"/>
  <c r="K33" i="13" s="1"/>
  <c r="G34" i="13"/>
  <c r="K34" i="13" s="1"/>
  <c r="G35" i="13"/>
  <c r="K35" i="13" s="1"/>
  <c r="G36" i="13"/>
  <c r="K36" i="13" s="1"/>
  <c r="G7" i="13"/>
  <c r="K7" i="13" s="1"/>
  <c r="G8" i="13"/>
  <c r="G10" i="13"/>
  <c r="K10" i="13" s="1"/>
  <c r="G12" i="13"/>
  <c r="K12" i="13" s="1"/>
  <c r="G14" i="13"/>
  <c r="K14" i="13" s="1"/>
  <c r="G15" i="13"/>
  <c r="K15" i="13" s="1"/>
  <c r="G16" i="13"/>
  <c r="K16" i="13" s="1"/>
  <c r="G17" i="13"/>
  <c r="K17" i="13" s="1"/>
  <c r="G6" i="13"/>
  <c r="K6" i="13" s="1"/>
  <c r="I511" i="13"/>
  <c r="I501" i="13"/>
  <c r="H501" i="13"/>
  <c r="I483" i="13"/>
  <c r="H483" i="13"/>
  <c r="E483" i="13"/>
  <c r="H480" i="13"/>
  <c r="I315" i="13"/>
  <c r="H315" i="13"/>
  <c r="E315" i="13"/>
  <c r="H295" i="13"/>
  <c r="E295" i="13"/>
  <c r="I291" i="13"/>
  <c r="H291" i="13"/>
  <c r="E291" i="13"/>
  <c r="I124" i="13"/>
  <c r="H124" i="13"/>
  <c r="E19" i="13"/>
  <c r="E124" i="13"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I376" i="13"/>
  <c r="K376" i="13" s="1"/>
  <c r="F10" i="2"/>
  <c r="G10" i="2"/>
  <c r="C14" i="9"/>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I14" i="6"/>
  <c r="I122" i="6" s="1"/>
  <c r="E13" i="6"/>
  <c r="K18" i="6"/>
  <c r="A41" i="6"/>
  <c r="K45" i="6"/>
  <c r="A61" i="6"/>
  <c r="K66" i="6"/>
  <c r="K68" i="6"/>
  <c r="E69" i="6"/>
  <c r="G69" i="6"/>
  <c r="I69" i="6"/>
  <c r="A87" i="6"/>
  <c r="E13" i="7"/>
  <c r="A106" i="6"/>
  <c r="K111" i="6"/>
  <c r="K118" i="6"/>
  <c r="K120" i="6"/>
  <c r="C6" i="4" s="1"/>
  <c r="A7" i="4"/>
  <c r="A8" i="4"/>
  <c r="A9" i="4" s="1"/>
  <c r="A10" i="4" s="1"/>
  <c r="A11" i="4" s="1"/>
  <c r="A12" i="4"/>
  <c r="A13" i="4" s="1"/>
  <c r="A14" i="4" s="1"/>
  <c r="A15" i="4" s="1"/>
  <c r="A16" i="4" s="1"/>
  <c r="A17" i="4" s="1"/>
  <c r="A18" i="4" s="1"/>
  <c r="A19" i="4" s="1"/>
  <c r="A20" i="4" s="1"/>
  <c r="A21" i="4" s="1"/>
  <c r="I133" i="2"/>
  <c r="G133" i="2"/>
  <c r="I132" i="2"/>
  <c r="G132" i="2"/>
  <c r="G105" i="2"/>
  <c r="G97" i="2"/>
  <c r="I82" i="2"/>
  <c r="I80" i="2"/>
  <c r="G80" i="2"/>
  <c r="I61" i="2"/>
  <c r="G61" i="2"/>
  <c r="I60" i="2"/>
  <c r="G60" i="2"/>
  <c r="I55" i="2"/>
  <c r="G55" i="2"/>
  <c r="I54" i="2"/>
  <c r="G54" i="2"/>
  <c r="I44" i="2"/>
  <c r="I39" i="2"/>
  <c r="G39" i="2"/>
  <c r="I38" i="2"/>
  <c r="G38" i="2"/>
  <c r="I37" i="2"/>
  <c r="G37" i="2"/>
  <c r="I36" i="2"/>
  <c r="G36" i="2"/>
  <c r="I35" i="2"/>
  <c r="G35" i="2"/>
  <c r="I33" i="2"/>
  <c r="G33" i="2"/>
  <c r="I32" i="2"/>
  <c r="G32" i="2"/>
  <c r="I31" i="2"/>
  <c r="G31" i="2"/>
  <c r="I30" i="2"/>
  <c r="G30" i="2"/>
  <c r="I29" i="2"/>
  <c r="G29" i="2"/>
  <c r="I28" i="2"/>
  <c r="G28" i="2"/>
  <c r="I27" i="2"/>
  <c r="G27" i="2"/>
  <c r="I26" i="2"/>
  <c r="G26" i="2"/>
  <c r="I25" i="2"/>
  <c r="I23" i="2"/>
  <c r="G23" i="2"/>
  <c r="K92" i="6"/>
  <c r="I9" i="6"/>
  <c r="G224" i="13"/>
  <c r="K224" i="13" s="1"/>
  <c r="A3" i="28" l="1"/>
  <c r="A3" i="27"/>
  <c r="I111" i="2"/>
  <c r="I22" i="2"/>
  <c r="G89" i="2"/>
  <c r="I137" i="2"/>
  <c r="I14" i="2"/>
  <c r="I18" i="2"/>
  <c r="I59" i="2"/>
  <c r="I141" i="2"/>
  <c r="G131" i="2"/>
  <c r="G59" i="2"/>
  <c r="G110" i="2"/>
  <c r="G70" i="2"/>
  <c r="E142" i="2"/>
  <c r="I70" i="2"/>
  <c r="I71" i="2"/>
  <c r="E123" i="2"/>
  <c r="I386" i="13"/>
  <c r="K386" i="13"/>
  <c r="I387" i="13"/>
  <c r="K387" i="13" s="1"/>
  <c r="I380" i="13"/>
  <c r="K380" i="13" s="1"/>
  <c r="I470" i="13"/>
  <c r="K470" i="13" s="1"/>
  <c r="I449" i="13"/>
  <c r="K449" i="13" s="1"/>
  <c r="I328" i="13"/>
  <c r="K328" i="13" s="1"/>
  <c r="I447" i="13"/>
  <c r="K447" i="13" s="1"/>
  <c r="I476" i="13"/>
  <c r="K476" i="13" s="1"/>
  <c r="I325" i="13"/>
  <c r="K325" i="13" s="1"/>
  <c r="I385" i="13"/>
  <c r="K385" i="13" s="1"/>
  <c r="I446" i="13"/>
  <c r="K446" i="13" s="1"/>
  <c r="I474" i="13"/>
  <c r="K474" i="13" s="1"/>
  <c r="I324" i="13"/>
  <c r="K324" i="13" s="1"/>
  <c r="I383" i="13"/>
  <c r="K383" i="13" s="1"/>
  <c r="I473" i="13"/>
  <c r="K473" i="13" s="1"/>
  <c r="I323" i="13"/>
  <c r="K323" i="13" s="1"/>
  <c r="I382" i="13"/>
  <c r="K382" i="13" s="1"/>
  <c r="I472" i="13"/>
  <c r="K472" i="13" s="1"/>
  <c r="I326" i="13"/>
  <c r="K326" i="13" s="1"/>
  <c r="I322" i="13"/>
  <c r="K322" i="13" s="1"/>
  <c r="I381" i="13"/>
  <c r="K381" i="13" s="1"/>
  <c r="I471" i="13"/>
  <c r="K471" i="13" s="1"/>
  <c r="K316" i="13"/>
  <c r="I104" i="2"/>
  <c r="G88" i="2"/>
  <c r="G136" i="2"/>
  <c r="G112" i="2"/>
  <c r="I96" i="2"/>
  <c r="G135" i="2"/>
  <c r="G103" i="2"/>
  <c r="I15" i="2"/>
  <c r="I106" i="2"/>
  <c r="H14" i="33"/>
  <c r="H26" i="33"/>
  <c r="N16" i="29" s="1"/>
  <c r="H8" i="33"/>
  <c r="H11" i="33"/>
  <c r="H54" i="30"/>
  <c r="G8" i="30" s="1"/>
  <c r="F32" i="30"/>
  <c r="D6" i="29" s="1"/>
  <c r="H32" i="30"/>
  <c r="G7" i="30" s="1"/>
  <c r="D7" i="31" s="1"/>
  <c r="I98" i="2"/>
  <c r="G71" i="2"/>
  <c r="G90" i="2"/>
  <c r="G72" i="2"/>
  <c r="I83" i="2"/>
  <c r="G91" i="2"/>
  <c r="G73" i="2"/>
  <c r="G84" i="2"/>
  <c r="G99" i="2"/>
  <c r="G17" i="2"/>
  <c r="G92" i="2"/>
  <c r="G107" i="2"/>
  <c r="I76" i="2"/>
  <c r="G76" i="2"/>
  <c r="I100" i="2"/>
  <c r="I139" i="2"/>
  <c r="G140" i="2"/>
  <c r="I79" i="2"/>
  <c r="I19" i="2"/>
  <c r="E53" i="2"/>
  <c r="E7" i="2" s="1"/>
  <c r="G101" i="2"/>
  <c r="I109" i="2"/>
  <c r="G77" i="2"/>
  <c r="G81" i="2"/>
  <c r="I85" i="2"/>
  <c r="G94" i="2"/>
  <c r="I102" i="2"/>
  <c r="I93" i="2"/>
  <c r="G13" i="2"/>
  <c r="G20" i="2"/>
  <c r="G78" i="2"/>
  <c r="I86" i="2"/>
  <c r="G95" i="2"/>
  <c r="G108" i="2"/>
  <c r="I129" i="2"/>
  <c r="G138" i="2"/>
  <c r="G21" i="2"/>
  <c r="I13" i="2"/>
  <c r="G87" i="2"/>
  <c r="G130" i="2"/>
  <c r="G134" i="2"/>
  <c r="I124" i="2"/>
  <c r="G16" i="2"/>
  <c r="A3" i="33"/>
  <c r="I13" i="6"/>
  <c r="I123" i="6" s="1"/>
  <c r="H511" i="13"/>
  <c r="H519" i="13" s="1"/>
  <c r="H520" i="13" s="1"/>
  <c r="H523" i="13" s="1"/>
  <c r="K483" i="13"/>
  <c r="G483" i="13"/>
  <c r="K502" i="13"/>
  <c r="G511" i="13"/>
  <c r="E270" i="13"/>
  <c r="A44" i="6"/>
  <c r="A45" i="6" s="1"/>
  <c r="A46" i="6" s="1"/>
  <c r="A47" i="6" s="1"/>
  <c r="A48" i="6" s="1"/>
  <c r="A49" i="6" s="1"/>
  <c r="A50" i="6" s="1"/>
  <c r="A51" i="6" s="1"/>
  <c r="A52" i="6" s="1"/>
  <c r="A53" i="6" s="1"/>
  <c r="A54" i="6" s="1"/>
  <c r="A55" i="6" s="1"/>
  <c r="A56" i="6" s="1"/>
  <c r="A57" i="6" s="1"/>
  <c r="A58" i="6" s="1"/>
  <c r="A59" i="6" s="1"/>
  <c r="A60"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I47" i="6"/>
  <c r="I46" i="6"/>
  <c r="G19" i="13"/>
  <c r="K19" i="13" s="1"/>
  <c r="G299" i="13"/>
  <c r="G310" i="13" s="1"/>
  <c r="K296" i="13"/>
  <c r="H23" i="33"/>
  <c r="N17" i="31" s="1"/>
  <c r="F19" i="30"/>
  <c r="E8" i="2"/>
  <c r="F54" i="30"/>
  <c r="H19" i="30"/>
  <c r="G295" i="13"/>
  <c r="K457" i="13"/>
  <c r="K420" i="13"/>
  <c r="K365" i="13"/>
  <c r="K336" i="13"/>
  <c r="G186" i="13"/>
  <c r="K186" i="13" s="1"/>
  <c r="K270" i="13" s="1"/>
  <c r="F270" i="13"/>
  <c r="F519" i="13" s="1"/>
  <c r="F520" i="13" s="1"/>
  <c r="G315" i="13"/>
  <c r="K507" i="13"/>
  <c r="G501" i="13"/>
  <c r="K438" i="13"/>
  <c r="K405" i="13"/>
  <c r="K352" i="13"/>
  <c r="I19" i="6"/>
  <c r="I24" i="6" s="1"/>
  <c r="A3" i="8"/>
  <c r="H17" i="33"/>
  <c r="A3" i="9"/>
  <c r="A3" i="18"/>
  <c r="A3" i="2"/>
  <c r="K508" i="13"/>
  <c r="G291" i="13"/>
  <c r="K315" i="13"/>
  <c r="K501" i="13"/>
  <c r="I479" i="13"/>
  <c r="K479" i="13" s="1"/>
  <c r="G480" i="13"/>
  <c r="J519" i="13"/>
  <c r="J520" i="13" s="1"/>
  <c r="K291" i="13"/>
  <c r="E480" i="13"/>
  <c r="K477" i="13"/>
  <c r="K294" i="13"/>
  <c r="K114" i="6"/>
  <c r="K121" i="6" s="1"/>
  <c r="K8" i="13"/>
  <c r="K321" i="13"/>
  <c r="K317" i="13"/>
  <c r="I340" i="13"/>
  <c r="K360" i="13"/>
  <c r="I356" i="13"/>
  <c r="K356" i="13" s="1"/>
  <c r="K375" i="13"/>
  <c r="I369" i="13"/>
  <c r="K369" i="13" s="1"/>
  <c r="K389" i="13"/>
  <c r="I409" i="13"/>
  <c r="K409" i="13" s="1"/>
  <c r="K397" i="13"/>
  <c r="I424" i="13"/>
  <c r="K424" i="13" s="1"/>
  <c r="I451" i="13"/>
  <c r="K451" i="13" s="1"/>
  <c r="I433" i="13"/>
  <c r="K433" i="13" s="1"/>
  <c r="K465" i="13"/>
  <c r="G46" i="2"/>
  <c r="I46" i="2"/>
  <c r="K513" i="13"/>
  <c r="G518" i="13"/>
  <c r="I435" i="13"/>
  <c r="K435" i="13" s="1"/>
  <c r="K350" i="13"/>
  <c r="H74" i="30" l="1"/>
  <c r="D8" i="31"/>
  <c r="G15" i="30"/>
  <c r="G53" i="2"/>
  <c r="G142" i="2"/>
  <c r="I142" i="2"/>
  <c r="K299" i="13"/>
  <c r="K310" i="13" s="1"/>
  <c r="I20" i="6"/>
  <c r="I25" i="6" s="1"/>
  <c r="I53" i="2"/>
  <c r="I7" i="2" s="1"/>
  <c r="I123" i="2"/>
  <c r="G123" i="2"/>
  <c r="I8" i="2"/>
  <c r="E9" i="2"/>
  <c r="E10" i="2" s="1"/>
  <c r="G124" i="13"/>
  <c r="G270" i="13"/>
  <c r="I480" i="13"/>
  <c r="E519" i="13"/>
  <c r="E520" i="13" s="1"/>
  <c r="K518" i="13"/>
  <c r="G8" i="6" s="1"/>
  <c r="K511" i="13"/>
  <c r="E8" i="6" s="1"/>
  <c r="A91" i="6"/>
  <c r="A92" i="6" s="1"/>
  <c r="A93" i="6" s="1"/>
  <c r="A94" i="6" s="1"/>
  <c r="A95" i="6" s="1"/>
  <c r="A96" i="6" s="1"/>
  <c r="A97" i="6" s="1"/>
  <c r="A98" i="6" s="1"/>
  <c r="A99" i="6" s="1"/>
  <c r="A100" i="6" s="1"/>
  <c r="A101" i="6" s="1"/>
  <c r="A102" i="6" s="1"/>
  <c r="A103" i="6" s="1"/>
  <c r="A104" i="6" s="1"/>
  <c r="A105"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F6" i="30"/>
  <c r="G6" i="30"/>
  <c r="H7" i="30"/>
  <c r="K340" i="13"/>
  <c r="K480" i="13" s="1"/>
  <c r="K124" i="13"/>
  <c r="C12" i="6" l="1"/>
  <c r="K12" i="6" s="1"/>
  <c r="C10" i="6"/>
  <c r="K10" i="6" s="1"/>
  <c r="H8" i="2"/>
  <c r="K293" i="13" s="1"/>
  <c r="H6" i="30"/>
  <c r="G519" i="13"/>
  <c r="G520" i="13" s="1"/>
  <c r="C7" i="6" s="1"/>
  <c r="I9" i="2"/>
  <c r="H9" i="2" s="1"/>
  <c r="H7" i="2"/>
  <c r="I292" i="13" s="1"/>
  <c r="G14" i="6"/>
  <c r="G19" i="6" s="1"/>
  <c r="G20" i="6" s="1"/>
  <c r="G9" i="6"/>
  <c r="G13" i="6" s="1"/>
  <c r="G123" i="6" s="1"/>
  <c r="D6" i="31"/>
  <c r="E14" i="6"/>
  <c r="E46" i="6" s="1"/>
  <c r="C17" i="6" l="1"/>
  <c r="C23" i="6" s="1"/>
  <c r="I10" i="2"/>
  <c r="C15" i="6"/>
  <c r="C21" i="6" s="1"/>
  <c r="C26" i="6" s="1"/>
  <c r="K7" i="6"/>
  <c r="H10" i="2"/>
  <c r="G24" i="6"/>
  <c r="G122" i="6"/>
  <c r="G46" i="6"/>
  <c r="G47" i="6" s="1"/>
  <c r="E17" i="7" s="1"/>
  <c r="G25" i="6"/>
  <c r="E10" i="7" s="1"/>
  <c r="E19" i="6"/>
  <c r="E24" i="6" s="1"/>
  <c r="E122" i="6"/>
  <c r="E93" i="6"/>
  <c r="E7" i="7"/>
  <c r="E9" i="7" s="1"/>
  <c r="K292" i="13"/>
  <c r="K295" i="13" s="1"/>
  <c r="I295" i="13"/>
  <c r="I519" i="13" s="1"/>
  <c r="I520" i="13" s="1"/>
  <c r="C9" i="6" s="1"/>
  <c r="C72" i="6" s="1"/>
  <c r="C28" i="6" l="1"/>
  <c r="C97" i="6"/>
  <c r="C50" i="6"/>
  <c r="C125" i="6"/>
  <c r="K21" i="6"/>
  <c r="C48" i="6"/>
  <c r="K48" i="6" s="1"/>
  <c r="C95" i="6"/>
  <c r="C7" i="4" s="1"/>
  <c r="C13" i="6"/>
  <c r="C20" i="6" s="1"/>
  <c r="K9" i="6"/>
  <c r="I72" i="6"/>
  <c r="G72" i="6"/>
  <c r="E14" i="7"/>
  <c r="E36" i="7"/>
  <c r="K26" i="6"/>
  <c r="C13" i="4"/>
  <c r="K519" i="13"/>
  <c r="K520" i="13" s="1"/>
  <c r="K23" i="6"/>
  <c r="K28" i="6"/>
  <c r="G10" i="7" s="1"/>
  <c r="E11" i="7"/>
  <c r="E27" i="7" s="1"/>
  <c r="K125" i="6" l="1"/>
  <c r="G7" i="7" s="1"/>
  <c r="G9" i="7" s="1"/>
  <c r="G11" i="7" s="1"/>
  <c r="G27" i="7" s="1"/>
  <c r="K50" i="6"/>
  <c r="G17" i="7" s="1"/>
  <c r="K97" i="6"/>
  <c r="G13" i="7" s="1"/>
  <c r="C8" i="4"/>
  <c r="K95" i="6"/>
  <c r="K73" i="6"/>
  <c r="C12" i="8"/>
  <c r="C7" i="9"/>
  <c r="G14" i="7"/>
  <c r="G36" i="7"/>
  <c r="E18" i="7"/>
  <c r="E19" i="7" s="1"/>
  <c r="E29" i="7" s="1"/>
  <c r="E15" i="7"/>
  <c r="E28" i="7" s="1"/>
  <c r="K523" i="13"/>
  <c r="C21" i="4" s="1"/>
  <c r="C8" i="6"/>
  <c r="K8" i="6" s="1"/>
  <c r="C47" i="6"/>
  <c r="K47" i="6" s="1"/>
  <c r="D17" i="7" s="1"/>
  <c r="C94" i="6"/>
  <c r="K94" i="6" s="1"/>
  <c r="D13" i="7" s="1"/>
  <c r="C123" i="6"/>
  <c r="K123" i="6" s="1"/>
  <c r="D7" i="7" l="1"/>
  <c r="D9" i="7" s="1"/>
  <c r="K20" i="6"/>
  <c r="C25" i="6"/>
  <c r="K25" i="6" s="1"/>
  <c r="D10" i="7" s="1"/>
  <c r="C14" i="6"/>
  <c r="G18" i="7"/>
  <c r="G19" i="7" s="1"/>
  <c r="G29" i="7" s="1"/>
  <c r="G15" i="7"/>
  <c r="G28" i="7" s="1"/>
  <c r="D25" i="7"/>
  <c r="D32" i="7" s="1"/>
  <c r="E25" i="7"/>
  <c r="E32" i="7" s="1"/>
  <c r="E33" i="7" s="1"/>
  <c r="E35" i="7" s="1"/>
  <c r="C19" i="6" l="1"/>
  <c r="C46" i="6"/>
  <c r="K46" i="6" s="1"/>
  <c r="C17" i="7" s="1"/>
  <c r="C6" i="9"/>
  <c r="C8" i="9" s="1"/>
  <c r="C10" i="9" s="1"/>
  <c r="C11" i="8"/>
  <c r="C13" i="8" s="1"/>
  <c r="C15" i="8" s="1"/>
  <c r="C17" i="8" s="1"/>
  <c r="C19" i="8" s="1"/>
  <c r="C6" i="8" s="1"/>
  <c r="C8" i="8" s="1"/>
  <c r="E37" i="7"/>
  <c r="D14" i="7"/>
  <c r="D36" i="7"/>
  <c r="D11" i="7"/>
  <c r="D27" i="7" s="1"/>
  <c r="C93" i="6"/>
  <c r="C122" i="6"/>
  <c r="K122" i="6" l="1"/>
  <c r="C7" i="7" s="1"/>
  <c r="C9" i="7" s="1"/>
  <c r="K93" i="6"/>
  <c r="C13" i="7" s="1"/>
  <c r="K19" i="6"/>
  <c r="C24" i="6"/>
  <c r="K24" i="6" s="1"/>
  <c r="C10" i="7" s="1"/>
  <c r="D18" i="7"/>
  <c r="D19" i="7" s="1"/>
  <c r="D29" i="7" s="1"/>
  <c r="D15" i="7"/>
  <c r="D28" i="7" s="1"/>
  <c r="C15" i="9"/>
  <c r="C18" i="9" s="1"/>
  <c r="C11" i="9"/>
  <c r="D33" i="7" l="1"/>
  <c r="D35" i="7" s="1"/>
  <c r="D37" i="7" s="1"/>
  <c r="C14" i="7"/>
  <c r="C18" i="7" s="1"/>
  <c r="C19" i="7" s="1"/>
  <c r="C29" i="7" s="1"/>
  <c r="C36" i="7"/>
  <c r="C11" i="7"/>
  <c r="C27" i="7" s="1"/>
  <c r="C15" i="7" l="1"/>
  <c r="C28" i="7" s="1"/>
  <c r="F8" i="30" l="1"/>
  <c r="F56" i="30"/>
  <c r="F74" i="30" s="1"/>
  <c r="F9" i="30" l="1"/>
  <c r="H8" i="30"/>
  <c r="H9" i="30"/>
  <c r="D16" i="29"/>
  <c r="H15" i="30" l="1"/>
  <c r="F15" i="30"/>
  <c r="C11" i="6" s="1"/>
  <c r="E7" i="29"/>
  <c r="E8" i="29"/>
  <c r="E9" i="29"/>
  <c r="E10" i="29"/>
  <c r="E11" i="29"/>
  <c r="E6" i="29"/>
  <c r="N9" i="29" l="1"/>
  <c r="N8" i="29"/>
  <c r="N6" i="29"/>
  <c r="N11" i="29"/>
  <c r="N10" i="29"/>
  <c r="N7" i="29"/>
  <c r="C16" i="6"/>
  <c r="C22" i="6" s="1"/>
  <c r="F6" i="29" s="1"/>
  <c r="K6" i="29" s="1"/>
  <c r="K11" i="6"/>
  <c r="E70" i="6" s="1"/>
  <c r="C70" i="6" l="1"/>
  <c r="G70" i="6"/>
  <c r="C96" i="6"/>
  <c r="I10" i="29" s="1"/>
  <c r="C124" i="6"/>
  <c r="G7" i="29" s="1"/>
  <c r="C49" i="6"/>
  <c r="H8" i="29" s="1"/>
  <c r="C27" i="6"/>
  <c r="K27" i="6" s="1"/>
  <c r="F10" i="7" s="1"/>
  <c r="F14" i="7" s="1"/>
  <c r="F18" i="7" s="1"/>
  <c r="K22" i="6"/>
  <c r="K49" i="6"/>
  <c r="F17" i="7" s="1"/>
  <c r="H10" i="29"/>
  <c r="H9" i="29"/>
  <c r="H7" i="29"/>
  <c r="K96" i="6"/>
  <c r="F8" i="29"/>
  <c r="K8" i="29" s="1"/>
  <c r="F7" i="29"/>
  <c r="K7" i="29" s="1"/>
  <c r="F10" i="29"/>
  <c r="K10" i="29" s="1"/>
  <c r="F11" i="29"/>
  <c r="K11" i="29" s="1"/>
  <c r="F9" i="29"/>
  <c r="K9" i="29" s="1"/>
  <c r="I6" i="29"/>
  <c r="H6" i="29"/>
  <c r="C25" i="7"/>
  <c r="I7" i="29" l="1"/>
  <c r="F19" i="7"/>
  <c r="F29" i="7" s="1"/>
  <c r="I9" i="29"/>
  <c r="F36" i="7"/>
  <c r="I11" i="29"/>
  <c r="G10" i="29"/>
  <c r="K124" i="6"/>
  <c r="F13" i="7"/>
  <c r="F15" i="7" s="1"/>
  <c r="F28" i="7" s="1"/>
  <c r="F7" i="7"/>
  <c r="F9" i="7" s="1"/>
  <c r="F11" i="7" s="1"/>
  <c r="F27" i="7" s="1"/>
  <c r="I8" i="29"/>
  <c r="I16" i="29" s="1"/>
  <c r="G9" i="29"/>
  <c r="G11" i="29"/>
  <c r="H11" i="29"/>
  <c r="H16" i="29" s="1"/>
  <c r="G8" i="29"/>
  <c r="G6" i="29"/>
  <c r="F16" i="29"/>
  <c r="C12" i="4"/>
  <c r="C14" i="4" s="1"/>
  <c r="C16" i="4" s="1"/>
  <c r="F25" i="7"/>
  <c r="C32" i="7"/>
  <c r="C33" i="7" s="1"/>
  <c r="C35" i="7" s="1"/>
  <c r="C37" i="7" s="1"/>
  <c r="K16" i="29"/>
  <c r="G16" i="29" l="1"/>
  <c r="J7" i="29"/>
  <c r="L7" i="29" s="1"/>
  <c r="M7" i="29" s="1"/>
  <c r="P7" i="29" s="1"/>
  <c r="J8" i="29"/>
  <c r="L8" i="29" s="1"/>
  <c r="M8" i="29" s="1"/>
  <c r="P8" i="29" s="1"/>
  <c r="J11" i="29"/>
  <c r="L11" i="29" s="1"/>
  <c r="M11" i="29" s="1"/>
  <c r="P11" i="29" s="1"/>
  <c r="J9" i="29"/>
  <c r="L9" i="29" s="1"/>
  <c r="M9" i="29" s="1"/>
  <c r="P9" i="29" s="1"/>
  <c r="J10" i="29"/>
  <c r="L10" i="29" s="1"/>
  <c r="M10" i="29" s="1"/>
  <c r="P10" i="29" s="1"/>
  <c r="J14" i="31"/>
  <c r="J13" i="31"/>
  <c r="J11" i="31"/>
  <c r="J12" i="31"/>
  <c r="J10" i="31"/>
  <c r="C17" i="4"/>
  <c r="C19" i="4" s="1"/>
  <c r="J7" i="31"/>
  <c r="J6" i="29"/>
  <c r="L6" i="29" s="1"/>
  <c r="M6" i="29" s="1"/>
  <c r="G25" i="7"/>
  <c r="G32" i="7" s="1"/>
  <c r="G33" i="7" s="1"/>
  <c r="G35" i="7" s="1"/>
  <c r="G37" i="7" s="1"/>
  <c r="F32" i="7"/>
  <c r="F33" i="7" s="1"/>
  <c r="F35" i="7" s="1"/>
  <c r="F37" i="7" s="1"/>
  <c r="J9" i="31"/>
  <c r="J8" i="31"/>
  <c r="J6" i="31"/>
  <c r="M16" i="29" l="1"/>
  <c r="L16" i="29"/>
  <c r="P6" i="29"/>
  <c r="P16" i="29" l="1"/>
  <c r="H22" i="37" s="1"/>
  <c r="N10" i="31" l="1"/>
  <c r="N9" i="31"/>
  <c r="E6" i="31"/>
  <c r="I6" i="31" s="1"/>
  <c r="E12" i="31"/>
  <c r="N12" i="31" s="1"/>
  <c r="E8" i="31"/>
  <c r="N8" i="31" s="1"/>
  <c r="E10" i="31"/>
  <c r="I10" i="31" s="1"/>
  <c r="E14" i="31"/>
  <c r="I14" i="31" s="1"/>
  <c r="E9" i="31"/>
  <c r="G9" i="31" s="1"/>
  <c r="G13" i="31"/>
  <c r="E13" i="31"/>
  <c r="F13" i="31" s="1"/>
  <c r="K13" i="31" s="1"/>
  <c r="L13" i="31" s="1"/>
  <c r="E11" i="31"/>
  <c r="N11" i="31" s="1"/>
  <c r="H11" i="31"/>
  <c r="E7" i="31"/>
  <c r="I7" i="31" s="1"/>
  <c r="N13" i="31" l="1"/>
  <c r="I13" i="31"/>
  <c r="F11" i="31"/>
  <c r="K11" i="31" s="1"/>
  <c r="L11" i="31" s="1"/>
  <c r="F14" i="31"/>
  <c r="K14" i="31" s="1"/>
  <c r="L14" i="31" s="1"/>
  <c r="G14" i="31"/>
  <c r="H10" i="31"/>
  <c r="G10" i="31"/>
  <c r="F10" i="31"/>
  <c r="K10" i="31" s="1"/>
  <c r="L10" i="31" s="1"/>
  <c r="I8" i="31"/>
  <c r="M10" i="31"/>
  <c r="F9" i="31"/>
  <c r="K9" i="31" s="1"/>
  <c r="L9" i="31" s="1"/>
  <c r="G7" i="31"/>
  <c r="N7" i="31"/>
  <c r="F8" i="31"/>
  <c r="K8" i="31" s="1"/>
  <c r="L8" i="31" s="1"/>
  <c r="G8" i="31"/>
  <c r="H12" i="31"/>
  <c r="H8" i="31"/>
  <c r="N14" i="31"/>
  <c r="I11" i="31"/>
  <c r="F12" i="31"/>
  <c r="K12" i="31" s="1"/>
  <c r="L12" i="31" s="1"/>
  <c r="I9" i="31"/>
  <c r="I17" i="31" s="1"/>
  <c r="G6" i="31"/>
  <c r="I12" i="31"/>
  <c r="G11" i="31"/>
  <c r="M11" i="31" s="1"/>
  <c r="H14" i="31"/>
  <c r="G12" i="31"/>
  <c r="H6" i="31"/>
  <c r="H9" i="31"/>
  <c r="N6" i="31"/>
  <c r="H13" i="31"/>
  <c r="M13" i="31" s="1"/>
  <c r="F7" i="31"/>
  <c r="K7" i="31" s="1"/>
  <c r="L7" i="31" s="1"/>
  <c r="H7" i="31"/>
  <c r="F6" i="31"/>
  <c r="M14" i="31" l="1"/>
  <c r="P13" i="31"/>
  <c r="P14" i="31"/>
  <c r="P11" i="31"/>
  <c r="M9" i="31"/>
  <c r="H17" i="31"/>
  <c r="M8" i="31"/>
  <c r="G17" i="31"/>
  <c r="P10" i="31"/>
  <c r="K6" i="31"/>
  <c r="M12" i="31"/>
  <c r="M7" i="31"/>
  <c r="P8" i="31" l="1"/>
  <c r="P9" i="31"/>
  <c r="P7" i="31"/>
  <c r="P12" i="31"/>
  <c r="L6" i="31"/>
  <c r="K17" i="31"/>
  <c r="L17" i="31" l="1"/>
  <c r="M6" i="31"/>
  <c r="P6" i="31" l="1"/>
  <c r="M17" i="31"/>
  <c r="P17" i="31" l="1"/>
  <c r="H21" i="37" s="1"/>
</calcChain>
</file>

<file path=xl/sharedStrings.xml><?xml version="1.0" encoding="utf-8"?>
<sst xmlns="http://schemas.openxmlformats.org/spreadsheetml/2006/main" count="5583" uniqueCount="2780">
  <si>
    <t>Western Area Power Administration (WAPA)</t>
  </si>
  <si>
    <t>Upper Great Plains Region (WAPA-UGP)</t>
  </si>
  <si>
    <t>Transmission and Ancillary Services</t>
  </si>
  <si>
    <t>Rate Calculation</t>
  </si>
  <si>
    <t>(Rate Order No. WAPA-188)</t>
  </si>
  <si>
    <t>WAPA-UGP</t>
  </si>
  <si>
    <t xml:space="preserve"> Transmission and Ancillary Services List of Workpapers and Schedules</t>
  </si>
  <si>
    <t>Worksheet Tab Label</t>
  </si>
  <si>
    <t>Worksheet Tab Description</t>
  </si>
  <si>
    <t>Summary-ATRR</t>
  </si>
  <si>
    <t>Worksheet "Summary-ATRR" -- Calculation of ATRRs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</si>
  <si>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</si>
  <si>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</si>
  <si>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</si>
  <si>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</si>
  <si>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</si>
  <si>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</si>
  <si>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</si>
  <si>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</si>
  <si>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</si>
  <si>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</si>
  <si>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</si>
  <si>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 xml:space="preserve">Worksheet 6 -- SPP Base Plan Upgrades (BPU) - Regional </t>
  </si>
  <si>
    <t>WS7-BPUFac</t>
  </si>
  <si>
    <t>Worksheet 7 -- SPP Base Plan Upgrades (BPU) - Facilities</t>
  </si>
  <si>
    <t>WS8-TranFac</t>
  </si>
  <si>
    <t>Worksheet 8 -- Transmission Facilities</t>
  </si>
  <si>
    <t>WS9-AI-Incl</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</si>
  <si>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</si>
  <si>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</si>
  <si>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</si>
  <si>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</si>
  <si>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</si>
  <si>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</si>
  <si>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</si>
  <si>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</si>
  <si>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Control and Dispatch Service (SSCD) Facilities</t>
  </si>
  <si>
    <t>WS14-Reg</t>
  </si>
  <si>
    <t>Worksheet 14 -- Regulation and Frequency Response ARR</t>
  </si>
  <si>
    <t>WS15-Res</t>
  </si>
  <si>
    <t>Worksheet 15 -- Reserves ARR</t>
  </si>
  <si>
    <t>(Back to Worksheet Links)</t>
  </si>
  <si>
    <t>Summary-ATRR - Calculation of ATRRs (Sched 9, Sched 11)</t>
  </si>
  <si>
    <t>TRANSMISSION</t>
  </si>
  <si>
    <t>Line</t>
  </si>
  <si>
    <t>REFERENCE</t>
  </si>
  <si>
    <t>COMPANY TOTAL $</t>
  </si>
  <si>
    <t>ALLOCATOR</t>
  </si>
  <si>
    <t>ALLOCATION %</t>
  </si>
  <si>
    <t>ALLOCATED AMOUNT $</t>
  </si>
  <si>
    <t>No.</t>
  </si>
  <si>
    <t>(1)</t>
  </si>
  <si>
    <t>(2)</t>
  </si>
  <si>
    <t>(3)</t>
  </si>
  <si>
    <t>(4)</t>
  </si>
  <si>
    <t>(5)</t>
  </si>
  <si>
    <t>Gross Zonal Revenue Requirement-Sch 9</t>
  </si>
  <si>
    <t>WS1-RateBase C5L1</t>
  </si>
  <si>
    <t>REVENUE CREDITS</t>
  </si>
  <si>
    <t xml:space="preserve">     Firm Point-to-Point Revenue Credit</t>
  </si>
  <si>
    <t>NA</t>
  </si>
  <si>
    <t xml:space="preserve">     Non-Firm Point-to-Point Revenue Credit</t>
  </si>
  <si>
    <t>WS3-RevCredits C5L9</t>
  </si>
  <si>
    <t xml:space="preserve">     Revenue from Existing Transmission Agreements</t>
  </si>
  <si>
    <t>WS3-RevCredits C5L12</t>
  </si>
  <si>
    <t xml:space="preserve">     Scheduling, System Control, and Dispatch Service Credit</t>
  </si>
  <si>
    <t xml:space="preserve">     Account No. 454</t>
  </si>
  <si>
    <t>TP</t>
  </si>
  <si>
    <t xml:space="preserve">     Z2 Nonfirm Point-to-Point Revenue Credit</t>
  </si>
  <si>
    <t>TOTAL REVENUE CREDITS</t>
  </si>
  <si>
    <t>TRUE-UP ADJUSTMENT (from TRUEUP Sheet)</t>
  </si>
  <si>
    <t>Summary-TrueUp L12</t>
  </si>
  <si>
    <t>Net Revenue Requirement</t>
  </si>
  <si>
    <t>TOTAL PROJECT ATRR $</t>
  </si>
  <si>
    <t>TRUE-UP ADJ $</t>
  </si>
  <si>
    <t>(6)</t>
  </si>
  <si>
    <t>(7)</t>
  </si>
  <si>
    <t>SPP Upgrades - Gross Revenue Requirement-Sch 11*</t>
  </si>
  <si>
    <t xml:space="preserve">     Zonal less True-Up (from TRUEUP Sheet)</t>
  </si>
  <si>
    <t xml:space="preserve">     Regional less True-Up (from TRUEUP Sheet)</t>
  </si>
  <si>
    <t xml:space="preserve">           Breakout by Facility:</t>
  </si>
  <si>
    <t xml:space="preserve">     Roberts County 115 kV Substation, 71926</t>
  </si>
  <si>
    <t xml:space="preserve">     Roberts County 115/69 kV Transformer, 71927</t>
  </si>
  <si>
    <t>Worksheet 1 - Schedule 9 Revenue Requirement - Non-Levelized</t>
  </si>
  <si>
    <t>Utilizing Financial Statement Results of Operations (ROOs)</t>
  </si>
  <si>
    <t>COMPANY TOTAL</t>
  </si>
  <si>
    <t>ALLOCATED AMOUNT</t>
  </si>
  <si>
    <t xml:space="preserve">GROSS REVENUE REQUIREMENT </t>
  </si>
  <si>
    <t>Estimate</t>
  </si>
  <si>
    <t>NET REVENUE REQUIREMENT</t>
  </si>
  <si>
    <t>RATE BASE:</t>
  </si>
  <si>
    <t>(Col 3 times Col 4)</t>
  </si>
  <si>
    <t>GROSS PLANT IN SERVICE</t>
  </si>
  <si>
    <t>(Note A)</t>
  </si>
  <si>
    <t xml:space="preserve">  Production</t>
  </si>
  <si>
    <t>WS4-CostData L4 C2+C3+C4</t>
  </si>
  <si>
    <t xml:space="preserve"> </t>
  </si>
  <si>
    <t xml:space="preserve">  Transmission</t>
  </si>
  <si>
    <t>WS4-CostData L3 C2+C3+C4</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</si>
  <si>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</si>
  <si>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</si>
  <si>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</si>
  <si>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</si>
  <si>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</si>
  <si>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</si>
  <si>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</si>
  <si>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</si>
  <si>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</si>
  <si>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</si>
  <si>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</si>
  <si>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</si>
  <si>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</si>
  <si>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</si>
  <si>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</si>
  <si>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</si>
  <si>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</si>
  <si>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</si>
  <si>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</si>
  <si>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</si>
  <si>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</si>
  <si>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</si>
  <si>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</si>
  <si>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</si>
  <si>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</si>
  <si>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</si>
  <si>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</si>
  <si>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</si>
  <si>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</si>
  <si>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</si>
  <si>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</si>
  <si>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</si>
  <si>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</si>
  <si>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</si>
  <si>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</si>
  <si>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</si>
  <si>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</si>
  <si>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</si>
  <si>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</si>
  <si>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</si>
  <si>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</si>
  <si>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</si>
  <si>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</si>
  <si>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</si>
  <si>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</si>
  <si>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</si>
  <si>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PTP/UGP</t>
  </si>
  <si>
    <t xml:space="preserve">          Western-RMR</t>
  </si>
  <si>
    <t>PTP/RMR</t>
  </si>
  <si>
    <t xml:space="preserve">          COE</t>
  </si>
  <si>
    <t>PTP/COE</t>
  </si>
  <si>
    <t xml:space="preserve">     Less Account 565</t>
  </si>
  <si>
    <t>(Note E)</t>
  </si>
  <si>
    <t xml:space="preserve">  A&amp;G</t>
  </si>
  <si>
    <t>ROOs Schedule 11 (Note F)</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</si>
  <si>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</si>
  <si>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</si>
  <si>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</si>
  <si>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</si>
  <si>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</si>
  <si>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</si>
  <si>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</si>
  <si>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</si>
  <si>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</si>
  <si>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</si>
  <si>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</si>
  <si>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</si>
  <si>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</si>
  <si>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</si>
  <si>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</si>
  <si>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</si>
  <si>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</si>
  <si>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</si>
  <si>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</si>
  <si>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</si>
  <si>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</si>
  <si>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</si>
  <si>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</si>
  <si>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</si>
  <si>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</si>
  <si>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</si>
  <si>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</si>
  <si>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</si>
  <si>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</si>
  <si>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</si>
  <si>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</si>
  <si>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</si>
  <si>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</si>
  <si>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</si>
  <si>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</si>
  <si>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</si>
  <si>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</si>
  <si>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</si>
  <si>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</si>
  <si>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</si>
  <si>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</si>
  <si>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</si>
  <si>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</si>
  <si>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</si>
  <si>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</si>
  <si>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</si>
  <si>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</si>
  <si>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</si>
  <si>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</si>
  <si>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</si>
  <si>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</si>
  <si>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</si>
  <si>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Allocation</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</si>
  <si>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</si>
  <si>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</si>
  <si>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</si>
  <si>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</si>
  <si>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</si>
  <si>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</si>
  <si>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</si>
  <si>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</si>
  <si>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</si>
  <si>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</si>
  <si>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</si>
  <si>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</si>
  <si>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</si>
  <si>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</si>
  <si>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</si>
  <si>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</si>
  <si>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</si>
  <si>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</si>
  <si>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</si>
  <si>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</si>
  <si>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</si>
  <si>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</si>
  <si>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</si>
  <si>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</si>
  <si>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</si>
  <si>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</si>
  <si>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</si>
  <si>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</si>
  <si>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</si>
  <si>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</si>
  <si>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</si>
  <si>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</si>
  <si>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L23,25,26,29,30</t>
  </si>
  <si>
    <t>=R</t>
  </si>
  <si>
    <t xml:space="preserve">  Proprietary Capital</t>
  </si>
  <si>
    <t>Total (sum L31-32)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</si>
  <si>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</si>
  <si>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</si>
  <si>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</si>
  <si>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</si>
  <si>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</si>
  <si>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</si>
  <si>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</si>
  <si>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</si>
  <si>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</si>
  <si>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</si>
  <si>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</si>
  <si>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</si>
  <si>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</si>
  <si>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</si>
  <si>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</si>
  <si>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</si>
  <si>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</si>
  <si>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</si>
  <si>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</si>
  <si>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</si>
  <si>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</si>
  <si>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</si>
  <si>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</si>
  <si>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</si>
  <si>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</si>
  <si>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</si>
  <si>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</si>
  <si>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</si>
  <si>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</si>
  <si>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</si>
  <si>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</si>
  <si>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</si>
  <si>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</si>
  <si>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</si>
  <si>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</si>
  <si>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</si>
  <si>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</si>
  <si>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</si>
  <si>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</si>
  <si>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</si>
  <si>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</si>
  <si>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</si>
  <si>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</si>
  <si>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</si>
  <si>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</si>
  <si>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</si>
  <si>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</si>
  <si>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</si>
  <si>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</si>
  <si>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</si>
  <si>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</si>
  <si>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</si>
  <si>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</si>
  <si>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</si>
  <si>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 xml:space="preserve">  </t>
  </si>
  <si>
    <t>Worksheet 2 - Allocation Factor, Determination of Pick-Sloan Missouri Basin Program--Eastern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</si>
  <si>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</si>
  <si>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</si>
  <si>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</si>
  <si>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</si>
  <si>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</si>
  <si>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</si>
  <si>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</si>
  <si>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</si>
  <si>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 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</si>
  <si>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</si>
  <si>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</si>
  <si>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</si>
  <si>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</si>
  <si>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</si>
  <si>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</si>
  <si>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</si>
  <si>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</si>
  <si>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</si>
  <si>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</si>
  <si>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</si>
  <si>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</si>
  <si>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</si>
  <si>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</si>
  <si>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</si>
  <si>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</si>
  <si>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</si>
  <si>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</si>
  <si>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</si>
  <si>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</si>
  <si>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</si>
  <si>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</si>
  <si>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</si>
  <si>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</si>
  <si>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</si>
  <si>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</si>
  <si>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</si>
  <si>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</si>
  <si>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</si>
  <si>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</si>
  <si>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</si>
  <si>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</si>
  <si>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</si>
  <si>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</si>
  <si>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</si>
  <si>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</si>
  <si>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</si>
  <si>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</si>
  <si>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</si>
  <si>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</si>
  <si>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</si>
  <si>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</si>
  <si>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</si>
  <si>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</si>
  <si>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</si>
  <si>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Z2</t>
  </si>
  <si>
    <t>Adjustments</t>
  </si>
  <si>
    <t>Subtotal</t>
  </si>
  <si>
    <t>Schedule 7</t>
  </si>
  <si>
    <t>FIRM PTP</t>
  </si>
  <si>
    <t>Schedule 8</t>
  </si>
  <si>
    <t>NONFIRM PTP</t>
  </si>
  <si>
    <t>Sch 7/8/11</t>
  </si>
  <si>
    <t>MISO SEAMS</t>
  </si>
  <si>
    <t>RENT FROM ELECTRIC PROPERTY</t>
  </si>
  <si>
    <t>Sch 11</t>
  </si>
  <si>
    <t>BPU-ZONAL PTP</t>
  </si>
  <si>
    <t>BPU-REGIONAL PTP</t>
  </si>
  <si>
    <t>NOTES:</t>
  </si>
  <si>
    <t xml:space="preserve">Includes twelve months of revenue credits from January-December or February-January depending on when WAPA began receiving revenue credits from SPP. </t>
  </si>
  <si>
    <t>Revenue credit sheet may be updated or adjusted as necessary to include all revenue credits received.</t>
  </si>
  <si>
    <t xml:space="preserve">Schedule 7 - Firm PTP Transmission revenues </t>
  </si>
  <si>
    <t>Schedule 8 - Non-Firm PTP Transmission revenues</t>
  </si>
  <si>
    <t>Schedule 7/8/11 - MISO's SPP PTP transmission service revenues</t>
  </si>
  <si>
    <t>45420 - Other Rental revenues</t>
  </si>
  <si>
    <t>Schedule 11 Base Plan Upgrade, Zonal and Regional revenues</t>
  </si>
  <si>
    <t>Worksheet 4 - Cost Support Data</t>
  </si>
  <si>
    <t xml:space="preserve">WESTERN-UGP </t>
  </si>
  <si>
    <t>WESTERN-RMR</t>
  </si>
  <si>
    <t>COE</t>
  </si>
  <si>
    <t>BOR</t>
  </si>
  <si>
    <t>TOTAL</t>
  </si>
  <si>
    <t>Line No.</t>
  </si>
  <si>
    <t>Net Plant Investment Worksheet</t>
  </si>
  <si>
    <t>Total PS Plant-in-Service</t>
  </si>
  <si>
    <t>1/</t>
  </si>
  <si>
    <t>2/</t>
  </si>
  <si>
    <t>3/</t>
  </si>
  <si>
    <t>12/</t>
  </si>
  <si>
    <t>PS-ED Transmission Plant-in-Service</t>
  </si>
  <si>
    <t>4/</t>
  </si>
  <si>
    <t>5/</t>
  </si>
  <si>
    <t>6/</t>
  </si>
  <si>
    <t>7/</t>
  </si>
  <si>
    <t>L2-L3</t>
  </si>
  <si>
    <t>PS-ED SSCD Plant-in-Service</t>
  </si>
  <si>
    <t>8/</t>
  </si>
  <si>
    <t>BPU-Regional Plant-in-Service</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</si>
  <si>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</si>
  <si>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</si>
  <si>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</si>
  <si>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</si>
  <si>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</si>
  <si>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</si>
  <si>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</si>
  <si>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</si>
  <si>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</si>
  <si>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</si>
  <si>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</si>
  <si>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</si>
  <si>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</si>
  <si>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</si>
  <si>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</si>
  <si>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</si>
  <si>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L13*L9</t>
  </si>
  <si>
    <t>PS-ED Gen. Accumulated Depreciation</t>
  </si>
  <si>
    <t>L13*L8</t>
  </si>
  <si>
    <t>L13-L14</t>
  </si>
  <si>
    <t>PS-ED SSCD Accumulated Depreciation</t>
  </si>
  <si>
    <t>L13*L10</t>
  </si>
  <si>
    <t>BPU-Regional Accumulated Depreciation</t>
  </si>
  <si>
    <t>L13*L11</t>
  </si>
  <si>
    <t>BPU-Zonal Accumulated Depreciation</t>
  </si>
  <si>
    <t>L13*L12</t>
  </si>
  <si>
    <t>PS-ED Net Transmission Plant</t>
  </si>
  <si>
    <t>L3-L14</t>
  </si>
  <si>
    <t>PS-ED Net Generation Plant</t>
  </si>
  <si>
    <t>L4-L15</t>
  </si>
  <si>
    <t>PS-ED Net SSCD Plant</t>
  </si>
  <si>
    <t>L5-L16</t>
  </si>
  <si>
    <t>Regional Net Plant</t>
  </si>
  <si>
    <t>L6-L17</t>
  </si>
  <si>
    <t>Base Plan Upgrade Net Plant</t>
  </si>
  <si>
    <t>L7-L18</t>
  </si>
  <si>
    <t>8/  SSCD Plant-in-Service is based on a percentage of Watertown Operations Centers cost, based on FTE</t>
  </si>
  <si>
    <t>9/  FY UGPCSR - Pick-Sloan Missouri River Basin and UGPCSR - Ft. Peck Power System Results of Operations, Schedule 4</t>
  </si>
  <si>
    <t>10/  FY RMCSR - Pick-Sloan Missouri River Basin Results of Operations, Schedule 4</t>
  </si>
  <si>
    <t>11/  FY Corps of Engineers Financial Statements, Statement of Assets and Liabilities</t>
  </si>
  <si>
    <t>12/  Combined Financial Statements, Detail by Agency</t>
  </si>
  <si>
    <t>Depreciation Worksheet</t>
  </si>
  <si>
    <t>PS Depreciation Expense</t>
  </si>
  <si>
    <t>PS-ED Transmission Depreciation  5/</t>
  </si>
  <si>
    <t>L37*L9</t>
  </si>
  <si>
    <t>PS-ED Generation Depreciation  6/</t>
  </si>
  <si>
    <t>L37*L8</t>
  </si>
  <si>
    <t>PS-ED SSCD Depreciation  7/</t>
  </si>
  <si>
    <t>L37*L10</t>
  </si>
  <si>
    <t>BPU-Regional Depreciation</t>
  </si>
  <si>
    <t>L37*L11</t>
  </si>
  <si>
    <t>BPU-Zonal Depreciation</t>
  </si>
  <si>
    <t>L37*L12</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</si>
  <si>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</si>
  <si>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</si>
  <si>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</si>
  <si>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</si>
  <si>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Western-UGP, Western-RMR, COE, and BOR the portion of depreciation expense allocated to PS-ED transmission is based on the ratio of transmission plant-in-service to total  </t>
  </si>
  <si>
    <t>plant-in-service, calculated on L9 of the Net Plant Investment Worksheet</t>
  </si>
  <si>
    <t xml:space="preserve">6/  For Western-UGP, Western-RMR and BOR the portion of depreciation expense allocated to PS-ED generation is based on the ratio of generation plant-in-service to total plant-in-service, </t>
  </si>
  <si>
    <t>calculated on L8 of the Net Plant Investment Worksheet.  COE generation depreciation is COE total depreciation less transmission depreciation</t>
  </si>
  <si>
    <t>7/ For Western-UGP,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</si>
  <si>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</si>
  <si>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</si>
  <si>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</si>
  <si>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</si>
  <si>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</si>
  <si>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</si>
  <si>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13/</t>
  </si>
  <si>
    <t>Average Interest Rate</t>
  </si>
  <si>
    <t>L57/L55</t>
  </si>
  <si>
    <t>Transmission Plant Factor</t>
  </si>
  <si>
    <t>Weighted Trans. Composite Rate</t>
  </si>
  <si>
    <t>Generation Plant Factor</t>
  </si>
  <si>
    <t>Weighted Gen. Composite Rate</t>
  </si>
  <si>
    <t>1/   FY Historical Financial Data in Support of the Power Repayment Study for the P-SMBP, Schedules 21X and 21RX</t>
  </si>
  <si>
    <t>2/   Interest from Combined Financial Statements, Detail By Agency/Col M L53</t>
  </si>
  <si>
    <t>7/  (C2L58*C2L59)+(C3L58*C3L59)+(C4L58*C4L59)+(C5L58*C5L59)</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</si>
  <si>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</si>
  <si>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</si>
  <si>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</si>
  <si>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</si>
  <si>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(C2L58*C2L61)+(C3L58*C3L61)+(C4L58*C4L61)+(C5L58*C5L61)</t>
  </si>
  <si>
    <t>13/  FY UGPCSR - Pick-Sloan Missouri River Basin and UGPCSR - Ft. Peck Power System Results of Operations, Schedule 5</t>
  </si>
  <si>
    <t>A&amp;G Expenses Worksheet</t>
  </si>
  <si>
    <t>WESTERN-UGP 1/</t>
  </si>
  <si>
    <t>WESTERN-RMR 2/</t>
  </si>
  <si>
    <t>COE  3/</t>
  </si>
  <si>
    <t>BOR  3/</t>
  </si>
  <si>
    <t>Total</t>
  </si>
  <si>
    <t>PS Total Est. A&amp;G</t>
  </si>
  <si>
    <t>PS-ED Est. Transmission A&amp;G  4/</t>
  </si>
  <si>
    <t>PS-ED Generation A&amp;G  5/</t>
  </si>
  <si>
    <t>PS-ED SSCD A&amp;G  6/</t>
  </si>
  <si>
    <t>BPU-Regional A&amp;G</t>
  </si>
  <si>
    <t>BPU-Zonal A&amp;G</t>
  </si>
  <si>
    <t>1/  Western-UGP A&amp;G Est. Expenses are from the FY UGPCSR - Pick-Sloan Missouri River Basin and UGPCSR - Ft. Peck Power System Budget</t>
  </si>
  <si>
    <t>2/  Western RMR A&amp;G Expenses are from the FY RMCSR - Pick-Sloan Missouri River Basin Budget</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</si>
  <si>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</si>
  <si>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</si>
  <si>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</si>
  <si>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</si>
  <si>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</si>
  <si>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</si>
  <si>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COE 3/</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</si>
  <si>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</si>
  <si>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</si>
  <si>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</si>
  <si>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</si>
  <si>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</si>
  <si>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</si>
  <si>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</si>
  <si>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</si>
  <si>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</si>
  <si>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</si>
  <si>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</si>
  <si>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</si>
  <si>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</si>
  <si>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</si>
  <si>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</si>
  <si>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</si>
  <si>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FY UGPCSR - Pick-Sloan Missouri River Basin and UGPCSR -  Ft. Peck Power System Budget </t>
  </si>
  <si>
    <t xml:space="preserve">2/  All Western RMR O&amp;M Expenses are from the FY RMCSR - Pick-Sloan Missouri River Basin Results of Operations, Schedule 11; except Moveable Property and Warehouse </t>
  </si>
  <si>
    <t>Stores Interest, which are from Schedule 5</t>
  </si>
  <si>
    <t>3/  Total Corps O&amp;M Expenses are from the FY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</si>
  <si>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</si>
  <si>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</si>
  <si>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</si>
  <si>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</si>
  <si>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</si>
  <si>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</si>
  <si>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</si>
  <si>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</si>
  <si>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</si>
  <si>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t>
  </si>
  <si>
    <t>Allocation for Transmission O&amp;M $</t>
  </si>
  <si>
    <t>Allocation for General Plant Depreciation $</t>
  </si>
  <si>
    <t>Allocation for A&amp;G $</t>
  </si>
  <si>
    <t>Cost of Capital</t>
  </si>
  <si>
    <t>Project Net Plant $</t>
  </si>
  <si>
    <t>Cost of Capital $</t>
  </si>
  <si>
    <t>Project ATRR $</t>
  </si>
  <si>
    <t xml:space="preserve">Revenue Credit Allocation $ /1 </t>
  </si>
  <si>
    <t>True-Up Calculation $ /2</t>
  </si>
  <si>
    <t>Net ATRR $</t>
  </si>
  <si>
    <t>Lewis-Richland 115 kV Ckt 1, 72052</t>
  </si>
  <si>
    <t>TL</t>
  </si>
  <si>
    <t>Roberts County 115 kV Substation, 71926</t>
  </si>
  <si>
    <t>SUB</t>
  </si>
  <si>
    <t>Roberts County 115/69 kV Transformer, 71927</t>
  </si>
  <si>
    <t>Williston Substation 115 kV Terminal Upgrades, 61856</t>
  </si>
  <si>
    <t>Worksheet 6 - Base Plan Upgrades-Regional</t>
  </si>
  <si>
    <t>Project Gross Plant (Regional Allocation) $</t>
  </si>
  <si>
    <t xml:space="preserve"> Allocation Factor %</t>
  </si>
  <si>
    <t>Project Accumulated Depreciation $</t>
  </si>
  <si>
    <t>Revenue Credit Allocation $ /1</t>
  </si>
  <si>
    <t>True-up Calculation $ /2</t>
  </si>
  <si>
    <t>Worksheet 7 - SPP Base Plan Upgrades-Facilities</t>
  </si>
  <si>
    <t>FID</t>
  </si>
  <si>
    <t>PRIOR YEAR FACILITY TOTALS ($)</t>
  </si>
  <si>
    <t>LC-RH</t>
  </si>
  <si>
    <t>LEWIS - RICHLAND 115 kV Ckt 1, 72052  (SPP set Regional/Zonal Allocation to 33%/67%)</t>
  </si>
  <si>
    <t>RCO</t>
  </si>
  <si>
    <t>ROBERTS COUNTY 115 kV SUBSTATION, 71926  (SPP set Regional/Zonal Allocation to 33%/67%)</t>
  </si>
  <si>
    <t>ROBERTS COUNTY 115/69 kV TRANSFORMER, 71927   (SPP set Regional/Zonal Allocation to 0%/100%)</t>
  </si>
  <si>
    <t>WN</t>
  </si>
  <si>
    <t>WILLISTON SUBSTATION 115 kV TERMINAL UPGRADES, 61856</t>
  </si>
  <si>
    <t>ADDITIONAL:</t>
  </si>
  <si>
    <t>FID COST DETAIL ($)</t>
  </si>
  <si>
    <t>REG %</t>
  </si>
  <si>
    <t>REG TOTAL ($)</t>
  </si>
  <si>
    <t>ZONAL %</t>
  </si>
  <si>
    <t>ZONAL TOTAL ($)</t>
  </si>
  <si>
    <t>CONDUCTOR</t>
  </si>
  <si>
    <t>LEWIS - RICHLAND 115 kV Ckt 1, 72052 - SUBTOTAL (SPP directed Regional/Zonal Split of 33%/67%)</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</si>
  <si>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</si>
  <si>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</si>
  <si>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</si>
  <si>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</si>
  <si>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</si>
  <si>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</si>
  <si>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</si>
  <si>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</si>
  <si>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</si>
  <si>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</si>
  <si>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</si>
  <si>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</si>
  <si>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 SETTINGS</t>
  </si>
  <si>
    <t>TOTAL SPP UPGRADES</t>
  </si>
  <si>
    <t>Worksheet 8 - Transmission Facilities</t>
  </si>
  <si>
    <t>EST ADD/REPL/RETIRE ($)</t>
  </si>
  <si>
    <t>ESTIMATED FACILITY TOTAL ($)</t>
  </si>
  <si>
    <t>ATTACHMENT AI ADJUSTMENTS ($)</t>
  </si>
  <si>
    <t>GENERATION ADJUSTMENTS ($)</t>
  </si>
  <si>
    <t>BASE UPGRADE ADUSTMENTS ($)</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</si>
  <si>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</si>
  <si>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</si>
  <si>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</si>
  <si>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</si>
  <si>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</si>
  <si>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</si>
  <si>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</si>
  <si>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</si>
  <si>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</si>
  <si>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</si>
  <si>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</si>
  <si>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</si>
  <si>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</si>
  <si>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</si>
  <si>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</si>
  <si>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</si>
  <si>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</si>
  <si>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</si>
  <si>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</si>
  <si>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</si>
  <si>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</si>
  <si>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</si>
  <si>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</si>
  <si>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</si>
  <si>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</si>
  <si>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</si>
  <si>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</si>
  <si>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</si>
  <si>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 BEF</t>
  </si>
  <si>
    <t>CHARLIE CREEK-BELFIELD</t>
  </si>
  <si>
    <t>CR DC</t>
  </si>
  <si>
    <t>CIRLCE-DAWSON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</si>
  <si>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</si>
  <si>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</si>
  <si>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</si>
  <si>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</si>
  <si>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</si>
  <si>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</si>
  <si>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</si>
  <si>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</si>
  <si>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</si>
  <si>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</si>
  <si>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</si>
  <si>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</si>
  <si>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</si>
  <si>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</si>
  <si>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</si>
  <si>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</si>
  <si>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</si>
  <si>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</si>
  <si>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</si>
  <si>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</si>
  <si>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</si>
  <si>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</si>
  <si>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</si>
  <si>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</si>
  <si>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</si>
  <si>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</si>
  <si>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</si>
  <si>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</si>
  <si>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</si>
  <si>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</si>
  <si>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 xml:space="preserve">FO RCO </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</si>
  <si>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</si>
  <si>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</si>
  <si>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</si>
  <si>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</si>
  <si>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</si>
  <si>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</si>
  <si>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</si>
  <si>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</si>
  <si>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</si>
  <si>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</si>
  <si>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</si>
  <si>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</si>
  <si>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</si>
  <si>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</si>
  <si>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</si>
  <si>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</si>
  <si>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</si>
  <si>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</si>
  <si>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</si>
  <si>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</si>
  <si>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</si>
  <si>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</si>
  <si>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</si>
  <si>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</si>
  <si>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</si>
  <si>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</si>
  <si>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</si>
  <si>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</si>
  <si>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</si>
  <si>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</si>
  <si>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</si>
  <si>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</si>
  <si>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</si>
  <si>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</si>
  <si>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</si>
  <si>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</si>
  <si>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</si>
  <si>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</si>
  <si>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</si>
  <si>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</si>
  <si>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</si>
  <si>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</si>
  <si>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</si>
  <si>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</si>
  <si>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</si>
  <si>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</si>
  <si>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</si>
  <si>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</si>
  <si>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</si>
  <si>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</si>
  <si>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</si>
  <si>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</si>
  <si>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</si>
  <si>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</si>
  <si>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</si>
  <si>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</si>
  <si>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</si>
  <si>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</si>
  <si>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</si>
  <si>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</si>
  <si>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</si>
  <si>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</si>
  <si>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</si>
  <si>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</si>
  <si>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</si>
  <si>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</si>
  <si>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</si>
  <si>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</si>
  <si>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</si>
  <si>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</si>
  <si>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</si>
  <si>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</si>
  <si>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</si>
  <si>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</si>
  <si>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</si>
  <si>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</si>
  <si>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</si>
  <si>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</si>
  <si>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</si>
  <si>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</si>
  <si>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</si>
  <si>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</si>
  <si>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KILLDEER-CHARLIE CREEK</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</si>
  <si>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</si>
  <si>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</si>
  <si>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</si>
  <si>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</si>
  <si>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</si>
  <si>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</si>
  <si>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</si>
  <si>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</si>
  <si>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</si>
  <si>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</si>
  <si>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</si>
  <si>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</si>
  <si>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</si>
  <si>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</si>
  <si>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</si>
  <si>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</si>
  <si>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</si>
  <si>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</si>
  <si>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</si>
  <si>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</si>
  <si>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</si>
  <si>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</si>
  <si>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</si>
  <si>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</si>
  <si>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</si>
  <si>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</si>
  <si>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</si>
  <si>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</si>
  <si>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</si>
  <si>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</si>
  <si>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</si>
  <si>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</si>
  <si>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</si>
  <si>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</si>
  <si>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</si>
  <si>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</si>
  <si>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</si>
  <si>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</si>
  <si>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</si>
  <si>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</si>
  <si>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</si>
  <si>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</si>
  <si>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</si>
  <si>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</si>
  <si>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</si>
  <si>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</si>
  <si>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</si>
  <si>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</si>
  <si>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</si>
  <si>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</si>
  <si>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</si>
  <si>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</si>
  <si>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</si>
  <si>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</si>
  <si>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</si>
  <si>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</si>
  <si>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</si>
  <si>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</si>
  <si>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</si>
  <si>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</si>
  <si>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</si>
  <si>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</si>
  <si>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</si>
  <si>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</si>
  <si>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</si>
  <si>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</si>
  <si>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</si>
  <si>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</si>
  <si>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</si>
  <si>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</si>
  <si>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</si>
  <si>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</si>
  <si>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</si>
  <si>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</si>
  <si>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</si>
  <si>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</si>
  <si>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</si>
  <si>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</si>
  <si>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</si>
  <si>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</si>
  <si>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</si>
  <si>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</si>
  <si>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</si>
  <si>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</si>
  <si>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</si>
  <si>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</si>
  <si>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</si>
  <si>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</si>
  <si>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</si>
  <si>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</si>
  <si>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</si>
  <si>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</si>
  <si>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</si>
  <si>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</si>
  <si>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</si>
  <si>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</si>
  <si>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</si>
  <si>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</si>
  <si>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</si>
  <si>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</si>
  <si>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</si>
  <si>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</si>
  <si>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</si>
  <si>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</si>
  <si>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</si>
  <si>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</si>
  <si>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</si>
  <si>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</si>
  <si>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</si>
  <si>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</si>
  <si>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t>
  </si>
  <si>
    <t xml:space="preserve">BISON  </t>
  </si>
  <si>
    <t>BOL</t>
  </si>
  <si>
    <t>BOLE SUB</t>
  </si>
  <si>
    <t xml:space="preserve">BO </t>
  </si>
  <si>
    <t>BONESTEEL SUBSTATION</t>
  </si>
  <si>
    <t>BR</t>
  </si>
  <si>
    <t>BROOKINGS SUBSTATION</t>
  </si>
  <si>
    <t>CB</t>
  </si>
  <si>
    <t>CAMPBELL COUNTY SWITCHING STATION /1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</si>
  <si>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</si>
  <si>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</si>
  <si>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</si>
  <si>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</si>
  <si>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</si>
  <si>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</si>
  <si>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</si>
  <si>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</si>
  <si>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</si>
  <si>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</si>
  <si>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</si>
  <si>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</si>
  <si>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</si>
  <si>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</si>
  <si>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</si>
  <si>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</si>
  <si>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</si>
  <si>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</si>
  <si>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</si>
  <si>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</si>
  <si>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</si>
  <si>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</si>
  <si>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</si>
  <si>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</si>
  <si>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</si>
  <si>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</si>
  <si>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</si>
  <si>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</si>
  <si>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</si>
  <si>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</si>
  <si>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</si>
  <si>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</si>
  <si>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</si>
  <si>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</si>
  <si>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</si>
  <si>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</si>
  <si>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</si>
  <si>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</si>
  <si>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</si>
  <si>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</si>
  <si>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</si>
  <si>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</si>
  <si>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</si>
  <si>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</si>
  <si>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</si>
  <si>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</si>
  <si>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</si>
  <si>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</si>
  <si>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</si>
  <si>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</si>
  <si>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</si>
  <si>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</si>
  <si>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</si>
  <si>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</si>
  <si>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</si>
  <si>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</si>
  <si>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</si>
  <si>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</si>
  <si>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</si>
  <si>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</si>
  <si>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</si>
  <si>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</si>
  <si>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</si>
  <si>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</si>
  <si>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</si>
  <si>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</si>
  <si>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</si>
  <si>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</si>
  <si>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</si>
  <si>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</si>
  <si>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</si>
  <si>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</si>
  <si>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</si>
  <si>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</si>
  <si>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</si>
  <si>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</si>
  <si>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</si>
  <si>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</si>
  <si>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</si>
  <si>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</si>
  <si>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</si>
  <si>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</si>
  <si>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</si>
  <si>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</si>
  <si>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</si>
  <si>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</si>
  <si>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</si>
  <si>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</si>
  <si>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</si>
  <si>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</si>
  <si>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</si>
  <si>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</si>
  <si>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</si>
  <si>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</si>
  <si>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</si>
  <si>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</si>
  <si>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</si>
  <si>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</si>
  <si>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</si>
  <si>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</si>
  <si>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</si>
  <si>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</si>
  <si>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</si>
  <si>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</si>
  <si>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</si>
  <si>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</si>
  <si>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</si>
  <si>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</si>
  <si>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</si>
  <si>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</si>
  <si>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</si>
  <si>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</si>
  <si>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</si>
  <si>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</si>
  <si>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</si>
  <si>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</si>
  <si>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</si>
  <si>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</si>
  <si>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</si>
  <si>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</si>
  <si>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</si>
  <si>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</si>
  <si>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</si>
  <si>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</si>
  <si>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</si>
  <si>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</si>
  <si>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</si>
  <si>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</si>
  <si>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</si>
  <si>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</si>
  <si>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</si>
  <si>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</si>
  <si>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</si>
  <si>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</si>
  <si>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</si>
  <si>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</si>
  <si>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</si>
  <si>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</si>
  <si>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</si>
  <si>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</si>
  <si>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</si>
  <si>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</si>
  <si>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</si>
  <si>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</si>
  <si>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</si>
  <si>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</si>
  <si>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</si>
  <si>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</si>
  <si>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</si>
  <si>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</si>
  <si>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</si>
  <si>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</si>
  <si>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</si>
  <si>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</si>
  <si>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</si>
  <si>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</si>
  <si>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</si>
  <si>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</si>
  <si>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</si>
  <si>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SUBSTATION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</si>
  <si>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</si>
  <si>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</si>
  <si>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</si>
  <si>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</si>
  <si>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</si>
  <si>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</si>
  <si>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</si>
  <si>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</si>
  <si>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</si>
  <si>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</si>
  <si>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</si>
  <si>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</si>
  <si>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</si>
  <si>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</si>
  <si>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</si>
  <si>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</si>
  <si>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</si>
  <si>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</si>
  <si>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</si>
  <si>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</si>
  <si>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</si>
  <si>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</si>
  <si>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</si>
  <si>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</si>
  <si>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</si>
  <si>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</si>
  <si>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</si>
  <si>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</si>
  <si>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</si>
  <si>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</si>
  <si>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</si>
  <si>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</si>
  <si>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</si>
  <si>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</si>
  <si>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</si>
  <si>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 SUBSTATION</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</si>
  <si>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</si>
  <si>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</si>
  <si>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</si>
  <si>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</si>
  <si>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</si>
  <si>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</si>
  <si>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</si>
  <si>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</si>
  <si>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</si>
  <si>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</si>
  <si>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</si>
  <si>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</si>
  <si>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</si>
  <si>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</si>
  <si>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</si>
  <si>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</si>
  <si>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</si>
  <si>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</si>
  <si>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</si>
  <si>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</si>
  <si>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</si>
  <si>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</si>
  <si>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</si>
  <si>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</si>
  <si>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</si>
  <si>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</si>
  <si>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</si>
  <si>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</si>
  <si>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</si>
  <si>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</si>
  <si>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</si>
  <si>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</si>
  <si>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</si>
  <si>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</si>
  <si>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</si>
  <si>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</si>
  <si>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</si>
  <si>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</si>
  <si>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</si>
  <si>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</si>
  <si>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</si>
  <si>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</si>
  <si>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</si>
  <si>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</si>
  <si>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</si>
  <si>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</si>
  <si>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</si>
  <si>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</si>
  <si>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</si>
  <si>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</si>
  <si>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</si>
  <si>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</si>
  <si>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</si>
  <si>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</si>
  <si>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</si>
  <si>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</si>
  <si>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</si>
  <si>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</si>
  <si>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</si>
  <si>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</si>
  <si>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</si>
  <si>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</si>
  <si>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</si>
  <si>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</si>
  <si>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</si>
  <si>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</si>
  <si>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</si>
  <si>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</si>
  <si>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</si>
  <si>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</si>
  <si>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</si>
  <si>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</si>
  <si>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</si>
  <si>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</si>
  <si>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</si>
  <si>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</si>
  <si>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</si>
  <si>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</si>
  <si>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</si>
  <si>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</si>
  <si>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</si>
  <si>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</si>
  <si>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</si>
  <si>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</si>
  <si>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</si>
  <si>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</si>
  <si>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</si>
  <si>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</si>
  <si>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</si>
  <si>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</si>
  <si>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</si>
  <si>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</si>
  <si>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</si>
  <si>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</si>
  <si>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</si>
  <si>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</si>
  <si>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</si>
  <si>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</si>
  <si>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</si>
  <si>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</si>
  <si>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</si>
  <si>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</si>
  <si>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</si>
  <si>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</si>
  <si>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</si>
  <si>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</si>
  <si>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</si>
  <si>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</si>
  <si>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</si>
  <si>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</si>
  <si>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</si>
  <si>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</si>
  <si>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</si>
  <si>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</si>
  <si>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</si>
  <si>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</si>
  <si>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</si>
  <si>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</si>
  <si>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</si>
  <si>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</si>
  <si>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</si>
  <si>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</si>
  <si>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</si>
  <si>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</si>
  <si>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</si>
  <si>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</si>
  <si>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</si>
  <si>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</si>
  <si>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115/41.8KV 20MVA</t>
  </si>
  <si>
    <t>MOBS7</t>
  </si>
  <si>
    <t>MOBILE SUB 41.8 KV</t>
  </si>
  <si>
    <t>MOBS5</t>
  </si>
  <si>
    <t>MOBILE SUB 69KV</t>
  </si>
  <si>
    <t>MOBR2</t>
  </si>
  <si>
    <t>MOB SH.REACTOR</t>
  </si>
  <si>
    <t>MOB Total</t>
  </si>
  <si>
    <t>MOBILE EQUIPMENT</t>
  </si>
  <si>
    <t>GEN</t>
  </si>
  <si>
    <t>BG FT L</t>
  </si>
  <si>
    <t>BIG BEND-FORT THOMPSON (LOW VOLTAGE)</t>
  </si>
  <si>
    <t>FP</t>
  </si>
  <si>
    <t xml:space="preserve">FORT PECK POWERPLANT (COE) </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</si>
  <si>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</si>
  <si>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</si>
  <si>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</si>
  <si>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</si>
  <si>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</si>
  <si>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</si>
  <si>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</si>
  <si>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</si>
  <si>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</si>
  <si>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</si>
  <si>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</si>
  <si>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</si>
  <si>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</si>
  <si>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</si>
  <si>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</si>
  <si>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</si>
  <si>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</si>
  <si>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</si>
  <si>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</si>
  <si>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</si>
  <si>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</si>
  <si>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</si>
  <si>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</si>
  <si>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</si>
  <si>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</si>
  <si>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</si>
  <si>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</si>
  <si>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</si>
  <si>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</si>
  <si>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 xml:space="preserve">BILLINGS AREA OFFICE </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</si>
  <si>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</si>
  <si>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</si>
  <si>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</si>
  <si>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</si>
  <si>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</si>
  <si>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</si>
  <si>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</si>
  <si>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</si>
  <si>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</si>
  <si>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</si>
  <si>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</si>
  <si>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</si>
  <si>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</si>
  <si>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</si>
  <si>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</si>
  <si>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</si>
  <si>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</si>
  <si>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</si>
  <si>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</si>
  <si>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</si>
  <si>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</si>
  <si>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</si>
  <si>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</si>
  <si>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</si>
  <si>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</si>
  <si>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</si>
  <si>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</si>
  <si>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</si>
  <si>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</si>
  <si>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</si>
  <si>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</si>
  <si>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</si>
  <si>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</si>
  <si>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</si>
  <si>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</si>
  <si>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</si>
  <si>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</si>
  <si>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</si>
  <si>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</si>
  <si>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</si>
  <si>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</si>
  <si>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</si>
  <si>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</si>
  <si>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</si>
  <si>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</si>
  <si>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CULBERSTON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</si>
  <si>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</si>
  <si>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</si>
  <si>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</si>
  <si>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</si>
  <si>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</si>
  <si>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</si>
  <si>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</si>
  <si>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</si>
  <si>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</si>
  <si>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</si>
  <si>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</si>
  <si>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</si>
  <si>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</si>
  <si>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</si>
  <si>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</si>
  <si>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</si>
  <si>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</si>
  <si>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</si>
  <si>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</si>
  <si>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</si>
  <si>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</si>
  <si>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</si>
  <si>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</si>
  <si>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</si>
  <si>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</si>
  <si>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</si>
  <si>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</si>
  <si>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</si>
  <si>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</si>
  <si>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</si>
  <si>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</si>
  <si>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</si>
  <si>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</si>
  <si>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</si>
  <si>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</si>
  <si>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</si>
  <si>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</si>
  <si>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</si>
  <si>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</si>
  <si>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</si>
  <si>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</si>
  <si>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</si>
  <si>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</si>
  <si>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</si>
  <si>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</si>
  <si>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</si>
  <si>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</si>
  <si>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</si>
  <si>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</si>
  <si>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</si>
  <si>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</si>
  <si>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</si>
  <si>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</si>
  <si>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</si>
  <si>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</si>
  <si>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</si>
  <si>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</si>
  <si>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</si>
  <si>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</si>
  <si>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</si>
  <si>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</si>
  <si>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</si>
  <si>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</si>
  <si>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</si>
  <si>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</si>
  <si>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</si>
  <si>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</si>
  <si>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</si>
  <si>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</si>
  <si>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</si>
  <si>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</si>
  <si>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</si>
  <si>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</si>
  <si>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</si>
  <si>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</si>
  <si>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</si>
  <si>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</si>
  <si>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</si>
  <si>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</si>
  <si>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</si>
  <si>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</si>
  <si>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</si>
  <si>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</si>
  <si>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</si>
  <si>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</si>
  <si>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</si>
  <si>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</si>
  <si>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</si>
  <si>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</si>
  <si>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</si>
  <si>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</si>
  <si>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</si>
  <si>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</si>
  <si>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</si>
  <si>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</si>
  <si>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</si>
  <si>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</si>
  <si>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</si>
  <si>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</si>
  <si>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</si>
  <si>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</si>
  <si>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</si>
  <si>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</si>
  <si>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</si>
  <si>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</si>
  <si>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</si>
  <si>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</si>
  <si>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</si>
  <si>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</si>
  <si>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</si>
  <si>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</si>
  <si>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</si>
  <si>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</si>
  <si>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</si>
  <si>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</si>
  <si>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</si>
  <si>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</si>
  <si>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</si>
  <si>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</si>
  <si>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</si>
  <si>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</si>
  <si>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</si>
  <si>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</si>
  <si>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</si>
  <si>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</si>
  <si>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</si>
  <si>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</si>
  <si>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</si>
  <si>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</si>
  <si>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</si>
  <si>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</si>
  <si>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</si>
  <si>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</si>
  <si>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</si>
  <si>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</si>
  <si>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</si>
  <si>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</si>
  <si>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</si>
  <si>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</si>
  <si>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</si>
  <si>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</si>
  <si>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</si>
  <si>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</si>
  <si>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</si>
  <si>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</si>
  <si>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</si>
  <si>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</si>
  <si>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</si>
  <si>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</si>
  <si>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</si>
  <si>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</si>
  <si>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</si>
  <si>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</si>
  <si>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</si>
  <si>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</si>
  <si>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</si>
  <si>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</si>
  <si>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</si>
  <si>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</si>
  <si>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</si>
  <si>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</si>
  <si>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</si>
  <si>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</si>
  <si>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</si>
  <si>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</si>
  <si>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</si>
  <si>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</si>
  <si>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</si>
  <si>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</si>
  <si>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</si>
  <si>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</si>
  <si>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</si>
  <si>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</si>
  <si>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</si>
  <si>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</si>
  <si>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</si>
  <si>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</si>
  <si>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</si>
  <si>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</si>
  <si>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</si>
  <si>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</si>
  <si>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</si>
  <si>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</si>
  <si>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</si>
  <si>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</si>
  <si>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</si>
  <si>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</si>
  <si>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</si>
  <si>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</si>
  <si>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</si>
  <si>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</si>
  <si>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</si>
  <si>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</si>
  <si>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</si>
  <si>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</si>
  <si>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</si>
  <si>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</si>
  <si>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</si>
  <si>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</si>
  <si>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</si>
  <si>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</si>
  <si>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</si>
  <si>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</si>
  <si>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</si>
  <si>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</si>
  <si>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</si>
  <si>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</si>
  <si>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</si>
  <si>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</si>
  <si>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</si>
  <si>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</si>
  <si>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</si>
  <si>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</si>
  <si>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</si>
  <si>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</si>
  <si>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</si>
  <si>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</si>
  <si>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</si>
  <si>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</si>
  <si>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</si>
  <si>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</si>
  <si>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</si>
  <si>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</si>
  <si>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</si>
  <si>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</si>
  <si>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</si>
  <si>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</si>
  <si>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</si>
  <si>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</si>
  <si>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</si>
  <si>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</si>
  <si>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</si>
  <si>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</si>
  <si>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</si>
  <si>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</si>
  <si>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</si>
  <si>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</si>
  <si>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</si>
  <si>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</si>
  <si>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</si>
  <si>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</si>
  <si>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</si>
  <si>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</si>
  <si>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</si>
  <si>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</si>
  <si>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</si>
  <si>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</si>
  <si>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</si>
  <si>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</si>
  <si>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</si>
  <si>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</si>
  <si>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</si>
  <si>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</si>
  <si>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</si>
  <si>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</si>
  <si>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</si>
  <si>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</si>
  <si>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</si>
  <si>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</si>
  <si>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</si>
  <si>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</si>
  <si>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</si>
  <si>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</si>
  <si>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</si>
  <si>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</si>
  <si>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</si>
  <si>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</si>
  <si>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</si>
  <si>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</si>
  <si>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</si>
  <si>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</si>
  <si>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</si>
  <si>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</si>
  <si>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</si>
  <si>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</si>
  <si>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</si>
  <si>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</si>
  <si>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</si>
  <si>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</si>
  <si>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</si>
  <si>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</si>
  <si>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</si>
  <si>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</si>
  <si>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</si>
  <si>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</si>
  <si>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</si>
  <si>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</si>
  <si>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</si>
  <si>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</si>
  <si>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</si>
  <si>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</si>
  <si>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</si>
  <si>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</si>
  <si>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</si>
  <si>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</si>
  <si>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</si>
  <si>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</si>
  <si>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</si>
  <si>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</si>
  <si>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</si>
  <si>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</si>
  <si>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</si>
  <si>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</si>
  <si>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</si>
  <si>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</si>
  <si>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YT PY</t>
  </si>
  <si>
    <t>YELLOWTAIL SWITCHYARD-YELLOWTAIL (PPL)</t>
  </si>
  <si>
    <t>PY</t>
  </si>
  <si>
    <t>YELLOWTAIL (PPL)</t>
  </si>
  <si>
    <t>YELLOWTAIL SWITCHYARD</t>
  </si>
  <si>
    <t>YT</t>
  </si>
  <si>
    <t>YELLOWTAIL SWITCHYARD (YT)</t>
  </si>
  <si>
    <t>RMR Total</t>
  </si>
  <si>
    <t>ROCKY MOUNTAIN REGION FACILITIES</t>
  </si>
  <si>
    <t xml:space="preserve">FORT PECK </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</si>
  <si>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</si>
  <si>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</si>
  <si>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</si>
  <si>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</si>
  <si>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</si>
  <si>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</si>
  <si>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</si>
  <si>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</si>
  <si>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</si>
  <si>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</si>
  <si>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</si>
  <si>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</si>
  <si>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</si>
  <si>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</si>
  <si>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</si>
  <si>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</si>
  <si>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</si>
  <si>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</si>
  <si>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</si>
  <si>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</si>
  <si>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</si>
  <si>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</si>
  <si>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</si>
  <si>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</si>
  <si>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</si>
  <si>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</si>
  <si>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</si>
  <si>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</si>
  <si>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</si>
  <si>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</si>
  <si>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</si>
  <si>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</si>
  <si>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</si>
  <si>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</si>
  <si>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</si>
  <si>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</si>
  <si>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</si>
  <si>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</si>
  <si>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t>capacitor PY4A</t>
  </si>
  <si>
    <t>station service KY2A and KW2A</t>
  </si>
  <si>
    <t>Belden (NPPD)</t>
  </si>
  <si>
    <t>115-kV breaker 1106 and assoc. switches</t>
  </si>
  <si>
    <t>Belfield</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</si>
  <si>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</si>
  <si>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</si>
  <si>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</si>
  <si>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</si>
  <si>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</si>
  <si>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</si>
  <si>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</si>
  <si>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</si>
  <si>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</si>
  <si>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</si>
  <si>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</si>
  <si>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</si>
  <si>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</si>
  <si>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</si>
  <si>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</si>
  <si>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</si>
  <si>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</si>
  <si>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</si>
  <si>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</si>
  <si>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</si>
  <si>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</si>
  <si>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</si>
  <si>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</si>
  <si>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</si>
  <si>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</si>
  <si>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</si>
  <si>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</si>
  <si>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</si>
  <si>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</si>
  <si>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</si>
  <si>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</si>
  <si>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</si>
  <si>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</si>
  <si>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One East River member and two municipal customers served through KY1A (Sioux Valley Energy, City of White, and City of Volga)</t>
  </si>
  <si>
    <t>One East River member and two municipal customers served through 1052 (Sioux Valley Energy, City of White, and City of Volga)</t>
  </si>
  <si>
    <t>CBC</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</si>
  <si>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</si>
  <si>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</si>
  <si>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</si>
  <si>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</si>
  <si>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</si>
  <si>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</si>
  <si>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</si>
  <si>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</si>
  <si>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</si>
  <si>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</si>
  <si>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</si>
  <si>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</si>
  <si>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</si>
  <si>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</si>
  <si>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</si>
  <si>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</si>
  <si>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</si>
  <si>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</si>
  <si>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</si>
  <si>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</si>
  <si>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</si>
  <si>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</si>
  <si>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</si>
  <si>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</si>
  <si>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</si>
  <si>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</si>
  <si>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</si>
  <si>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</si>
  <si>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</si>
  <si>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</si>
  <si>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</si>
  <si>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</si>
  <si>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</si>
  <si>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</si>
  <si>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</si>
  <si>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</si>
  <si>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</si>
  <si>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</si>
  <si>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</si>
  <si>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</si>
  <si>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</si>
  <si>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</si>
  <si>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</si>
  <si>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</si>
  <si>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</si>
  <si>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</si>
  <si>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</si>
  <si>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</si>
  <si>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</si>
  <si>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</si>
  <si>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</si>
  <si>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</si>
  <si>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</si>
  <si>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</si>
  <si>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</si>
  <si>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</si>
  <si>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</si>
  <si>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</si>
  <si>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</si>
  <si>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</si>
  <si>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</si>
  <si>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capacitors PZ27A, PZ22A</t>
  </si>
  <si>
    <t>reactors KZ27A, KZ22A</t>
  </si>
  <si>
    <t>station service KW30B, KW20C and assoc. switches</t>
  </si>
  <si>
    <t>Devils Lake</t>
  </si>
  <si>
    <t>capacitors and maintenance building</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</si>
  <si>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</si>
  <si>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</si>
  <si>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</si>
  <si>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</si>
  <si>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</si>
  <si>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</si>
  <si>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</si>
  <si>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</si>
  <si>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</si>
  <si>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</si>
  <si>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</si>
  <si>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</si>
  <si>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</si>
  <si>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</si>
  <si>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</si>
  <si>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</si>
  <si>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</si>
  <si>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</si>
  <si>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</si>
  <si>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</si>
  <si>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</si>
  <si>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</si>
  <si>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</si>
  <si>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</si>
  <si>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</si>
  <si>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</si>
  <si>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</si>
  <si>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</si>
  <si>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</si>
  <si>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</si>
  <si>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</si>
  <si>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</si>
  <si>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</si>
  <si>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</si>
  <si>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</si>
  <si>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</si>
  <si>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</si>
  <si>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</si>
  <si>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</si>
  <si>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</si>
  <si>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</si>
  <si>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</si>
  <si>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</si>
  <si>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</si>
  <si>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</si>
  <si>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</si>
  <si>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</si>
  <si>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</si>
  <si>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</si>
  <si>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</si>
  <si>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</si>
  <si>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</si>
  <si>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</si>
  <si>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</si>
  <si>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</si>
  <si>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</si>
  <si>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</si>
  <si>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</si>
  <si>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</si>
  <si>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</si>
  <si>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</si>
  <si>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</si>
  <si>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</si>
  <si>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</si>
  <si>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</si>
  <si>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</si>
  <si>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</si>
  <si>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</si>
  <si>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</si>
  <si>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</si>
  <si>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</si>
  <si>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</si>
  <si>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</si>
  <si>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</si>
  <si>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</si>
  <si>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</si>
  <si>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</si>
  <si>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</si>
  <si>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</si>
  <si>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</si>
  <si>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</si>
  <si>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</si>
  <si>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</si>
  <si>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</si>
  <si>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</si>
  <si>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</si>
  <si>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</si>
  <si>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</si>
  <si>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</si>
  <si>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</si>
  <si>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</si>
  <si>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</si>
  <si>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</si>
  <si>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</si>
  <si>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</si>
  <si>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</si>
  <si>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</si>
  <si>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</si>
  <si>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</si>
  <si>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</si>
  <si>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</si>
  <si>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</si>
  <si>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</si>
  <si>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</si>
  <si>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</si>
  <si>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</si>
  <si>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</si>
  <si>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</si>
  <si>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</si>
  <si>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Groton</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</si>
  <si>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</si>
  <si>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</si>
  <si>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</si>
  <si>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</si>
  <si>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</si>
  <si>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</si>
  <si>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</si>
  <si>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</si>
  <si>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</si>
  <si>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</si>
  <si>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</si>
  <si>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</si>
  <si>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</si>
  <si>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</si>
  <si>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</si>
  <si>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</si>
  <si>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</si>
  <si>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</si>
  <si>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</si>
  <si>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</si>
  <si>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</si>
  <si>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</si>
  <si>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</si>
  <si>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</si>
  <si>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</si>
  <si>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</si>
  <si>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</si>
  <si>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</si>
  <si>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</si>
  <si>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</si>
  <si>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</si>
  <si>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</si>
  <si>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</si>
  <si>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</si>
  <si>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</si>
  <si>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</si>
  <si>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</si>
  <si>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</si>
  <si>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</si>
  <si>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</si>
  <si>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</si>
  <si>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</si>
  <si>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</si>
  <si>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</si>
  <si>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</si>
  <si>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</si>
  <si>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</si>
  <si>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</si>
  <si>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</si>
  <si>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</si>
  <si>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</si>
  <si>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</si>
  <si>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</si>
  <si>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</si>
  <si>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</si>
  <si>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</si>
  <si>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</si>
  <si>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Maurine</t>
  </si>
  <si>
    <t>230-kV breakers 182, 282, 582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</si>
  <si>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</si>
  <si>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</si>
  <si>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</si>
  <si>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</si>
  <si>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</si>
  <si>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</si>
  <si>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</si>
  <si>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</si>
  <si>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</si>
  <si>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</si>
  <si>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</si>
  <si>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</si>
  <si>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</si>
  <si>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</si>
  <si>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</si>
  <si>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</si>
  <si>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</si>
  <si>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</si>
  <si>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</si>
  <si>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</si>
  <si>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</si>
  <si>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</si>
  <si>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</si>
  <si>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</si>
  <si>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</si>
  <si>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</si>
  <si>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</si>
  <si>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</si>
  <si>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</si>
  <si>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</si>
  <si>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</si>
  <si>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</si>
  <si>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</si>
  <si>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</si>
  <si>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</si>
  <si>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</si>
  <si>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</si>
  <si>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</si>
  <si>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</si>
  <si>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</si>
  <si>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</si>
  <si>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</si>
  <si>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</si>
  <si>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</si>
  <si>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</si>
  <si>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</si>
  <si>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</si>
  <si>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</si>
  <si>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</si>
  <si>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</si>
  <si>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</si>
  <si>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</si>
  <si>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</si>
  <si>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</si>
  <si>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</si>
  <si>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</si>
  <si>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</si>
  <si>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</si>
  <si>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</si>
  <si>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</si>
  <si>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</si>
  <si>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</si>
  <si>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</si>
  <si>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</si>
  <si>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</si>
  <si>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</si>
  <si>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</si>
  <si>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</si>
  <si>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</si>
  <si>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</si>
  <si>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</si>
  <si>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</si>
  <si>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</si>
  <si>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</si>
  <si>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</si>
  <si>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</si>
  <si>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</si>
  <si>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</si>
  <si>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</si>
  <si>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</si>
  <si>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</si>
  <si>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</si>
  <si>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</si>
  <si>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</si>
  <si>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</si>
  <si>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</si>
  <si>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</si>
  <si>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</si>
  <si>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</si>
  <si>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</si>
  <si>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</si>
  <si>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</si>
  <si>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</si>
  <si>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</si>
  <si>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</si>
  <si>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</si>
  <si>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</si>
  <si>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</si>
  <si>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</si>
  <si>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</si>
  <si>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</si>
  <si>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</si>
  <si>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</si>
  <si>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</si>
  <si>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</si>
  <si>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</si>
  <si>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</si>
  <si>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</si>
  <si>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</si>
  <si>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</si>
  <si>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</si>
  <si>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</si>
  <si>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</si>
  <si>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</si>
  <si>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</si>
  <si>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</si>
  <si>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</si>
  <si>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</si>
  <si>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</si>
  <si>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</si>
  <si>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</si>
  <si>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</si>
  <si>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</si>
  <si>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</si>
  <si>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</si>
  <si>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</si>
  <si>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</si>
  <si>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</si>
  <si>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</si>
  <si>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</si>
  <si>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</si>
  <si>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</si>
  <si>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</si>
  <si>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</si>
  <si>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</si>
  <si>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</si>
  <si>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</si>
  <si>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</si>
  <si>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</si>
  <si>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</si>
  <si>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</si>
  <si>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</si>
  <si>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</si>
  <si>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</si>
  <si>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</si>
  <si>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</si>
  <si>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</si>
  <si>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</si>
  <si>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</si>
  <si>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</si>
  <si>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</si>
  <si>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</si>
  <si>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</si>
  <si>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</si>
  <si>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</si>
  <si>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</si>
  <si>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</si>
  <si>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</si>
  <si>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</si>
  <si>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</si>
  <si>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</si>
  <si>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</si>
  <si>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</si>
  <si>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</si>
  <si>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</si>
  <si>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</si>
  <si>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</si>
  <si>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</si>
  <si>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</si>
  <si>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</si>
  <si>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</si>
  <si>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</si>
  <si>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</si>
  <si>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</si>
  <si>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</si>
  <si>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</si>
  <si>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</si>
  <si>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</si>
  <si>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</si>
  <si>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</si>
  <si>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</si>
  <si>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</si>
  <si>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</si>
  <si>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</si>
  <si>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345/115-kV transformer KU1A, switches 2163, 2165</t>
  </si>
  <si>
    <t>station service KWA, KWB switches 312x, 3311, 3511</t>
  </si>
  <si>
    <t>Wicksville</t>
  </si>
  <si>
    <t>115-kV breakers 162, 262, and assoc switches / switch 361</t>
  </si>
  <si>
    <t>Williston</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</si>
  <si>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</si>
  <si>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</si>
  <si>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</si>
  <si>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</si>
  <si>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</si>
  <si>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</si>
  <si>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</si>
  <si>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</si>
  <si>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</si>
  <si>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</si>
  <si>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</si>
  <si>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</si>
  <si>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</si>
  <si>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</si>
  <si>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</si>
  <si>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</si>
  <si>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</si>
  <si>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</si>
  <si>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</si>
  <si>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LAKE HELENA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</si>
  <si>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</si>
  <si>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</si>
  <si>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</si>
  <si>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</si>
  <si>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</si>
  <si>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</si>
  <si>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</si>
  <si>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</si>
  <si>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</si>
  <si>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</si>
  <si>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</si>
  <si>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</si>
  <si>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</si>
  <si>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</si>
  <si>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</si>
  <si>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</si>
  <si>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</si>
  <si>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</si>
  <si>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</si>
  <si>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</si>
  <si>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</si>
  <si>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</si>
  <si>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</si>
  <si>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</si>
  <si>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</si>
  <si>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</si>
  <si>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</si>
  <si>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</si>
  <si>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</si>
  <si>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</si>
  <si>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</si>
  <si>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</si>
  <si>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</si>
  <si>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</si>
  <si>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</si>
  <si>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</si>
  <si>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</si>
  <si>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</si>
  <si>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</si>
  <si>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</si>
  <si>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</si>
  <si>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</si>
  <si>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</si>
  <si>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</si>
  <si>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</si>
  <si>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</si>
  <si>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</si>
  <si>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</si>
  <si>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</si>
  <si>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</si>
  <si>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</si>
  <si>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</si>
  <si>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</si>
  <si>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</si>
  <si>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</si>
  <si>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</si>
  <si>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</si>
  <si>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</si>
  <si>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</si>
  <si>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</si>
  <si>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</si>
  <si>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</si>
  <si>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</si>
  <si>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</si>
  <si>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</si>
  <si>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</si>
  <si>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</si>
  <si>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</si>
  <si>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</si>
  <si>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</si>
  <si>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</si>
  <si>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</si>
  <si>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</si>
  <si>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</si>
  <si>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</si>
  <si>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</si>
  <si>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</si>
  <si>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</si>
  <si>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</si>
  <si>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</si>
  <si>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</si>
  <si>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</si>
  <si>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</si>
  <si>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</si>
  <si>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</si>
  <si>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</si>
  <si>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</si>
  <si>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</si>
  <si>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</si>
  <si>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</si>
  <si>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</si>
  <si>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</si>
  <si>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</si>
  <si>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</si>
  <si>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</si>
  <si>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</si>
  <si>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</si>
  <si>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</si>
  <si>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</si>
  <si>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</si>
  <si>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</si>
  <si>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</si>
  <si>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</si>
  <si>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</si>
  <si>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</si>
  <si>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115-kV breaker and assoc. switches</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</si>
  <si>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</si>
  <si>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</si>
  <si>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</si>
  <si>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</si>
  <si>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</si>
  <si>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</si>
  <si>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</si>
  <si>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</si>
  <si>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</si>
  <si>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</si>
  <si>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</si>
  <si>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</si>
  <si>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</si>
  <si>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</si>
  <si>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</si>
  <si>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</si>
  <si>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</si>
  <si>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</si>
  <si>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</si>
  <si>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</si>
  <si>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</si>
  <si>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</si>
  <si>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</si>
  <si>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</si>
  <si>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</si>
  <si>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</si>
  <si>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</si>
  <si>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</si>
  <si>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</si>
  <si>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</si>
  <si>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</si>
  <si>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</si>
  <si>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</si>
  <si>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</si>
  <si>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</si>
  <si>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</si>
  <si>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</si>
  <si>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</si>
  <si>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</si>
  <si>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</si>
  <si>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</si>
  <si>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</si>
  <si>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</si>
  <si>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</si>
  <si>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</si>
  <si>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</si>
  <si>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</si>
  <si>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</si>
  <si>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</si>
  <si>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</si>
  <si>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</si>
  <si>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</si>
  <si>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</si>
  <si>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</si>
  <si>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</si>
  <si>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</si>
  <si>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</si>
  <si>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</si>
  <si>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</si>
  <si>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</si>
  <si>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</si>
  <si>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</si>
  <si>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</si>
  <si>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</si>
  <si>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</si>
  <si>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</si>
  <si>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</si>
  <si>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</si>
  <si>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</si>
  <si>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</si>
  <si>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</si>
  <si>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</si>
  <si>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</si>
  <si>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</si>
  <si>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</si>
  <si>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</si>
  <si>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</si>
  <si>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</si>
  <si>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</si>
  <si>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</si>
  <si>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</si>
  <si>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</si>
  <si>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</si>
  <si>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</si>
  <si>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2862, 3262 and assoc.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</si>
  <si>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</si>
  <si>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</si>
  <si>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</si>
  <si>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</si>
  <si>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</si>
  <si>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</si>
  <si>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</si>
  <si>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</si>
  <si>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</si>
  <si>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</si>
  <si>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</si>
  <si>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</si>
  <si>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</si>
  <si>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</si>
  <si>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</si>
  <si>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</si>
  <si>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</si>
  <si>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</si>
  <si>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</si>
  <si>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</si>
  <si>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</si>
  <si>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</si>
  <si>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</si>
  <si>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</si>
  <si>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 kV breaker 1962 and assoc switches</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</si>
  <si>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</si>
  <si>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</si>
  <si>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</si>
  <si>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</si>
  <si>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</si>
  <si>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</si>
  <si>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</si>
  <si>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</si>
  <si>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</si>
  <si>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</si>
  <si>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</si>
  <si>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</si>
  <si>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</si>
  <si>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</si>
  <si>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</si>
  <si>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</si>
  <si>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</si>
  <si>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</si>
  <si>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</si>
  <si>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</si>
  <si>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</si>
  <si>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</si>
  <si>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</si>
  <si>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</si>
  <si>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</si>
  <si>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</si>
  <si>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</si>
  <si>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</si>
  <si>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</si>
  <si>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</si>
  <si>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</si>
  <si>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</si>
  <si>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</si>
  <si>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</si>
  <si>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</si>
  <si>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</si>
  <si>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</si>
  <si>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</si>
  <si>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</si>
  <si>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</si>
  <si>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</si>
  <si>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</si>
  <si>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</si>
  <si>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</si>
  <si>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</si>
  <si>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</si>
  <si>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</si>
  <si>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</si>
  <si>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</si>
  <si>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</si>
  <si>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</si>
  <si>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</si>
  <si>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</si>
  <si>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Wanblee</t>
  </si>
  <si>
    <t>Interrupter 462 and assoc. switches</t>
  </si>
  <si>
    <t>230-kV Switch 889</t>
  </si>
  <si>
    <t>230/41.8-kV transformer KU1A and breaker 282</t>
  </si>
  <si>
    <t>41.8-kV breaker 342 and assoc. switches</t>
  </si>
  <si>
    <t>Otter Tail - emergency tie</t>
  </si>
  <si>
    <t>41.8 kV breaker 242 and assoc switches</t>
  </si>
  <si>
    <t>MPC and CPEC Blue Flint</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</si>
  <si>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</si>
  <si>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</si>
  <si>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</si>
  <si>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</si>
  <si>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</si>
  <si>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</si>
  <si>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</si>
  <si>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</si>
  <si>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</si>
  <si>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</si>
  <si>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</si>
  <si>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</si>
  <si>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</si>
  <si>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</si>
  <si>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</si>
  <si>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</si>
  <si>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</si>
  <si>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</si>
  <si>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</si>
  <si>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</si>
  <si>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</si>
  <si>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</si>
  <si>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</si>
  <si>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</si>
  <si>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</si>
  <si>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</si>
  <si>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</si>
  <si>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</si>
  <si>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</si>
  <si>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</si>
  <si>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</si>
  <si>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</si>
  <si>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</si>
  <si>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</si>
  <si>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</si>
  <si>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</si>
  <si>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</si>
  <si>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Killdeer -Charlie Creek</t>
  </si>
  <si>
    <t>Worksheet 12 - Scheduling, System Control, and Dispatch Service</t>
  </si>
  <si>
    <t>SSCD</t>
  </si>
  <si>
    <t>WS4-CostData (O&amp;M Expenses Worksheet)</t>
  </si>
  <si>
    <t>Not Applicable</t>
  </si>
  <si>
    <t>No General Plant identified at this time, all plant is identified as either generation or transmission related</t>
  </si>
  <si>
    <t>WS4-CostData (C2 L21)</t>
  </si>
  <si>
    <t>L7*L8</t>
  </si>
  <si>
    <t>L1+L2+L3+L9</t>
  </si>
  <si>
    <t>L11*L16</t>
  </si>
  <si>
    <t>Prior year true-up</t>
  </si>
  <si>
    <t>L11-L12+L13</t>
  </si>
  <si>
    <t>Ratio for Line 12</t>
  </si>
  <si>
    <t>Worksheet 13 - SSCD Facilities</t>
  </si>
  <si>
    <t>WATERTOWN OPERATIONS CENTER</t>
  </si>
  <si>
    <t xml:space="preserve">WATERTOWN OPERATIONS CENTER (BFPS) </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</si>
  <si>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</si>
  <si>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</si>
  <si>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</si>
  <si>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</si>
  <si>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</si>
  <si>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</si>
  <si>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</si>
  <si>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</si>
  <si>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</si>
  <si>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</si>
  <si>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</si>
  <si>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</si>
  <si>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</si>
  <si>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</si>
  <si>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</si>
  <si>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</si>
  <si>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</si>
  <si>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</si>
  <si>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</si>
  <si>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</si>
  <si>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</si>
  <si>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</si>
  <si>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</si>
  <si>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</si>
  <si>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</si>
  <si>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</si>
  <si>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</si>
  <si>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</si>
  <si>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</si>
  <si>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</si>
  <si>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</si>
  <si>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</si>
  <si>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</si>
  <si>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</si>
  <si>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</si>
  <si>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</si>
  <si>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</si>
  <si>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</si>
  <si>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</si>
  <si>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</si>
  <si>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</si>
  <si>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</si>
  <si>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</si>
  <si>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</si>
  <si>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</si>
  <si>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</si>
  <si>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</si>
  <si>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</si>
  <si>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</si>
  <si>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</si>
  <si>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</si>
  <si>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</si>
  <si>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</si>
  <si>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</si>
  <si>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</si>
  <si>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</si>
  <si>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</si>
  <si>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</si>
  <si>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</si>
  <si>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</si>
  <si>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</si>
  <si>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</si>
  <si>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</si>
  <si>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</si>
  <si>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</si>
  <si>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</si>
  <si>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</si>
  <si>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</si>
  <si>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</si>
  <si>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</si>
  <si>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</si>
  <si>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</si>
  <si>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</si>
  <si>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</si>
  <si>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</si>
  <si>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</si>
  <si>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</si>
  <si>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L19 C2</t>
  </si>
  <si>
    <t>L1 + L2</t>
  </si>
  <si>
    <t>Regulation and Frequency Response (Western's Costs)</t>
  </si>
  <si>
    <t>Fixed Charge Rate</t>
  </si>
  <si>
    <t>WS2-AllocFactor C5 L30</t>
  </si>
  <si>
    <t>Corps Generation Net Plant Costs ($)</t>
  </si>
  <si>
    <t>WS2-AllocFactor C5 L31</t>
  </si>
  <si>
    <t>Annual Corps Generation Cost  ($)</t>
  </si>
  <si>
    <t>L1*L2</t>
  </si>
  <si>
    <t>Plant Capacity (kW)</t>
  </si>
  <si>
    <t>Cost/kW ($/kW)</t>
  </si>
  <si>
    <t>L3/L4</t>
  </si>
  <si>
    <t>Capacity Used for Regulation (kW)</t>
  </si>
  <si>
    <t>Regulation Revenue Requirement ($) - Capacity</t>
  </si>
  <si>
    <t>L8*L9</t>
  </si>
  <si>
    <t>Regulation Revenue Requirement ($) - Purchases</t>
  </si>
  <si>
    <t xml:space="preserve">     Total Regulation Revenue Requirement ($)</t>
  </si>
  <si>
    <t xml:space="preserve">(1) </t>
  </si>
  <si>
    <t xml:space="preserve">WAPA Annual Report plant capacity </t>
  </si>
  <si>
    <t xml:space="preserve">(2) </t>
  </si>
  <si>
    <t>WAUW capacity used for regulation</t>
  </si>
  <si>
    <t xml:space="preserve">(3) </t>
  </si>
  <si>
    <t>Cost of purchases required to regulate for Intermittent Resources</t>
  </si>
  <si>
    <t>Worksheet 15 - Rate for Reserves</t>
  </si>
  <si>
    <t>RESERVES</t>
  </si>
  <si>
    <t>Cost/kW ($/kW-Yr)</t>
  </si>
  <si>
    <t>Monthly Charge ($/kW-mo)</t>
  </si>
  <si>
    <t>L5/12 months</t>
  </si>
  <si>
    <t>Western's Maximum Load in WAUW Control Area (kW)</t>
  </si>
  <si>
    <t>Maximum Generation in WAUW Control Area (kW)</t>
  </si>
  <si>
    <t>Capacity used for Reserves (kW) -- 3% Load + 3% Gen</t>
  </si>
  <si>
    <t>L7*3% + L8*3% (4)</t>
  </si>
  <si>
    <t>Annual Reserves Revenue Requirement</t>
  </si>
  <si>
    <t>L9*L5</t>
  </si>
  <si>
    <t>L10+L11+L12</t>
  </si>
  <si>
    <t>Control Area metering data</t>
  </si>
  <si>
    <t>WAUW maximum generation data</t>
  </si>
  <si>
    <t>Annual cost associated with Western-UGP's current reserve sharing group membership</t>
  </si>
  <si>
    <t>Date</t>
  </si>
  <si>
    <t>Worksheet</t>
  </si>
  <si>
    <t>Reference Cell(s)</t>
  </si>
  <si>
    <t>Change From</t>
  </si>
  <si>
    <t>Change To</t>
  </si>
  <si>
    <t>Description</t>
  </si>
  <si>
    <t>Annual Reserve Sharing Group Cost ($)</t>
  </si>
  <si>
    <t>Total Regulation Reserves Rqmt with True-up ($)</t>
  </si>
  <si>
    <t>Western Regulation Revenue Requirement ($)</t>
  </si>
  <si>
    <t>Total Regulation Revenue Rqmt with True-up ($)</t>
  </si>
  <si>
    <t>A. Operation and Maintenance Expense ($)</t>
  </si>
  <si>
    <t xml:space="preserve">B.  A&amp;G Expense ($)                              </t>
  </si>
  <si>
    <t xml:space="preserve">C.  Depreciation Expense ($)                    </t>
  </si>
  <si>
    <t xml:space="preserve">D.  Taxes Other than Income Taxes for Transmission ($)     </t>
  </si>
  <si>
    <t xml:space="preserve">E.  Allocation of General Plant ($)  </t>
  </si>
  <si>
    <t xml:space="preserve">     Net Plant Investment ($) </t>
  </si>
  <si>
    <t xml:space="preserve">     Cost of Capital ($)</t>
  </si>
  <si>
    <t xml:space="preserve">     Annual Western-UGPR Cost ($)</t>
  </si>
  <si>
    <t>Estimated SSCD Revenue from non-Transmission facilities ($)</t>
  </si>
  <si>
    <t>Prior Year True-Up ($)</t>
  </si>
  <si>
    <t>Revenue Requirement for SSCD for Transmission facilities ($)</t>
  </si>
  <si>
    <t>FACILITY TOTALS ($)</t>
  </si>
  <si>
    <t>PRIOR PERIOD TRUE-UP (Over-collection)</t>
  </si>
  <si>
    <t>WS12-SSCD C2L11</t>
  </si>
  <si>
    <t>PS-ED Generation Plant-in-Service</t>
  </si>
  <si>
    <t>2/  RMCSR - Pick-Sloan Missouri River Basin Results of Operations (ROOs), Schedule 1</t>
  </si>
  <si>
    <t>3/  Corps of Engineers (COE) Financial Statements, Electric and Power Multi-Purpose Plant in Service</t>
  </si>
  <si>
    <t>3/  C2L3+C2L6+C2L7, Net Plant Investment Worksheet/C6L3+C6L6+C6L7, Net Plant Investment Worksheet</t>
  </si>
  <si>
    <t>4/  C3L3, Net Plant Investment Worksheet/C6L3+C6L6+C6L7, Net Plant Investment Worksheet</t>
  </si>
  <si>
    <t>6/  C5L3, Net Plant Investment Worksheet/C6L3+C6L6+C6L7, Net Plant Investment Worksheet</t>
  </si>
  <si>
    <t>5/  C4L3, Net Plant Investment Worksheet/C6L3+C6L6+C6L7, Net Plant Investment Worksheet</t>
  </si>
  <si>
    <t>ORD GSO</t>
  </si>
  <si>
    <t>ORDWAY-GROTON SOUTH</t>
  </si>
  <si>
    <t>RCN</t>
  </si>
  <si>
    <t>RAPID CITY NORTH O&amp;M SER. CEN.</t>
  </si>
  <si>
    <t>230-kV breakers 182, 282, 382, 482, 582, 682, 782, 882, 986, 9182, 9282 and assoc. switches</t>
  </si>
  <si>
    <t>capacitors PY21A and PY20A, breakers 2164, 2064</t>
  </si>
  <si>
    <t>station service KW1A, KW21A and assoc. switches</t>
  </si>
  <si>
    <t>115-kV breakers 2062, 2262, 2366, 2762, 2862, 3162, 8162 and assoc. switches</t>
  </si>
  <si>
    <t>station service KW4A</t>
  </si>
  <si>
    <t>115-kV breakers 2262, 2466, 2362, 2562 and assoc. switches</t>
  </si>
  <si>
    <t>station service KW18A and switches 1821, 1823</t>
  </si>
  <si>
    <t>115-kV breakers 1362, 1462, 1562, 1662, 1964, 2064 and assoc switches</t>
  </si>
  <si>
    <t>115-kV breakers 162, 262, 662 and assoc switches</t>
  </si>
  <si>
    <t>115-kV breakers 1162, 1362 and assoc switches and switch 1262</t>
  </si>
  <si>
    <t>115-kV breakers 2162, 2262, 2362 and assoc. switches</t>
  </si>
  <si>
    <t>69-kV breakers 5152, 5252, 5456, 5652 and assoc. switches</t>
  </si>
  <si>
    <t>Sulpher</t>
  </si>
  <si>
    <t>115-kV breakers 162, 362, 462, and assoc switches</t>
  </si>
  <si>
    <t>station service KY31A1 and switch 3161</t>
  </si>
  <si>
    <t>115-kV breakers 2166, 2262, 2362, 2366 and assoc switches</t>
  </si>
  <si>
    <t>230-kV breakers 682, 782, 882, 982 and assoc switches</t>
  </si>
  <si>
    <t>69 kV breaker 952, 1052 and assoc. switches</t>
  </si>
  <si>
    <t>41.8-kV breaker 244 and assoc. switches</t>
  </si>
  <si>
    <t>capacitors PX2A, PX15A, PY16A and assoc. switches</t>
  </si>
  <si>
    <t>Cap bank breaker</t>
  </si>
  <si>
    <t>69-kV breakers 2152, 2252 and assoc. switches</t>
  </si>
  <si>
    <t>One East River member, two municipal customers and Basin generation served through 2152 and 2252 (Sioux Valley Energy, City of Colman, and City of Madison)</t>
  </si>
  <si>
    <t>115-kV breakers 1162, 1166, 1366, 1566 and assoc. switches</t>
  </si>
  <si>
    <t>station service KY13A1 and switch 1323</t>
  </si>
  <si>
    <t xml:space="preserve">115-kV  breakers 162 ,262, 462, 562, 862, 966 and assoc. switches </t>
  </si>
  <si>
    <t>230-kV breakers 582, 586, 682, 782, 786, 882 and assoc. switches, switches 181, 281</t>
  </si>
  <si>
    <t>115-kV breakers 1262, 1362, 1462, 1662 and assoc. switches, switches 1161 and 1165</t>
  </si>
  <si>
    <t>capacitor KPY5A, breaker 1562 and assoc. switches</t>
  </si>
  <si>
    <t>115-kV breakers 1262, 1362 and assoc. switches</t>
  </si>
  <si>
    <t>City of Brookings</t>
  </si>
  <si>
    <t>115-kV Disconnect Switch 1523</t>
  </si>
  <si>
    <t>115/34.5-kV tranformer KY1A and breaker 1962 and assoc. switches</t>
  </si>
  <si>
    <t>115/69-kV transformer KY1A and breaker 1262 and assoc. switches</t>
  </si>
  <si>
    <t>230/115-kV transformers KV1A, KV1B</t>
  </si>
  <si>
    <t xml:space="preserve">     Williston Substation 115kV Terminal Upgrades, 61856 /1</t>
  </si>
  <si>
    <t xml:space="preserve">     The remainder of the Revenue Requirement is the Zonal Revenue Requirement Amount. </t>
  </si>
  <si>
    <t xml:space="preserve">1/ The Region-Wide Revenue Requirement Amount for this project or reservation is 0%, pursuant to the provisions of Tariff Attachment J because the investment is less than $100,000. </t>
  </si>
  <si>
    <t>DAWSON-WILLISTON 2/</t>
  </si>
  <si>
    <t xml:space="preserve">     Lewis-Richland 115 kV Ckt 1, 72052 /1</t>
  </si>
  <si>
    <t>(8)</t>
  </si>
  <si>
    <t>(9)</t>
  </si>
  <si>
    <t>(10)</t>
  </si>
  <si>
    <t>(11)</t>
  </si>
  <si>
    <t>PTP REVENUE CREDIT $</t>
  </si>
  <si>
    <t>WS4-CostData (C6 L60)</t>
  </si>
  <si>
    <t>WS8-TranFac (L513 C6/C9)</t>
  </si>
  <si>
    <t>Western Power Pool Reserve Sharing System</t>
  </si>
  <si>
    <t>Effective January 1, 2024</t>
  </si>
  <si>
    <t>WAPA-UGP 2024 Rate Estimate Calculation</t>
  </si>
  <si>
    <t>12 Months Ending 09/30/2024 ESTIMATE</t>
  </si>
  <si>
    <t>2024 SPP ESTIMATE SUMMARY
DESCRIPTION</t>
  </si>
  <si>
    <t>FY2023-24 ESTIMATE ADD/REPL/RETIRE ($)</t>
  </si>
  <si>
    <t>FY2024 EST SPP TOTALS ($)</t>
  </si>
  <si>
    <t>2024 SPP ESTIMATE DETAIL: 
DESCRIPTION</t>
  </si>
  <si>
    <t xml:space="preserve">2024 SPP ESTIMATE DETAIL: </t>
  </si>
  <si>
    <t>Summary of incremental changes; Minor updates to increase transparency</t>
  </si>
  <si>
    <t>Formula updated to display total</t>
  </si>
  <si>
    <t xml:space="preserve">Formula updated to display amounts SPP uses in ATRR </t>
  </si>
  <si>
    <t>ALLOCATED AMOUNT $ /2</t>
  </si>
  <si>
    <t xml:space="preserve">2/ The ATRR per project is allocated by SPP to Zonal and/or Regional in accordance with the SPP Tariff. </t>
  </si>
  <si>
    <t>WDDBEF</t>
  </si>
  <si>
    <t>WARD DELIVERY-BELFIELD 230KV T-LINE</t>
  </si>
  <si>
    <t>AVS</t>
  </si>
  <si>
    <t>ANTELOPE VALLEY</t>
  </si>
  <si>
    <t>BDO</t>
  </si>
  <si>
    <t>BISMARCK DIS. OFFICE</t>
  </si>
  <si>
    <t>GAD</t>
  </si>
  <si>
    <t>GARRISON DAM</t>
  </si>
  <si>
    <t>RP</t>
  </si>
  <si>
    <t>WK</t>
  </si>
  <si>
    <t xml:space="preserve">WHITLOCK  </t>
  </si>
  <si>
    <t>MOORHEAD REACTOR, 143159</t>
  </si>
  <si>
    <t>BISMARCK 12.47 kV REACTOR, 143157</t>
  </si>
  <si>
    <t>OA-GH</t>
  </si>
  <si>
    <t>OAHE 230 kV TERMINAL UPGRADES, 122734</t>
  </si>
  <si>
    <t>FA-MO</t>
  </si>
  <si>
    <t>Z2 Schedule 7/8/11</t>
  </si>
  <si>
    <t>Z2 Sch 7/8/11</t>
  </si>
  <si>
    <t>SPAN RECONDUCTOR</t>
  </si>
  <si>
    <t>WOOD STRUCTURES (3)</t>
  </si>
  <si>
    <t>STEEL STRUCTURES (2)</t>
  </si>
  <si>
    <t>STEEL STRUCTURES (3)</t>
  </si>
  <si>
    <t>STEEL STRUCTURES (14)</t>
  </si>
  <si>
    <t>OAHE 230 kV TERMINAL UPGRADES, 122734 - SUBTOTAL (SPP directed Regional/Zonal Split of 33%/67%)</t>
  </si>
  <si>
    <t>SULLY BUTTES-WHITLOCK 230 Kv LINE CLEARANCE INCREASE, 143613 - SUBTOTAL (SPP directed Regional/Zonal Split of 33%/67%)</t>
  </si>
  <si>
    <t>WHITLOCK-GLENHAM 230 Kv CLEARANCE INCREASE, 143614 - SUBTOTAL (SPP directed Regional/Zonal Split of 33%/67%)</t>
  </si>
  <si>
    <t>ROUNDUP</t>
  </si>
  <si>
    <t>WILLISTON SUBSTATION 115 kV TERMINAL UPGRADES, 61856 - SUBTOTAL</t>
  </si>
  <si>
    <t>Moorhead Reactor, 143159</t>
  </si>
  <si>
    <t>Bismarck 12.47 kV Reactor, 143157</t>
  </si>
  <si>
    <t>Oahe 230 kV Terminal Upgrades, 122734</t>
  </si>
  <si>
    <t>Sully Buttes-Whitlock 230 kV Line Clearance Increase, 143613</t>
  </si>
  <si>
    <t>Whitlock-Glenham 230 kV Clearance Increase, 143614</t>
  </si>
  <si>
    <t>BISMARCK 12.47 kV REACTOR, 143157 - SUBTOTAL (SPP directed Regional/Zonal Split of 33%/67%)</t>
  </si>
  <si>
    <t>MOORHEAD REACTOR, 143159 - SUBTOTAL (SPP directed Regional/Zonal Split of 33%/67%)</t>
  </si>
  <si>
    <t>Bismarck O&amp;M Service Center</t>
  </si>
  <si>
    <t>Sioux Falls O&amp;M Service Center</t>
  </si>
  <si>
    <t>REACTORS (2)</t>
  </si>
  <si>
    <t>DISCONNECT SWITCHES (2)</t>
  </si>
  <si>
    <t>CIRCUIT BREAKERS (2)</t>
  </si>
  <si>
    <t>BUS SYSTEM</t>
  </si>
  <si>
    <t xml:space="preserve">     Bismarck 12.47 kV Reactor, 143157</t>
  </si>
  <si>
    <t xml:space="preserve">     Oahe 230 kV Terminal Upgrades, 122734</t>
  </si>
  <si>
    <t xml:space="preserve">     Sully Buttes-Whitlock 230 kV Line Clearance Increase, 143613</t>
  </si>
  <si>
    <t xml:space="preserve">     Whitlock-Glenham 230 kV Clearance Increase, 143614</t>
  </si>
  <si>
    <t>C14</t>
  </si>
  <si>
    <t>Updated footnote to reflect true-up allocation</t>
  </si>
  <si>
    <t>Updated true-up allocation with addition of new projects</t>
  </si>
  <si>
    <t>L13</t>
  </si>
  <si>
    <t>DEAD-END STRUCTURES (2)</t>
  </si>
  <si>
    <t>DEAD-END TURNING STEEL STRUCTURES (2)</t>
  </si>
  <si>
    <t>RELAY, METER, RTU</t>
  </si>
  <si>
    <t>Under Collection - 2022 Regulation Revenue Rqmt ($)</t>
  </si>
  <si>
    <t>Under Collection - 2022 WAUW Reserves Revenue Rqmt ($)</t>
  </si>
  <si>
    <t>SULLY BUTTES-WHITLOCK 230 kV LINE CLEARANCE INCREASE, 143613</t>
  </si>
  <si>
    <t>WHITLOCK-GLENHAM 230 kV CLEARANCE INCREASE, 143614</t>
  </si>
  <si>
    <t>NORTH BEND SUBSTATION</t>
  </si>
  <si>
    <t>NBD</t>
  </si>
  <si>
    <t>FARGO-MORRIS 2/</t>
  </si>
  <si>
    <t>OAHE-GLENHAM 2/</t>
  </si>
  <si>
    <t>BISMARK SUBSTATION 2/</t>
  </si>
  <si>
    <t>WILLISTON SUBSTATION 2/</t>
  </si>
  <si>
    <t>Fargo-Moorhead</t>
  </si>
  <si>
    <t>Bismarck Reactor, UID 143157, Reactors, Breaker, Switches.</t>
  </si>
  <si>
    <t>Oahe-Glenham</t>
  </si>
  <si>
    <t>Oahe 230-kV Terminal Upgrades, UID 122734, Stuctures, Conductor.</t>
  </si>
  <si>
    <t>Sully Buttes-Whitlock 230-kV Line Clearance Increase, UID 143613, Structures.</t>
  </si>
  <si>
    <t>Whitlock-Glenham 230-kV Clearance Increase, UID 143614, Structures.</t>
  </si>
  <si>
    <t>Take over ownership of 2462 from East River, which already was qualified for AI Inclusion.</t>
  </si>
  <si>
    <t>Removal of Transformer KU1B / replace Transformer KU1A, remove switches 8291, 8281.</t>
  </si>
  <si>
    <t>The substation was rebuilt to an expandable ring bus.</t>
  </si>
  <si>
    <t>Take over ownership of 1162 from Basin Electric, which already was qualified for AI Inclusion.</t>
  </si>
  <si>
    <t>North Bend</t>
  </si>
  <si>
    <t>Custumer funded 230-kV 4 breaker ring switching station added due to GIA and customer interconnection request.</t>
  </si>
  <si>
    <t>New Building.</t>
  </si>
  <si>
    <t>Take over ownership of 230-kV Breaker 682 and assoc. switches, which was already qualified for AI inclusion.</t>
  </si>
  <si>
    <t>Line Rebuild.  Not a new line but was part of Watford City-Beulah line.</t>
  </si>
  <si>
    <t>Moorhead Reactor, UID 143159, Structures, Relay, Meter, RTU.</t>
  </si>
  <si>
    <r>
      <t xml:space="preserve">115-kV breakers 266, </t>
    </r>
    <r>
      <rPr>
        <sz val="11"/>
        <rFont val="Calibri"/>
        <family val="2"/>
        <scheme val="minor"/>
      </rPr>
      <t>464, 562, 662 and assoc. switches</t>
    </r>
  </si>
  <si>
    <r>
      <t xml:space="preserve">230-kV breakers 1282, 1382, </t>
    </r>
    <r>
      <rPr>
        <sz val="11"/>
        <rFont val="Calibri"/>
        <family val="2"/>
        <scheme val="minor"/>
      </rPr>
      <t>1582 and assoc. switches</t>
    </r>
  </si>
  <si>
    <t>12.47-kV reactors, breakers, switches</t>
  </si>
  <si>
    <t>115-kV breakers 952, 1162, 1266, 1462, 1466, 1562,1662,1666, 1762, 1766 and assoc. switches</t>
  </si>
  <si>
    <r>
      <t xml:space="preserve">115-kV breakers </t>
    </r>
    <r>
      <rPr>
        <sz val="11"/>
        <rFont val="Calibri"/>
        <family val="2"/>
        <scheme val="minor"/>
      </rPr>
      <t>1462, 1562, 1666, 1764, 1864 and assoc. switches</t>
    </r>
  </si>
  <si>
    <t>69-kV breakers 2156, 2254, 2352, 2452, 2552, 2652, 2754, 2952, 5152 and assoc. switches</t>
  </si>
  <si>
    <t>115-kV breakers 1162, 1262, 1362, 1462, 1564, 1664, 1762, 1882 and assoc. switches</t>
  </si>
  <si>
    <t>50 percent of 115/41.8-kV transformer KY14A</t>
  </si>
  <si>
    <r>
      <t xml:space="preserve">69-kV breakers </t>
    </r>
    <r>
      <rPr>
        <sz val="11"/>
        <rFont val="Calibri"/>
        <family val="2"/>
        <scheme val="minor"/>
      </rPr>
      <t xml:space="preserve"> 4352</t>
    </r>
  </si>
  <si>
    <t>230-kV breakers 182, 682, 782, 886 and assoc switches</t>
  </si>
  <si>
    <t>ring bus, generator and customer</t>
  </si>
  <si>
    <r>
      <t xml:space="preserve">115-kV breakers 1062, </t>
    </r>
    <r>
      <rPr>
        <sz val="11"/>
        <rFont val="Calibri"/>
        <family val="2"/>
        <scheme val="minor"/>
      </rPr>
      <t>1362, 1462 and assoc. switches, switches 1263, 1265</t>
    </r>
  </si>
  <si>
    <t>345/230-kV transformers KU1A, KU1B, switches 8091, 8081</t>
  </si>
  <si>
    <r>
      <t xml:space="preserve">115-kV breakers 162, 262, 362, 462, 562, 662, 762, </t>
    </r>
    <r>
      <rPr>
        <sz val="11"/>
        <rFont val="Calibri"/>
        <family val="2"/>
        <scheme val="minor"/>
      </rPr>
      <t>966, 7162 and assoc switches</t>
    </r>
  </si>
  <si>
    <t>230-kV breakers 182, 282, 382, 482, 582, 682, 882, 984, 1082, 1182, 9182 and assoc switches</t>
  </si>
  <si>
    <t>115-kV breakers 2262, 2362, 2462 and assoc switches</t>
  </si>
  <si>
    <t>Neutral blocking device</t>
  </si>
  <si>
    <t>115-kV breakers 1162, 1262, 1362, 1462, 1562, 1662, 1762, 1866 and assoc switches</t>
  </si>
  <si>
    <r>
      <t>* Based upon Attachment AI of SPP's Tariff and consistent with criteria set forth in the "</t>
    </r>
    <r>
      <rPr>
        <i/>
        <sz val="11"/>
        <rFont val="Calibri"/>
        <family val="2"/>
      </rPr>
      <t>Zone 19 (Upper Missouri Zone) - Attachment AI Guidance Document"</t>
    </r>
    <r>
      <rPr>
        <sz val="11"/>
        <rFont val="Calibri"/>
        <family val="2"/>
        <scheme val="minor"/>
      </rPr>
      <t xml:space="preserve">, dated 06/14/2016, as prepared by the Attachment AI Working </t>
    </r>
  </si>
  <si>
    <t>115-kV breaker 1962 and assoc. switches</t>
  </si>
  <si>
    <t>69-kV breaker and assoc. switches</t>
  </si>
  <si>
    <t xml:space="preserve">     Moorhead Reactor, 143159 3/</t>
  </si>
  <si>
    <t>3/ WAPA's portion of the Moorhead Reactor upgrade was limited to items listed in WS7-BPUFac</t>
  </si>
  <si>
    <t>L9</t>
  </si>
  <si>
    <t>WS3--RevCredits</t>
  </si>
  <si>
    <t>L13-14</t>
  </si>
  <si>
    <t>Removed line for Schedule 11  Point-to-Point Revenue Credit (not receiving credits to estimate)</t>
  </si>
  <si>
    <t>Removed lines for Schedule 11  Point-to-Point Revenue Credit (not receiving credits to estimate)</t>
  </si>
  <si>
    <t>Total L1-L9+L10</t>
  </si>
  <si>
    <t>Subtotal L3:L8</t>
  </si>
  <si>
    <t>WS3-RevCredits C5L15</t>
  </si>
  <si>
    <t>WS3-RevCredits C5L4</t>
  </si>
  <si>
    <t>4/  WS8-TransFac, C9L515</t>
  </si>
  <si>
    <t>5/  WS8-TransFac, C9L506</t>
  </si>
  <si>
    <t>6/  WS8-TransFac, C9L513</t>
  </si>
  <si>
    <t>7/  WS8-TransFac, C7L515</t>
  </si>
  <si>
    <t>1/  WS8-TransFac, C5L515</t>
  </si>
  <si>
    <t>WS4-CostData L37 C4</t>
  </si>
  <si>
    <t>WS4-CostData L37 C3</t>
  </si>
  <si>
    <t>WS4-CostData L37 C2</t>
  </si>
  <si>
    <t>WS4-CostData L78 C3</t>
  </si>
  <si>
    <t>WS4-CostData L78 C2</t>
  </si>
  <si>
    <t>WS4-CostData L104 C4</t>
  </si>
  <si>
    <t>WS4-CostData L104 C3</t>
  </si>
  <si>
    <t>WS4-CostData L104 C2</t>
  </si>
  <si>
    <t>1/ Revenue Credit Allocation Total from WS3-Rev Credit C5L21 and allocated based on the ratio of Regional project plant-in-service to total Regional plant-in-service, calculated in column 4 of this worksheet</t>
  </si>
  <si>
    <t>1/ Revenue Credit Allocation Total from WS3-Rev Credit C5L18 and allocated based on the ratio of Zonal project plant-in-service to total Zonal plant-in-service, calculated in column 4 of this worksheet</t>
  </si>
  <si>
    <t>2/ True-up Total from Summary-ATRR C4L15 and allocated based on the ratio of Regional project plant-in-service to total Regional plant-in-service, calculated in column 4 of the True-up worksheet WS6-BPUr</t>
  </si>
  <si>
    <t>2/ True-up Total from Summary-ATRR C4L14 and allocated based on the ratio of Zonal project plant-in-service to total Zonal plant-in-service, calculated in column 4 of the True-up Worksheet WS5-BPUz</t>
  </si>
  <si>
    <t>L17</t>
  </si>
  <si>
    <t>C5L17-END</t>
  </si>
  <si>
    <t>C4L17-END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</si>
</sst>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 numFmtId="180" formatCode="0.0%"/>
  </numFmts>
  <fonts count="78">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sz val="11"/>
      <name val="Calibri"/>
      <family val="2"/>
    </font>
    <font>
      <i/>
      <sz val="11"/>
      <color rgb="FF000000"/>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2"/>
      <name val="Calibri"/>
      <family val="2"/>
    </font>
    <font>
      <sz val="8"/>
      <name val="Calibri"/>
      <family val="2"/>
      <scheme val="minor"/>
    </font>
    <font>
      <sz val="36"/>
      <color rgb="FFFF0000"/>
      <name val="Calibri"/>
      <family val="2"/>
      <scheme val="minor"/>
    </font>
    <font>
      <u/>
      <sz val="11"/>
      <color theme="10"/>
      <name val="Calibri"/>
      <family val="2"/>
    </font>
    <font>
      <sz val="10"/>
      <name val="Calibri"/>
      <family val="2"/>
    </font>
    <font>
      <sz val="10"/>
      <color rgb="FF000000"/>
      <name val="Calibri"/>
      <family val="2"/>
      <scheme val="minor"/>
    </font>
    <font>
      <sz val="11"/>
      <color theme="1"/>
      <name val="Calibri"/>
      <family val="2"/>
    </font>
    <font>
      <u/>
      <sz val="11"/>
      <name val="Calibri"/>
      <family val="2"/>
      <scheme val="minor"/>
    </font>
    <font>
      <b/>
      <sz val="11"/>
      <name val="Calibri"/>
      <family val="2"/>
    </font>
    <font>
      <b/>
      <sz val="8"/>
      <name val="Calibri"/>
      <family val="2"/>
    </font>
    <font>
      <sz val="11"/>
      <name val="Calibri"/>
      <family val="2"/>
      <scheme val="minor"/>
    </font>
    <font>
      <i/>
      <sz val="11"/>
      <name val="Calibri"/>
      <family val="2"/>
    </font>
    <font>
      <sz val="10"/>
      <name val="Calibri"/>
    </font>
  </fonts>
  <fills count="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76">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bottom style="double">
        <color indexed="64"/>
      </bottom>
      <diagonal/>
    </border>
    <border>
      <left style="medium">
        <color indexed="64"/>
      </left>
      <right/>
      <top style="thin">
        <color indexed="64"/>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0" fillId="0" borderId="0" applyNumberFormat="0" applyFill="0" applyBorder="0" applyAlignment="0" applyProtection="0"/>
  </cellStyleXfs>
  <cellXfs count="917">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3" fillId="20" borderId="18" xfId="38578" applyNumberFormat="1" applyFont="1" applyFill="1" applyBorder="1"/>
    <xf numFmtId="0" fontId="3" fillId="20" borderId="7" xfId="38578" applyNumberFormat="1" applyFont="1" applyFill="1" applyBorder="1" applyAlignment="1">
      <alignment horizontal="center"/>
    </xf>
    <xf numFmtId="0" fontId="3" fillId="20" borderId="7" xfId="38578" applyFont="1" applyFill="1" applyBorder="1"/>
    <xf numFmtId="0" fontId="3" fillId="20" borderId="16" xfId="38578" applyNumberFormat="1" applyFont="1" applyFill="1" applyBorder="1"/>
    <xf numFmtId="0" fontId="3" fillId="20" borderId="0" xfId="38578" applyNumberFormat="1" applyFont="1" applyFill="1" applyBorder="1" applyAlignment="1">
      <alignment horizontal="center"/>
    </xf>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0" fontId="3" fillId="20" borderId="15" xfId="38578" applyNumberFormat="1" applyFont="1" applyFill="1" applyBorder="1" applyAlignment="1">
      <alignment horizontal="center"/>
    </xf>
    <xf numFmtId="0" fontId="3" fillId="20" borderId="17" xfId="38578" applyFont="1" applyFill="1" applyBorder="1" applyAlignment="1">
      <alignment horizontal="center"/>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0" fontId="3" fillId="20" borderId="17" xfId="38578" applyNumberFormat="1" applyFont="1" applyFill="1" applyBorder="1" applyAlignment="1">
      <alignment horizontal="center"/>
    </xf>
    <xf numFmtId="0" fontId="3" fillId="20" borderId="0" xfId="38578" applyNumberFormat="1" applyFont="1" applyFill="1" applyBorder="1" applyAlignment="1">
      <alignment horizontal="right"/>
    </xf>
    <xf numFmtId="0" fontId="3" fillId="20" borderId="16"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174" fontId="3" fillId="20" borderId="7" xfId="38578" applyNumberFormat="1" applyFont="1" applyFill="1" applyBorder="1" applyAlignment="1">
      <alignment horizontal="right"/>
    </xf>
    <xf numFmtId="0" fontId="3" fillId="20" borderId="7" xfId="38578" applyFont="1" applyFill="1" applyBorder="1" applyAlignment="1">
      <alignment horizontal="right"/>
    </xf>
    <xf numFmtId="3" fontId="3" fillId="20" borderId="16" xfId="38578" applyNumberFormat="1" applyFont="1" applyFill="1" applyBorder="1" applyAlignment="1">
      <alignment horizontal="center"/>
    </xf>
    <xf numFmtId="0" fontId="3" fillId="20" borderId="16" xfId="38578" applyFont="1" applyFill="1" applyBorder="1" applyAlignment="1">
      <alignment horizontal="center"/>
    </xf>
    <xf numFmtId="3" fontId="3" fillId="22" borderId="7" xfId="38578" applyNumberFormat="1" applyFont="1" applyFill="1" applyBorder="1" applyAlignment="1">
      <alignment horizontal="right"/>
    </xf>
    <xf numFmtId="0" fontId="3" fillId="20" borderId="13" xfId="38578" applyNumberFormat="1" applyFont="1" applyFill="1" applyBorder="1" applyAlignment="1">
      <alignment horizontal="right"/>
    </xf>
    <xf numFmtId="0" fontId="3" fillId="20" borderId="13" xfId="38578" applyNumberFormat="1" applyFont="1" applyFill="1" applyBorder="1" applyAlignment="1">
      <alignment horizontal="center"/>
    </xf>
    <xf numFmtId="0" fontId="3" fillId="20" borderId="12" xfId="38578" applyNumberFormat="1" applyFont="1" applyFill="1" applyBorder="1" applyAlignment="1">
      <alignment horizontal="center"/>
    </xf>
    <xf numFmtId="3" fontId="3" fillId="20" borderId="25" xfId="38578" applyNumberFormat="1" applyFont="1" applyFill="1" applyBorder="1" applyAlignment="1">
      <alignment horizontal="right"/>
    </xf>
    <xf numFmtId="3" fontId="3" fillId="20" borderId="26" xfId="38578" applyNumberFormat="1" applyFont="1" applyFill="1" applyBorder="1" applyAlignment="1">
      <alignment horizontal="right"/>
    </xf>
    <xf numFmtId="3" fontId="3" fillId="20" borderId="26" xfId="38578" applyNumberFormat="1" applyFont="1" applyFill="1" applyBorder="1" applyAlignment="1">
      <alignment horizontal="center"/>
    </xf>
    <xf numFmtId="3" fontId="3" fillId="20" borderId="29"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0" xfId="38578" applyNumberFormat="1" applyFont="1" applyFill="1" applyBorder="1" applyAlignment="1">
      <alignment horizontal="right"/>
    </xf>
    <xf numFmtId="10" fontId="3" fillId="20" borderId="19"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0" fontId="3" fillId="20" borderId="19" xfId="38578" applyFont="1" applyFill="1" applyBorder="1" applyAlignment="1">
      <alignment horizontal="right"/>
    </xf>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175" fontId="3" fillId="20" borderId="19" xfId="38578" applyNumberFormat="1" applyFont="1" applyFill="1" applyBorder="1" applyAlignment="1">
      <alignment horizontal="right"/>
    </xf>
    <xf numFmtId="3" fontId="3" fillId="20" borderId="14" xfId="38578" applyNumberFormat="1" applyFont="1" applyFill="1" applyBorder="1"/>
    <xf numFmtId="3" fontId="3" fillId="20" borderId="32" xfId="38578" applyNumberFormat="1" applyFont="1" applyFill="1" applyBorder="1" applyAlignment="1">
      <alignment horizontal="right"/>
    </xf>
    <xf numFmtId="3" fontId="3" fillId="20" borderId="32" xfId="38578" applyNumberFormat="1" applyFont="1" applyFill="1" applyBorder="1" applyAlignment="1">
      <alignment horizontal="center"/>
    </xf>
    <xf numFmtId="170" fontId="3" fillId="20" borderId="26" xfId="38578" applyNumberFormat="1" applyFont="1" applyFill="1" applyBorder="1" applyAlignment="1">
      <alignment horizontal="right"/>
    </xf>
    <xf numFmtId="3" fontId="3" fillId="20" borderId="20" xfId="38578" applyNumberFormat="1" applyFont="1" applyFill="1" applyBorder="1" applyAlignment="1">
      <alignment horizontal="center"/>
    </xf>
    <xf numFmtId="3" fontId="3" fillId="20" borderId="35" xfId="38578" applyNumberFormat="1" applyFont="1" applyFill="1" applyBorder="1" applyAlignment="1">
      <alignment horizontal="right"/>
    </xf>
    <xf numFmtId="3" fontId="3" fillId="20" borderId="9" xfId="38578" applyNumberFormat="1" applyFont="1" applyFill="1" applyBorder="1" applyAlignment="1">
      <alignment horizontal="center"/>
    </xf>
    <xf numFmtId="0" fontId="3" fillId="20" borderId="16" xfId="38578" applyNumberFormat="1" applyFont="1" applyFill="1" applyBorder="1" applyAlignment="1">
      <alignment horizontal="right"/>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170" fontId="3" fillId="20" borderId="16" xfId="38578" applyNumberFormat="1" applyFont="1" applyFill="1" applyBorder="1" applyAlignment="1">
      <alignment horizontal="center" wrapText="1"/>
    </xf>
    <xf numFmtId="170" fontId="3" fillId="20" borderId="28" xfId="38578" applyNumberFormat="1" applyFont="1" applyFill="1" applyBorder="1" applyAlignment="1">
      <alignment horizontal="center"/>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0" fontId="3" fillId="20" borderId="32" xfId="38578" applyFont="1" applyFill="1" applyBorder="1" applyAlignment="1">
      <alignment horizontal="right"/>
    </xf>
    <xf numFmtId="0" fontId="3" fillId="20" borderId="36" xfId="38578" applyFont="1" applyFill="1" applyBorder="1" applyAlignment="1">
      <alignment horizontal="center"/>
    </xf>
    <xf numFmtId="164" fontId="3" fillId="20" borderId="0" xfId="1" applyNumberFormat="1" applyFont="1" applyFill="1" applyBorder="1"/>
    <xf numFmtId="0" fontId="3" fillId="20" borderId="9" xfId="38578" applyFont="1" applyFill="1" applyBorder="1"/>
    <xf numFmtId="3" fontId="3" fillId="20" borderId="13"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52" fillId="20" borderId="39" xfId="0" quotePrefix="1" applyFont="1" applyFill="1" applyBorder="1"/>
    <xf numFmtId="3" fontId="3" fillId="20" borderId="0" xfId="18360" applyNumberFormat="1" applyFont="1" applyFill="1" applyBorder="1"/>
    <xf numFmtId="0" fontId="3" fillId="20" borderId="35"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0" fontId="52" fillId="20" borderId="40" xfId="0" quotePrefix="1" applyFont="1" applyFill="1" applyBorder="1"/>
    <xf numFmtId="0" fontId="52" fillId="20" borderId="39" xfId="0"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38"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0"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6" xfId="0" applyFont="1" applyFill="1" applyBorder="1"/>
    <xf numFmtId="5" fontId="47" fillId="20" borderId="19" xfId="0" applyNumberFormat="1" applyFont="1" applyFill="1" applyBorder="1"/>
    <xf numFmtId="170" fontId="47" fillId="20" borderId="38" xfId="0" applyNumberFormat="1" applyFont="1" applyFill="1" applyBorder="1"/>
    <xf numFmtId="170" fontId="47" fillId="20" borderId="37"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6" xfId="0" applyNumberFormat="1" applyFont="1" applyFill="1" applyBorder="1"/>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4" fontId="3" fillId="20" borderId="0" xfId="42319"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46" fillId="20" borderId="16" xfId="0" applyFont="1" applyFill="1" applyBorder="1"/>
    <xf numFmtId="0" fontId="46" fillId="20" borderId="18" xfId="0" applyFont="1" applyFill="1" applyBorder="1"/>
    <xf numFmtId="0" fontId="2" fillId="0" borderId="0" xfId="0" applyFont="1" applyAlignment="1">
      <alignment horizontal="center"/>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3" fontId="3" fillId="0" borderId="0" xfId="0" applyNumberFormat="1" applyFont="1" applyFill="1" applyBorder="1" applyAlignment="1">
      <alignment vertical="center"/>
    </xf>
    <xf numFmtId="38" fontId="3" fillId="20" borderId="39"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3" fillId="20" borderId="13" xfId="0"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38" fontId="4" fillId="20" borderId="39" xfId="0" applyNumberFormat="1" applyFont="1" applyFill="1" applyBorder="1" applyAlignment="1">
      <alignment horizontal="center"/>
    </xf>
    <xf numFmtId="0" fontId="4" fillId="20" borderId="0" xfId="0" applyFont="1" applyFill="1" applyBorder="1" applyAlignment="1">
      <alignment horizontal="left"/>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39" xfId="1" applyNumberFormat="1" applyFont="1" applyFill="1" applyBorder="1"/>
    <xf numFmtId="38" fontId="52" fillId="20" borderId="0" xfId="0" applyNumberFormat="1" applyFont="1" applyFill="1" applyBorder="1"/>
    <xf numFmtId="164" fontId="52" fillId="20" borderId="16" xfId="0" applyNumberFormat="1" applyFont="1" applyFill="1" applyBorder="1"/>
    <xf numFmtId="0" fontId="52" fillId="20" borderId="2" xfId="0"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2" xfId="0" applyNumberFormat="1" applyFont="1" applyFill="1" applyBorder="1"/>
    <xf numFmtId="0" fontId="52" fillId="20" borderId="5" xfId="0"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8" xfId="0" applyNumberFormat="1" applyFont="1" applyFill="1" applyBorder="1"/>
    <xf numFmtId="38" fontId="52" fillId="20" borderId="13" xfId="0" applyNumberFormat="1" applyFont="1" applyFill="1" applyBorder="1"/>
    <xf numFmtId="164" fontId="52" fillId="20" borderId="14" xfId="0" applyNumberFormat="1" applyFont="1" applyFill="1" applyBorder="1"/>
    <xf numFmtId="0" fontId="52" fillId="0" borderId="0" xfId="0" applyFont="1" applyFill="1"/>
    <xf numFmtId="0" fontId="52" fillId="20" borderId="44" xfId="0" applyFont="1" applyFill="1" applyBorder="1"/>
    <xf numFmtId="38" fontId="52" fillId="20" borderId="44" xfId="0" applyNumberFormat="1" applyFont="1" applyFill="1" applyBorder="1"/>
    <xf numFmtId="164" fontId="52" fillId="20" borderId="24"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47" xfId="38578" applyFont="1" applyFill="1" applyBorder="1" applyAlignment="1">
      <alignment horizontal="left"/>
    </xf>
    <xf numFmtId="0" fontId="3" fillId="20" borderId="48" xfId="0" applyFont="1" applyFill="1" applyBorder="1" applyAlignment="1">
      <alignment horizontal="center"/>
    </xf>
    <xf numFmtId="0" fontId="3" fillId="20" borderId="49" xfId="0" applyFont="1" applyFill="1" applyBorder="1" applyAlignment="1">
      <alignment horizontal="center"/>
    </xf>
    <xf numFmtId="0" fontId="45" fillId="0" borderId="0" xfId="0" applyFont="1" applyFill="1" applyBorder="1"/>
    <xf numFmtId="0" fontId="47" fillId="24" borderId="15" xfId="0" applyFont="1" applyFill="1" applyBorder="1" applyAlignment="1">
      <alignment horizontal="left" vertical="top"/>
    </xf>
    <xf numFmtId="164" fontId="3" fillId="0" borderId="0" xfId="1" applyNumberFormat="1" applyFont="1" applyFill="1" applyBorder="1" applyAlignment="1">
      <alignment horizontal="left"/>
    </xf>
    <xf numFmtId="164" fontId="3" fillId="20" borderId="0" xfId="0" applyNumberFormat="1" applyFont="1" applyFill="1" applyBorder="1"/>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3" fontId="47" fillId="20" borderId="0" xfId="0" applyNumberFormat="1" applyFont="1" applyFill="1" applyBorder="1" applyAlignment="1">
      <alignment horizontal="right"/>
    </xf>
    <xf numFmtId="0" fontId="46" fillId="20" borderId="0" xfId="0" applyFont="1" applyFill="1" applyBorder="1"/>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170" fontId="47" fillId="20" borderId="0" xfId="3" applyNumberFormat="1" applyFont="1" applyFill="1" applyBorder="1"/>
    <xf numFmtId="167" fontId="47" fillId="20" borderId="0" xfId="2"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6" xfId="38578" applyFont="1" applyFill="1" applyBorder="1"/>
    <xf numFmtId="0" fontId="3" fillId="20" borderId="11" xfId="38578" applyFont="1" applyFill="1" applyBorder="1" applyAlignment="1">
      <alignment horizontal="center"/>
    </xf>
    <xf numFmtId="3" fontId="3" fillId="20" borderId="36" xfId="38578" applyNumberFormat="1" applyFont="1" applyFill="1" applyBorder="1" applyAlignment="1">
      <alignment horizontal="center"/>
    </xf>
    <xf numFmtId="0" fontId="3" fillId="20" borderId="14" xfId="38578" applyNumberFormat="1" applyFont="1" applyFill="1" applyBorder="1"/>
    <xf numFmtId="37" fontId="3" fillId="20" borderId="35" xfId="38578" applyNumberFormat="1" applyFont="1" applyFill="1" applyBorder="1" applyAlignment="1">
      <alignment horizontal="right"/>
    </xf>
    <xf numFmtId="164" fontId="3" fillId="20" borderId="16" xfId="0" applyNumberFormat="1"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0" fontId="3" fillId="20" borderId="6" xfId="38578" applyNumberFormat="1" applyFont="1" applyFill="1" applyBorder="1" applyAlignment="1">
      <alignment horizontal="center"/>
    </xf>
    <xf numFmtId="17" fontId="3" fillId="20" borderId="19" xfId="38578" applyNumberFormat="1" applyFont="1" applyFill="1" applyBorder="1"/>
    <xf numFmtId="0" fontId="3" fillId="20" borderId="20" xfId="38578" applyNumberFormat="1" applyFont="1" applyFill="1" applyBorder="1"/>
    <xf numFmtId="0" fontId="3" fillId="20" borderId="20" xfId="38578" applyNumberFormat="1" applyFont="1" applyFill="1" applyBorder="1" applyAlignment="1">
      <alignment horizontal="center"/>
    </xf>
    <xf numFmtId="0" fontId="3" fillId="20" borderId="19" xfId="38578" applyNumberFormat="1" applyFont="1" applyFill="1" applyBorder="1"/>
    <xf numFmtId="0" fontId="3" fillId="20" borderId="48" xfId="38578" applyFont="1" applyFill="1" applyBorder="1" applyAlignment="1">
      <alignment horizontal="left"/>
    </xf>
    <xf numFmtId="0" fontId="3" fillId="20" borderId="15" xfId="38578" applyFont="1" applyFill="1" applyBorder="1"/>
    <xf numFmtId="37" fontId="3" fillId="20" borderId="32" xfId="38578" applyNumberFormat="1" applyFont="1" applyFill="1" applyBorder="1"/>
    <xf numFmtId="37" fontId="3" fillId="20" borderId="51" xfId="38578" applyNumberFormat="1" applyFont="1" applyFill="1" applyBorder="1"/>
    <xf numFmtId="37" fontId="3" fillId="20" borderId="26"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9" fontId="52" fillId="20" borderId="0" xfId="3" applyNumberFormat="1" applyFont="1" applyFill="1" applyBorder="1"/>
    <xf numFmtId="0" fontId="60" fillId="0" borderId="0" xfId="42327" applyNumberFormat="1" applyFill="1"/>
    <xf numFmtId="0" fontId="60" fillId="0" borderId="0" xfId="42327" applyBorder="1"/>
    <xf numFmtId="0" fontId="60" fillId="0" borderId="0" xfId="42327"/>
    <xf numFmtId="164" fontId="52" fillId="20" borderId="0" xfId="0" applyNumberFormat="1" applyFont="1" applyFill="1" applyBorder="1"/>
    <xf numFmtId="37" fontId="3" fillId="20" borderId="51" xfId="38578" applyNumberFormat="1" applyFont="1" applyFill="1" applyBorder="1" applyAlignment="1">
      <alignment horizontal="right"/>
    </xf>
    <xf numFmtId="0" fontId="63" fillId="20" borderId="9" xfId="38578" applyFont="1" applyFill="1" applyBorder="1"/>
    <xf numFmtId="38" fontId="53" fillId="20" borderId="50" xfId="0" applyNumberFormat="1" applyFont="1" applyFill="1" applyBorder="1" applyAlignment="1">
      <alignment horizontal="center"/>
    </xf>
    <xf numFmtId="0" fontId="3" fillId="20" borderId="15" xfId="0" applyFont="1" applyFill="1" applyBorder="1" applyAlignment="1">
      <alignment horizontal="center"/>
    </xf>
    <xf numFmtId="164" fontId="46" fillId="20" borderId="0" xfId="1" applyNumberFormat="1"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10" fontId="46" fillId="20" borderId="0" xfId="3" applyNumberFormat="1" applyFont="1" applyFill="1" applyBorder="1"/>
    <xf numFmtId="0" fontId="3" fillId="20" borderId="10" xfId="38578" applyFont="1" applyFill="1" applyBorder="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3" fillId="20" borderId="16" xfId="0" applyFont="1" applyFill="1" applyBorder="1"/>
    <xf numFmtId="0" fontId="63" fillId="20" borderId="16" xfId="0" quotePrefix="1" applyFont="1" applyFill="1" applyBorder="1"/>
    <xf numFmtId="49" fontId="3" fillId="20" borderId="15" xfId="38790" applyNumberFormat="1" applyFont="1" applyFill="1" applyBorder="1" applyAlignment="1">
      <alignment horizontal="center"/>
    </xf>
    <xf numFmtId="0" fontId="64" fillId="20" borderId="16" xfId="0"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62" fillId="20" borderId="15" xfId="0" applyFont="1" applyFill="1" applyBorder="1" applyAlignment="1">
      <alignment horizontal="left"/>
    </xf>
    <xf numFmtId="0" fontId="62" fillId="20" borderId="16" xfId="0" applyFont="1" applyFill="1" applyBorder="1" applyAlignment="1">
      <alignment horizontal="left"/>
    </xf>
    <xf numFmtId="0" fontId="60" fillId="20" borderId="16" xfId="42327" applyFill="1" applyBorder="1"/>
    <xf numFmtId="0" fontId="0" fillId="20" borderId="17" xfId="0" applyFill="1" applyBorder="1"/>
    <xf numFmtId="0" fontId="0" fillId="20" borderId="18" xfId="0" applyFill="1" applyBorder="1"/>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xf numFmtId="0" fontId="45" fillId="20" borderId="14" xfId="0" applyFont="1" applyFill="1" applyBorder="1"/>
    <xf numFmtId="0" fontId="45" fillId="20" borderId="16" xfId="0" applyFont="1" applyFill="1" applyBorder="1"/>
    <xf numFmtId="0" fontId="4" fillId="20" borderId="13" xfId="0" applyFont="1" applyFill="1" applyBorder="1" applyAlignment="1">
      <alignment horizontal="left"/>
    </xf>
    <xf numFmtId="0" fontId="49" fillId="20" borderId="23" xfId="0" applyFont="1" applyFill="1" applyBorder="1" applyAlignment="1">
      <alignment horizontal="center" readingOrder="1"/>
    </xf>
    <xf numFmtId="0" fontId="49" fillId="20" borderId="46" xfId="0" applyFont="1" applyFill="1" applyBorder="1" applyAlignment="1">
      <alignment horizontal="center" readingOrder="1"/>
    </xf>
    <xf numFmtId="49" fontId="3" fillId="20" borderId="17" xfId="38790" applyNumberFormat="1" applyFont="1" applyFill="1" applyBorder="1" applyAlignment="1">
      <alignment horizontal="center"/>
    </xf>
    <xf numFmtId="180" fontId="52" fillId="20" borderId="0" xfId="3" applyNumberFormat="1" applyFont="1" applyFill="1" applyBorder="1"/>
    <xf numFmtId="0" fontId="3" fillId="20" borderId="0" xfId="38578" applyFont="1" applyFill="1" applyBorder="1"/>
    <xf numFmtId="3" fontId="4" fillId="26" borderId="50" xfId="0" applyNumberFormat="1" applyFont="1" applyFill="1" applyBorder="1" applyAlignment="1">
      <alignment horizontal="left"/>
    </xf>
    <xf numFmtId="3" fontId="3" fillId="26" borderId="50" xfId="0" applyNumberFormat="1" applyFont="1" applyFill="1" applyBorder="1"/>
    <xf numFmtId="0" fontId="52" fillId="26" borderId="50" xfId="0" applyFont="1" applyFill="1" applyBorder="1"/>
    <xf numFmtId="9" fontId="52" fillId="20" borderId="2" xfId="3" applyNumberFormat="1" applyFont="1" applyFill="1" applyBorder="1"/>
    <xf numFmtId="0" fontId="66" fillId="0" borderId="0" xfId="0" applyFont="1" applyFill="1" applyBorder="1" applyAlignment="1">
      <alignment horizontal="left"/>
    </xf>
    <xf numFmtId="9" fontId="52" fillId="20" borderId="13" xfId="3" applyNumberFormat="1" applyFont="1" applyFill="1" applyBorder="1"/>
    <xf numFmtId="0" fontId="45" fillId="0" borderId="0" xfId="0" applyFont="1"/>
    <xf numFmtId="0" fontId="47" fillId="0" borderId="15" xfId="0" applyFont="1" applyBorder="1" applyAlignment="1">
      <alignment horizontal="left" vertical="top"/>
    </xf>
    <xf numFmtId="0" fontId="47" fillId="0" borderId="0" xfId="0" applyFont="1"/>
    <xf numFmtId="0" fontId="47" fillId="0" borderId="46" xfId="0" applyFont="1" applyBorder="1"/>
    <xf numFmtId="164" fontId="3" fillId="20" borderId="0" xfId="0" applyNumberFormat="1" applyFont="1" applyFill="1" applyBorder="1" applyAlignment="1">
      <alignment horizontal="right"/>
    </xf>
    <xf numFmtId="0" fontId="0" fillId="20" borderId="0" xfId="0" applyFill="1"/>
    <xf numFmtId="164" fontId="4" fillId="0" borderId="10" xfId="1" applyNumberFormat="1" applyFont="1" applyFill="1" applyBorder="1" applyAlignment="1">
      <alignment horizontal="center" vertical="top" wrapText="1"/>
    </xf>
    <xf numFmtId="167" fontId="46" fillId="0" borderId="0" xfId="2" applyNumberFormat="1" applyFont="1" applyBorder="1"/>
    <xf numFmtId="167" fontId="45" fillId="0" borderId="0" xfId="0" applyNumberFormat="1" applyFont="1" applyBorder="1"/>
    <xf numFmtId="0" fontId="3" fillId="20" borderId="5" xfId="38578" applyFont="1" applyFill="1" applyBorder="1"/>
    <xf numFmtId="0" fontId="0" fillId="20" borderId="5" xfId="0" applyFill="1" applyBorder="1"/>
    <xf numFmtId="0" fontId="3" fillId="20" borderId="19" xfId="38578" applyFont="1" applyFill="1" applyBorder="1"/>
    <xf numFmtId="49" fontId="57" fillId="20" borderId="0" xfId="19632" applyNumberFormat="1" applyFont="1" applyFill="1" applyBorder="1" applyAlignment="1">
      <alignment horizontal="left"/>
    </xf>
    <xf numFmtId="164" fontId="52" fillId="20" borderId="2" xfId="1" applyNumberFormat="1" applyFont="1" applyFill="1" applyBorder="1"/>
    <xf numFmtId="164" fontId="52" fillId="20" borderId="5" xfId="1" applyNumberFormat="1" applyFont="1" applyFill="1" applyBorder="1"/>
    <xf numFmtId="49" fontId="57" fillId="20" borderId="13" xfId="19632" applyNumberFormat="1" applyFont="1" applyFill="1" applyBorder="1" applyAlignment="1">
      <alignment horizontal="left"/>
    </xf>
    <xf numFmtId="49" fontId="57" fillId="20" borderId="2" xfId="19632" applyNumberFormat="1" applyFont="1" applyFill="1" applyBorder="1" applyAlignment="1">
      <alignment horizontal="left"/>
    </xf>
    <xf numFmtId="0" fontId="47" fillId="20" borderId="23" xfId="0" applyFont="1" applyFill="1" applyBorder="1" applyAlignment="1">
      <alignment horizontal="center"/>
    </xf>
    <xf numFmtId="37" fontId="3" fillId="20" borderId="21" xfId="42319" applyNumberFormat="1" applyFont="1" applyFill="1" applyBorder="1" applyAlignment="1">
      <alignment horizontal="center"/>
    </xf>
    <xf numFmtId="0" fontId="45" fillId="20" borderId="7" xfId="0" applyFont="1" applyFill="1" applyBorder="1"/>
    <xf numFmtId="0" fontId="45" fillId="20" borderId="18" xfId="0" applyFont="1" applyFill="1" applyBorder="1"/>
    <xf numFmtId="0" fontId="48" fillId="20" borderId="2" xfId="0" applyFont="1" applyFill="1" applyBorder="1" applyAlignment="1">
      <alignment horizontal="left"/>
    </xf>
    <xf numFmtId="5" fontId="48" fillId="20" borderId="2" xfId="0" applyNumberFormat="1" applyFont="1" applyFill="1" applyBorder="1"/>
    <xf numFmtId="167" fontId="48" fillId="20" borderId="2" xfId="2" applyNumberFormat="1" applyFont="1" applyFill="1" applyBorder="1"/>
    <xf numFmtId="9" fontId="48" fillId="20" borderId="2" xfId="3" applyFont="1" applyFill="1" applyBorder="1"/>
    <xf numFmtId="0" fontId="48" fillId="22" borderId="2" xfId="0" applyFont="1" applyFill="1" applyBorder="1"/>
    <xf numFmtId="0" fontId="60" fillId="20" borderId="14" xfId="42327" applyFill="1" applyBorder="1"/>
    <xf numFmtId="0" fontId="47" fillId="24" borderId="17" xfId="0" applyFont="1" applyFill="1" applyBorder="1" applyAlignment="1">
      <alignment horizontal="left" vertical="top"/>
    </xf>
    <xf numFmtId="0" fontId="47" fillId="0" borderId="7" xfId="0" applyFont="1" applyBorder="1" applyAlignment="1">
      <alignment horizontal="left" vertical="top"/>
    </xf>
    <xf numFmtId="0" fontId="47" fillId="0" borderId="7" xfId="0" applyFont="1" applyBorder="1"/>
    <xf numFmtId="0" fontId="47" fillId="0" borderId="56" xfId="0" applyFont="1" applyBorder="1"/>
    <xf numFmtId="0" fontId="60" fillId="0" borderId="14" xfId="42327" applyBorder="1"/>
    <xf numFmtId="0" fontId="60" fillId="0" borderId="13" xfId="42327" applyBorder="1"/>
    <xf numFmtId="0" fontId="60" fillId="20" borderId="13" xfId="42327" applyFill="1" applyBorder="1"/>
    <xf numFmtId="0" fontId="3" fillId="0" borderId="12" xfId="0" applyFont="1" applyFill="1" applyBorder="1" applyAlignment="1">
      <alignment horizontal="left"/>
    </xf>
    <xf numFmtId="0" fontId="3" fillId="0" borderId="13" xfId="0" applyFont="1" applyFill="1" applyBorder="1" applyAlignment="1">
      <alignment horizontal="left"/>
    </xf>
    <xf numFmtId="37" fontId="4" fillId="0" borderId="13" xfId="0" applyNumberFormat="1" applyFont="1" applyFill="1" applyBorder="1" applyAlignment="1">
      <alignment horizontal="center"/>
    </xf>
    <xf numFmtId="0" fontId="4" fillId="0" borderId="13" xfId="0" applyFont="1" applyFill="1" applyBorder="1" applyAlignment="1">
      <alignment horizontal="center"/>
    </xf>
    <xf numFmtId="0" fontId="60" fillId="0" borderId="13" xfId="42327" applyFill="1" applyBorder="1" applyAlignment="1">
      <alignment horizontal="center"/>
    </xf>
    <xf numFmtId="164" fontId="4" fillId="0" borderId="13" xfId="0" applyNumberFormat="1" applyFont="1" applyFill="1" applyBorder="1" applyAlignment="1">
      <alignment horizontal="center"/>
    </xf>
    <xf numFmtId="164" fontId="4" fillId="0" borderId="14" xfId="1" applyNumberFormat="1" applyFont="1" applyFill="1" applyBorder="1" applyAlignment="1">
      <alignment horizontal="center"/>
    </xf>
    <xf numFmtId="0" fontId="3" fillId="0" borderId="15" xfId="0" applyFont="1" applyFill="1" applyBorder="1" applyAlignment="1">
      <alignment horizontal="left"/>
    </xf>
    <xf numFmtId="164" fontId="4" fillId="0" borderId="16" xfId="1" applyNumberFormat="1" applyFont="1" applyFill="1" applyBorder="1" applyAlignment="1">
      <alignment horizontal="center"/>
    </xf>
    <xf numFmtId="164" fontId="4" fillId="0" borderId="16" xfId="1" applyNumberFormat="1" applyFont="1" applyFill="1" applyBorder="1"/>
    <xf numFmtId="0" fontId="3" fillId="0" borderId="15" xfId="0" applyFont="1" applyFill="1" applyBorder="1" applyAlignment="1">
      <alignment horizontal="center"/>
    </xf>
    <xf numFmtId="179" fontId="3" fillId="0" borderId="16" xfId="0" applyNumberFormat="1" applyFont="1" applyFill="1" applyBorder="1" applyAlignment="1">
      <alignment horizontal="center"/>
    </xf>
    <xf numFmtId="0" fontId="4" fillId="0" borderId="15" xfId="0" applyFont="1" applyFill="1" applyBorder="1" applyAlignment="1">
      <alignment horizontal="center"/>
    </xf>
    <xf numFmtId="164" fontId="4" fillId="0" borderId="16" xfId="1" applyNumberFormat="1" applyFont="1" applyFill="1" applyBorder="1" applyAlignment="1">
      <alignment horizontal="center" wrapText="1"/>
    </xf>
    <xf numFmtId="0" fontId="3" fillId="0" borderId="7" xfId="0" applyFont="1" applyFill="1" applyBorder="1" applyAlignment="1">
      <alignment horizontal="center"/>
    </xf>
    <xf numFmtId="38" fontId="3" fillId="0" borderId="7" xfId="0" applyNumberFormat="1" applyFont="1" applyFill="1" applyBorder="1" applyAlignment="1">
      <alignment horizontal="center"/>
    </xf>
    <xf numFmtId="0" fontId="3" fillId="0" borderId="7" xfId="0" applyFont="1" applyFill="1" applyBorder="1" applyAlignment="1">
      <alignment horizontal="left"/>
    </xf>
    <xf numFmtId="164" fontId="3" fillId="0" borderId="7" xfId="0" applyNumberFormat="1" applyFont="1" applyFill="1" applyBorder="1" applyAlignment="1">
      <alignment horizontal="center"/>
    </xf>
    <xf numFmtId="0" fontId="52" fillId="0" borderId="16" xfId="0" applyFont="1" applyBorder="1"/>
    <xf numFmtId="164" fontId="47" fillId="20" borderId="0" xfId="1" applyNumberFormat="1" applyFont="1" applyFill="1" applyBorder="1"/>
    <xf numFmtId="164" fontId="47" fillId="20" borderId="0" xfId="1" applyNumberFormat="1" applyFont="1" applyFill="1" applyBorder="1" applyAlignment="1">
      <alignment horizontal="right"/>
    </xf>
    <xf numFmtId="164" fontId="48" fillId="20" borderId="2" xfId="1" applyNumberFormat="1" applyFont="1" applyFill="1" applyBorder="1"/>
    <xf numFmtId="164" fontId="45" fillId="20" borderId="0" xfId="1" applyNumberFormat="1" applyFont="1" applyFill="1" applyBorder="1"/>
    <xf numFmtId="164" fontId="47" fillId="20" borderId="16" xfId="1" applyNumberFormat="1" applyFont="1" applyFill="1" applyBorder="1"/>
    <xf numFmtId="164" fontId="46" fillId="20" borderId="16" xfId="1" applyNumberFormat="1" applyFont="1" applyFill="1" applyBorder="1"/>
    <xf numFmtId="164" fontId="46" fillId="20" borderId="21" xfId="1" applyNumberFormat="1" applyFont="1" applyFill="1" applyBorder="1"/>
    <xf numFmtId="164" fontId="48" fillId="0" borderId="2" xfId="1" applyNumberFormat="1" applyFont="1" applyBorder="1"/>
    <xf numFmtId="164" fontId="48" fillId="20" borderId="22" xfId="1" applyNumberFormat="1" applyFont="1" applyFill="1" applyBorder="1"/>
    <xf numFmtId="164" fontId="47" fillId="20" borderId="0" xfId="1" applyNumberFormat="1" applyFont="1" applyFill="1" applyBorder="1" applyAlignment="1">
      <alignment wrapText="1"/>
    </xf>
    <xf numFmtId="164" fontId="45" fillId="20" borderId="16" xfId="1" applyNumberFormat="1" applyFont="1" applyFill="1" applyBorder="1"/>
    <xf numFmtId="164" fontId="45" fillId="20" borderId="21" xfId="1" applyNumberFormat="1" applyFont="1" applyFill="1" applyBorder="1"/>
    <xf numFmtId="164" fontId="3" fillId="20" borderId="32" xfId="1" applyNumberFormat="1" applyFont="1" applyFill="1" applyBorder="1" applyAlignment="1"/>
    <xf numFmtId="164" fontId="3" fillId="20" borderId="19" xfId="1" applyNumberFormat="1" applyFont="1" applyFill="1" applyBorder="1"/>
    <xf numFmtId="164" fontId="3" fillId="20" borderId="19" xfId="1" applyNumberFormat="1" applyFont="1" applyFill="1" applyBorder="1" applyAlignment="1">
      <alignment horizontal="right"/>
    </xf>
    <xf numFmtId="164" fontId="3" fillId="20" borderId="35" xfId="1" applyNumberFormat="1" applyFont="1" applyFill="1" applyBorder="1" applyAlignment="1">
      <alignment horizontal="right"/>
    </xf>
    <xf numFmtId="164" fontId="4" fillId="20" borderId="55" xfId="1" applyNumberFormat="1" applyFont="1" applyFill="1" applyBorder="1" applyAlignment="1">
      <alignment horizontal="right"/>
    </xf>
    <xf numFmtId="164" fontId="3" fillId="20" borderId="51" xfId="1" applyNumberFormat="1" applyFont="1" applyFill="1" applyBorder="1" applyAlignment="1">
      <alignment horizontal="right"/>
    </xf>
    <xf numFmtId="164" fontId="2" fillId="20" borderId="5" xfId="1" applyNumberFormat="1" applyFont="1" applyFill="1" applyBorder="1"/>
    <xf numFmtId="164" fontId="4" fillId="20" borderId="54" xfId="1" applyNumberFormat="1" applyFont="1" applyFill="1" applyBorder="1"/>
    <xf numFmtId="164" fontId="4" fillId="20" borderId="53" xfId="1" applyNumberFormat="1" applyFont="1" applyFill="1" applyBorder="1" applyAlignment="1">
      <alignment horizontal="right"/>
    </xf>
    <xf numFmtId="164" fontId="4" fillId="20" borderId="9" xfId="1" applyNumberFormat="1" applyFont="1" applyFill="1" applyBorder="1"/>
    <xf numFmtId="164" fontId="4" fillId="20" borderId="31" xfId="1" applyNumberFormat="1" applyFont="1" applyFill="1" applyBorder="1"/>
    <xf numFmtId="164" fontId="3" fillId="20" borderId="9" xfId="1" applyNumberFormat="1" applyFont="1" applyFill="1" applyBorder="1"/>
    <xf numFmtId="164" fontId="3" fillId="20" borderId="9" xfId="1" applyNumberFormat="1" applyFont="1" applyFill="1" applyBorder="1" applyAlignment="1">
      <alignment horizontal="right"/>
    </xf>
    <xf numFmtId="164" fontId="3" fillId="22" borderId="0" xfId="1" applyNumberFormat="1" applyFont="1" applyFill="1" applyBorder="1" applyAlignment="1"/>
    <xf numFmtId="164" fontId="3" fillId="20" borderId="41" xfId="1" applyNumberFormat="1" applyFont="1" applyFill="1" applyBorder="1"/>
    <xf numFmtId="164" fontId="3" fillId="20" borderId="26" xfId="1" applyNumberFormat="1" applyFont="1" applyFill="1" applyBorder="1" applyAlignment="1">
      <alignment horizontal="right"/>
    </xf>
    <xf numFmtId="38" fontId="3" fillId="20" borderId="42" xfId="38792" applyNumberFormat="1" applyFont="1" applyFill="1" applyBorder="1"/>
    <xf numFmtId="3" fontId="3" fillId="20" borderId="0" xfId="18360" applyNumberFormat="1" applyFont="1" applyFill="1" applyBorder="1" applyAlignment="1">
      <alignment horizontal="right"/>
    </xf>
    <xf numFmtId="0" fontId="3" fillId="20" borderId="0" xfId="38578"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0" borderId="32" xfId="1" applyNumberFormat="1" applyFont="1" applyFill="1" applyBorder="1"/>
    <xf numFmtId="0" fontId="48" fillId="27" borderId="0" xfId="0" applyFont="1" applyFill="1" applyBorder="1"/>
    <xf numFmtId="0" fontId="3" fillId="27" borderId="0" xfId="38788" applyFont="1" applyFill="1" applyBorder="1"/>
    <xf numFmtId="14" fontId="0" fillId="0" borderId="0" xfId="0" applyNumberFormat="1"/>
    <xf numFmtId="0" fontId="0" fillId="0" borderId="0" xfId="0" applyAlignment="1">
      <alignment horizontal="center"/>
    </xf>
    <xf numFmtId="167" fontId="1" fillId="0" borderId="0" xfId="2" applyNumberFormat="1" applyFont="1" applyBorder="1"/>
    <xf numFmtId="167" fontId="0" fillId="0" borderId="0" xfId="2" applyNumberFormat="1" applyFont="1"/>
    <xf numFmtId="164" fontId="0" fillId="0" borderId="0" xfId="1" applyNumberFormat="1" applyFont="1"/>
    <xf numFmtId="164" fontId="3" fillId="0" borderId="19" xfId="1" applyNumberFormat="1" applyFont="1" applyFill="1" applyBorder="1" applyAlignment="1">
      <alignment horizontal="right"/>
    </xf>
    <xf numFmtId="43" fontId="3" fillId="20" borderId="0" xfId="1" applyFont="1" applyFill="1" applyBorder="1"/>
    <xf numFmtId="164" fontId="3" fillId="20" borderId="6" xfId="1" applyNumberFormat="1" applyFont="1" applyFill="1" applyBorder="1"/>
    <xf numFmtId="164" fontId="3" fillId="27" borderId="0" xfId="1" applyNumberFormat="1" applyFont="1" applyFill="1" applyBorder="1"/>
    <xf numFmtId="164" fontId="3" fillId="20" borderId="3" xfId="1" applyNumberFormat="1" applyFont="1" applyFill="1" applyBorder="1"/>
    <xf numFmtId="43" fontId="3" fillId="20" borderId="10" xfId="1" applyFont="1" applyFill="1" applyBorder="1"/>
    <xf numFmtId="164" fontId="3" fillId="20" borderId="42" xfId="1" applyNumberFormat="1" applyFont="1" applyFill="1" applyBorder="1"/>
    <xf numFmtId="43" fontId="3" fillId="20" borderId="0" xfId="1" applyFont="1" applyFill="1" applyBorder="1" applyAlignment="1">
      <alignment horizontal="center"/>
    </xf>
    <xf numFmtId="164" fontId="3" fillId="20" borderId="45" xfId="1" applyNumberFormat="1" applyFont="1" applyFill="1" applyBorder="1"/>
    <xf numFmtId="164" fontId="3" fillId="27" borderId="6" xfId="1" applyNumberFormat="1" applyFont="1" applyFill="1" applyBorder="1"/>
    <xf numFmtId="164" fontId="47" fillId="20" borderId="9" xfId="1" applyNumberFormat="1" applyFont="1" applyFill="1" applyBorder="1"/>
    <xf numFmtId="164" fontId="47" fillId="20" borderId="20" xfId="1" applyNumberFormat="1" applyFont="1" applyFill="1" applyBorder="1"/>
    <xf numFmtId="164" fontId="46" fillId="27" borderId="0" xfId="1" applyNumberFormat="1" applyFont="1" applyFill="1" applyBorder="1"/>
    <xf numFmtId="164" fontId="4" fillId="27" borderId="19" xfId="1" applyNumberFormat="1" applyFont="1" applyFill="1" applyBorder="1" applyAlignment="1">
      <alignment horizontal="right"/>
    </xf>
    <xf numFmtId="0" fontId="3" fillId="20" borderId="59" xfId="38578" applyFont="1" applyFill="1" applyBorder="1" applyAlignment="1">
      <alignment horizontal="center"/>
    </xf>
    <xf numFmtId="0" fontId="4" fillId="20" borderId="5" xfId="38578" applyFont="1" applyFill="1" applyBorder="1" applyAlignment="1">
      <alignment horizontal="center"/>
    </xf>
    <xf numFmtId="0" fontId="4" fillId="20" borderId="53" xfId="38578" applyFont="1" applyFill="1" applyBorder="1"/>
    <xf numFmtId="38" fontId="3" fillId="20" borderId="0" xfId="42319" applyFont="1" applyFill="1"/>
    <xf numFmtId="3" fontId="3" fillId="20" borderId="0" xfId="19386" applyNumberFormat="1" applyFont="1" applyFill="1"/>
    <xf numFmtId="0" fontId="58" fillId="0" borderId="0" xfId="0" applyFont="1" applyAlignment="1">
      <alignment horizontal="left" vertical="top" wrapText="1"/>
    </xf>
    <xf numFmtId="0" fontId="45" fillId="0" borderId="0" xfId="0" applyFont="1" applyAlignment="1">
      <alignment vertical="top" wrapText="1"/>
    </xf>
    <xf numFmtId="0" fontId="58" fillId="0" borderId="0" xfId="0" applyFont="1" applyAlignment="1">
      <alignment vertical="top" wrapText="1"/>
    </xf>
    <xf numFmtId="0" fontId="58" fillId="0" borderId="0" xfId="0" applyFont="1" applyAlignment="1">
      <alignment vertical="top"/>
    </xf>
    <xf numFmtId="164" fontId="3" fillId="20" borderId="0" xfId="1" applyNumberFormat="1" applyFont="1" applyFill="1" applyBorder="1" applyAlignment="1">
      <alignment horizontal="center"/>
    </xf>
    <xf numFmtId="164" fontId="2" fillId="20" borderId="0" xfId="1" applyNumberFormat="1" applyFont="1" applyFill="1" applyBorder="1"/>
    <xf numFmtId="10" fontId="47" fillId="20" borderId="0" xfId="3" applyNumberFormat="1" applyFont="1" applyFill="1" applyBorder="1"/>
    <xf numFmtId="0" fontId="3" fillId="0" borderId="0" xfId="0" applyFont="1" applyFill="1" applyBorder="1" applyAlignment="1"/>
    <xf numFmtId="0" fontId="0" fillId="0" borderId="0" xfId="0" applyFill="1"/>
    <xf numFmtId="0" fontId="3" fillId="28" borderId="12" xfId="38578" applyFont="1" applyFill="1" applyBorder="1"/>
    <xf numFmtId="0" fontId="3" fillId="28" borderId="15" xfId="38578" applyFont="1" applyFill="1" applyBorder="1"/>
    <xf numFmtId="164" fontId="3" fillId="28" borderId="0" xfId="1" applyNumberFormat="1" applyFont="1" applyFill="1" applyBorder="1"/>
    <xf numFmtId="164" fontId="3" fillId="28" borderId="0" xfId="1" applyNumberFormat="1" applyFont="1" applyFill="1" applyBorder="1" applyAlignment="1">
      <alignment horizontal="right"/>
    </xf>
    <xf numFmtId="164" fontId="3" fillId="28" borderId="10" xfId="1" applyNumberFormat="1" applyFont="1" applyFill="1" applyBorder="1" applyAlignment="1">
      <alignment horizontal="right"/>
    </xf>
    <xf numFmtId="167" fontId="0" fillId="28" borderId="0" xfId="2" applyNumberFormat="1" applyFont="1" applyFill="1" applyBorder="1"/>
    <xf numFmtId="3" fontId="3" fillId="28" borderId="7" xfId="38578" applyNumberFormat="1" applyFont="1" applyFill="1" applyBorder="1" applyAlignment="1">
      <alignment horizontal="right"/>
    </xf>
    <xf numFmtId="1" fontId="3" fillId="28" borderId="7" xfId="38578" applyNumberFormat="1" applyFont="1" applyFill="1" applyBorder="1" applyAlignment="1" applyProtection="1">
      <alignment horizontal="right"/>
      <protection locked="0"/>
    </xf>
    <xf numFmtId="164" fontId="3" fillId="28" borderId="9" xfId="1" applyNumberFormat="1" applyFont="1" applyFill="1" applyBorder="1" applyAlignment="1">
      <alignment horizontal="right"/>
    </xf>
    <xf numFmtId="164" fontId="3" fillId="28" borderId="7" xfId="1" applyNumberFormat="1" applyFont="1" applyFill="1" applyBorder="1" applyAlignment="1">
      <alignment horizontal="right"/>
    </xf>
    <xf numFmtId="164" fontId="3" fillId="28" borderId="11" xfId="1" applyNumberFormat="1" applyFont="1" applyFill="1" applyBorder="1" applyAlignment="1">
      <alignment horizontal="right"/>
    </xf>
    <xf numFmtId="164" fontId="3" fillId="28" borderId="31" xfId="1" applyNumberFormat="1" applyFont="1" applyFill="1" applyBorder="1" applyAlignment="1">
      <alignment horizontal="right"/>
    </xf>
    <xf numFmtId="37" fontId="3" fillId="0" borderId="0" xfId="38578" applyNumberFormat="1" applyFont="1" applyFill="1" applyBorder="1"/>
    <xf numFmtId="9" fontId="3" fillId="20" borderId="13" xfId="3" applyFont="1" applyFill="1" applyBorder="1" applyAlignment="1">
      <alignment horizontal="center"/>
    </xf>
    <xf numFmtId="9" fontId="3" fillId="20" borderId="0" xfId="3" applyFont="1" applyFill="1" applyBorder="1" applyAlignment="1">
      <alignment horizontal="center"/>
    </xf>
    <xf numFmtId="38" fontId="3" fillId="28" borderId="0" xfId="42319" applyFont="1" applyFill="1" applyBorder="1" applyAlignment="1">
      <alignment horizontal="center"/>
    </xf>
    <xf numFmtId="38" fontId="3" fillId="28" borderId="0" xfId="42319" applyFont="1" applyFill="1" applyBorder="1"/>
    <xf numFmtId="38" fontId="3" fillId="28" borderId="0" xfId="0" applyNumberFormat="1" applyFont="1" applyFill="1" applyBorder="1"/>
    <xf numFmtId="38" fontId="3" fillId="28" borderId="0" xfId="0" applyNumberFormat="1" applyFont="1" applyFill="1" applyBorder="1" applyAlignment="1">
      <alignment vertical="center"/>
    </xf>
    <xf numFmtId="0" fontId="52" fillId="28" borderId="0" xfId="0" applyFont="1" applyFill="1" applyBorder="1"/>
    <xf numFmtId="3" fontId="3" fillId="28" borderId="0" xfId="0" applyNumberFormat="1" applyFont="1" applyFill="1" applyBorder="1"/>
    <xf numFmtId="167" fontId="2" fillId="28" borderId="0" xfId="2" applyNumberFormat="1" applyFont="1" applyFill="1" applyBorder="1" applyAlignment="1">
      <alignment horizontal="center"/>
    </xf>
    <xf numFmtId="49" fontId="0" fillId="28" borderId="60" xfId="0" applyNumberFormat="1" applyFill="1" applyBorder="1" applyAlignment="1">
      <alignment horizontal="center"/>
    </xf>
    <xf numFmtId="174" fontId="0" fillId="28" borderId="0" xfId="2" applyNumberFormat="1" applyFont="1" applyFill="1" applyBorder="1"/>
    <xf numFmtId="38" fontId="3" fillId="28" borderId="16" xfId="0" applyNumberFormat="1" applyFont="1" applyFill="1" applyBorder="1"/>
    <xf numFmtId="0" fontId="3" fillId="28" borderId="0" xfId="0" applyFont="1" applyFill="1" applyBorder="1"/>
    <xf numFmtId="164" fontId="3" fillId="28" borderId="0" xfId="0" applyNumberFormat="1" applyFont="1" applyFill="1" applyBorder="1"/>
    <xf numFmtId="38" fontId="4" fillId="28" borderId="16" xfId="0" applyNumberFormat="1" applyFont="1" applyFill="1" applyBorder="1" applyAlignment="1">
      <alignment horizontal="left"/>
    </xf>
    <xf numFmtId="0" fontId="4" fillId="28" borderId="50" xfId="0" applyFont="1" applyFill="1" applyBorder="1" applyAlignment="1">
      <alignment horizontal="left" wrapText="1"/>
    </xf>
    <xf numFmtId="164" fontId="53" fillId="28" borderId="50" xfId="1" applyNumberFormat="1" applyFont="1" applyFill="1" applyBorder="1" applyAlignment="1">
      <alignment horizontal="center" wrapText="1"/>
    </xf>
    <xf numFmtId="0" fontId="3" fillId="28" borderId="0" xfId="0" applyFont="1" applyFill="1" applyBorder="1" applyAlignment="1">
      <alignment horizontal="left"/>
    </xf>
    <xf numFmtId="164" fontId="52" fillId="28" borderId="0" xfId="1" applyNumberFormat="1" applyFont="1" applyFill="1" applyBorder="1" applyAlignment="1">
      <alignment horizontal="center" wrapText="1"/>
    </xf>
    <xf numFmtId="9" fontId="52" fillId="28" borderId="0" xfId="3" applyNumberFormat="1" applyFont="1" applyFill="1" applyBorder="1"/>
    <xf numFmtId="164" fontId="53" fillId="28" borderId="16" xfId="1" applyNumberFormat="1" applyFont="1" applyFill="1" applyBorder="1"/>
    <xf numFmtId="164" fontId="53" fillId="28" borderId="2" xfId="1" applyNumberFormat="1" applyFont="1" applyFill="1" applyBorder="1"/>
    <xf numFmtId="164" fontId="3" fillId="28" borderId="2" xfId="1" applyNumberFormat="1" applyFont="1" applyFill="1" applyBorder="1"/>
    <xf numFmtId="9" fontId="52" fillId="28" borderId="2" xfId="3" applyNumberFormat="1" applyFont="1" applyFill="1" applyBorder="1"/>
    <xf numFmtId="164" fontId="52" fillId="28" borderId="16" xfId="1" applyNumberFormat="1" applyFont="1" applyFill="1" applyBorder="1"/>
    <xf numFmtId="164" fontId="52" fillId="28" borderId="15" xfId="1" applyNumberFormat="1" applyFont="1" applyFill="1" applyBorder="1"/>
    <xf numFmtId="10" fontId="52" fillId="28" borderId="2" xfId="3" applyNumberFormat="1" applyFont="1" applyFill="1" applyBorder="1"/>
    <xf numFmtId="164" fontId="53" fillId="28" borderId="43" xfId="1" applyNumberFormat="1" applyFont="1" applyFill="1" applyBorder="1"/>
    <xf numFmtId="164" fontId="52" fillId="28" borderId="0" xfId="1" applyNumberFormat="1" applyFont="1" applyFill="1" applyBorder="1"/>
    <xf numFmtId="0" fontId="52" fillId="20" borderId="0" xfId="0" applyFont="1" applyFill="1"/>
    <xf numFmtId="0" fontId="53" fillId="20" borderId="50" xfId="0" applyFont="1" applyFill="1" applyBorder="1" applyAlignment="1">
      <alignment horizontal="right"/>
    </xf>
    <xf numFmtId="164" fontId="53" fillId="28" borderId="50" xfId="1" applyNumberFormat="1" applyFont="1" applyFill="1" applyBorder="1" applyAlignment="1">
      <alignment horizontal="right"/>
    </xf>
    <xf numFmtId="49" fontId="52" fillId="20" borderId="0" xfId="0" applyNumberFormat="1" applyFont="1" applyFill="1" applyBorder="1" applyAlignment="1">
      <alignment horizontal="center"/>
    </xf>
    <xf numFmtId="38" fontId="4" fillId="20" borderId="10" xfId="0" applyNumberFormat="1" applyFont="1" applyFill="1" applyBorder="1" applyAlignment="1">
      <alignment vertical="top"/>
    </xf>
    <xf numFmtId="0" fontId="4" fillId="20" borderId="60" xfId="0" applyFont="1" applyFill="1" applyBorder="1" applyAlignment="1">
      <alignment horizontal="left" vertical="top" wrapText="1"/>
    </xf>
    <xf numFmtId="49" fontId="3" fillId="0" borderId="0" xfId="0" applyNumberFormat="1" applyFont="1" applyFill="1" applyBorder="1" applyAlignment="1">
      <alignment horizontal="center"/>
    </xf>
    <xf numFmtId="164" fontId="3" fillId="0" borderId="0" xfId="1" applyNumberFormat="1" applyFont="1" applyFill="1"/>
    <xf numFmtId="43" fontId="3" fillId="0" borderId="0" xfId="0" applyNumberFormat="1" applyFont="1" applyFill="1"/>
    <xf numFmtId="164" fontId="3" fillId="0" borderId="0" xfId="0" applyNumberFormat="1" applyFont="1" applyFill="1"/>
    <xf numFmtId="49" fontId="47" fillId="20" borderId="15" xfId="0" applyNumberFormat="1" applyFont="1" applyFill="1" applyBorder="1" applyAlignment="1">
      <alignment horizontal="left" vertical="top"/>
    </xf>
    <xf numFmtId="49" fontId="47" fillId="20" borderId="16" xfId="0" applyNumberFormat="1" applyFont="1" applyFill="1" applyBorder="1" applyAlignment="1">
      <alignment horizontal="center"/>
    </xf>
    <xf numFmtId="0" fontId="47" fillId="20" borderId="61" xfId="0" applyFont="1" applyFill="1" applyBorder="1"/>
    <xf numFmtId="0" fontId="47" fillId="20" borderId="62" xfId="0" applyFont="1" applyFill="1" applyBorder="1" applyAlignment="1">
      <alignment horizontal="left" vertical="top"/>
    </xf>
    <xf numFmtId="0" fontId="47" fillId="20" borderId="62" xfId="0" applyFont="1" applyFill="1" applyBorder="1"/>
    <xf numFmtId="0" fontId="60" fillId="20" borderId="63" xfId="42327" applyFill="1" applyBorder="1"/>
    <xf numFmtId="0" fontId="47" fillId="20" borderId="64" xfId="0" applyFont="1" applyFill="1" applyBorder="1" applyAlignment="1">
      <alignment horizontal="left" vertical="top"/>
    </xf>
    <xf numFmtId="0" fontId="47" fillId="20" borderId="65" xfId="0" applyFont="1" applyFill="1" applyBorder="1"/>
    <xf numFmtId="0" fontId="47" fillId="20" borderId="66" xfId="0" applyFont="1" applyFill="1" applyBorder="1" applyAlignment="1">
      <alignment horizontal="left" vertical="top"/>
    </xf>
    <xf numFmtId="0" fontId="65" fillId="20" borderId="67" xfId="0" applyFont="1" applyFill="1" applyBorder="1" applyAlignment="1">
      <alignment horizontal="left" vertical="top"/>
    </xf>
    <xf numFmtId="0" fontId="47" fillId="20" borderId="67" xfId="0" applyFont="1" applyFill="1" applyBorder="1"/>
    <xf numFmtId="0" fontId="47" fillId="20" borderId="68" xfId="0" applyFont="1" applyFill="1" applyBorder="1"/>
    <xf numFmtId="0" fontId="58" fillId="28" borderId="61" xfId="0" applyFont="1" applyFill="1" applyBorder="1"/>
    <xf numFmtId="0" fontId="45" fillId="28" borderId="62" xfId="0" applyFont="1" applyFill="1" applyBorder="1"/>
    <xf numFmtId="0" fontId="68" fillId="28" borderId="63" xfId="42327" applyFont="1" applyFill="1" applyBorder="1"/>
    <xf numFmtId="0" fontId="58" fillId="28" borderId="64" xfId="38578" applyFont="1" applyFill="1" applyBorder="1" applyAlignment="1">
      <alignment horizontal="left"/>
    </xf>
    <xf numFmtId="0" fontId="45" fillId="28" borderId="0" xfId="0" applyFont="1" applyFill="1" applyBorder="1"/>
    <xf numFmtId="0" fontId="45" fillId="28" borderId="65" xfId="0" applyFont="1" applyFill="1" applyBorder="1"/>
    <xf numFmtId="0" fontId="45" fillId="28" borderId="64" xfId="0" applyFont="1" applyFill="1" applyBorder="1"/>
    <xf numFmtId="0" fontId="58" fillId="28" borderId="57" xfId="0" applyFont="1" applyFill="1" applyBorder="1" applyAlignment="1">
      <alignment wrapText="1"/>
    </xf>
    <xf numFmtId="0" fontId="45" fillId="28" borderId="69" xfId="0" applyFont="1" applyFill="1" applyBorder="1" applyAlignment="1">
      <alignment wrapText="1"/>
    </xf>
    <xf numFmtId="49" fontId="45" fillId="28" borderId="0" xfId="0" applyNumberFormat="1" applyFont="1" applyFill="1" applyBorder="1" applyAlignment="1">
      <alignment horizontal="center"/>
    </xf>
    <xf numFmtId="49" fontId="45" fillId="28" borderId="65" xfId="0" applyNumberFormat="1" applyFont="1" applyFill="1" applyBorder="1" applyAlignment="1">
      <alignment horizontal="center"/>
    </xf>
    <xf numFmtId="0" fontId="45" fillId="28" borderId="72" xfId="0" applyFont="1" applyFill="1" applyBorder="1" applyAlignment="1">
      <alignment horizontal="center"/>
    </xf>
    <xf numFmtId="37" fontId="4" fillId="20" borderId="7" xfId="42319" applyNumberFormat="1" applyFont="1" applyFill="1" applyBorder="1" applyAlignment="1">
      <alignment horizontal="center"/>
    </xf>
    <xf numFmtId="37" fontId="4" fillId="20" borderId="18" xfId="42319" applyNumberFormat="1" applyFont="1" applyFill="1" applyBorder="1" applyAlignment="1">
      <alignment horizontal="center"/>
    </xf>
    <xf numFmtId="49" fontId="47" fillId="20" borderId="0" xfId="0" applyNumberFormat="1" applyFont="1" applyFill="1" applyBorder="1" applyAlignment="1">
      <alignment horizontal="centerContinuous" wrapText="1"/>
    </xf>
    <xf numFmtId="49" fontId="69" fillId="20" borderId="0" xfId="0" applyNumberFormat="1" applyFont="1" applyFill="1" applyAlignment="1">
      <alignment horizontal="center" wrapText="1"/>
    </xf>
    <xf numFmtId="49" fontId="47" fillId="20" borderId="16" xfId="0" applyNumberFormat="1" applyFont="1" applyFill="1" applyBorder="1" applyAlignment="1">
      <alignment horizontal="centerContinuous" wrapText="1"/>
    </xf>
    <xf numFmtId="164" fontId="53" fillId="20" borderId="15" xfId="1" applyNumberFormat="1" applyFont="1" applyFill="1" applyBorder="1" applyAlignment="1">
      <alignment horizontal="left" wrapText="1"/>
    </xf>
    <xf numFmtId="0" fontId="4" fillId="20" borderId="0" xfId="0" applyFont="1" applyFill="1" applyBorder="1" applyAlignment="1">
      <alignment horizontal="left" wrapText="1"/>
    </xf>
    <xf numFmtId="49" fontId="52" fillId="20" borderId="16" xfId="0" applyNumberFormat="1" applyFont="1" applyFill="1" applyBorder="1" applyAlignment="1">
      <alignment horizontal="center"/>
    </xf>
    <xf numFmtId="49" fontId="47" fillId="20" borderId="0" xfId="0" applyNumberFormat="1" applyFont="1" applyFill="1" applyBorder="1" applyAlignment="1">
      <alignment horizontal="center" wrapText="1"/>
    </xf>
    <xf numFmtId="0" fontId="3" fillId="20" borderId="73" xfId="38790" applyFont="1" applyFill="1" applyBorder="1" applyAlignment="1">
      <alignment horizontal="center"/>
    </xf>
    <xf numFmtId="0" fontId="3" fillId="20" borderId="60" xfId="38791" applyFont="1" applyFill="1" applyBorder="1"/>
    <xf numFmtId="164" fontId="3" fillId="20" borderId="60" xfId="1" applyNumberFormat="1" applyFont="1" applyFill="1" applyBorder="1"/>
    <xf numFmtId="0" fontId="52" fillId="20" borderId="74" xfId="0" applyFont="1" applyFill="1" applyBorder="1"/>
    <xf numFmtId="164" fontId="52" fillId="20" borderId="13" xfId="1" applyNumberFormat="1" applyFont="1" applyFill="1" applyBorder="1"/>
    <xf numFmtId="164" fontId="52" fillId="20" borderId="0" xfId="1" applyNumberFormat="1" applyFont="1" applyFill="1" applyBorder="1" applyAlignment="1">
      <alignment horizontal="center"/>
    </xf>
    <xf numFmtId="164" fontId="3" fillId="20" borderId="13" xfId="1" applyNumberFormat="1" applyFont="1" applyFill="1" applyBorder="1"/>
    <xf numFmtId="164" fontId="53" fillId="20" borderId="0" xfId="1" applyNumberFormat="1" applyFont="1" applyFill="1" applyBorder="1" applyAlignment="1">
      <alignment horizontal="center" wrapText="1"/>
    </xf>
    <xf numFmtId="164" fontId="3" fillId="20" borderId="2" xfId="1" applyNumberFormat="1" applyFont="1" applyFill="1" applyBorder="1"/>
    <xf numFmtId="164" fontId="3" fillId="20" borderId="5" xfId="1" applyNumberFormat="1" applyFont="1" applyFill="1" applyBorder="1"/>
    <xf numFmtId="164" fontId="52" fillId="20" borderId="44" xfId="1" applyNumberFormat="1" applyFont="1" applyFill="1" applyBorder="1"/>
    <xf numFmtId="49" fontId="3" fillId="20" borderId="15" xfId="0" applyNumberFormat="1" applyFont="1" applyFill="1" applyBorder="1" applyAlignment="1">
      <alignment horizontal="center" wrapText="1"/>
    </xf>
    <xf numFmtId="0" fontId="3" fillId="20" borderId="0" xfId="38578"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0" fontId="60" fillId="20" borderId="13" xfId="42327" applyFill="1" applyBorder="1" applyAlignment="1">
      <alignment horizontal="center"/>
    </xf>
    <xf numFmtId="164" fontId="52" fillId="20" borderId="16" xfId="0" applyNumberFormat="1" applyFont="1" applyFill="1" applyBorder="1" applyAlignment="1"/>
    <xf numFmtId="0" fontId="3" fillId="28" borderId="23" xfId="0" applyFont="1" applyFill="1" applyBorder="1" applyAlignment="1">
      <alignment wrapText="1"/>
    </xf>
    <xf numFmtId="164" fontId="4" fillId="20" borderId="21" xfId="1" applyNumberFormat="1" applyFont="1" applyFill="1" applyBorder="1" applyAlignment="1">
      <alignment horizontal="center" vertical="top" wrapText="1"/>
    </xf>
    <xf numFmtId="0" fontId="3" fillId="28" borderId="15" xfId="0" applyFont="1" applyFill="1" applyBorder="1" applyAlignment="1">
      <alignment horizontal="center"/>
    </xf>
    <xf numFmtId="164" fontId="53" fillId="20" borderId="34" xfId="0" applyNumberFormat="1" applyFont="1" applyFill="1" applyBorder="1" applyAlignment="1">
      <alignment horizontal="center" wrapText="1"/>
    </xf>
    <xf numFmtId="0" fontId="53" fillId="28" borderId="18" xfId="0" applyFont="1" applyFill="1" applyBorder="1"/>
    <xf numFmtId="0" fontId="53" fillId="28" borderId="7" xfId="0" applyFont="1" applyFill="1" applyBorder="1"/>
    <xf numFmtId="164" fontId="52" fillId="28" borderId="7" xfId="1" applyNumberFormat="1" applyFont="1" applyFill="1" applyBorder="1"/>
    <xf numFmtId="164" fontId="52" fillId="20" borderId="7" xfId="1" applyNumberFormat="1" applyFont="1" applyFill="1" applyBorder="1"/>
    <xf numFmtId="164" fontId="4" fillId="22" borderId="36" xfId="1" applyNumberFormat="1" applyFont="1" applyFill="1" applyBorder="1"/>
    <xf numFmtId="164" fontId="4" fillId="22" borderId="54" xfId="1" applyNumberFormat="1" applyFont="1" applyFill="1" applyBorder="1" applyAlignment="1">
      <alignment horizontal="center"/>
    </xf>
    <xf numFmtId="164" fontId="4" fillId="22" borderId="30" xfId="1" applyNumberFormat="1" applyFont="1" applyFill="1" applyBorder="1" applyAlignment="1">
      <alignment horizontal="right"/>
    </xf>
    <xf numFmtId="164" fontId="3" fillId="22" borderId="0" xfId="1" applyNumberFormat="1" applyFont="1" applyFill="1" applyBorder="1" applyAlignment="1">
      <alignment horizontal="right"/>
    </xf>
    <xf numFmtId="164" fontId="4" fillId="22" borderId="31" xfId="1" applyNumberFormat="1" applyFont="1" applyFill="1" applyBorder="1" applyAlignment="1">
      <alignment horizontal="right"/>
    </xf>
    <xf numFmtId="164" fontId="3" fillId="22" borderId="10" xfId="1" applyNumberFormat="1" applyFont="1" applyFill="1" applyBorder="1" applyAlignment="1">
      <alignment horizontal="right"/>
    </xf>
    <xf numFmtId="164" fontId="3" fillId="22" borderId="9" xfId="1" applyNumberFormat="1" applyFont="1" applyFill="1" applyBorder="1" applyAlignment="1">
      <alignment horizontal="right"/>
    </xf>
    <xf numFmtId="164" fontId="3" fillId="22" borderId="9" xfId="1" applyNumberFormat="1" applyFont="1" applyFill="1" applyBorder="1"/>
    <xf numFmtId="164" fontId="3" fillId="22" borderId="6" xfId="1" applyNumberFormat="1" applyFont="1" applyFill="1" applyBorder="1" applyAlignment="1">
      <alignment horizontal="center"/>
    </xf>
    <xf numFmtId="0" fontId="3" fillId="0" borderId="0" xfId="0" applyFont="1" applyFill="1" applyBorder="1" applyAlignment="1"/>
    <xf numFmtId="164" fontId="3" fillId="20" borderId="11" xfId="1" applyNumberFormat="1" applyFont="1" applyFill="1" applyBorder="1" applyAlignment="1">
      <alignment horizontal="right"/>
    </xf>
    <xf numFmtId="164" fontId="3" fillId="20" borderId="31" xfId="1" applyNumberFormat="1" applyFont="1" applyFill="1" applyBorder="1" applyAlignment="1">
      <alignment horizontal="right"/>
    </xf>
    <xf numFmtId="164" fontId="3" fillId="20" borderId="7" xfId="1" applyNumberFormat="1" applyFont="1" applyFill="1" applyBorder="1" applyAlignment="1">
      <alignment horizontal="right"/>
    </xf>
    <xf numFmtId="0" fontId="3" fillId="20" borderId="12" xfId="38578" applyFont="1" applyFill="1" applyBorder="1"/>
    <xf numFmtId="0" fontId="4" fillId="20" borderId="13" xfId="38578" applyFont="1" applyFill="1" applyBorder="1" applyAlignment="1">
      <alignment horizontal="center"/>
    </xf>
    <xf numFmtId="0" fontId="3" fillId="20" borderId="21" xfId="38578" applyNumberFormat="1" applyFont="1" applyFill="1" applyBorder="1"/>
    <xf numFmtId="0" fontId="0" fillId="20" borderId="7" xfId="0" applyFill="1" applyBorder="1"/>
    <xf numFmtId="0" fontId="70" fillId="28" borderId="0" xfId="0" applyFont="1" applyFill="1" applyAlignment="1">
      <alignment vertical="center"/>
    </xf>
    <xf numFmtId="170" fontId="47" fillId="20" borderId="0" xfId="0" applyNumberFormat="1" applyFont="1" applyFill="1" applyBorder="1" applyAlignment="1">
      <alignment horizontal="center"/>
    </xf>
    <xf numFmtId="10" fontId="52" fillId="20" borderId="0" xfId="3" applyNumberFormat="1" applyFont="1" applyFill="1" applyBorder="1"/>
    <xf numFmtId="164" fontId="52" fillId="0" borderId="0" xfId="0" applyNumberFormat="1" applyFont="1" applyBorder="1"/>
    <xf numFmtId="164" fontId="3" fillId="0" borderId="16" xfId="0" applyNumberFormat="1" applyFont="1" applyFill="1" applyBorder="1"/>
    <xf numFmtId="164" fontId="4" fillId="0" borderId="0" xfId="1" applyNumberFormat="1" applyFont="1" applyFill="1" applyBorder="1"/>
    <xf numFmtId="164" fontId="3" fillId="22" borderId="0" xfId="1" applyNumberFormat="1" applyFont="1" applyFill="1" applyBorder="1" applyAlignment="1">
      <alignment horizontal="center"/>
    </xf>
    <xf numFmtId="164" fontId="3" fillId="20" borderId="3" xfId="5447" applyNumberFormat="1" applyFont="1" applyFill="1" applyBorder="1"/>
    <xf numFmtId="38" fontId="3" fillId="20" borderId="10" xfId="0" applyNumberFormat="1" applyFont="1" applyFill="1" applyBorder="1"/>
    <xf numFmtId="173" fontId="3" fillId="20" borderId="0" xfId="42319" applyNumberFormat="1" applyFont="1" applyFill="1" applyBorder="1"/>
    <xf numFmtId="38" fontId="3" fillId="20" borderId="0" xfId="19386" applyNumberFormat="1" applyFont="1" applyFill="1" applyBorder="1"/>
    <xf numFmtId="38" fontId="3" fillId="20" borderId="0" xfId="19386" applyNumberFormat="1" applyFont="1" applyFill="1" applyBorder="1" applyAlignment="1">
      <alignment horizontal="center"/>
    </xf>
    <xf numFmtId="164" fontId="52" fillId="0" borderId="0" xfId="1" applyNumberFormat="1" applyFont="1" applyFill="1" applyBorder="1"/>
    <xf numFmtId="3" fontId="3" fillId="20" borderId="0" xfId="42319"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19" xfId="1" applyNumberFormat="1" applyFont="1" applyFill="1" applyBorder="1" applyAlignment="1">
      <alignment horizontal="center"/>
    </xf>
    <xf numFmtId="0" fontId="3" fillId="29" borderId="0" xfId="0" applyFont="1" applyFill="1" applyBorder="1" applyAlignment="1">
      <alignment horizontal="center"/>
    </xf>
    <xf numFmtId="38" fontId="3" fillId="29" borderId="0" xfId="0" applyNumberFormat="1" applyFont="1" applyFill="1" applyBorder="1"/>
    <xf numFmtId="0" fontId="3" fillId="29" borderId="0" xfId="0" applyFont="1" applyFill="1" applyBorder="1"/>
    <xf numFmtId="0" fontId="58" fillId="0" borderId="70" xfId="0" applyFont="1" applyBorder="1" applyAlignment="1">
      <alignment vertical="top" wrapText="1"/>
    </xf>
    <xf numFmtId="0" fontId="58" fillId="0" borderId="71" xfId="0" applyFont="1" applyBorder="1" applyAlignment="1">
      <alignment vertical="top" wrapText="1"/>
    </xf>
    <xf numFmtId="0" fontId="58" fillId="20" borderId="13" xfId="0" applyFont="1" applyFill="1" applyBorder="1" applyAlignment="1">
      <alignment horizontal="left" vertical="top" wrapText="1"/>
    </xf>
    <xf numFmtId="0" fontId="58" fillId="20" borderId="13" xfId="0" applyFont="1" applyFill="1" applyBorder="1"/>
    <xf numFmtId="0" fontId="72" fillId="20" borderId="14" xfId="42327" applyFont="1" applyFill="1" applyBorder="1"/>
    <xf numFmtId="0" fontId="58" fillId="0" borderId="0" xfId="0" applyFont="1"/>
    <xf numFmtId="0" fontId="47" fillId="20" borderId="15" xfId="0" applyFont="1" applyFill="1" applyBorder="1" applyAlignment="1">
      <alignment horizontal="left" vertical="top"/>
    </xf>
    <xf numFmtId="0" fontId="58" fillId="20" borderId="0" xfId="0" applyFont="1" applyFill="1" applyAlignment="1">
      <alignment horizontal="left" vertical="top"/>
    </xf>
    <xf numFmtId="0" fontId="58" fillId="20" borderId="0" xfId="0" applyFont="1" applyFill="1" applyAlignment="1">
      <alignment horizontal="left" vertical="top" wrapText="1"/>
    </xf>
    <xf numFmtId="0" fontId="58" fillId="20" borderId="0" xfId="0" applyFont="1" applyFill="1"/>
    <xf numFmtId="0" fontId="58" fillId="20" borderId="16" xfId="0" applyFont="1" applyFill="1" applyBorder="1"/>
    <xf numFmtId="0" fontId="58" fillId="20" borderId="52" xfId="0" applyFont="1" applyFill="1" applyBorder="1" applyAlignment="1">
      <alignment horizontal="left" vertical="top"/>
    </xf>
    <xf numFmtId="0" fontId="58" fillId="20" borderId="44" xfId="0" applyFont="1" applyFill="1" applyBorder="1" applyAlignment="1">
      <alignment horizontal="left" vertical="top"/>
    </xf>
    <xf numFmtId="0" fontId="58" fillId="20" borderId="44" xfId="0" applyFont="1" applyFill="1" applyBorder="1" applyAlignment="1">
      <alignment horizontal="left" vertical="top" wrapText="1"/>
    </xf>
    <xf numFmtId="0" fontId="58" fillId="20" borderId="44" xfId="0" applyFont="1" applyFill="1" applyBorder="1"/>
    <xf numFmtId="0" fontId="58" fillId="20" borderId="24" xfId="0" applyFont="1" applyFill="1" applyBorder="1"/>
    <xf numFmtId="49" fontId="58" fillId="20" borderId="15" xfId="0" applyNumberFormat="1" applyFont="1" applyFill="1" applyBorder="1" applyAlignment="1">
      <alignment horizontal="left" vertical="top"/>
    </xf>
    <xf numFmtId="49" fontId="58" fillId="20" borderId="0" xfId="0" applyNumberFormat="1" applyFont="1" applyFill="1" applyAlignment="1">
      <alignment horizontal="center" vertical="top"/>
    </xf>
    <xf numFmtId="49" fontId="58" fillId="20" borderId="0" xfId="0" applyNumberFormat="1" applyFont="1" applyFill="1" applyAlignment="1">
      <alignment horizontal="center" vertical="top" wrapText="1"/>
    </xf>
    <xf numFmtId="49" fontId="58" fillId="20" borderId="0" xfId="0" applyNumberFormat="1" applyFont="1" applyFill="1" applyAlignment="1">
      <alignment horizontal="center"/>
    </xf>
    <xf numFmtId="49" fontId="58" fillId="20" borderId="16" xfId="0" applyNumberFormat="1" applyFont="1" applyFill="1" applyBorder="1" applyAlignment="1">
      <alignment horizontal="center"/>
    </xf>
    <xf numFmtId="49" fontId="58" fillId="0" borderId="0" xfId="0" applyNumberFormat="1" applyFont="1"/>
    <xf numFmtId="0" fontId="73" fillId="20" borderId="15" xfId="0" applyFont="1" applyFill="1" applyBorder="1" applyAlignment="1">
      <alignment horizontal="center" vertical="center" wrapText="1" readingOrder="1"/>
    </xf>
    <xf numFmtId="0" fontId="73" fillId="20" borderId="0" xfId="0" applyFont="1" applyFill="1" applyAlignment="1">
      <alignment horizontal="center" vertical="center" wrapText="1" readingOrder="1"/>
    </xf>
    <xf numFmtId="0" fontId="73" fillId="20" borderId="6" xfId="0" applyFont="1" applyFill="1" applyBorder="1" applyAlignment="1">
      <alignment horizontal="center" vertical="center" wrapText="1"/>
    </xf>
    <xf numFmtId="0" fontId="74" fillId="20" borderId="9" xfId="0" applyFont="1" applyFill="1" applyBorder="1" applyAlignment="1">
      <alignment horizontal="center" vertical="center" wrapText="1" readingOrder="1"/>
    </xf>
    <xf numFmtId="0" fontId="73" fillId="20" borderId="16" xfId="0" applyFont="1" applyFill="1" applyBorder="1" applyAlignment="1">
      <alignment horizontal="center" vertical="center" wrapText="1" readingOrder="1"/>
    </xf>
    <xf numFmtId="0" fontId="73" fillId="0" borderId="0" xfId="0" applyFont="1" applyAlignment="1">
      <alignment horizontal="center" vertical="center" wrapText="1" readingOrder="1"/>
    </xf>
    <xf numFmtId="0" fontId="73" fillId="0" borderId="15" xfId="0" applyFont="1" applyBorder="1" applyAlignment="1">
      <alignment horizontal="left" vertical="top"/>
    </xf>
    <xf numFmtId="0" fontId="58" fillId="0" borderId="0" xfId="0" applyFont="1" applyAlignment="1">
      <alignment horizontal="center" vertical="top" readingOrder="1"/>
    </xf>
    <xf numFmtId="0" fontId="73" fillId="0" borderId="0" xfId="0" applyFont="1" applyAlignment="1">
      <alignment horizontal="left" vertical="top" wrapText="1"/>
    </xf>
    <xf numFmtId="0" fontId="73" fillId="0" borderId="0" xfId="0" applyFont="1" applyAlignment="1">
      <alignment vertical="top" wrapText="1"/>
    </xf>
    <xf numFmtId="0" fontId="73" fillId="0" borderId="9" xfId="0" applyFont="1" applyBorder="1" applyAlignment="1">
      <alignment vertical="top" wrapText="1"/>
    </xf>
    <xf numFmtId="0" fontId="73" fillId="0" borderId="9" xfId="0" applyFont="1" applyBorder="1" applyAlignment="1">
      <alignment vertical="top"/>
    </xf>
    <xf numFmtId="167" fontId="73" fillId="0" borderId="9" xfId="2" applyNumberFormat="1" applyFont="1" applyFill="1" applyBorder="1" applyAlignment="1">
      <alignment vertical="top"/>
    </xf>
    <xf numFmtId="0" fontId="73" fillId="0" borderId="16" xfId="0" applyFont="1" applyBorder="1" applyAlignment="1">
      <alignment wrapText="1"/>
    </xf>
    <xf numFmtId="0" fontId="73" fillId="0" borderId="0" xfId="0" applyFont="1"/>
    <xf numFmtId="0" fontId="58" fillId="0" borderId="15" xfId="0" applyFont="1" applyBorder="1" applyAlignment="1">
      <alignment horizontal="left" vertical="top"/>
    </xf>
    <xf numFmtId="0" fontId="58" fillId="0" borderId="9" xfId="0" applyFont="1" applyBorder="1" applyAlignment="1">
      <alignment vertical="top" wrapText="1"/>
    </xf>
    <xf numFmtId="0" fontId="58" fillId="0" borderId="9" xfId="0" applyFont="1" applyBorder="1" applyAlignment="1">
      <alignment vertical="top"/>
    </xf>
    <xf numFmtId="167" fontId="58" fillId="0" borderId="9" xfId="2" applyNumberFormat="1" applyFont="1" applyFill="1" applyBorder="1" applyAlignment="1">
      <alignment vertical="top"/>
    </xf>
    <xf numFmtId="0" fontId="58" fillId="0" borderId="16" xfId="0" applyFont="1" applyBorder="1" applyAlignment="1">
      <alignment wrapText="1"/>
    </xf>
    <xf numFmtId="0" fontId="58" fillId="0" borderId="16" xfId="0" applyFont="1" applyBorder="1" applyAlignment="1">
      <alignment vertical="top" wrapText="1"/>
    </xf>
    <xf numFmtId="178" fontId="58" fillId="0" borderId="16" xfId="0" applyNumberFormat="1" applyFont="1" applyBorder="1" applyAlignment="1">
      <alignment wrapText="1"/>
    </xf>
    <xf numFmtId="0" fontId="58" fillId="0" borderId="19" xfId="0" applyFont="1" applyBorder="1" applyAlignment="1">
      <alignment vertical="top"/>
    </xf>
    <xf numFmtId="0" fontId="58" fillId="0" borderId="19" xfId="0" applyFont="1" applyBorder="1" applyAlignment="1">
      <alignment horizontal="left" vertical="top"/>
    </xf>
    <xf numFmtId="0" fontId="58" fillId="0" borderId="19" xfId="0" applyFont="1" applyBorder="1" applyAlignment="1">
      <alignment horizontal="center" vertical="top"/>
    </xf>
    <xf numFmtId="0" fontId="58" fillId="0" borderId="9" xfId="0" applyFont="1" applyBorder="1" applyAlignment="1">
      <alignment horizontal="left" vertical="top"/>
    </xf>
    <xf numFmtId="0" fontId="58" fillId="0" borderId="9" xfId="0" applyFont="1" applyBorder="1" applyAlignment="1">
      <alignment horizontal="center" vertical="top"/>
    </xf>
    <xf numFmtId="167" fontId="58" fillId="0" borderId="19" xfId="2" applyNumberFormat="1" applyFont="1" applyFill="1" applyBorder="1" applyAlignment="1">
      <alignment vertical="top"/>
    </xf>
    <xf numFmtId="0" fontId="58" fillId="0" borderId="39" xfId="0" applyFont="1" applyBorder="1" applyAlignment="1">
      <alignment wrapText="1"/>
    </xf>
    <xf numFmtId="178" fontId="58" fillId="0" borderId="39" xfId="0" applyNumberFormat="1" applyFont="1" applyBorder="1" applyAlignment="1">
      <alignment wrapText="1"/>
    </xf>
    <xf numFmtId="0" fontId="73" fillId="0" borderId="0" xfId="0" applyFont="1" applyAlignment="1">
      <alignment wrapText="1"/>
    </xf>
    <xf numFmtId="0" fontId="58" fillId="0" borderId="0" xfId="0" applyFont="1" applyAlignment="1">
      <alignment wrapText="1"/>
    </xf>
    <xf numFmtId="167" fontId="58" fillId="0" borderId="16" xfId="2" applyNumberFormat="1" applyFont="1" applyFill="1" applyBorder="1" applyAlignment="1">
      <alignment wrapText="1"/>
    </xf>
    <xf numFmtId="0" fontId="58" fillId="20" borderId="15" xfId="0" applyFont="1" applyFill="1" applyBorder="1" applyAlignment="1">
      <alignment horizontal="left" vertical="top"/>
    </xf>
    <xf numFmtId="0" fontId="58" fillId="20" borderId="0" xfId="0" applyFont="1" applyFill="1" applyAlignment="1">
      <alignment horizontal="center" vertical="top"/>
    </xf>
    <xf numFmtId="167" fontId="58" fillId="20" borderId="0" xfId="0" applyNumberFormat="1" applyFont="1" applyFill="1"/>
    <xf numFmtId="0" fontId="73" fillId="20" borderId="0" xfId="0" applyFont="1" applyFill="1" applyAlignment="1">
      <alignment horizontal="left" vertical="top"/>
    </xf>
    <xf numFmtId="0" fontId="58" fillId="20" borderId="0" xfId="0" applyFont="1" applyFill="1" applyAlignment="1">
      <alignment wrapText="1"/>
    </xf>
    <xf numFmtId="0" fontId="74" fillId="20" borderId="0" xfId="0" applyFont="1" applyFill="1" applyAlignment="1">
      <alignment horizontal="center" vertical="center" wrapText="1" readingOrder="1"/>
    </xf>
    <xf numFmtId="0" fontId="58" fillId="20" borderId="15" xfId="0" applyFont="1" applyFill="1" applyBorder="1"/>
    <xf numFmtId="0" fontId="58" fillId="20" borderId="17" xfId="0" applyFont="1" applyFill="1" applyBorder="1" applyAlignment="1">
      <alignment horizontal="left" vertical="top"/>
    </xf>
    <xf numFmtId="0" fontId="58" fillId="20" borderId="7" xfId="0" applyFont="1" applyFill="1" applyBorder="1" applyAlignment="1">
      <alignment horizontal="left" vertical="top"/>
    </xf>
    <xf numFmtId="0" fontId="58" fillId="0" borderId="0" xfId="0" applyFont="1" applyAlignment="1">
      <alignment horizontal="left" vertical="top"/>
    </xf>
    <xf numFmtId="0" fontId="47" fillId="20" borderId="0" xfId="0" applyFont="1" applyFill="1" applyAlignment="1">
      <alignment horizontal="left" vertical="top"/>
    </xf>
    <xf numFmtId="0" fontId="47" fillId="20" borderId="0" xfId="0" applyFont="1" applyFill="1"/>
    <xf numFmtId="49" fontId="47" fillId="20" borderId="0" xfId="0" applyNumberFormat="1" applyFont="1" applyFill="1" applyAlignment="1">
      <alignment horizontal="center" vertical="top"/>
    </xf>
    <xf numFmtId="49" fontId="47" fillId="20" borderId="0" xfId="0" applyNumberFormat="1" applyFont="1" applyFill="1" applyAlignment="1">
      <alignment horizontal="center"/>
    </xf>
    <xf numFmtId="49" fontId="47" fillId="0" borderId="0" xfId="0" applyNumberFormat="1" applyFont="1"/>
    <xf numFmtId="0" fontId="49" fillId="20" borderId="0" xfId="0" applyFont="1" applyFill="1" applyAlignment="1">
      <alignment horizontal="center" readingOrder="1"/>
    </xf>
    <xf numFmtId="0" fontId="49" fillId="20" borderId="0" xfId="0" applyFont="1" applyFill="1" applyAlignment="1">
      <alignment horizontal="center" wrapText="1" readingOrder="1"/>
    </xf>
    <xf numFmtId="0" fontId="49" fillId="0" borderId="0" xfId="0" applyFont="1" applyAlignment="1">
      <alignment horizontal="center" readingOrder="1"/>
    </xf>
    <xf numFmtId="0" fontId="49" fillId="0" borderId="0" xfId="0" applyFont="1" applyAlignment="1">
      <alignment horizontal="left" vertical="top"/>
    </xf>
    <xf numFmtId="0" fontId="49" fillId="0" borderId="0" xfId="0" applyFont="1"/>
    <xf numFmtId="0" fontId="49" fillId="0" borderId="46" xfId="0" applyFont="1" applyBorder="1"/>
    <xf numFmtId="0" fontId="47" fillId="0" borderId="0" xfId="0" applyFont="1" applyAlignment="1">
      <alignment horizontal="left" vertical="top"/>
    </xf>
    <xf numFmtId="0" fontId="47" fillId="25" borderId="0" xfId="0" applyFont="1" applyFill="1"/>
    <xf numFmtId="0" fontId="47" fillId="0" borderId="16" xfId="0" applyFont="1" applyBorder="1"/>
    <xf numFmtId="0" fontId="77" fillId="0" borderId="15" xfId="0" applyFont="1" applyBorder="1" applyAlignment="1">
      <alignment horizontal="left" vertical="top"/>
    </xf>
    <xf numFmtId="0" fontId="77" fillId="24" borderId="15" xfId="0" applyFont="1" applyFill="1" applyBorder="1" applyAlignment="1">
      <alignment horizontal="left" vertical="top"/>
    </xf>
    <xf numFmtId="0" fontId="52" fillId="20" borderId="26" xfId="0" applyFont="1" applyFill="1" applyBorder="1"/>
    <xf numFmtId="0" fontId="52" fillId="0" borderId="15" xfId="0" applyFont="1" applyBorder="1" applyAlignment="1">
      <alignment horizontal="center"/>
    </xf>
    <xf numFmtId="0" fontId="3" fillId="20" borderId="17" xfId="0" applyFont="1" applyFill="1" applyBorder="1" applyAlignment="1">
      <alignment horizontal="center"/>
    </xf>
    <xf numFmtId="49" fontId="57" fillId="23" borderId="52" xfId="19632" applyNumberFormat="1" applyFont="1" applyFill="1" applyBorder="1" applyAlignment="1">
      <alignment horizontal="left"/>
    </xf>
    <xf numFmtId="0" fontId="3" fillId="20" borderId="12" xfId="38578" applyFont="1" applyFill="1" applyBorder="1" applyAlignment="1">
      <alignment horizontal="left"/>
    </xf>
    <xf numFmtId="0" fontId="0" fillId="0" borderId="0" xfId="0" applyAlignment="1">
      <alignment vertical="top" wrapText="1"/>
    </xf>
    <xf numFmtId="0" fontId="2" fillId="20" borderId="15" xfId="0" applyFont="1" applyFill="1" applyBorder="1" applyAlignment="1">
      <alignment horizontal="center"/>
    </xf>
    <xf numFmtId="0" fontId="2" fillId="20" borderId="16" xfId="0" applyFont="1" applyFill="1" applyBorder="1" applyAlignment="1">
      <alignment horizontal="center"/>
    </xf>
    <xf numFmtId="0" fontId="3" fillId="20" borderId="0" xfId="38578"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0" fontId="47" fillId="20" borderId="0" xfId="0" applyFont="1" applyFill="1" applyAlignment="1">
      <alignment horizontal="left"/>
    </xf>
    <xf numFmtId="0" fontId="3" fillId="20" borderId="0" xfId="38578" applyFont="1" applyFill="1"/>
    <xf numFmtId="0" fontId="3" fillId="20" borderId="0" xfId="38578" applyFont="1" applyFill="1" applyAlignment="1">
      <alignment horizontal="center"/>
    </xf>
    <xf numFmtId="0" fontId="3" fillId="20" borderId="16" xfId="38578" applyFont="1" applyFill="1" applyBorder="1"/>
    <xf numFmtId="0" fontId="3" fillId="20" borderId="18" xfId="38578" applyFont="1" applyFill="1" applyBorder="1"/>
    <xf numFmtId="0" fontId="3" fillId="20" borderId="28" xfId="38578" applyFont="1" applyFill="1" applyBorder="1"/>
    <xf numFmtId="0" fontId="3" fillId="20" borderId="0" xfId="38578" applyFont="1" applyFill="1" applyAlignment="1">
      <alignment horizontal="right"/>
    </xf>
    <xf numFmtId="0" fontId="3" fillId="20" borderId="9" xfId="38578" applyFont="1" applyFill="1" applyBorder="1" applyAlignment="1">
      <alignment horizontal="center"/>
    </xf>
    <xf numFmtId="0" fontId="4" fillId="20" borderId="9" xfId="38578" applyFont="1" applyFill="1" applyBorder="1" applyAlignment="1">
      <alignment horizontal="center"/>
    </xf>
    <xf numFmtId="0" fontId="4" fillId="20" borderId="9" xfId="38578" applyFont="1" applyFill="1" applyBorder="1"/>
    <xf numFmtId="0" fontId="3" fillId="20" borderId="34" xfId="38578" applyFont="1" applyFill="1" applyBorder="1"/>
    <xf numFmtId="0" fontId="3" fillId="20" borderId="50" xfId="38578" applyFont="1" applyFill="1" applyBorder="1"/>
    <xf numFmtId="3" fontId="3" fillId="20" borderId="9" xfId="38578" applyNumberFormat="1" applyFont="1" applyFill="1" applyBorder="1"/>
    <xf numFmtId="0" fontId="3" fillId="20" borderId="14" xfId="38578" applyFont="1" applyFill="1" applyBorder="1"/>
    <xf numFmtId="0" fontId="3" fillId="20" borderId="12" xfId="38578" applyFont="1" applyFill="1" applyBorder="1" applyAlignment="1">
      <alignment horizontal="center"/>
    </xf>
    <xf numFmtId="0" fontId="4" fillId="20" borderId="0" xfId="38578" applyFont="1" applyFill="1" applyAlignment="1">
      <alignment horizontal="center"/>
    </xf>
    <xf numFmtId="0" fontId="3" fillId="20" borderId="0" xfId="38578" applyFont="1" applyFill="1" applyAlignment="1">
      <alignment horizontal="left"/>
    </xf>
    <xf numFmtId="0" fontId="3" fillId="28" borderId="13" xfId="38578" applyFont="1" applyFill="1" applyBorder="1"/>
    <xf numFmtId="0" fontId="3" fillId="0" borderId="0" xfId="38578" applyFont="1"/>
    <xf numFmtId="0" fontId="52" fillId="0" borderId="0" xfId="38578" applyFont="1"/>
    <xf numFmtId="0" fontId="3" fillId="0" borderId="0" xfId="38578" applyFont="1" applyAlignment="1">
      <alignment horizontal="right"/>
    </xf>
    <xf numFmtId="0" fontId="3" fillId="0" borderId="0" xfId="38578" applyFont="1" applyAlignment="1">
      <alignment horizontal="center"/>
    </xf>
    <xf numFmtId="3" fontId="3" fillId="20" borderId="7" xfId="38578" applyNumberFormat="1" applyFont="1" applyFill="1" applyBorder="1"/>
    <xf numFmtId="0" fontId="3" fillId="20" borderId="17" xfId="38578" applyFont="1" applyFill="1" applyBorder="1"/>
    <xf numFmtId="3" fontId="3" fillId="20" borderId="0" xfId="38578" applyNumberFormat="1" applyFont="1" applyFill="1"/>
    <xf numFmtId="3" fontId="3" fillId="20" borderId="0" xfId="38578" applyNumberFormat="1" applyFont="1" applyFill="1" applyAlignment="1">
      <alignment horizontal="right"/>
    </xf>
    <xf numFmtId="10" fontId="3" fillId="20" borderId="0" xfId="38578" applyNumberFormat="1" applyFont="1" applyFill="1"/>
    <xf numFmtId="0" fontId="3" fillId="20" borderId="16" xfId="38578" applyFont="1" applyFill="1" applyBorder="1"/>
    <xf numFmtId="3" fontId="52" fillId="0" borderId="0" xfId="38578" applyNumberFormat="1" applyFont="1" applyAlignment="1">
      <alignment horizontal="left"/>
    </xf>
    <xf numFmtId="3" fontId="52" fillId="0" borderId="0" xfId="38578" applyNumberFormat="1" applyFont="1" applyAlignment="1">
      <alignment horizontal="center"/>
    </xf>
    <xf numFmtId="10" fontId="3" fillId="28" borderId="0" xfId="38578" applyNumberFormat="1" applyFont="1" applyFill="1"/>
    <xf numFmtId="3" fontId="3" fillId="20" borderId="16" xfId="38578" applyNumberFormat="1" applyFont="1" applyFill="1" applyBorder="1"/>
    <xf numFmtId="3" fontId="3" fillId="20" borderId="18" xfId="38578" applyNumberFormat="1" applyFont="1" applyFill="1" applyBorder="1"/>
    <xf numFmtId="1" fontId="3" fillId="20" borderId="7" xfId="38578" applyNumberFormat="1" applyFont="1" applyFill="1" applyBorder="1" applyAlignment="1">
      <alignment horizontal="right"/>
    </xf>
    <xf numFmtId="166" fontId="3" fillId="20" borderId="7" xfId="38578" applyNumberFormat="1" applyFont="1" applyFill="1" applyBorder="1"/>
    <xf numFmtId="1" fontId="3" fillId="28" borderId="0" xfId="38578" applyNumberFormat="1" applyFont="1" applyFill="1" applyAlignment="1" applyProtection="1">
      <alignment horizontal="right"/>
      <protection locked="0"/>
    </xf>
    <xf numFmtId="3" fontId="3" fillId="20" borderId="0" xfId="38578" applyNumberFormat="1" applyFont="1" applyFill="1" applyAlignment="1">
      <alignment horizontal="center"/>
    </xf>
    <xf numFmtId="0" fontId="3" fillId="28" borderId="0" xfId="38578" applyFont="1" applyFill="1" applyAlignment="1">
      <alignment horizontal="right"/>
    </xf>
    <xf numFmtId="37" fontId="3" fillId="28" borderId="0" xfId="38578" applyNumberFormat="1" applyFont="1" applyFill="1" applyAlignment="1">
      <alignment horizontal="right"/>
    </xf>
    <xf numFmtId="172" fontId="3" fillId="20" borderId="0" xfId="38578" applyNumberFormat="1" applyFont="1" applyFill="1" applyAlignment="1">
      <alignment horizontal="right"/>
    </xf>
    <xf numFmtId="3" fontId="3" fillId="28" borderId="0" xfId="38578" applyNumberFormat="1" applyFont="1" applyFill="1" applyAlignment="1">
      <alignment horizontal="right"/>
    </xf>
    <xf numFmtId="0" fontId="54" fillId="20" borderId="0" xfId="38578" applyFont="1" applyFill="1"/>
    <xf numFmtId="174" fontId="3" fillId="0" borderId="0" xfId="38578" applyNumberFormat="1" applyFont="1"/>
    <xf numFmtId="0" fontId="54" fillId="20" borderId="0" xfId="38578" applyFont="1" applyFill="1" applyAlignment="1">
      <alignment horizontal="right"/>
    </xf>
    <xf numFmtId="3" fontId="3" fillId="0" borderId="0" xfId="38578" applyNumberFormat="1" applyFont="1"/>
    <xf numFmtId="171" fontId="3" fillId="0" borderId="0" xfId="38578" applyNumberFormat="1" applyFont="1"/>
    <xf numFmtId="1" fontId="3" fillId="0" borderId="0" xfId="38578" applyNumberFormat="1" applyFont="1"/>
    <xf numFmtId="4" fontId="3" fillId="20" borderId="0" xfId="38578" applyNumberFormat="1" applyFont="1" applyFill="1" applyAlignment="1">
      <alignment horizontal="right"/>
    </xf>
    <xf numFmtId="3" fontId="3" fillId="0" borderId="0" xfId="38578" applyNumberFormat="1" applyFont="1" applyAlignment="1">
      <alignment horizontal="center"/>
    </xf>
    <xf numFmtId="10" fontId="3" fillId="20" borderId="0" xfId="38578" applyNumberFormat="1" applyFont="1" applyFill="1" applyAlignment="1">
      <alignment horizontal="right"/>
    </xf>
    <xf numFmtId="174" fontId="3" fillId="20" borderId="0" xfId="38578" applyNumberFormat="1" applyFont="1" applyFill="1" applyAlignment="1">
      <alignment horizontal="right"/>
    </xf>
    <xf numFmtId="9" fontId="3" fillId="20" borderId="0" xfId="38578" applyNumberFormat="1" applyFont="1" applyFill="1" applyAlignment="1">
      <alignment horizontal="center"/>
    </xf>
    <xf numFmtId="3" fontId="3" fillId="20" borderId="16" xfId="38578" quotePrefix="1" applyNumberFormat="1" applyFont="1" applyFill="1" applyBorder="1"/>
    <xf numFmtId="0" fontId="3" fillId="20" borderId="0" xfId="38578" applyFont="1" applyFill="1" applyAlignment="1">
      <alignment wrapText="1"/>
    </xf>
    <xf numFmtId="171" fontId="3" fillId="20" borderId="0" xfId="38578" applyNumberFormat="1" applyFont="1" applyFill="1"/>
    <xf numFmtId="3" fontId="52" fillId="0" borderId="0" xfId="38578" applyNumberFormat="1" applyFont="1"/>
    <xf numFmtId="3" fontId="3" fillId="28" borderId="7" xfId="38578" applyNumberFormat="1" applyFont="1" applyFill="1" applyBorder="1"/>
    <xf numFmtId="173" fontId="3" fillId="20" borderId="0" xfId="38578" applyNumberFormat="1" applyFont="1" applyFill="1"/>
    <xf numFmtId="173" fontId="3" fillId="20" borderId="0" xfId="38578" applyNumberFormat="1" applyFont="1" applyFill="1" applyAlignment="1">
      <alignment horizontal="right"/>
    </xf>
    <xf numFmtId="3" fontId="3" fillId="28" borderId="0" xfId="38578" applyNumberFormat="1" applyFont="1" applyFill="1"/>
    <xf numFmtId="173" fontId="3" fillId="20" borderId="0" xfId="38578" applyNumberFormat="1" applyFont="1" applyFill="1" applyAlignment="1">
      <alignment horizontal="center"/>
    </xf>
    <xf numFmtId="173" fontId="3" fillId="20" borderId="16" xfId="38578" applyNumberFormat="1" applyFont="1" applyFill="1" applyBorder="1"/>
    <xf numFmtId="170" fontId="3" fillId="20" borderId="0" xfId="38578" applyNumberFormat="1" applyFont="1" applyFill="1" applyAlignment="1">
      <alignment horizontal="center"/>
    </xf>
    <xf numFmtId="175" fontId="3" fillId="20" borderId="0" xfId="38578" applyNumberFormat="1" applyFont="1" applyFill="1" applyAlignment="1">
      <alignment horizontal="right"/>
    </xf>
    <xf numFmtId="175" fontId="3" fillId="20" borderId="0" xfId="38578" applyNumberFormat="1" applyFont="1" applyFill="1"/>
    <xf numFmtId="4" fontId="3" fillId="20" borderId="0" xfId="38578" applyNumberFormat="1" applyFont="1" applyFill="1" applyAlignment="1">
      <alignment horizontal="center"/>
    </xf>
    <xf numFmtId="176" fontId="52" fillId="0" borderId="0" xfId="38578" applyNumberFormat="1" applyFont="1"/>
    <xf numFmtId="10" fontId="3" fillId="20" borderId="0" xfId="38578" applyNumberFormat="1" applyFont="1" applyFill="1" applyAlignment="1">
      <alignment horizontal="left"/>
    </xf>
    <xf numFmtId="49" fontId="3" fillId="20" borderId="0" xfId="38578" applyNumberFormat="1" applyFont="1" applyFill="1"/>
    <xf numFmtId="49" fontId="3" fillId="20" borderId="0" xfId="38578" applyNumberFormat="1" applyFont="1" applyFill="1" applyAlignment="1">
      <alignment horizontal="right"/>
    </xf>
    <xf numFmtId="49" fontId="3" fillId="20" borderId="0" xfId="38578" applyNumberFormat="1" applyFont="1" applyFill="1" applyAlignment="1">
      <alignment horizontal="center"/>
    </xf>
    <xf numFmtId="3" fontId="3" fillId="22" borderId="0" xfId="38578" applyNumberFormat="1" applyFont="1" applyFill="1" applyAlignment="1">
      <alignment horizontal="right"/>
    </xf>
    <xf numFmtId="0" fontId="4" fillId="20" borderId="13" xfId="38578" applyFont="1" applyFill="1" applyBorder="1"/>
    <xf numFmtId="0" fontId="3" fillId="20" borderId="24" xfId="38578" applyFont="1" applyFill="1" applyBorder="1"/>
    <xf numFmtId="3" fontId="3" fillId="20" borderId="27" xfId="38578" applyNumberFormat="1" applyFont="1" applyFill="1" applyBorder="1"/>
    <xf numFmtId="3" fontId="3" fillId="20" borderId="26" xfId="38578" applyNumberFormat="1" applyFont="1" applyFill="1" applyBorder="1"/>
    <xf numFmtId="3" fontId="3" fillId="20" borderId="30" xfId="38578" applyNumberFormat="1" applyFont="1" applyFill="1" applyBorder="1"/>
    <xf numFmtId="170" fontId="3" fillId="20" borderId="0" xfId="38578" applyNumberFormat="1" applyFont="1" applyFill="1" applyAlignment="1">
      <alignment horizontal="left"/>
    </xf>
    <xf numFmtId="3" fontId="3" fillId="20" borderId="19" xfId="38578" applyNumberFormat="1" applyFont="1" applyFill="1" applyBorder="1"/>
    <xf numFmtId="3" fontId="3" fillId="28" borderId="19" xfId="38578" applyNumberFormat="1" applyFont="1" applyFill="1" applyBorder="1"/>
    <xf numFmtId="10" fontId="3" fillId="20" borderId="0" xfId="38578" applyNumberFormat="1" applyFont="1" applyFill="1" applyAlignment="1">
      <alignment horizontal="left" wrapText="1"/>
    </xf>
    <xf numFmtId="0" fontId="3" fillId="28" borderId="19" xfId="38578" applyFont="1" applyFill="1" applyBorder="1"/>
    <xf numFmtId="0" fontId="52" fillId="0" borderId="0" xfId="38578" applyFont="1" applyAlignment="1">
      <alignment wrapText="1"/>
    </xf>
    <xf numFmtId="0" fontId="3" fillId="0" borderId="0" xfId="38578" applyFont="1" applyAlignment="1">
      <alignment wrapText="1"/>
    </xf>
    <xf numFmtId="3" fontId="3" fillId="20" borderId="28" xfId="38578" applyNumberFormat="1" applyFont="1" applyFill="1" applyBorder="1"/>
    <xf numFmtId="3" fontId="3" fillId="22" borderId="19" xfId="38578" applyNumberFormat="1" applyFont="1" applyFill="1" applyBorder="1"/>
    <xf numFmtId="3" fontId="3" fillId="22" borderId="31" xfId="38578" applyNumberFormat="1" applyFont="1" applyFill="1" applyBorder="1"/>
    <xf numFmtId="3" fontId="3" fillId="20" borderId="32" xfId="38578" applyNumberFormat="1" applyFont="1" applyFill="1" applyBorder="1"/>
    <xf numFmtId="3" fontId="3" fillId="20" borderId="33" xfId="38578" applyNumberFormat="1" applyFont="1" applyFill="1" applyBorder="1"/>
    <xf numFmtId="3" fontId="3" fillId="20" borderId="20" xfId="38578" applyNumberFormat="1" applyFont="1" applyFill="1" applyBorder="1"/>
    <xf numFmtId="0" fontId="3" fillId="20" borderId="6" xfId="38578" applyFont="1" applyFill="1" applyBorder="1"/>
    <xf numFmtId="3" fontId="3" fillId="20" borderId="8" xfId="38578" applyNumberFormat="1" applyFont="1" applyFill="1" applyBorder="1"/>
    <xf numFmtId="3" fontId="3" fillId="20" borderId="6" xfId="38578" applyNumberFormat="1" applyFont="1" applyFill="1" applyBorder="1"/>
    <xf numFmtId="3" fontId="3" fillId="28" borderId="9" xfId="38578" applyNumberFormat="1" applyFont="1" applyFill="1" applyBorder="1"/>
    <xf numFmtId="3" fontId="3" fillId="20" borderId="0" xfId="38578" applyNumberFormat="1" applyFont="1" applyFill="1" applyAlignment="1">
      <alignment horizontal="right" wrapText="1"/>
    </xf>
    <xf numFmtId="3" fontId="3" fillId="22" borderId="9" xfId="38578" applyNumberFormat="1" applyFont="1" applyFill="1" applyBorder="1"/>
    <xf numFmtId="3" fontId="4" fillId="20" borderId="11" xfId="38578" applyNumberFormat="1" applyFont="1" applyFill="1" applyBorder="1"/>
    <xf numFmtId="0" fontId="3" fillId="0" borderId="15" xfId="38578" applyFont="1" applyBorder="1"/>
    <xf numFmtId="3" fontId="3" fillId="20" borderId="15" xfId="38578" applyNumberFormat="1" applyFont="1" applyFill="1" applyBorder="1"/>
    <xf numFmtId="37" fontId="3" fillId="0" borderId="16" xfId="1" applyNumberFormat="1" applyFont="1" applyFill="1" applyBorder="1"/>
    <xf numFmtId="37" fontId="4" fillId="0" borderId="22" xfId="1" applyNumberFormat="1" applyFont="1" applyFill="1" applyBorder="1"/>
    <xf numFmtId="37" fontId="3" fillId="29" borderId="16" xfId="1" applyNumberFormat="1" applyFont="1" applyFill="1" applyBorder="1"/>
    <xf numFmtId="37" fontId="4" fillId="0" borderId="22" xfId="0" applyNumberFormat="1" applyFont="1" applyFill="1" applyBorder="1" applyAlignment="1">
      <alignment horizontal="right"/>
    </xf>
    <xf numFmtId="37" fontId="4" fillId="0" borderId="58" xfId="0" applyNumberFormat="1" applyFont="1" applyFill="1" applyBorder="1" applyAlignment="1">
      <alignment horizontal="right"/>
    </xf>
    <xf numFmtId="37" fontId="3" fillId="0" borderId="18" xfId="1" applyNumberFormat="1" applyFont="1" applyFill="1" applyBorder="1"/>
    <xf numFmtId="0" fontId="3" fillId="28" borderId="0" xfId="38578" applyFont="1" applyFill="1" applyBorder="1"/>
    <xf numFmtId="0" fontId="3" fillId="20" borderId="0" xfId="38578" applyFont="1" applyFill="1" applyBorder="1" applyAlignment="1">
      <alignment horizontal="center"/>
    </xf>
    <xf numFmtId="0" fontId="3" fillId="20" borderId="0" xfId="38578" applyFont="1" applyFill="1" applyBorder="1" applyAlignment="1">
      <alignment horizontal="right"/>
    </xf>
    <xf numFmtId="0" fontId="0" fillId="0" borderId="0" xfId="0" applyBorder="1"/>
    <xf numFmtId="0" fontId="4" fillId="20" borderId="0" xfId="38578" applyFont="1" applyFill="1" applyBorder="1"/>
    <xf numFmtId="0" fontId="4" fillId="20" borderId="0" xfId="38578" applyFont="1" applyFill="1" applyBorder="1" applyAlignment="1">
      <alignment horizontal="right"/>
    </xf>
    <xf numFmtId="0" fontId="70" fillId="28" borderId="0" xfId="0" applyFont="1" applyFill="1" applyBorder="1" applyAlignment="1">
      <alignment vertical="center"/>
    </xf>
    <xf numFmtId="0" fontId="0" fillId="20" borderId="0" xfId="0" applyFill="1" applyBorder="1"/>
    <xf numFmtId="164" fontId="2" fillId="20" borderId="7" xfId="1" applyNumberFormat="1" applyFont="1" applyFill="1" applyBorder="1"/>
    <xf numFmtId="0" fontId="0" fillId="28" borderId="12" xfId="0" applyFill="1" applyBorder="1"/>
    <xf numFmtId="0" fontId="0" fillId="28" borderId="13" xfId="0" applyFill="1" applyBorder="1"/>
    <xf numFmtId="0" fontId="0" fillId="28" borderId="14" xfId="0" applyFill="1" applyBorder="1"/>
    <xf numFmtId="0" fontId="0" fillId="28" borderId="15" xfId="0" applyFill="1" applyBorder="1"/>
    <xf numFmtId="0" fontId="0" fillId="28" borderId="0" xfId="0" applyFill="1" applyBorder="1"/>
    <xf numFmtId="0" fontId="0" fillId="28" borderId="16" xfId="0" applyFill="1" applyBorder="1"/>
    <xf numFmtId="0" fontId="2" fillId="28" borderId="0" xfId="0" applyFont="1" applyFill="1" applyBorder="1" applyAlignment="1">
      <alignment horizontal="center"/>
    </xf>
    <xf numFmtId="0" fontId="2" fillId="28" borderId="16" xfId="0" applyFont="1" applyFill="1" applyBorder="1" applyAlignment="1">
      <alignment horizontal="center"/>
    </xf>
    <xf numFmtId="49" fontId="0" fillId="28" borderId="75" xfId="0" applyNumberFormat="1" applyFill="1" applyBorder="1" applyAlignment="1">
      <alignment horizontal="center"/>
    </xf>
    <xf numFmtId="0" fontId="0" fillId="28" borderId="15" xfId="0" applyFill="1" applyBorder="1" applyAlignment="1">
      <alignment horizontal="left"/>
    </xf>
    <xf numFmtId="14" fontId="0" fillId="28" borderId="0" xfId="0" applyNumberFormat="1" applyFill="1" applyBorder="1"/>
    <xf numFmtId="0" fontId="0" fillId="28" borderId="0" xfId="0" applyFill="1" applyBorder="1" applyAlignment="1">
      <alignment horizontal="center"/>
    </xf>
    <xf numFmtId="0" fontId="0" fillId="0" borderId="17" xfId="0" applyBorder="1"/>
    <xf numFmtId="0" fontId="0" fillId="0" borderId="7" xfId="0" applyBorder="1"/>
    <xf numFmtId="0" fontId="0" fillId="0" borderId="7" xfId="0" applyBorder="1" applyAlignment="1">
      <alignment horizontal="center"/>
    </xf>
    <xf numFmtId="167" fontId="1" fillId="0" borderId="7" xfId="2" applyNumberFormat="1" applyFont="1" applyBorder="1"/>
    <xf numFmtId="0" fontId="0" fillId="0" borderId="18" xfId="0" applyBorder="1"/>
    <xf numFmtId="164" fontId="71" fillId="22" borderId="0" xfId="1" applyNumberFormat="1" applyFont="1" applyFill="1" applyBorder="1"/>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67" fillId="21" borderId="15" xfId="0" applyFont="1" applyFill="1" applyBorder="1" applyAlignment="1">
      <alignment horizontal="center"/>
    </xf>
    <xf numFmtId="0" fontId="67" fillId="21" borderId="16" xfId="0" applyFont="1" applyFill="1" applyBorder="1" applyAlignment="1">
      <alignment horizontal="center"/>
    </xf>
    <xf numFmtId="0" fontId="56" fillId="21" borderId="15" xfId="0" applyFont="1" applyFill="1" applyBorder="1" applyAlignment="1">
      <alignment horizontal="center"/>
    </xf>
    <xf numFmtId="0" fontId="56" fillId="21" borderId="16" xfId="0" applyFont="1" applyFill="1" applyBorder="1" applyAlignment="1">
      <alignment horizontal="center"/>
    </xf>
    <xf numFmtId="0" fontId="61" fillId="20" borderId="15" xfId="0" applyFont="1" applyFill="1" applyBorder="1" applyAlignment="1">
      <alignment horizontal="center"/>
    </xf>
    <xf numFmtId="0" fontId="61" fillId="20" borderId="16" xfId="0" applyFont="1" applyFill="1" applyBorder="1" applyAlignment="1">
      <alignment horizontal="center"/>
    </xf>
    <xf numFmtId="0" fontId="2" fillId="28" borderId="12" xfId="0" applyFont="1" applyFill="1" applyBorder="1" applyAlignment="1">
      <alignment horizontal="center" vertical="center" wrapText="1"/>
    </xf>
    <xf numFmtId="0" fontId="2" fillId="28" borderId="13" xfId="0" applyFont="1" applyFill="1" applyBorder="1" applyAlignment="1">
      <alignment horizontal="center" vertical="center" wrapText="1"/>
    </xf>
    <xf numFmtId="0" fontId="2" fillId="28" borderId="14" xfId="0" applyFont="1" applyFill="1" applyBorder="1" applyAlignment="1">
      <alignment horizontal="center" vertical="center" wrapText="1"/>
    </xf>
    <xf numFmtId="0" fontId="2" fillId="28" borderId="15" xfId="0" applyFont="1" applyFill="1" applyBorder="1" applyAlignment="1">
      <alignment horizontal="center" vertical="center" wrapText="1"/>
    </xf>
    <xf numFmtId="0" fontId="2" fillId="28" borderId="0" xfId="0" applyFont="1" applyFill="1" applyBorder="1" applyAlignment="1">
      <alignment horizontal="center" vertical="center" wrapText="1"/>
    </xf>
    <xf numFmtId="0" fontId="2" fillId="28" borderId="16" xfId="0" applyFont="1" applyFill="1" applyBorder="1" applyAlignment="1">
      <alignment horizontal="center" vertical="center" wrapText="1"/>
    </xf>
    <xf numFmtId="0" fontId="2" fillId="28" borderId="17" xfId="0" applyFont="1" applyFill="1" applyBorder="1" applyAlignment="1">
      <alignment horizontal="center" vertical="center" wrapText="1"/>
    </xf>
    <xf numFmtId="0" fontId="2" fillId="28" borderId="7" xfId="0" applyFont="1" applyFill="1" applyBorder="1" applyAlignment="1">
      <alignment horizontal="center" vertical="center" wrapText="1"/>
    </xf>
    <xf numFmtId="0" fontId="2" fillId="28" borderId="18" xfId="0" applyFont="1" applyFill="1" applyBorder="1" applyAlignment="1">
      <alignment horizontal="center" vertical="center" wrapText="1"/>
    </xf>
    <xf numFmtId="0" fontId="3" fillId="20" borderId="0" xfId="38578" applyFont="1" applyFill="1"/>
    <xf numFmtId="0" fontId="3" fillId="20" borderId="16" xfId="38578" applyFont="1" applyFill="1" applyBorder="1"/>
    <xf numFmtId="0" fontId="3" fillId="20" borderId="0" xfId="38578" applyFont="1" applyFill="1" applyAlignment="1">
      <alignment wrapText="1"/>
    </xf>
    <xf numFmtId="0" fontId="3" fillId="20" borderId="16" xfId="38578" applyFont="1" applyFill="1" applyBorder="1" applyAlignment="1">
      <alignment wrapText="1"/>
    </xf>
    <xf numFmtId="0" fontId="3" fillId="20" borderId="0" xfId="38578" applyFont="1" applyFill="1" applyAlignment="1">
      <alignment horizontal="left"/>
    </xf>
    <xf numFmtId="0" fontId="3" fillId="20" borderId="16" xfId="38578" applyFont="1" applyFill="1" applyBorder="1" applyAlignment="1">
      <alignment horizontal="left"/>
    </xf>
    <xf numFmtId="0" fontId="52" fillId="20" borderId="7" xfId="0" applyFont="1" applyFill="1" applyBorder="1" applyAlignment="1">
      <alignment horizontal="left"/>
    </xf>
    <xf numFmtId="0" fontId="52" fillId="20" borderId="18" xfId="0"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0" fontId="3" fillId="20" borderId="0"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73" fillId="20" borderId="44" xfId="0" applyFont="1" applyFill="1" applyBorder="1" applyAlignment="1">
      <alignment horizontal="center"/>
    </xf>
    <xf numFmtId="0" fontId="58" fillId="20" borderId="7" xfId="0" applyFont="1" applyFill="1" applyBorder="1" applyAlignment="1">
      <alignment horizontal="left" vertical="top" wrapText="1"/>
    </xf>
    <xf numFmtId="0" fontId="58" fillId="20" borderId="18"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7">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outline="0">
        <left/>
        <right style="medium">
          <color indexed="64"/>
        </right>
        <top/>
        <bottom/>
      </border>
    </dxf>
    <dxf>
      <font>
        <strike val="0"/>
        <outline val="0"/>
        <shadow val="0"/>
        <vertAlign val="baseline"/>
        <color auto="1"/>
        <name val="Calibri"/>
        <family val="2"/>
      </font>
      <alignment horizontal="general" textRotation="0" wrapText="1" indent="0" justifyLastLine="0" shrinkToFit="0" readingOrder="0"/>
      <border diagonalUp="0" diagonalDown="0" outline="0">
        <left/>
        <right style="medium">
          <color rgb="FF000000"/>
        </right>
        <top style="thin">
          <color auto="1"/>
        </top>
        <bottom style="thin">
          <color auto="1"/>
        </bottom>
      </border>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fill>
        <patternFill patternType="none">
          <fgColor rgb="FF000000"/>
          <bgColor rgb="FFFFFFFF"/>
        </patternFill>
      </fill>
      <alignment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color auto="1"/>
        <name val="Calibri"/>
        <family val="2"/>
      </font>
      <alignment horizontal="lef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lef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alignment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alignment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fill>
        <patternFill patternType="none">
          <fgColor rgb="FF000000"/>
          <bgColor rgb="FFFFFFFF"/>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vertAlign val="baseline"/>
        <color auto="1"/>
        <name val="Calibri"/>
        <family val="2"/>
      </font>
      <alignment horizontal="lef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1"/>
      <border diagonalUp="0" diagonalDown="0" outline="0">
        <left style="medium">
          <color rgb="FF000000"/>
        </left>
        <right/>
        <top style="thin">
          <color auto="1"/>
        </top>
        <bottom style="thin">
          <color auto="1"/>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color auto="1"/>
        <name val="Calibri"/>
        <family val="2"/>
      </font>
      <alignment horizontal="left" vertical="top" textRotation="0" wrapText="0" indent="0" justifyLastLine="0" shrinkToFit="0" readingOrder="0"/>
    </dxf>
    <dxf>
      <font>
        <strike val="0"/>
        <outline val="0"/>
        <shadow val="0"/>
        <vertAlign val="baseline"/>
        <color auto="1"/>
        <name val="Calibri"/>
        <family val="2"/>
      </font>
      <fill>
        <patternFill patternType="solid">
          <fgColor indexed="64"/>
          <bgColor theme="0"/>
        </patternFill>
      </fill>
    </dxf>
    <dxf>
      <font>
        <strike val="0"/>
        <outline val="0"/>
        <shadow val="0"/>
        <vertAlign val="baseline"/>
        <color auto="1"/>
        <name val="Calibri"/>
        <family val="2"/>
      </font>
    </dxf>
    <dxf>
      <font>
        <b/>
        <i val="0"/>
        <strike val="0"/>
        <condense val="0"/>
        <extend val="0"/>
        <outline val="0"/>
        <shadow val="0"/>
        <u val="none"/>
        <vertAlign val="baseline"/>
        <sz val="11"/>
        <color auto="1"/>
        <name val="Calibri"/>
        <family val="2"/>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1 3" pivot="0" count="7" xr9:uid="{00000000-0011-0000-FFFF-FFFF01000000}">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70555</xdr:rowOff>
    </xdr:from>
    <xdr:to>
      <xdr:col>1</xdr:col>
      <xdr:colOff>1480703</xdr:colOff>
      <xdr:row>1</xdr:row>
      <xdr:rowOff>349910</xdr:rowOff>
    </xdr:to>
    <xdr:pic>
      <xdr:nvPicPr>
        <xdr:cNvPr id="3"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4" y="70555"/>
          <a:ext cx="3874864" cy="8622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EA4256-050E-40A6-8483-332122A21BD7}" name="Table14242434" displayName="Table14242434" ref="A6:L794" totalsRowCount="1" headerRowDxfId="32" dataDxfId="31" totalsRowDxfId="30">
  <tableColumns count="12">
    <tableColumn id="1" xr3:uid="{288DBB98-D54C-49C9-8B8D-F4B251D98FD0}" name="Line No." dataDxfId="29" totalsRowDxfId="28"/>
    <tableColumn id="14" xr3:uid="{430C2AE3-3555-4E04-8969-A2904624F59F}" name="FID" dataDxfId="27" totalsRowDxfId="26"/>
    <tableColumn id="2" xr3:uid="{1EC69139-9F2B-4591-AB07-E8D3D26C3E51}" name="Facility" dataDxfId="25" totalsRowDxfId="24"/>
    <tableColumn id="3" xr3:uid="{A2296230-0595-4E57-9544-BE0816CB601E}" name="Specific Plant Included" dataDxfId="23" totalsRowDxfId="22"/>
    <tableColumn id="6" xr3:uid="{C6EC4B08-C80D-479B-92D8-A32BB5942D2B}" name="1" dataDxfId="21" totalsRowDxfId="20"/>
    <tableColumn id="7" xr3:uid="{C271F685-3497-4937-ACCF-C7A2B2F43CEE}" name="1(b)" dataDxfId="19" totalsRowDxfId="18"/>
    <tableColumn id="8" xr3:uid="{28F8E474-8AAC-4C5A-BD51-1A1349D9281C}" name="2" dataDxfId="17" totalsRowDxfId="16"/>
    <tableColumn id="9" xr3:uid="{3FD95A5B-B4FD-4865-A152-4C0EC3AAD16C}" name="3" dataDxfId="15" totalsRowDxfId="14"/>
    <tableColumn id="10" xr3:uid="{2AF6E744-CE6A-42ED-B060-21AF350CF14F}" name="4" dataDxfId="13" totalsRowDxfId="12"/>
    <tableColumn id="11" xr3:uid="{83396EC3-B0BB-441B-BFB7-B77DEDDB96D3}" name="5" dataDxfId="11" totalsRowDxfId="10"/>
    <tableColumn id="12" xr3:uid="{660079B9-3584-41EA-AE72-B31D5DAF314B}" name="6" dataDxfId="9" totalsRowDxfId="8" dataCellStyle="Currency"/>
    <tableColumn id="13" xr3:uid="{6DBEB548-C88A-4779-AE20-C64DFBAD02EF}"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053D45-CC0B-400B-BADC-E43E50CAA4D3}" name="Table135353" displayName="Table135353" ref="B5:E186" totalsRowShown="0" headerRowDxfId="5" dataDxfId="4">
  <tableColumns count="4">
    <tableColumn id="1" xr3:uid="{D714AE51-5EB4-40F1-9FD0-0D2C079703DE}" name="FID" dataDxfId="3"/>
    <tableColumn id="2" xr3:uid="{5EB3A97C-D193-4FEC-9059-533BFA62FC5A}" name="Facility" dataDxfId="2"/>
    <tableColumn id="3" xr3:uid="{47589D3C-F76F-448F-A77A-007D8B0284C1}" name="Specific Plant NOT Included" dataDxfId="1"/>
    <tableColumn id="13" xr3:uid="{918CD97B-5477-441F-9A6B-75942A9E9E2A}"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tabSelected="1" view="pageBreakPreview" zoomScale="90" zoomScaleNormal="100" zoomScaleSheetLayoutView="90" workbookViewId="0">
      <selection activeCell="B16" sqref="B16"/>
    </sheetView>
  </sheetViews>
  <sheetFormatPr defaultRowHeight="14.5"/>
  <cols>
    <col min="1" max="1" width="35.54296875" bestFit="1" customWidth="1"/>
    <col min="2" max="2" width="87.54296875" customWidth="1"/>
  </cols>
  <sheetData>
    <row r="1" spans="1:3" ht="45.75" customHeight="1">
      <c r="A1" s="348"/>
      <c r="B1" s="349"/>
    </row>
    <row r="2" spans="1:3" ht="40.5" customHeight="1">
      <c r="A2" s="350"/>
      <c r="B2" s="351"/>
    </row>
    <row r="3" spans="1:3" ht="46">
      <c r="A3" s="879" t="s">
        <v>0</v>
      </c>
      <c r="B3" s="880"/>
    </row>
    <row r="4" spans="1:3" ht="36">
      <c r="A4" s="885" t="s">
        <v>1</v>
      </c>
      <c r="B4" s="886"/>
    </row>
    <row r="5" spans="1:3" ht="46">
      <c r="A5" s="879" t="s">
        <v>2</v>
      </c>
      <c r="B5" s="880"/>
    </row>
    <row r="6" spans="1:3" ht="46">
      <c r="A6" s="879" t="s">
        <v>3</v>
      </c>
      <c r="B6" s="880"/>
    </row>
    <row r="7" spans="1:3" ht="22.4" customHeight="1">
      <c r="A7" s="352"/>
      <c r="B7" s="353"/>
    </row>
    <row r="8" spans="1:3" ht="46">
      <c r="A8" s="881" t="s">
        <v>2637</v>
      </c>
      <c r="B8" s="882"/>
    </row>
    <row r="9" spans="1:3" ht="46">
      <c r="A9" s="352"/>
      <c r="B9" s="353"/>
    </row>
    <row r="10" spans="1:3" ht="46">
      <c r="A10" s="883" t="s">
        <v>2638</v>
      </c>
      <c r="B10" s="884"/>
    </row>
    <row r="11" spans="1:3" ht="86.5" customHeight="1">
      <c r="A11" s="877" t="s">
        <v>4</v>
      </c>
      <c r="B11" s="878"/>
    </row>
    <row r="12" spans="1:3">
      <c r="A12" s="877" t="s">
        <v>5</v>
      </c>
      <c r="B12" s="878"/>
    </row>
    <row r="13" spans="1:3">
      <c r="A13" s="877" t="s">
        <v>6</v>
      </c>
      <c r="B13" s="878"/>
      <c r="C13" s="221"/>
    </row>
    <row r="14" spans="1:3">
      <c r="A14" s="737"/>
      <c r="B14" s="738"/>
      <c r="C14" s="221"/>
    </row>
    <row r="15" spans="1:3">
      <c r="A15" s="354" t="s">
        <v>7</v>
      </c>
      <c r="B15" s="355" t="s">
        <v>8</v>
      </c>
      <c r="C15" s="221"/>
    </row>
    <row r="16" spans="1:3">
      <c r="A16" s="350" t="s">
        <v>9</v>
      </c>
      <c r="B16" s="356" t="s">
        <v>10</v>
      </c>
    </row>
    <row r="17" spans="1:2">
      <c r="A17" s="350" t="s">
        <v>11</v>
      </c>
      <c r="B17" s="356" t="s">
        <v>12</v>
      </c>
    </row>
    <row r="18" spans="1:2">
      <c r="A18" s="350" t="s">
        <v>13</v>
      </c>
      <c r="B18" s="356" t="s">
        <v>14</v>
      </c>
    </row>
    <row r="19" spans="1:2">
      <c r="A19" s="350" t="s">
        <v>15</v>
      </c>
      <c r="B19" s="356" t="s">
        <v>16</v>
      </c>
    </row>
    <row r="20" spans="1:2">
      <c r="A20" s="350" t="s">
        <v>17</v>
      </c>
      <c r="B20" s="356" t="s">
        <v>18</v>
      </c>
    </row>
    <row r="21" spans="1:2">
      <c r="A21" s="350" t="s">
        <v>19</v>
      </c>
      <c r="B21" s="356" t="s">
        <v>20</v>
      </c>
    </row>
    <row r="22" spans="1:2">
      <c r="A22" s="350" t="s">
        <v>21</v>
      </c>
      <c r="B22" s="356" t="s">
        <v>22</v>
      </c>
    </row>
    <row r="23" spans="1:2">
      <c r="A23" s="350" t="s">
        <v>23</v>
      </c>
      <c r="B23" s="356" t="s">
        <v>24</v>
      </c>
    </row>
    <row r="24" spans="1:2">
      <c r="A24" s="350" t="s">
        <v>25</v>
      </c>
      <c r="B24" s="356" t="s">
        <v>26</v>
      </c>
    </row>
    <row r="25" spans="1:2">
      <c r="A25" s="350" t="s">
        <v>27</v>
      </c>
      <c r="B25" s="356" t="s">
        <v>28</v>
      </c>
    </row>
    <row r="26" spans="1:2">
      <c r="A26" s="350" t="s">
        <v>29</v>
      </c>
      <c r="B26" s="356" t="s">
        <v>30</v>
      </c>
    </row>
    <row r="27" spans="1:2">
      <c r="A27" s="350" t="s">
        <v>31</v>
      </c>
      <c r="B27" s="356" t="s">
        <v>32</v>
      </c>
    </row>
    <row r="28" spans="1:2">
      <c r="A28" s="350" t="s">
        <v>33</v>
      </c>
      <c r="B28" s="356" t="s">
        <v>34</v>
      </c>
    </row>
    <row r="29" spans="1:2">
      <c r="A29" s="350" t="s">
        <v>35</v>
      </c>
      <c r="B29" s="356" t="s">
        <v>36</v>
      </c>
    </row>
    <row r="30" spans="1:2">
      <c r="A30" s="350" t="s">
        <v>37</v>
      </c>
      <c r="B30" s="356" t="s">
        <v>38</v>
      </c>
    </row>
    <row r="31" spans="1:2">
      <c r="A31" s="350" t="s">
        <v>39</v>
      </c>
      <c r="B31" s="356" t="s">
        <v>40</v>
      </c>
    </row>
    <row r="32" spans="1:2" ht="15" thickBot="1">
      <c r="A32" s="357"/>
      <c r="B32" s="358"/>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C69A-D504-457D-BC38-18033F96BBDA}">
  <sheetPr>
    <pageSetUpPr fitToPage="1"/>
  </sheetPr>
  <dimension ref="A1:K46"/>
  <sheetViews>
    <sheetView view="pageBreakPreview" topLeftCell="A27" zoomScaleNormal="100" zoomScaleSheetLayoutView="100" workbookViewId="0">
      <selection activeCell="H32" sqref="H32"/>
    </sheetView>
  </sheetViews>
  <sheetFormatPr defaultRowHeight="14.5"/>
  <cols>
    <col min="2" max="2" width="52.54296875" bestFit="1" customWidth="1"/>
    <col min="3" max="3" width="23.453125" customWidth="1"/>
    <col min="4" max="4" width="18.81640625" bestFit="1" customWidth="1"/>
    <col min="5" max="5" width="13.1796875" customWidth="1"/>
    <col min="6" max="6" width="15.81640625" customWidth="1"/>
    <col min="7" max="7" width="12.54296875" customWidth="1"/>
    <col min="8" max="8" width="18.453125" bestFit="1" customWidth="1"/>
    <col min="9" max="10" width="8.54296875" customWidth="1"/>
    <col min="11" max="11" width="22.81640625" customWidth="1"/>
  </cols>
  <sheetData>
    <row r="1" spans="1:11">
      <c r="A1" s="503" t="str">
        <f>'Cover Sheets'!A10:B10</f>
        <v>WAPA-UGP 2024 Rate Estimate Calculation</v>
      </c>
      <c r="B1" s="762"/>
      <c r="C1" s="102"/>
      <c r="D1" s="743"/>
      <c r="E1" s="96"/>
      <c r="F1" s="108"/>
      <c r="G1" s="108"/>
      <c r="H1" s="409" t="s">
        <v>41</v>
      </c>
      <c r="I1" s="108"/>
      <c r="J1" s="107"/>
    </row>
    <row r="2" spans="1:11">
      <c r="A2" s="504" t="s">
        <v>42</v>
      </c>
      <c r="B2" s="850"/>
      <c r="C2" s="370"/>
      <c r="D2" s="739"/>
      <c r="E2" s="851"/>
      <c r="F2" s="852"/>
      <c r="G2" s="852"/>
      <c r="H2" s="853"/>
      <c r="I2" s="852"/>
      <c r="J2" s="46"/>
    </row>
    <row r="3" spans="1:11">
      <c r="A3" s="504" t="s">
        <v>2639</v>
      </c>
      <c r="B3" s="850"/>
      <c r="C3" s="370"/>
      <c r="D3" s="739"/>
      <c r="E3" s="851"/>
      <c r="F3" s="852"/>
      <c r="G3" s="852"/>
      <c r="H3" s="105" t="s">
        <v>43</v>
      </c>
      <c r="I3" s="852"/>
      <c r="J3" s="46"/>
    </row>
    <row r="4" spans="1:11">
      <c r="A4" s="39" t="s">
        <v>44</v>
      </c>
      <c r="B4" s="370"/>
      <c r="C4" s="105" t="s">
        <v>45</v>
      </c>
      <c r="D4" s="105" t="s">
        <v>46</v>
      </c>
      <c r="E4" s="105" t="s">
        <v>47</v>
      </c>
      <c r="F4" s="105" t="s">
        <v>48</v>
      </c>
      <c r="G4" s="105"/>
      <c r="H4" s="105" t="s">
        <v>49</v>
      </c>
      <c r="I4" s="370"/>
      <c r="J4" s="772"/>
    </row>
    <row r="5" spans="1:11" ht="15" thickBot="1">
      <c r="A5" s="41" t="s">
        <v>50</v>
      </c>
      <c r="B5" s="47" t="s">
        <v>51</v>
      </c>
      <c r="C5" s="47" t="s">
        <v>52</v>
      </c>
      <c r="D5" s="47" t="s">
        <v>53</v>
      </c>
      <c r="E5" s="103" t="s">
        <v>54</v>
      </c>
      <c r="F5" s="103" t="s">
        <v>55</v>
      </c>
      <c r="G5" s="103"/>
      <c r="H5" s="103" t="s">
        <v>75</v>
      </c>
      <c r="I5" s="34"/>
      <c r="J5" s="749"/>
    </row>
    <row r="6" spans="1:11">
      <c r="A6" s="759">
        <v>1</v>
      </c>
      <c r="B6" s="102" t="s">
        <v>56</v>
      </c>
      <c r="C6" s="304" t="s">
        <v>57</v>
      </c>
      <c r="D6" s="305"/>
      <c r="E6" s="306"/>
      <c r="F6" s="108"/>
      <c r="G6" s="108"/>
      <c r="H6" s="442">
        <f>'WS1-RateBase'!H7</f>
        <v>159291524.12250188</v>
      </c>
      <c r="I6" s="102"/>
      <c r="J6" s="758"/>
    </row>
    <row r="7" spans="1:11">
      <c r="A7" s="39">
        <v>2</v>
      </c>
      <c r="B7" s="370" t="s">
        <v>58</v>
      </c>
      <c r="C7" s="100"/>
      <c r="D7" s="851"/>
      <c r="E7" s="80"/>
      <c r="F7" s="852"/>
      <c r="G7" s="852"/>
      <c r="H7" s="443"/>
      <c r="I7" s="370"/>
      <c r="J7" s="772"/>
    </row>
    <row r="8" spans="1:11">
      <c r="A8" s="39">
        <v>3</v>
      </c>
      <c r="B8" s="370" t="s">
        <v>59</v>
      </c>
      <c r="C8" s="757" t="s">
        <v>2759</v>
      </c>
      <c r="D8" s="505">
        <f>'WS3-RevCredits'!H11</f>
        <v>-6300000</v>
      </c>
      <c r="E8" s="80" t="s">
        <v>60</v>
      </c>
      <c r="F8" s="303">
        <v>1</v>
      </c>
      <c r="G8" s="303"/>
      <c r="H8" s="444">
        <f t="shared" ref="H8:H13" si="0">D8*F8</f>
        <v>-6300000</v>
      </c>
      <c r="I8" s="370"/>
      <c r="J8" s="772"/>
    </row>
    <row r="9" spans="1:11">
      <c r="A9" s="39">
        <v>4</v>
      </c>
      <c r="B9" s="370" t="s">
        <v>61</v>
      </c>
      <c r="C9" s="757" t="s">
        <v>62</v>
      </c>
      <c r="D9" s="505">
        <f>'WS3-RevCredits'!H14</f>
        <v>-3850000</v>
      </c>
      <c r="E9" s="80" t="s">
        <v>60</v>
      </c>
      <c r="F9" s="303">
        <v>1</v>
      </c>
      <c r="G9" s="303"/>
      <c r="H9" s="444">
        <f t="shared" si="0"/>
        <v>-3850000</v>
      </c>
      <c r="I9" s="370"/>
      <c r="J9" s="772"/>
    </row>
    <row r="10" spans="1:11">
      <c r="A10" s="39">
        <v>5</v>
      </c>
      <c r="B10" s="370" t="s">
        <v>63</v>
      </c>
      <c r="C10" s="757" t="s">
        <v>64</v>
      </c>
      <c r="D10" s="505">
        <f>'WS3-RevCredits'!H17</f>
        <v>-1250000</v>
      </c>
      <c r="E10" s="80" t="s">
        <v>60</v>
      </c>
      <c r="F10" s="303">
        <v>1</v>
      </c>
      <c r="G10" s="303"/>
      <c r="H10" s="444">
        <f t="shared" si="0"/>
        <v>-1250000</v>
      </c>
      <c r="I10" s="370"/>
      <c r="J10" s="772"/>
    </row>
    <row r="11" spans="1:11">
      <c r="A11" s="39">
        <v>6</v>
      </c>
      <c r="B11" s="370" t="s">
        <v>65</v>
      </c>
      <c r="C11" s="757" t="s">
        <v>2577</v>
      </c>
      <c r="D11" s="505">
        <f>-('WS12-SSCD'!C16)</f>
        <v>-11804150.008705223</v>
      </c>
      <c r="E11" s="80" t="s">
        <v>60</v>
      </c>
      <c r="F11" s="303">
        <v>1</v>
      </c>
      <c r="G11" s="303"/>
      <c r="H11" s="444">
        <f t="shared" si="0"/>
        <v>-11804150.008705223</v>
      </c>
      <c r="I11" s="370"/>
      <c r="J11" s="772"/>
    </row>
    <row r="12" spans="1:11">
      <c r="A12" s="39">
        <v>7</v>
      </c>
      <c r="B12" s="370" t="s">
        <v>66</v>
      </c>
      <c r="C12" s="757" t="s">
        <v>2758</v>
      </c>
      <c r="D12" s="455">
        <f>'WS3-RevCredits'!H20</f>
        <v>-4240</v>
      </c>
      <c r="E12" s="80" t="s">
        <v>67</v>
      </c>
      <c r="F12" s="303">
        <v>1</v>
      </c>
      <c r="G12" s="303"/>
      <c r="H12" s="444">
        <f t="shared" si="0"/>
        <v>-4240</v>
      </c>
      <c r="I12" s="370"/>
      <c r="J12" s="772"/>
    </row>
    <row r="13" spans="1:11">
      <c r="A13" s="39">
        <v>8</v>
      </c>
      <c r="B13" s="370" t="s">
        <v>68</v>
      </c>
      <c r="C13" s="757"/>
      <c r="D13" s="455">
        <f>'WS3-RevCredits'!H8</f>
        <v>5500</v>
      </c>
      <c r="E13" s="80" t="s">
        <v>60</v>
      </c>
      <c r="F13" s="303">
        <v>1</v>
      </c>
      <c r="G13" s="303"/>
      <c r="H13" s="444">
        <f t="shared" si="0"/>
        <v>5500</v>
      </c>
      <c r="I13" s="370"/>
      <c r="J13" s="772"/>
    </row>
    <row r="14" spans="1:11">
      <c r="A14" s="39">
        <v>9</v>
      </c>
      <c r="B14" s="370" t="s">
        <v>69</v>
      </c>
      <c r="C14" s="100" t="s">
        <v>2757</v>
      </c>
      <c r="D14" s="456">
        <f>SUM(D8:D13)</f>
        <v>-23202890.008705221</v>
      </c>
      <c r="E14" s="752"/>
      <c r="F14" s="852"/>
      <c r="G14" s="852"/>
      <c r="H14" s="445">
        <f>SUM(H8:H13)</f>
        <v>-23202890.008705221</v>
      </c>
      <c r="I14" s="756"/>
      <c r="J14" s="755"/>
    </row>
    <row r="15" spans="1:11">
      <c r="A15" s="39">
        <v>10</v>
      </c>
      <c r="B15" s="370" t="s">
        <v>70</v>
      </c>
      <c r="C15" s="331" t="s">
        <v>71</v>
      </c>
      <c r="D15" s="99">
        <v>-2291811</v>
      </c>
      <c r="E15" s="752"/>
      <c r="F15" s="852"/>
      <c r="G15" s="852"/>
      <c r="H15" s="475">
        <f>D15</f>
        <v>-2291811</v>
      </c>
      <c r="I15" s="370"/>
      <c r="J15" s="772"/>
    </row>
    <row r="16" spans="1:11">
      <c r="A16" s="39">
        <v>11</v>
      </c>
      <c r="B16" s="854" t="s">
        <v>72</v>
      </c>
      <c r="C16" s="754" t="s">
        <v>2756</v>
      </c>
      <c r="D16" s="854"/>
      <c r="E16" s="753"/>
      <c r="F16" s="855"/>
      <c r="G16" s="855"/>
      <c r="H16" s="488">
        <f>H6+H14+H15</f>
        <v>133796823.11379665</v>
      </c>
      <c r="I16" s="370"/>
      <c r="J16" s="772"/>
      <c r="K16" s="324"/>
    </row>
    <row r="17" spans="1:11">
      <c r="A17" s="39">
        <v>12</v>
      </c>
      <c r="B17" s="370"/>
      <c r="C17" s="100"/>
      <c r="D17" s="370"/>
      <c r="E17" s="752"/>
      <c r="F17" s="852"/>
      <c r="G17" s="852"/>
      <c r="H17" s="65"/>
      <c r="I17" s="370"/>
      <c r="J17" s="772"/>
    </row>
    <row r="18" spans="1:11">
      <c r="A18" s="489" t="s">
        <v>44</v>
      </c>
      <c r="B18" s="386"/>
      <c r="C18" s="490" t="s">
        <v>73</v>
      </c>
      <c r="D18" s="490" t="s">
        <v>2633</v>
      </c>
      <c r="E18" s="490" t="s">
        <v>74</v>
      </c>
      <c r="F18" s="490"/>
      <c r="G18" s="490"/>
      <c r="H18" s="490" t="s">
        <v>2648</v>
      </c>
      <c r="I18" s="386"/>
      <c r="J18" s="750"/>
    </row>
    <row r="19" spans="1:11" ht="15" thickBot="1">
      <c r="A19" s="41" t="s">
        <v>50</v>
      </c>
      <c r="B19" s="47" t="s">
        <v>51</v>
      </c>
      <c r="C19" s="47" t="s">
        <v>52</v>
      </c>
      <c r="D19" s="47" t="s">
        <v>53</v>
      </c>
      <c r="E19" s="103" t="s">
        <v>54</v>
      </c>
      <c r="F19" s="103"/>
      <c r="G19" s="103"/>
      <c r="H19" s="103" t="s">
        <v>55</v>
      </c>
      <c r="I19" s="34"/>
      <c r="J19" s="749"/>
    </row>
    <row r="20" spans="1:11">
      <c r="A20" s="39">
        <v>13</v>
      </c>
      <c r="B20" s="491" t="s">
        <v>77</v>
      </c>
      <c r="C20" s="449">
        <f>'WS5-BPUz'!M17+'WS6-BPUr'!M16</f>
        <v>2054299.560889167</v>
      </c>
      <c r="D20" s="450">
        <f>'WS5-BPUz'!N17+'WS6-BPUr'!N16</f>
        <v>-72500</v>
      </c>
      <c r="E20" s="450">
        <f>E21+E22</f>
        <v>-94066</v>
      </c>
      <c r="F20" s="614"/>
      <c r="G20" s="615"/>
      <c r="H20" s="446">
        <f>C20+D20+E20</f>
        <v>1887733.560889167</v>
      </c>
      <c r="I20" s="370"/>
      <c r="J20" s="772"/>
    </row>
    <row r="21" spans="1:11">
      <c r="A21" s="39">
        <v>14</v>
      </c>
      <c r="B21" s="370" t="s">
        <v>78</v>
      </c>
      <c r="C21" s="451"/>
      <c r="D21" s="451"/>
      <c r="E21" s="506">
        <v>-71795</v>
      </c>
      <c r="F21" s="616"/>
      <c r="G21" s="617"/>
      <c r="H21" s="444">
        <f>'WS5-BPUz'!P17</f>
        <v>1409863.5993327708</v>
      </c>
      <c r="I21" s="370"/>
      <c r="J21" s="772"/>
    </row>
    <row r="22" spans="1:11">
      <c r="A22" s="39">
        <v>15</v>
      </c>
      <c r="B22" s="339" t="s">
        <v>79</v>
      </c>
      <c r="C22" s="452"/>
      <c r="D22" s="452"/>
      <c r="E22" s="507">
        <v>-22271</v>
      </c>
      <c r="F22" s="618"/>
      <c r="G22" s="619"/>
      <c r="H22" s="447">
        <f>'WS6-BPUr'!P16</f>
        <v>477869.96155639598</v>
      </c>
      <c r="I22" s="370"/>
      <c r="J22" s="772"/>
    </row>
    <row r="23" spans="1:11">
      <c r="A23" s="39">
        <v>16</v>
      </c>
      <c r="B23" s="370" t="s">
        <v>80</v>
      </c>
      <c r="C23" s="451"/>
      <c r="D23" s="451"/>
      <c r="E23" s="498"/>
      <c r="F23" s="620"/>
      <c r="G23" s="617"/>
      <c r="H23" s="444"/>
      <c r="I23" s="370"/>
      <c r="J23" s="772"/>
    </row>
    <row r="24" spans="1:11">
      <c r="A24" s="39">
        <v>17</v>
      </c>
      <c r="B24" s="370" t="s">
        <v>2628</v>
      </c>
      <c r="C24" s="453">
        <f>'WS5-BPUz'!M6</f>
        <v>5216.3755328279913</v>
      </c>
      <c r="D24" s="454">
        <f>'WS5-BPUz'!N6</f>
        <v>-219.22382210275228</v>
      </c>
      <c r="E24" s="645">
        <f>'WS5-BPUz'!O6</f>
        <v>-509.74450000000002</v>
      </c>
      <c r="F24" s="621"/>
      <c r="G24" s="622"/>
      <c r="H24" s="444">
        <f>C24+D24+E24</f>
        <v>4487.4072107252396</v>
      </c>
      <c r="I24" s="370"/>
      <c r="J24" s="772"/>
      <c r="K24" s="430"/>
    </row>
    <row r="25" spans="1:11">
      <c r="A25" s="39">
        <v>18</v>
      </c>
      <c r="B25" s="370" t="s">
        <v>81</v>
      </c>
      <c r="C25" s="454">
        <f>'WS5-BPUz'!M7+'WS6-BPUr'!M6</f>
        <v>332498.31643803394</v>
      </c>
      <c r="D25" s="454">
        <f>'WS5-BPUz'!N7+'WS6-BPUr'!N6</f>
        <v>-10983.406095204951</v>
      </c>
      <c r="E25" s="645">
        <f>'WS5-BPUz'!O7+'WS6-BPUr'!O6</f>
        <v>-43917.192500000005</v>
      </c>
      <c r="F25" s="621"/>
      <c r="G25" s="622"/>
      <c r="H25" s="444">
        <f t="shared" ref="H24:H32" si="1">C25+D25+E25</f>
        <v>277597.71784282901</v>
      </c>
      <c r="I25" s="370"/>
      <c r="J25" s="772"/>
      <c r="K25" s="430"/>
    </row>
    <row r="26" spans="1:11">
      <c r="A26" s="39">
        <v>19</v>
      </c>
      <c r="B26" s="370" t="s">
        <v>82</v>
      </c>
      <c r="C26" s="454">
        <f>'WS5-BPUz'!M8</f>
        <v>510736.66842957865</v>
      </c>
      <c r="D26" s="454">
        <f>'WS5-BPUz'!N8</f>
        <v>-21464.26073746604</v>
      </c>
      <c r="E26" s="645">
        <f>'WS5-BPUz'!O8</f>
        <v>-49631.883500000004</v>
      </c>
      <c r="F26" s="621"/>
      <c r="G26" s="622"/>
      <c r="H26" s="444">
        <f t="shared" si="1"/>
        <v>439640.52419211261</v>
      </c>
      <c r="I26" s="370"/>
      <c r="J26" s="772"/>
      <c r="K26" s="430"/>
    </row>
    <row r="27" spans="1:11">
      <c r="A27" s="39">
        <v>20</v>
      </c>
      <c r="B27" s="370" t="s">
        <v>2624</v>
      </c>
      <c r="C27" s="454">
        <f>'WS5-BPUz'!M9</f>
        <v>40.5728164694127</v>
      </c>
      <c r="D27" s="454">
        <f>'WS5-BPUz'!N9</f>
        <v>-1.7051164824929876</v>
      </c>
      <c r="E27" s="645">
        <f>'WS5-BPUz'!O9</f>
        <v>-7.1795</v>
      </c>
      <c r="F27" s="621"/>
      <c r="G27" s="622"/>
      <c r="H27" s="444">
        <f t="shared" si="1"/>
        <v>31.68819998691971</v>
      </c>
      <c r="I27" s="370"/>
      <c r="J27" s="772"/>
      <c r="K27" s="430"/>
    </row>
    <row r="28" spans="1:11">
      <c r="A28" s="39">
        <v>21</v>
      </c>
      <c r="B28" s="370" t="s">
        <v>2749</v>
      </c>
      <c r="C28" s="454">
        <f>'WS5-BPUz'!M10+'WS6-BPUr'!M7</f>
        <v>185336.22292442142</v>
      </c>
      <c r="D28" s="454">
        <f>'WS5-BPUz'!N10+'WS6-BPUr'!N7</f>
        <v>-6122.2054365190234</v>
      </c>
      <c r="E28" s="645">
        <v>0</v>
      </c>
      <c r="F28" s="621"/>
      <c r="G28" s="637"/>
      <c r="H28" s="444">
        <f t="shared" si="1"/>
        <v>179214.0174879024</v>
      </c>
      <c r="I28" s="370"/>
      <c r="J28" s="772"/>
      <c r="K28" s="430"/>
    </row>
    <row r="29" spans="1:11">
      <c r="A29" s="39">
        <v>22</v>
      </c>
      <c r="B29" s="370" t="s">
        <v>2691</v>
      </c>
      <c r="C29" s="454">
        <f>'WS5-BPUz'!M11+'WS6-BPUr'!M8</f>
        <v>261760.10625427548</v>
      </c>
      <c r="D29" s="454">
        <f>'WS5-BPUz'!N11+'WS6-BPUr'!N8</f>
        <v>-8646.7130941112828</v>
      </c>
      <c r="E29" s="645">
        <v>0</v>
      </c>
      <c r="F29" s="621"/>
      <c r="G29" s="637"/>
      <c r="H29" s="444">
        <f t="shared" si="1"/>
        <v>253113.39316016421</v>
      </c>
      <c r="I29" s="370"/>
      <c r="J29" s="772"/>
      <c r="K29" s="430"/>
    </row>
    <row r="30" spans="1:11">
      <c r="A30" s="39">
        <v>23</v>
      </c>
      <c r="B30" s="370" t="s">
        <v>2692</v>
      </c>
      <c r="C30" s="454">
        <f>'WS5-BPUz'!M12+'WS6-BPUr'!M9</f>
        <v>169319.22269968627</v>
      </c>
      <c r="D30" s="454">
        <f>'WS5-BPUz'!N12+'WS6-BPUr'!N9</f>
        <v>-5593.1163879492369</v>
      </c>
      <c r="E30" s="645">
        <v>0</v>
      </c>
      <c r="F30" s="621"/>
      <c r="G30" s="637"/>
      <c r="H30" s="444">
        <f t="shared" si="1"/>
        <v>163726.10631173704</v>
      </c>
      <c r="I30" s="370"/>
      <c r="J30" s="772"/>
      <c r="K30" s="430"/>
    </row>
    <row r="31" spans="1:11">
      <c r="A31" s="39">
        <v>24</v>
      </c>
      <c r="B31" s="370" t="s">
        <v>2693</v>
      </c>
      <c r="C31" s="454">
        <f>'WS5-BPUz'!M13+'WS6-BPUr'!M10</f>
        <v>100520.77370208946</v>
      </c>
      <c r="D31" s="454">
        <f>'WS5-BPUz'!N13+'WS6-BPUr'!N10</f>
        <v>-3320.4994551604145</v>
      </c>
      <c r="E31" s="645">
        <v>0</v>
      </c>
      <c r="F31" s="621"/>
      <c r="G31" s="637"/>
      <c r="H31" s="444">
        <f t="shared" si="1"/>
        <v>97200.274246929039</v>
      </c>
      <c r="I31" s="370"/>
      <c r="J31" s="772"/>
      <c r="K31" s="430"/>
    </row>
    <row r="32" spans="1:11">
      <c r="A32" s="39">
        <v>25</v>
      </c>
      <c r="B32" s="856" t="s">
        <v>2694</v>
      </c>
      <c r="C32" s="454">
        <f>'WS5-BPUz'!M14+'WS6-BPUr'!M11</f>
        <v>488871.30209178413</v>
      </c>
      <c r="D32" s="454">
        <f>'WS5-BPUz'!N14+'WS6-BPUr'!N11</f>
        <v>-16148.869855003808</v>
      </c>
      <c r="E32" s="646">
        <v>0</v>
      </c>
      <c r="F32" s="620"/>
      <c r="G32" s="617"/>
      <c r="H32" s="444">
        <f t="shared" si="1"/>
        <v>472722.43223678035</v>
      </c>
      <c r="I32" s="370"/>
      <c r="J32" s="772"/>
      <c r="K32" s="430"/>
    </row>
    <row r="33" spans="1:10">
      <c r="A33" s="39">
        <v>26</v>
      </c>
      <c r="B33" s="386" t="s">
        <v>72</v>
      </c>
      <c r="C33" s="387"/>
      <c r="D33" s="387"/>
      <c r="E33" s="387"/>
      <c r="F33" s="387"/>
      <c r="G33" s="387"/>
      <c r="H33" s="448">
        <f>SUM(H24:H32)</f>
        <v>1887733.5608891668</v>
      </c>
      <c r="I33" s="857"/>
      <c r="J33" s="351"/>
    </row>
    <row r="34" spans="1:10">
      <c r="A34" s="39">
        <v>27</v>
      </c>
      <c r="B34" s="370" t="s">
        <v>2626</v>
      </c>
      <c r="C34" s="857"/>
      <c r="D34" s="857"/>
      <c r="E34" s="857"/>
      <c r="F34" s="857"/>
      <c r="G34" s="857"/>
      <c r="H34" s="499"/>
      <c r="I34" s="857"/>
      <c r="J34" s="351"/>
    </row>
    <row r="35" spans="1:10">
      <c r="A35" s="39">
        <v>28</v>
      </c>
      <c r="B35" s="370" t="s">
        <v>2625</v>
      </c>
      <c r="C35" s="857"/>
      <c r="D35" s="857"/>
      <c r="E35" s="857"/>
      <c r="F35" s="857"/>
      <c r="G35" s="857"/>
      <c r="H35" s="499"/>
      <c r="I35" s="857"/>
      <c r="J35" s="351"/>
    </row>
    <row r="36" spans="1:10">
      <c r="A36" s="39">
        <v>29</v>
      </c>
      <c r="B36" s="370" t="s">
        <v>2649</v>
      </c>
      <c r="C36" s="857"/>
      <c r="D36" s="857"/>
      <c r="E36" s="857"/>
      <c r="F36" s="857"/>
      <c r="G36" s="857"/>
      <c r="H36" s="499"/>
      <c r="I36" s="857"/>
      <c r="J36" s="351"/>
    </row>
    <row r="37" spans="1:10" ht="15" thickBot="1">
      <c r="A37" s="41">
        <v>30</v>
      </c>
      <c r="B37" s="34" t="s">
        <v>2750</v>
      </c>
      <c r="C37" s="630"/>
      <c r="D37" s="630"/>
      <c r="E37" s="630"/>
      <c r="F37" s="630"/>
      <c r="G37" s="630"/>
      <c r="H37" s="858"/>
      <c r="I37" s="630"/>
      <c r="J37" s="358"/>
    </row>
    <row r="38" spans="1:10">
      <c r="A38" s="747"/>
      <c r="B38" s="746"/>
      <c r="C38" s="382"/>
      <c r="D38" s="382"/>
      <c r="E38" s="382"/>
      <c r="F38" s="382"/>
      <c r="G38" s="382"/>
      <c r="H38" s="499"/>
      <c r="I38" s="382"/>
      <c r="J38" s="382"/>
    </row>
    <row r="39" spans="1:10">
      <c r="A39" s="747"/>
      <c r="B39" s="746"/>
      <c r="C39" s="382"/>
      <c r="D39" s="382"/>
      <c r="E39" s="382"/>
      <c r="F39" s="382"/>
      <c r="G39" s="382"/>
      <c r="H39" s="499"/>
      <c r="I39" s="382"/>
      <c r="J39" s="382"/>
    </row>
    <row r="40" spans="1:10">
      <c r="A40" s="747"/>
      <c r="B40" s="746"/>
      <c r="C40" s="382"/>
      <c r="D40" s="382"/>
      <c r="E40" s="382"/>
      <c r="F40" s="382"/>
      <c r="G40" s="382"/>
      <c r="H40" s="499"/>
      <c r="I40" s="382"/>
      <c r="J40" s="382"/>
    </row>
    <row r="41" spans="1:10">
      <c r="B41" s="745"/>
    </row>
    <row r="42" spans="1:10">
      <c r="B42" s="631"/>
    </row>
    <row r="43" spans="1:10">
      <c r="B43" s="631"/>
    </row>
    <row r="44" spans="1:10">
      <c r="B44" s="631"/>
    </row>
    <row r="45" spans="1:10">
      <c r="B45" s="631"/>
    </row>
    <row r="46" spans="1:10">
      <c r="B46" s="631"/>
    </row>
  </sheetData>
  <hyperlinks>
    <hyperlink ref="H1" location="'Cover Sheets'!A16" display="(Back to Worksheet Links)" xr:uid="{000A7C06-479A-4AD1-9F58-6AF23D8B1056}"/>
  </hyperlinks>
  <pageMargins left="0.7" right="0.7" top="0.75" bottom="0.75" header="0.3" footer="0.3"/>
  <pageSetup scale="6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9214-4285-468C-9080-8D6CF3D8C9F3}">
  <sheetPr>
    <pageSetUpPr fitToPage="1"/>
  </sheetPr>
  <dimension ref="A1:J56"/>
  <sheetViews>
    <sheetView zoomScale="90" zoomScaleNormal="90" workbookViewId="0">
      <selection activeCell="B2" sqref="B2:G4"/>
    </sheetView>
  </sheetViews>
  <sheetFormatPr defaultRowHeight="14.5"/>
  <cols>
    <col min="2" max="2" width="10.54296875" bestFit="1" customWidth="1"/>
    <col min="3" max="3" width="13.54296875" bestFit="1" customWidth="1"/>
    <col min="4" max="4" width="16.54296875" customWidth="1"/>
    <col min="5" max="6" width="18" bestFit="1" customWidth="1"/>
    <col min="7" max="7" width="93.1796875" bestFit="1" customWidth="1"/>
  </cols>
  <sheetData>
    <row r="1" spans="1:10" ht="15" thickBot="1">
      <c r="A1" s="859"/>
      <c r="B1" s="860"/>
      <c r="C1" s="860"/>
      <c r="D1" s="860"/>
      <c r="E1" s="860"/>
      <c r="F1" s="860"/>
      <c r="G1" s="861"/>
    </row>
    <row r="2" spans="1:10" ht="15" customHeight="1">
      <c r="A2" s="862"/>
      <c r="B2" s="887" t="s">
        <v>2645</v>
      </c>
      <c r="C2" s="888"/>
      <c r="D2" s="888"/>
      <c r="E2" s="888"/>
      <c r="F2" s="888"/>
      <c r="G2" s="889"/>
      <c r="H2" s="736"/>
      <c r="I2" s="736"/>
      <c r="J2" s="736"/>
    </row>
    <row r="3" spans="1:10" ht="15" customHeight="1">
      <c r="A3" s="862"/>
      <c r="B3" s="890"/>
      <c r="C3" s="891"/>
      <c r="D3" s="891"/>
      <c r="E3" s="891"/>
      <c r="F3" s="891"/>
      <c r="G3" s="892"/>
      <c r="H3" s="736"/>
      <c r="I3" s="736"/>
      <c r="J3" s="736"/>
    </row>
    <row r="4" spans="1:10" ht="15" customHeight="1" thickBot="1">
      <c r="A4" s="862"/>
      <c r="B4" s="893"/>
      <c r="C4" s="894"/>
      <c r="D4" s="894"/>
      <c r="E4" s="894"/>
      <c r="F4" s="894"/>
      <c r="G4" s="895"/>
      <c r="H4" s="736"/>
      <c r="I4" s="736"/>
      <c r="J4" s="736"/>
    </row>
    <row r="5" spans="1:10">
      <c r="A5" s="862"/>
      <c r="B5" s="863"/>
      <c r="C5" s="863"/>
      <c r="D5" s="863"/>
      <c r="E5" s="863"/>
      <c r="F5" s="863"/>
      <c r="G5" s="864"/>
    </row>
    <row r="6" spans="1:10">
      <c r="A6" s="862" t="s">
        <v>50</v>
      </c>
      <c r="B6" s="865" t="s">
        <v>2554</v>
      </c>
      <c r="C6" s="865" t="s">
        <v>2555</v>
      </c>
      <c r="D6" s="865" t="s">
        <v>2556</v>
      </c>
      <c r="E6" s="524" t="s">
        <v>2557</v>
      </c>
      <c r="F6" s="524" t="s">
        <v>2558</v>
      </c>
      <c r="G6" s="866" t="s">
        <v>2559</v>
      </c>
    </row>
    <row r="7" spans="1:10">
      <c r="A7" s="862" t="s">
        <v>44</v>
      </c>
      <c r="B7" s="525" t="s">
        <v>51</v>
      </c>
      <c r="C7" s="525" t="s">
        <v>52</v>
      </c>
      <c r="D7" s="525" t="s">
        <v>53</v>
      </c>
      <c r="E7" s="525" t="s">
        <v>54</v>
      </c>
      <c r="F7" s="525" t="s">
        <v>55</v>
      </c>
      <c r="G7" s="867" t="s">
        <v>75</v>
      </c>
    </row>
    <row r="8" spans="1:10">
      <c r="A8" s="868">
        <v>1</v>
      </c>
      <c r="B8" s="869">
        <v>45170</v>
      </c>
      <c r="C8" s="863" t="s">
        <v>9</v>
      </c>
      <c r="D8" s="870" t="s">
        <v>2777</v>
      </c>
      <c r="E8" s="508"/>
      <c r="F8" s="508"/>
      <c r="G8" s="864" t="s">
        <v>2647</v>
      </c>
    </row>
    <row r="9" spans="1:10">
      <c r="A9" s="868">
        <v>2</v>
      </c>
      <c r="B9" s="869">
        <v>45170</v>
      </c>
      <c r="C9" s="863" t="s">
        <v>9</v>
      </c>
      <c r="D9" s="870" t="s">
        <v>2778</v>
      </c>
      <c r="E9" s="508"/>
      <c r="F9" s="508"/>
      <c r="G9" s="864" t="s">
        <v>2647</v>
      </c>
    </row>
    <row r="10" spans="1:10">
      <c r="A10" s="868">
        <v>3</v>
      </c>
      <c r="B10" s="869">
        <v>45170</v>
      </c>
      <c r="C10" s="863" t="s">
        <v>9</v>
      </c>
      <c r="D10" s="870" t="s">
        <v>2779</v>
      </c>
      <c r="E10" s="508"/>
      <c r="F10" s="508"/>
      <c r="G10" s="864" t="s">
        <v>2647</v>
      </c>
    </row>
    <row r="11" spans="1:10">
      <c r="A11" s="868">
        <v>7</v>
      </c>
      <c r="B11" s="869">
        <v>45170</v>
      </c>
      <c r="C11" s="863" t="s">
        <v>9</v>
      </c>
      <c r="D11" s="870" t="s">
        <v>2778</v>
      </c>
      <c r="E11" s="508"/>
      <c r="F11" s="508"/>
      <c r="G11" s="864" t="s">
        <v>2646</v>
      </c>
    </row>
    <row r="12" spans="1:10">
      <c r="A12" s="868">
        <v>8</v>
      </c>
      <c r="B12" s="869">
        <v>45170</v>
      </c>
      <c r="C12" s="863" t="s">
        <v>9</v>
      </c>
      <c r="D12" s="870" t="s">
        <v>2779</v>
      </c>
      <c r="E12" s="508"/>
      <c r="F12" s="863"/>
      <c r="G12" s="864" t="s">
        <v>2646</v>
      </c>
    </row>
    <row r="13" spans="1:10">
      <c r="A13" s="868">
        <v>10</v>
      </c>
      <c r="B13" s="869">
        <v>45170</v>
      </c>
      <c r="C13" s="863" t="s">
        <v>19</v>
      </c>
      <c r="D13" s="870" t="s">
        <v>339</v>
      </c>
      <c r="E13" s="863"/>
      <c r="F13" s="863"/>
      <c r="G13" s="864" t="s">
        <v>2696</v>
      </c>
    </row>
    <row r="14" spans="1:10">
      <c r="A14" s="868">
        <v>11</v>
      </c>
      <c r="B14" s="869">
        <v>45170</v>
      </c>
      <c r="C14" s="863" t="s">
        <v>19</v>
      </c>
      <c r="D14" s="870" t="s">
        <v>2695</v>
      </c>
      <c r="E14" s="508"/>
      <c r="F14" s="863"/>
      <c r="G14" s="864" t="s">
        <v>2697</v>
      </c>
    </row>
    <row r="15" spans="1:10">
      <c r="A15" s="868">
        <v>12</v>
      </c>
      <c r="B15" s="869">
        <v>45170</v>
      </c>
      <c r="C15" s="863" t="s">
        <v>21</v>
      </c>
      <c r="D15" s="870" t="s">
        <v>2698</v>
      </c>
      <c r="E15" s="863"/>
      <c r="F15" s="863"/>
      <c r="G15" s="864" t="s">
        <v>2696</v>
      </c>
    </row>
    <row r="16" spans="1:10">
      <c r="A16" s="868">
        <v>13</v>
      </c>
      <c r="B16" s="869">
        <v>45170</v>
      </c>
      <c r="C16" s="863" t="s">
        <v>21</v>
      </c>
      <c r="D16" s="870" t="s">
        <v>2695</v>
      </c>
      <c r="E16" s="508"/>
      <c r="F16" s="863"/>
      <c r="G16" s="864" t="s">
        <v>2697</v>
      </c>
    </row>
    <row r="17" spans="1:7">
      <c r="A17" s="868">
        <v>14</v>
      </c>
      <c r="B17" s="869">
        <v>45170</v>
      </c>
      <c r="C17" s="863" t="s">
        <v>9</v>
      </c>
      <c r="D17" s="870" t="s">
        <v>2751</v>
      </c>
      <c r="E17" s="508"/>
      <c r="F17" s="508"/>
      <c r="G17" s="864" t="s">
        <v>2754</v>
      </c>
    </row>
    <row r="18" spans="1:7">
      <c r="A18" s="868">
        <v>15</v>
      </c>
      <c r="B18" s="869">
        <v>45170</v>
      </c>
      <c r="C18" s="863" t="s">
        <v>2752</v>
      </c>
      <c r="D18" s="870" t="s">
        <v>2753</v>
      </c>
      <c r="E18" s="526"/>
      <c r="F18" s="526"/>
      <c r="G18" s="864" t="s">
        <v>2755</v>
      </c>
    </row>
    <row r="19" spans="1:7">
      <c r="A19" s="862"/>
      <c r="B19" s="869"/>
      <c r="C19" s="863"/>
      <c r="D19" s="870"/>
      <c r="E19" s="526"/>
      <c r="F19" s="526"/>
      <c r="G19" s="864"/>
    </row>
    <row r="20" spans="1:7">
      <c r="A20" s="862"/>
      <c r="B20" s="869"/>
      <c r="C20" s="863"/>
      <c r="D20" s="870"/>
      <c r="E20" s="526"/>
      <c r="F20" s="526"/>
      <c r="G20" s="864"/>
    </row>
    <row r="21" spans="1:7">
      <c r="A21" s="862"/>
      <c r="B21" s="869"/>
      <c r="C21" s="863"/>
      <c r="D21" s="870"/>
      <c r="E21" s="526"/>
      <c r="F21" s="526"/>
      <c r="G21" s="864"/>
    </row>
    <row r="22" spans="1:7">
      <c r="A22" s="862"/>
      <c r="B22" s="869"/>
      <c r="C22" s="863"/>
      <c r="D22" s="870"/>
      <c r="E22" s="526"/>
      <c r="F22" s="526"/>
      <c r="G22" s="864"/>
    </row>
    <row r="23" spans="1:7">
      <c r="A23" s="862"/>
      <c r="B23" s="869"/>
      <c r="C23" s="863"/>
      <c r="D23" s="870"/>
      <c r="E23" s="526"/>
      <c r="F23" s="526"/>
      <c r="G23" s="864"/>
    </row>
    <row r="24" spans="1:7">
      <c r="A24" s="862"/>
      <c r="B24" s="869"/>
      <c r="C24" s="863"/>
      <c r="D24" s="870"/>
      <c r="E24" s="526"/>
      <c r="F24" s="526"/>
      <c r="G24" s="864"/>
    </row>
    <row r="25" spans="1:7">
      <c r="A25" s="862"/>
      <c r="B25" s="869"/>
      <c r="C25" s="863"/>
      <c r="D25" s="870"/>
      <c r="E25" s="508"/>
      <c r="F25" s="508"/>
      <c r="G25" s="864"/>
    </row>
    <row r="26" spans="1:7">
      <c r="A26" s="862"/>
      <c r="B26" s="869"/>
      <c r="C26" s="863"/>
      <c r="D26" s="870"/>
      <c r="E26" s="508"/>
      <c r="F26" s="508"/>
      <c r="G26" s="864"/>
    </row>
    <row r="27" spans="1:7">
      <c r="A27" s="862"/>
      <c r="B27" s="869"/>
      <c r="C27" s="863"/>
      <c r="D27" s="870"/>
      <c r="E27" s="508"/>
      <c r="F27" s="508"/>
      <c r="G27" s="864"/>
    </row>
    <row r="28" spans="1:7">
      <c r="A28" s="862"/>
      <c r="B28" s="869"/>
      <c r="C28" s="863"/>
      <c r="D28" s="870"/>
      <c r="E28" s="508"/>
      <c r="F28" s="508"/>
      <c r="G28" s="864"/>
    </row>
    <row r="29" spans="1:7" ht="15" thickBot="1">
      <c r="A29" s="871"/>
      <c r="B29" s="872"/>
      <c r="C29" s="872"/>
      <c r="D29" s="873"/>
      <c r="E29" s="874"/>
      <c r="F29" s="874"/>
      <c r="G29" s="875"/>
    </row>
    <row r="30" spans="1:7">
      <c r="B30" s="470"/>
      <c r="D30" s="471"/>
      <c r="E30" s="472"/>
      <c r="F30" s="472"/>
    </row>
    <row r="31" spans="1:7">
      <c r="B31" s="470"/>
      <c r="D31" s="471"/>
      <c r="E31" s="472"/>
      <c r="F31" s="472"/>
    </row>
    <row r="32" spans="1:7">
      <c r="B32" s="470"/>
      <c r="D32" s="471"/>
    </row>
    <row r="33" spans="2:6">
      <c r="B33" s="470"/>
      <c r="D33" s="471"/>
      <c r="E33" s="473"/>
      <c r="F33" s="473"/>
    </row>
    <row r="34" spans="2:6">
      <c r="B34" s="470"/>
      <c r="D34" s="471"/>
      <c r="E34" s="473"/>
      <c r="F34" s="473"/>
    </row>
    <row r="35" spans="2:6">
      <c r="B35" s="470"/>
      <c r="D35" s="471"/>
      <c r="E35" s="473"/>
      <c r="F35" s="473"/>
    </row>
    <row r="36" spans="2:6">
      <c r="B36" s="470"/>
      <c r="D36" s="471"/>
      <c r="E36" s="473"/>
    </row>
    <row r="37" spans="2:6">
      <c r="B37" s="470"/>
      <c r="D37" s="471"/>
    </row>
    <row r="38" spans="2:6">
      <c r="B38" s="470"/>
      <c r="D38" s="471"/>
    </row>
    <row r="39" spans="2:6">
      <c r="B39" s="470"/>
      <c r="D39" s="471"/>
    </row>
    <row r="40" spans="2:6">
      <c r="B40" s="470"/>
      <c r="D40" s="471"/>
    </row>
    <row r="41" spans="2:6">
      <c r="B41" s="470"/>
      <c r="D41" s="471"/>
    </row>
    <row r="42" spans="2:6">
      <c r="B42" s="470"/>
      <c r="D42" s="471"/>
    </row>
    <row r="43" spans="2:6">
      <c r="B43" s="470"/>
      <c r="D43" s="471"/>
    </row>
    <row r="44" spans="2:6">
      <c r="B44" s="470"/>
      <c r="D44" s="471"/>
    </row>
    <row r="45" spans="2:6">
      <c r="B45" s="470"/>
      <c r="D45" s="471"/>
      <c r="E45" s="474"/>
      <c r="F45" s="474"/>
    </row>
    <row r="46" spans="2:6">
      <c r="B46" s="470"/>
      <c r="D46" s="471"/>
      <c r="E46" s="473"/>
      <c r="F46" s="473"/>
    </row>
    <row r="47" spans="2:6">
      <c r="B47" s="470"/>
      <c r="D47" s="471"/>
      <c r="E47" s="473"/>
      <c r="F47" s="473"/>
    </row>
    <row r="48" spans="2:6">
      <c r="B48" s="470"/>
      <c r="D48" s="471"/>
      <c r="E48" s="473"/>
      <c r="F48" s="473"/>
    </row>
    <row r="49" spans="2:6">
      <c r="B49" s="470"/>
      <c r="D49" s="471"/>
      <c r="E49" s="473"/>
      <c r="F49" s="473"/>
    </row>
    <row r="50" spans="2:6">
      <c r="B50" s="470"/>
      <c r="D50" s="471"/>
      <c r="E50" s="473"/>
      <c r="F50" s="473"/>
    </row>
    <row r="51" spans="2:6">
      <c r="B51" s="470"/>
      <c r="D51" s="471"/>
      <c r="E51" s="473"/>
      <c r="F51" s="473"/>
    </row>
    <row r="52" spans="2:6">
      <c r="B52" s="470"/>
      <c r="D52" s="471"/>
      <c r="E52" s="473"/>
      <c r="F52" s="473"/>
    </row>
    <row r="53" spans="2:6">
      <c r="B53" s="470"/>
      <c r="D53" s="471"/>
      <c r="E53" s="473"/>
      <c r="F53" s="473"/>
    </row>
    <row r="54" spans="2:6">
      <c r="B54" s="470"/>
      <c r="D54" s="471"/>
      <c r="E54" s="473"/>
      <c r="F54" s="473"/>
    </row>
    <row r="55" spans="2:6">
      <c r="B55" s="470"/>
      <c r="D55" s="471"/>
      <c r="E55" s="473"/>
      <c r="F55" s="473"/>
    </row>
    <row r="56" spans="2:6">
      <c r="B56" s="470"/>
      <c r="D56" s="471"/>
      <c r="E56" s="473"/>
      <c r="F56" s="473"/>
    </row>
  </sheetData>
  <mergeCells count="1">
    <mergeCell ref="B2:G4"/>
  </mergeCells>
  <pageMargins left="0.7" right="0.7" top="0.75" bottom="0.75" header="0.3" footer="0.3"/>
  <pageSetup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E601-9A16-48B6-8F6D-19C517721036}">
  <dimension ref="A1:T173"/>
  <sheetViews>
    <sheetView view="pageBreakPreview" zoomScale="80" zoomScaleNormal="75" zoomScaleSheetLayoutView="80" workbookViewId="0"/>
  </sheetViews>
  <sheetFormatPr defaultColWidth="9.453125" defaultRowHeight="13"/>
  <cols>
    <col min="1" max="1" width="7.54296875" style="763" customWidth="1"/>
    <col min="2" max="2" width="54.453125" style="763" customWidth="1"/>
    <col min="3" max="3" width="24.54296875" style="763" customWidth="1"/>
    <col min="4" max="4" width="20" style="763" customWidth="1"/>
    <col min="5" max="5" width="13.453125" style="766" customWidth="1"/>
    <col min="6" max="6" width="14.453125" style="765" customWidth="1"/>
    <col min="7" max="7" width="13.453125" style="763" customWidth="1"/>
    <col min="8" max="8" width="17.453125" style="763" customWidth="1"/>
    <col min="9" max="9" width="15.54296875" style="763" customWidth="1"/>
    <col min="10" max="10" width="23.453125" style="764" customWidth="1"/>
    <col min="11" max="11" width="21.453125" style="764" customWidth="1"/>
    <col min="12" max="12" width="20.54296875" style="764" customWidth="1"/>
    <col min="13" max="13" width="19.54296875" style="764" customWidth="1"/>
    <col min="14" max="14" width="22.453125" style="764" customWidth="1"/>
    <col min="15" max="15" width="15.54296875" style="764" customWidth="1"/>
    <col min="16" max="16384" width="9.453125" style="763"/>
  </cols>
  <sheetData>
    <row r="1" spans="1:10" ht="14.5">
      <c r="A1" s="735" t="str">
        <f>'Cover Sheets'!A10:B10</f>
        <v>WAPA-UGP 2024 Rate Estimate Calculation</v>
      </c>
      <c r="B1" s="102"/>
      <c r="C1" s="102"/>
      <c r="D1" s="102"/>
      <c r="E1" s="96"/>
      <c r="F1" s="108"/>
      <c r="G1" s="108"/>
      <c r="H1" s="108"/>
      <c r="I1" s="107"/>
      <c r="J1" s="326" t="s">
        <v>41</v>
      </c>
    </row>
    <row r="2" spans="1:10">
      <c r="A2" s="842" t="s">
        <v>83</v>
      </c>
      <c r="B2" s="746"/>
      <c r="C2" s="746"/>
      <c r="D2" s="761"/>
      <c r="E2" s="747"/>
      <c r="F2" s="751"/>
      <c r="G2" s="746"/>
      <c r="H2" s="751"/>
      <c r="I2" s="46"/>
    </row>
    <row r="3" spans="1:10">
      <c r="A3" s="843" t="s">
        <v>84</v>
      </c>
      <c r="B3" s="746"/>
      <c r="C3" s="746"/>
      <c r="D3" s="761"/>
      <c r="E3" s="747"/>
      <c r="F3" s="751"/>
      <c r="G3" s="746"/>
      <c r="H3" s="751"/>
      <c r="I3" s="46"/>
    </row>
    <row r="4" spans="1:10">
      <c r="A4" s="842" t="str">
        <f>'Summary-ATRR'!A3</f>
        <v>12 Months Ending 09/30/2024 ESTIMATE</v>
      </c>
      <c r="C4" s="746"/>
      <c r="D4" s="761"/>
      <c r="E4" s="747"/>
      <c r="F4" s="751"/>
      <c r="G4" s="746"/>
      <c r="H4" s="760" t="s">
        <v>43</v>
      </c>
      <c r="I4" s="46"/>
    </row>
    <row r="5" spans="1:10">
      <c r="A5" s="39" t="s">
        <v>44</v>
      </c>
      <c r="B5" s="746"/>
      <c r="C5" s="760" t="s">
        <v>45</v>
      </c>
      <c r="D5" s="760" t="s">
        <v>85</v>
      </c>
      <c r="E5" s="760" t="s">
        <v>47</v>
      </c>
      <c r="F5" s="751"/>
      <c r="G5" s="746"/>
      <c r="H5" s="760" t="s">
        <v>86</v>
      </c>
      <c r="I5" s="748"/>
    </row>
    <row r="6" spans="1:10" ht="13.5" thickBot="1">
      <c r="A6" s="41" t="s">
        <v>50</v>
      </c>
      <c r="B6" s="47" t="s">
        <v>51</v>
      </c>
      <c r="C6" s="47" t="s">
        <v>52</v>
      </c>
      <c r="D6" s="47" t="s">
        <v>53</v>
      </c>
      <c r="E6" s="47"/>
      <c r="F6" s="104" t="s">
        <v>54</v>
      </c>
      <c r="G6" s="34"/>
      <c r="H6" s="103" t="s">
        <v>55</v>
      </c>
      <c r="I6" s="749"/>
    </row>
    <row r="7" spans="1:10">
      <c r="A7" s="759">
        <v>1</v>
      </c>
      <c r="B7" s="102" t="s">
        <v>87</v>
      </c>
      <c r="C7" s="304" t="str">
        <f>"(L"&amp;A90&amp;")"</f>
        <v>(L69)</v>
      </c>
      <c r="D7" s="101">
        <f>+H90</f>
        <v>159291524.12250188</v>
      </c>
      <c r="E7" s="98"/>
      <c r="F7" s="108"/>
      <c r="G7" s="102"/>
      <c r="H7" s="467">
        <f>+H90</f>
        <v>159291524.12250188</v>
      </c>
      <c r="I7" s="95"/>
    </row>
    <row r="8" spans="1:10">
      <c r="A8" s="39">
        <f>A7+1</f>
        <v>2</v>
      </c>
      <c r="B8" s="746" t="s">
        <v>58</v>
      </c>
      <c r="C8" s="100" t="s">
        <v>88</v>
      </c>
      <c r="D8" s="308">
        <f>'Summary-ATRR'!D14</f>
        <v>-23202890.008705221</v>
      </c>
      <c r="E8" s="752"/>
      <c r="F8" s="751"/>
      <c r="G8" s="746"/>
      <c r="H8" s="222">
        <f>'Summary-ATRR'!H14</f>
        <v>-23202890.008705221</v>
      </c>
      <c r="I8" s="776"/>
    </row>
    <row r="9" spans="1:10">
      <c r="A9" s="39">
        <f>A8+1</f>
        <v>3</v>
      </c>
      <c r="B9" s="746" t="s">
        <v>2576</v>
      </c>
      <c r="C9" s="100"/>
      <c r="D9" s="222">
        <f>'Summary-ATRR'!D15</f>
        <v>-2291811</v>
      </c>
      <c r="E9" s="752"/>
      <c r="F9" s="751"/>
      <c r="G9" s="746"/>
      <c r="H9" s="222">
        <f>D9</f>
        <v>-2291811</v>
      </c>
      <c r="I9" s="748"/>
    </row>
    <row r="10" spans="1:10" ht="13.5" thickBot="1">
      <c r="A10" s="39">
        <f>A9+1</f>
        <v>4</v>
      </c>
      <c r="B10" s="34" t="s">
        <v>89</v>
      </c>
      <c r="C10" s="834" t="str">
        <f>"(L"&amp;A7&amp;" + L"&amp;A8&amp;" + L"&amp;A9&amp;")"</f>
        <v>(L1 + L2 + L3)</v>
      </c>
      <c r="D10" s="457">
        <f>+D7+D8+D9</f>
        <v>133796823.11379665</v>
      </c>
      <c r="E10" s="78"/>
      <c r="F10" s="42"/>
      <c r="G10" s="767"/>
      <c r="H10" s="457">
        <f>+H7+H8+H9</f>
        <v>133796823.11379665</v>
      </c>
      <c r="I10" s="777"/>
    </row>
    <row r="11" spans="1:10">
      <c r="A11" s="759"/>
      <c r="B11" s="817" t="s">
        <v>90</v>
      </c>
      <c r="C11" s="304"/>
      <c r="D11" s="304"/>
      <c r="E11" s="98"/>
      <c r="F11" s="97"/>
      <c r="G11" s="841"/>
      <c r="H11" s="747" t="s">
        <v>91</v>
      </c>
      <c r="I11" s="95"/>
    </row>
    <row r="12" spans="1:10">
      <c r="A12" s="39"/>
      <c r="B12" s="746" t="s">
        <v>92</v>
      </c>
      <c r="C12" s="757" t="s">
        <v>93</v>
      </c>
      <c r="D12" s="757"/>
      <c r="E12" s="80"/>
      <c r="F12" s="65"/>
      <c r="G12" s="837"/>
      <c r="H12" s="769"/>
      <c r="I12" s="776"/>
    </row>
    <row r="13" spans="1:10">
      <c r="A13" s="39">
        <f>A10+1</f>
        <v>5</v>
      </c>
      <c r="B13" s="746" t="s">
        <v>94</v>
      </c>
      <c r="C13" s="100" t="s">
        <v>95</v>
      </c>
      <c r="D13" s="94">
        <f>'WS4-CostData'!C9+'WS4-CostData'!E9+'WS4-CostData'!G9</f>
        <v>1272004993.010385</v>
      </c>
      <c r="E13" s="80" t="s">
        <v>60</v>
      </c>
      <c r="F13" s="73" t="s">
        <v>96</v>
      </c>
      <c r="G13" s="837"/>
      <c r="H13" s="769" t="s">
        <v>96</v>
      </c>
      <c r="I13" s="776"/>
    </row>
    <row r="14" spans="1:10">
      <c r="A14" s="39">
        <f>A13+1</f>
        <v>6</v>
      </c>
      <c r="B14" s="746" t="s">
        <v>97</v>
      </c>
      <c r="C14" s="100" t="s">
        <v>98</v>
      </c>
      <c r="D14" s="94">
        <f>'WS4-CostData'!C8+'WS4-CostData'!E8+'WS4-CostData'!G8</f>
        <v>1607999966.8721147</v>
      </c>
      <c r="E14" s="80" t="s">
        <v>67</v>
      </c>
      <c r="F14" s="73">
        <f>H103</f>
        <v>1</v>
      </c>
      <c r="G14" s="837"/>
      <c r="H14" s="770">
        <f>+F14*D14</f>
        <v>1607999966.8721147</v>
      </c>
      <c r="I14" s="776"/>
    </row>
    <row r="15" spans="1:10">
      <c r="A15" s="39">
        <f>A14+1</f>
        <v>7</v>
      </c>
      <c r="B15" s="746" t="s">
        <v>99</v>
      </c>
      <c r="C15" s="100" t="s">
        <v>100</v>
      </c>
      <c r="D15" s="94">
        <f>'WS4-CostData'!C7-'WS4-CostData'!C8-'WS4-CostData'!C9</f>
        <v>77352667.860001415</v>
      </c>
      <c r="E15" s="80" t="s">
        <v>60</v>
      </c>
      <c r="F15" s="73" t="s">
        <v>96</v>
      </c>
      <c r="G15" s="837"/>
      <c r="H15" s="770" t="s">
        <v>96</v>
      </c>
      <c r="I15" s="93"/>
    </row>
    <row r="16" spans="1:10" ht="26">
      <c r="A16" s="39">
        <f>A15+1</f>
        <v>8</v>
      </c>
      <c r="B16" s="798" t="s">
        <v>101</v>
      </c>
      <c r="C16" s="86" t="s">
        <v>102</v>
      </c>
      <c r="D16" s="92">
        <v>0</v>
      </c>
      <c r="E16" s="84" t="s">
        <v>103</v>
      </c>
      <c r="F16" s="83">
        <f>H111</f>
        <v>1</v>
      </c>
      <c r="G16" s="82"/>
      <c r="H16" s="839">
        <f>+F16*D16</f>
        <v>0</v>
      </c>
      <c r="I16" s="776"/>
    </row>
    <row r="17" spans="1:9">
      <c r="A17" s="39">
        <f>A16+1</f>
        <v>9</v>
      </c>
      <c r="B17" s="746" t="s">
        <v>104</v>
      </c>
      <c r="C17" s="757"/>
      <c r="D17" s="91">
        <v>0</v>
      </c>
      <c r="E17" s="80" t="s">
        <v>105</v>
      </c>
      <c r="F17" s="73">
        <f>I124</f>
        <v>0</v>
      </c>
      <c r="G17" s="837"/>
      <c r="H17" s="770">
        <f>+F17*D17</f>
        <v>0</v>
      </c>
      <c r="I17" s="776"/>
    </row>
    <row r="18" spans="1:9">
      <c r="A18" s="39">
        <f>A17+1</f>
        <v>10</v>
      </c>
      <c r="B18" s="746" t="s">
        <v>106</v>
      </c>
      <c r="C18" s="757" t="str">
        <f>"(sum L"&amp;A13&amp;" : "&amp;A17&amp;")"</f>
        <v>(sum L5 : 9)</v>
      </c>
      <c r="D18" s="821">
        <f>SUM(D13:D17)</f>
        <v>2957357627.7425013</v>
      </c>
      <c r="E18" s="80" t="s">
        <v>107</v>
      </c>
      <c r="F18" s="87">
        <f>IF(H18&gt;0,H18/D18,0)</f>
        <v>0.54372861495942282</v>
      </c>
      <c r="G18" s="837"/>
      <c r="H18" s="60">
        <f>SUM(H13:H17)</f>
        <v>1607999966.8721147</v>
      </c>
      <c r="I18" s="90"/>
    </row>
    <row r="19" spans="1:9">
      <c r="A19" s="39"/>
      <c r="B19" s="746" t="s">
        <v>108</v>
      </c>
      <c r="C19" s="823"/>
      <c r="D19" s="757"/>
      <c r="E19" s="88"/>
      <c r="F19" s="65"/>
      <c r="G19" s="769"/>
      <c r="H19" s="65"/>
      <c r="I19" s="69"/>
    </row>
    <row r="20" spans="1:9">
      <c r="A20" s="39">
        <f>A18+1</f>
        <v>11</v>
      </c>
      <c r="B20" s="746" t="str">
        <f>+B13</f>
        <v xml:space="preserve">  Production</v>
      </c>
      <c r="C20" s="100" t="s">
        <v>109</v>
      </c>
      <c r="D20" s="757">
        <f>'WS4-CostData'!C20+'WS4-CostData'!E20+'WS4-CostData'!G20</f>
        <v>670731333.40558159</v>
      </c>
      <c r="E20" s="80" t="str">
        <f>+E13</f>
        <v>NA</v>
      </c>
      <c r="F20" s="73" t="str">
        <f>+F13</f>
        <v xml:space="preserve"> </v>
      </c>
      <c r="G20" s="837"/>
      <c r="H20" s="770" t="s">
        <v>96</v>
      </c>
      <c r="I20" s="69"/>
    </row>
    <row r="21" spans="1:9">
      <c r="A21" s="39">
        <f>A20+1</f>
        <v>12</v>
      </c>
      <c r="B21" s="746" t="str">
        <f>+B14</f>
        <v xml:space="preserve">  Transmission</v>
      </c>
      <c r="C21" s="100" t="s">
        <v>110</v>
      </c>
      <c r="D21" s="757">
        <f>'WS4-CostData'!C19+'WS4-CostData'!E19+'WS4-CostData'!G19</f>
        <v>842730043.12553108</v>
      </c>
      <c r="E21" s="80" t="str">
        <f>+E14</f>
        <v>TP</v>
      </c>
      <c r="F21" s="73">
        <f>H103</f>
        <v>1</v>
      </c>
      <c r="G21" s="837"/>
      <c r="H21" s="770">
        <f>+F21*D21</f>
        <v>842730043.12553108</v>
      </c>
      <c r="I21" s="69"/>
    </row>
    <row r="22" spans="1:9">
      <c r="A22" s="39">
        <f>A21+1</f>
        <v>13</v>
      </c>
      <c r="B22" s="746" t="str">
        <f>+B15</f>
        <v xml:space="preserve">  Distribution</v>
      </c>
      <c r="C22" s="100" t="s">
        <v>111</v>
      </c>
      <c r="D22" s="757">
        <f>'WS4-CostData'!C18-'WS4-CostData'!C19-'WS4-CostData'!C20</f>
        <v>40523640.541599534</v>
      </c>
      <c r="E22" s="80" t="str">
        <f>+E15</f>
        <v>NA</v>
      </c>
      <c r="F22" s="73" t="str">
        <f>+F15</f>
        <v xml:space="preserve"> </v>
      </c>
      <c r="G22" s="837"/>
      <c r="H22" s="770" t="s">
        <v>96</v>
      </c>
      <c r="I22" s="69"/>
    </row>
    <row r="23" spans="1:9" ht="26">
      <c r="A23" s="39">
        <f>A22+1</f>
        <v>14</v>
      </c>
      <c r="B23" s="798" t="str">
        <f>+B16</f>
        <v xml:space="preserve">  General &amp; Intangible</v>
      </c>
      <c r="C23" s="86" t="s">
        <v>112</v>
      </c>
      <c r="D23" s="85">
        <v>0</v>
      </c>
      <c r="E23" s="84" t="str">
        <f>+E16</f>
        <v>W/S</v>
      </c>
      <c r="F23" s="83">
        <f>+F16</f>
        <v>1</v>
      </c>
      <c r="G23" s="82"/>
      <c r="H23" s="839">
        <f>+F23*D23</f>
        <v>0</v>
      </c>
      <c r="I23" s="69"/>
    </row>
    <row r="24" spans="1:9">
      <c r="A24" s="39">
        <f>A23+1</f>
        <v>15</v>
      </c>
      <c r="B24" s="746" t="str">
        <f>+B17</f>
        <v xml:space="preserve">  Common</v>
      </c>
      <c r="C24" s="757"/>
      <c r="D24" s="840">
        <v>0</v>
      </c>
      <c r="E24" s="80" t="str">
        <f>+E17</f>
        <v>CE</v>
      </c>
      <c r="F24" s="73">
        <f>+F17</f>
        <v>0</v>
      </c>
      <c r="G24" s="837"/>
      <c r="H24" s="770">
        <f>+F24*D24</f>
        <v>0</v>
      </c>
      <c r="I24" s="776"/>
    </row>
    <row r="25" spans="1:9">
      <c r="A25" s="39">
        <f>A24+1</f>
        <v>16</v>
      </c>
      <c r="B25" s="746" t="s">
        <v>113</v>
      </c>
      <c r="C25" s="823" t="str">
        <f>"(sum L"&amp;A20&amp;" : "&amp;A24&amp;")"</f>
        <v>(sum L11 : 15)</v>
      </c>
      <c r="D25" s="821">
        <f>SUM(D20:D24)</f>
        <v>1553985017.0727122</v>
      </c>
      <c r="E25" s="88"/>
      <c r="F25" s="65"/>
      <c r="G25" s="837"/>
      <c r="H25" s="60">
        <f>SUM(H20:H24)</f>
        <v>842730043.12553108</v>
      </c>
      <c r="I25" s="90"/>
    </row>
    <row r="26" spans="1:9">
      <c r="A26" s="39"/>
      <c r="B26" s="746" t="s">
        <v>114</v>
      </c>
      <c r="C26" s="757"/>
      <c r="D26" s="757"/>
      <c r="E26" s="80"/>
      <c r="F26" s="65"/>
      <c r="G26" s="769"/>
      <c r="H26" s="65"/>
      <c r="I26" s="69"/>
    </row>
    <row r="27" spans="1:9">
      <c r="A27" s="39">
        <f>A25+1</f>
        <v>17</v>
      </c>
      <c r="B27" s="746" t="str">
        <f>+B20</f>
        <v xml:space="preserve">  Production</v>
      </c>
      <c r="C27" s="757" t="str">
        <f>"(L"&amp;A13&amp; " - L"&amp;A20&amp;")"</f>
        <v>(L5 - L11)</v>
      </c>
      <c r="D27" s="757">
        <f>D13-D20</f>
        <v>601273659.60480344</v>
      </c>
      <c r="E27" s="80"/>
      <c r="F27" s="87"/>
      <c r="G27" s="837"/>
      <c r="H27" s="770" t="s">
        <v>96</v>
      </c>
      <c r="I27" s="69"/>
    </row>
    <row r="28" spans="1:9">
      <c r="A28" s="39">
        <f>A27+1</f>
        <v>18</v>
      </c>
      <c r="B28" s="746" t="str">
        <f>+B21</f>
        <v xml:space="preserve">  Transmission</v>
      </c>
      <c r="C28" s="757" t="str">
        <f>"(L"&amp;A14&amp;" - L"&amp;A21&amp;")"</f>
        <v>(L6 - L12)</v>
      </c>
      <c r="D28" s="757">
        <f>D14-D21</f>
        <v>765269923.74658358</v>
      </c>
      <c r="E28" s="80"/>
      <c r="F28" s="73"/>
      <c r="G28" s="837"/>
      <c r="H28" s="770">
        <f>H14-H21</f>
        <v>765269923.74658358</v>
      </c>
      <c r="I28" s="69"/>
    </row>
    <row r="29" spans="1:9">
      <c r="A29" s="39">
        <f>A28+1</f>
        <v>19</v>
      </c>
      <c r="B29" s="746" t="str">
        <f>+B22</f>
        <v xml:space="preserve">  Distribution</v>
      </c>
      <c r="C29" s="757" t="str">
        <f>"(L"&amp;A15&amp;" - L"&amp;A22&amp;")"</f>
        <v>(L7 - L13)</v>
      </c>
      <c r="D29" s="757">
        <f>D15-D22</f>
        <v>36829027.318401881</v>
      </c>
      <c r="E29" s="80"/>
      <c r="F29" s="87"/>
      <c r="G29" s="837"/>
      <c r="H29" s="770" t="s">
        <v>96</v>
      </c>
      <c r="I29" s="69"/>
    </row>
    <row r="30" spans="1:9">
      <c r="A30" s="39">
        <f>A29+1</f>
        <v>20</v>
      </c>
      <c r="B30" s="746" t="str">
        <f>+B23</f>
        <v xml:space="preserve">  General &amp; Intangible</v>
      </c>
      <c r="C30" s="757" t="str">
        <f>"(L"&amp;A16&amp;" - L"&amp;A23&amp;")"</f>
        <v>(L8 - L14)</v>
      </c>
      <c r="D30" s="757">
        <f>D16-D23</f>
        <v>0</v>
      </c>
      <c r="E30" s="80"/>
      <c r="F30" s="87"/>
      <c r="G30" s="837"/>
      <c r="H30" s="770">
        <f>H16-H23</f>
        <v>0</v>
      </c>
      <c r="I30" s="776"/>
    </row>
    <row r="31" spans="1:9">
      <c r="A31" s="39">
        <f>A30+1</f>
        <v>21</v>
      </c>
      <c r="B31" s="746" t="str">
        <f>+B24</f>
        <v xml:space="preserve">  Common</v>
      </c>
      <c r="C31" s="757" t="str">
        <f>"(L"&amp;A17&amp;" - L"&amp;A24&amp;")"</f>
        <v>(L9 - L15)</v>
      </c>
      <c r="D31" s="757">
        <f>D17-D24</f>
        <v>0</v>
      </c>
      <c r="E31" s="80"/>
      <c r="F31" s="87"/>
      <c r="G31" s="837"/>
      <c r="H31" s="770">
        <f>H17-H24</f>
        <v>0</v>
      </c>
      <c r="I31" s="776"/>
    </row>
    <row r="32" spans="1:9">
      <c r="A32" s="39">
        <f>A31+1</f>
        <v>22</v>
      </c>
      <c r="B32" s="746" t="s">
        <v>115</v>
      </c>
      <c r="C32" s="757" t="str">
        <f>"(sum L"&amp;A27&amp;" : "&amp;A31&amp;")"</f>
        <v>(sum L17 : 21)</v>
      </c>
      <c r="D32" s="821">
        <f>SUM(D27:D31)</f>
        <v>1403372610.6697888</v>
      </c>
      <c r="E32" s="80" t="s">
        <v>116</v>
      </c>
      <c r="F32" s="87">
        <f>IF(H32&gt;0,H32/D32,0)</f>
        <v>0.54530772364250613</v>
      </c>
      <c r="G32" s="837"/>
      <c r="H32" s="60">
        <f>SUM(H27:H31)</f>
        <v>765269923.74658358</v>
      </c>
      <c r="I32" s="90"/>
    </row>
    <row r="33" spans="1:9">
      <c r="A33" s="39"/>
      <c r="B33" s="746" t="s">
        <v>117</v>
      </c>
      <c r="C33" s="823" t="s">
        <v>118</v>
      </c>
      <c r="D33" s="757"/>
      <c r="E33" s="88"/>
      <c r="F33" s="65"/>
      <c r="G33" s="769"/>
      <c r="H33" s="65"/>
      <c r="I33" s="776"/>
    </row>
    <row r="34" spans="1:9">
      <c r="A34" s="39">
        <f>A32+1</f>
        <v>23</v>
      </c>
      <c r="B34" s="746" t="s">
        <v>119</v>
      </c>
      <c r="C34" s="757" t="s">
        <v>120</v>
      </c>
      <c r="D34" s="840">
        <v>0</v>
      </c>
      <c r="E34" s="80"/>
      <c r="F34" s="73">
        <v>0</v>
      </c>
      <c r="G34" s="837"/>
      <c r="H34" s="770">
        <v>0</v>
      </c>
      <c r="I34" s="776"/>
    </row>
    <row r="35" spans="1:9">
      <c r="A35" s="39">
        <f t="shared" ref="A35:A40" si="0">A34+1</f>
        <v>24</v>
      </c>
      <c r="B35" s="746" t="s">
        <v>121</v>
      </c>
      <c r="C35" s="757" t="s">
        <v>120</v>
      </c>
      <c r="D35" s="840">
        <v>0</v>
      </c>
      <c r="E35" s="80" t="s">
        <v>122</v>
      </c>
      <c r="F35" s="73">
        <f>+F32</f>
        <v>0.54530772364250613</v>
      </c>
      <c r="G35" s="837"/>
      <c r="H35" s="770">
        <f>D35*F35</f>
        <v>0</v>
      </c>
      <c r="I35" s="69"/>
    </row>
    <row r="36" spans="1:9">
      <c r="A36" s="39">
        <f t="shared" si="0"/>
        <v>25</v>
      </c>
      <c r="B36" s="746" t="s">
        <v>123</v>
      </c>
      <c r="C36" s="757" t="s">
        <v>120</v>
      </c>
      <c r="D36" s="840">
        <v>0</v>
      </c>
      <c r="E36" s="80" t="s">
        <v>122</v>
      </c>
      <c r="F36" s="73">
        <f>+F35</f>
        <v>0.54530772364250613</v>
      </c>
      <c r="G36" s="837"/>
      <c r="H36" s="770">
        <f>D36*F36</f>
        <v>0</v>
      </c>
      <c r="I36" s="89"/>
    </row>
    <row r="37" spans="1:9">
      <c r="A37" s="39">
        <f t="shared" si="0"/>
        <v>26</v>
      </c>
      <c r="B37" s="746" t="s">
        <v>124</v>
      </c>
      <c r="C37" s="757"/>
      <c r="D37" s="840">
        <v>0</v>
      </c>
      <c r="E37" s="80" t="str">
        <f>+E36</f>
        <v>NP</v>
      </c>
      <c r="F37" s="73">
        <f>+F36</f>
        <v>0.54530772364250613</v>
      </c>
      <c r="G37" s="837"/>
      <c r="H37" s="770">
        <f>D37*F37</f>
        <v>0</v>
      </c>
      <c r="I37" s="69"/>
    </row>
    <row r="38" spans="1:9">
      <c r="A38" s="39">
        <f t="shared" si="0"/>
        <v>27</v>
      </c>
      <c r="B38" s="746" t="s">
        <v>125</v>
      </c>
      <c r="C38" s="757" t="s">
        <v>120</v>
      </c>
      <c r="D38" s="840">
        <v>0</v>
      </c>
      <c r="E38" s="80" t="s">
        <v>122</v>
      </c>
      <c r="F38" s="73">
        <f>+F36</f>
        <v>0.54530772364250613</v>
      </c>
      <c r="G38" s="837"/>
      <c r="H38" s="770">
        <f>D38*F38</f>
        <v>0</v>
      </c>
      <c r="I38" s="748"/>
    </row>
    <row r="39" spans="1:9">
      <c r="A39" s="39">
        <f t="shared" si="0"/>
        <v>28</v>
      </c>
      <c r="B39" s="746" t="s">
        <v>126</v>
      </c>
      <c r="C39" s="757" t="str">
        <f>"(sum L"&amp;A34&amp;" : "&amp;A38&amp;")"</f>
        <v>(sum L23 : 27)</v>
      </c>
      <c r="D39" s="821">
        <f>SUM(D34:D38)</f>
        <v>0</v>
      </c>
      <c r="E39" s="80"/>
      <c r="F39" s="65"/>
      <c r="G39" s="837"/>
      <c r="H39" s="60">
        <f>SUM(H34:H38)</f>
        <v>0</v>
      </c>
      <c r="I39" s="829"/>
    </row>
    <row r="40" spans="1:9">
      <c r="A40" s="39">
        <f t="shared" si="0"/>
        <v>29</v>
      </c>
      <c r="B40" s="746" t="s">
        <v>127</v>
      </c>
      <c r="C40" s="823" t="s">
        <v>128</v>
      </c>
      <c r="D40" s="840">
        <v>0</v>
      </c>
      <c r="E40" s="88" t="str">
        <f>+E21</f>
        <v>TP</v>
      </c>
      <c r="F40" s="73">
        <f>+F21</f>
        <v>1</v>
      </c>
      <c r="G40" s="769"/>
      <c r="H40" s="65">
        <f>+F40*D40</f>
        <v>0</v>
      </c>
      <c r="I40" s="748"/>
    </row>
    <row r="41" spans="1:9">
      <c r="A41" s="39"/>
      <c r="B41" s="746" t="s">
        <v>129</v>
      </c>
      <c r="C41" s="100" t="s">
        <v>130</v>
      </c>
      <c r="D41" s="757"/>
      <c r="E41" s="80"/>
      <c r="F41" s="65"/>
      <c r="G41" s="837"/>
      <c r="H41" s="770"/>
      <c r="I41" s="46"/>
    </row>
    <row r="42" spans="1:9">
      <c r="A42" s="39">
        <f>A40+1</f>
        <v>30</v>
      </c>
      <c r="B42" s="746" t="s">
        <v>131</v>
      </c>
      <c r="C42" s="757" t="s">
        <v>132</v>
      </c>
      <c r="D42" s="757">
        <f>D61/8</f>
        <v>26285645.569999997</v>
      </c>
      <c r="E42" s="80"/>
      <c r="F42" s="87"/>
      <c r="G42" s="837"/>
      <c r="H42" s="770">
        <v>0</v>
      </c>
      <c r="I42" s="46"/>
    </row>
    <row r="43" spans="1:9" ht="26">
      <c r="A43" s="39">
        <f>A42+1</f>
        <v>31</v>
      </c>
      <c r="B43" s="798" t="s">
        <v>133</v>
      </c>
      <c r="C43" s="86" t="s">
        <v>134</v>
      </c>
      <c r="D43" s="85">
        <v>0</v>
      </c>
      <c r="E43" s="84" t="s">
        <v>135</v>
      </c>
      <c r="F43" s="83">
        <f>H104</f>
        <v>0</v>
      </c>
      <c r="G43" s="82"/>
      <c r="H43" s="839">
        <f>+F43*D43</f>
        <v>0</v>
      </c>
      <c r="I43" s="46"/>
    </row>
    <row r="44" spans="1:9">
      <c r="A44" s="39">
        <f>A43+1</f>
        <v>32</v>
      </c>
      <c r="B44" s="746" t="s">
        <v>136</v>
      </c>
      <c r="C44" s="100" t="s">
        <v>137</v>
      </c>
      <c r="D44" s="838">
        <v>0</v>
      </c>
      <c r="E44" s="80" t="s">
        <v>138</v>
      </c>
      <c r="F44" s="73">
        <f>+F18</f>
        <v>0.54372861495942282</v>
      </c>
      <c r="G44" s="837"/>
      <c r="H44" s="770">
        <f>+F44*D44</f>
        <v>0</v>
      </c>
      <c r="I44" s="748"/>
    </row>
    <row r="45" spans="1:9">
      <c r="A45" s="39">
        <f>A44+1</f>
        <v>33</v>
      </c>
      <c r="B45" s="746" t="s">
        <v>139</v>
      </c>
      <c r="C45" s="757" t="str">
        <f>"(sum L"&amp;A42&amp;" : "&amp;A44&amp;")"</f>
        <v>(sum L30 : 32)</v>
      </c>
      <c r="D45" s="836">
        <f>D42+D43+D44</f>
        <v>26285645.569999997</v>
      </c>
      <c r="E45" s="752"/>
      <c r="F45" s="67"/>
      <c r="G45" s="835"/>
      <c r="H45" s="79">
        <f>H42+H43+H44</f>
        <v>0</v>
      </c>
      <c r="I45" s="755"/>
    </row>
    <row r="46" spans="1:9" ht="13.5" thickBot="1">
      <c r="A46" s="41">
        <f>A45+1</f>
        <v>34</v>
      </c>
      <c r="B46" s="34" t="s">
        <v>140</v>
      </c>
      <c r="C46" s="834" t="str">
        <f>"(sum L"&amp;A32&amp;", "&amp;A39&amp;", "&amp;A40&amp;", "&amp;A45&amp;")"</f>
        <v>(sum L22, 28, 29, 33)</v>
      </c>
      <c r="D46" s="834">
        <f>+D45+D40+D39+D32</f>
        <v>1429658256.2397888</v>
      </c>
      <c r="E46" s="78"/>
      <c r="F46" s="77"/>
      <c r="G46" s="833"/>
      <c r="H46" s="42">
        <f>+H45+H40+H39+H32</f>
        <v>765269923.74658358</v>
      </c>
      <c r="I46" s="777"/>
    </row>
    <row r="47" spans="1:9">
      <c r="A47" s="759"/>
      <c r="B47" s="102" t="s">
        <v>141</v>
      </c>
      <c r="C47" s="832"/>
      <c r="D47" s="832"/>
      <c r="E47" s="76"/>
      <c r="F47" s="75"/>
      <c r="G47" s="101"/>
      <c r="H47" s="75"/>
      <c r="I47" s="74"/>
    </row>
    <row r="48" spans="1:9">
      <c r="A48" s="39"/>
      <c r="B48" s="746" t="s">
        <v>142</v>
      </c>
      <c r="C48" s="388" t="s">
        <v>143</v>
      </c>
      <c r="D48" s="388"/>
      <c r="E48" s="62"/>
      <c r="F48" s="67"/>
      <c r="G48" s="746"/>
      <c r="H48" s="67"/>
      <c r="I48" s="776"/>
    </row>
    <row r="49" spans="1:9" s="828" customFormat="1">
      <c r="A49" s="39">
        <f>A46+1</f>
        <v>35</v>
      </c>
      <c r="B49" s="746" t="s">
        <v>144</v>
      </c>
      <c r="C49" s="388" t="s">
        <v>2772</v>
      </c>
      <c r="D49" s="823">
        <f>'WS4-CostData'!C121</f>
        <v>86728627.390000001</v>
      </c>
      <c r="E49" s="62" t="s">
        <v>145</v>
      </c>
      <c r="F49" s="73">
        <f>H116</f>
        <v>0.94184447456602571</v>
      </c>
      <c r="G49" s="769"/>
      <c r="H49" s="65">
        <f>+F49*D49</f>
        <v>81684878.493967175</v>
      </c>
      <c r="I49" s="776"/>
    </row>
    <row r="50" spans="1:9">
      <c r="A50" s="39">
        <f>A49+1</f>
        <v>36</v>
      </c>
      <c r="B50" s="746" t="s">
        <v>146</v>
      </c>
      <c r="C50" s="388" t="s">
        <v>2771</v>
      </c>
      <c r="D50" s="823">
        <f>'WS4-CostData'!E121</f>
        <v>46417099</v>
      </c>
      <c r="E50" s="62" t="s">
        <v>147</v>
      </c>
      <c r="F50" s="73">
        <f>H119</f>
        <v>8.4180254302480984E-3</v>
      </c>
      <c r="G50" s="769"/>
      <c r="H50" s="65">
        <f>+F50*D50</f>
        <v>390740.31978034356</v>
      </c>
      <c r="I50" s="776"/>
    </row>
    <row r="51" spans="1:9">
      <c r="A51" s="39">
        <f>A50+1</f>
        <v>37</v>
      </c>
      <c r="B51" s="746" t="s">
        <v>148</v>
      </c>
      <c r="C51" s="388" t="s">
        <v>2770</v>
      </c>
      <c r="D51" s="823">
        <f>'WS4-CostData'!G121</f>
        <v>51502422</v>
      </c>
      <c r="E51" s="62" t="s">
        <v>149</v>
      </c>
      <c r="F51" s="73">
        <f>H122</f>
        <v>6.6308400407543225E-2</v>
      </c>
      <c r="G51" s="769"/>
      <c r="H51" s="65">
        <f>+F51*D51</f>
        <v>3415043.2199342633</v>
      </c>
      <c r="I51" s="776"/>
    </row>
    <row r="52" spans="1:9">
      <c r="A52" s="39">
        <f>A51+1</f>
        <v>38</v>
      </c>
      <c r="B52" s="746" t="s">
        <v>150</v>
      </c>
      <c r="C52" s="388" t="s">
        <v>151</v>
      </c>
      <c r="D52" s="823"/>
      <c r="E52" s="62" t="s">
        <v>60</v>
      </c>
      <c r="F52" s="73">
        <v>1</v>
      </c>
      <c r="G52" s="769"/>
      <c r="H52" s="65">
        <f>+F52*D52</f>
        <v>0</v>
      </c>
      <c r="I52" s="776"/>
    </row>
    <row r="53" spans="1:9">
      <c r="A53" s="39"/>
      <c r="B53" s="746" t="s">
        <v>152</v>
      </c>
      <c r="C53" s="388" t="s">
        <v>153</v>
      </c>
      <c r="D53" s="823"/>
      <c r="E53" s="66"/>
      <c r="F53" s="67"/>
      <c r="G53" s="746"/>
      <c r="H53" s="67"/>
      <c r="I53" s="776"/>
    </row>
    <row r="54" spans="1:9">
      <c r="A54" s="39">
        <f>A52+1</f>
        <v>39</v>
      </c>
      <c r="B54" s="746" t="s">
        <v>144</v>
      </c>
      <c r="C54" s="388" t="s">
        <v>2769</v>
      </c>
      <c r="D54" s="823">
        <f>'WS4-CostData'!C92</f>
        <v>12304169.17</v>
      </c>
      <c r="E54" s="62" t="str">
        <f>E49</f>
        <v>PTP/UGP</v>
      </c>
      <c r="F54" s="73">
        <f>F49</f>
        <v>0.94184447456602571</v>
      </c>
      <c r="G54" s="769"/>
      <c r="H54" s="65">
        <f t="shared" ref="H54:H60" si="1">+F54*D54</f>
        <v>11588613.746890143</v>
      </c>
      <c r="I54" s="69"/>
    </row>
    <row r="55" spans="1:9">
      <c r="A55" s="39">
        <f t="shared" ref="A55:A61" si="2">A54+1</f>
        <v>40</v>
      </c>
      <c r="B55" s="746" t="s">
        <v>146</v>
      </c>
      <c r="C55" s="388" t="s">
        <v>2768</v>
      </c>
      <c r="D55" s="823">
        <f>'WS4-CostData'!E92</f>
        <v>13332847</v>
      </c>
      <c r="E55" s="62" t="str">
        <f>E50</f>
        <v>PTP/RMR</v>
      </c>
      <c r="F55" s="73">
        <f>F50</f>
        <v>8.4180254302480984E-3</v>
      </c>
      <c r="G55" s="769"/>
      <c r="H55" s="65">
        <f t="shared" si="1"/>
        <v>112236.24510360707</v>
      </c>
      <c r="I55" s="69"/>
    </row>
    <row r="56" spans="1:9">
      <c r="A56" s="39">
        <f t="shared" si="2"/>
        <v>41</v>
      </c>
      <c r="B56" s="746" t="s">
        <v>154</v>
      </c>
      <c r="C56" s="823"/>
      <c r="D56" s="830">
        <v>0</v>
      </c>
      <c r="E56" s="62" t="s">
        <v>103</v>
      </c>
      <c r="F56" s="73">
        <f>H111</f>
        <v>1</v>
      </c>
      <c r="G56" s="769"/>
      <c r="H56" s="65">
        <f t="shared" si="1"/>
        <v>0</v>
      </c>
      <c r="I56" s="69"/>
    </row>
    <row r="57" spans="1:9">
      <c r="A57" s="39">
        <f t="shared" si="2"/>
        <v>42</v>
      </c>
      <c r="B57" s="746" t="s">
        <v>155</v>
      </c>
      <c r="C57" s="823" t="s">
        <v>156</v>
      </c>
      <c r="D57" s="830">
        <v>0</v>
      </c>
      <c r="E57" s="62" t="str">
        <f>+E56</f>
        <v>W/S</v>
      </c>
      <c r="F57" s="73">
        <f>H111</f>
        <v>1</v>
      </c>
      <c r="G57" s="769"/>
      <c r="H57" s="65">
        <f t="shared" si="1"/>
        <v>0</v>
      </c>
      <c r="I57" s="69"/>
    </row>
    <row r="58" spans="1:9">
      <c r="A58" s="39">
        <f t="shared" si="2"/>
        <v>43</v>
      </c>
      <c r="B58" s="746" t="s">
        <v>157</v>
      </c>
      <c r="C58" s="823" t="s">
        <v>156</v>
      </c>
      <c r="D58" s="830">
        <v>0</v>
      </c>
      <c r="E58" s="62" t="s">
        <v>135</v>
      </c>
      <c r="F58" s="73">
        <f>H104</f>
        <v>0</v>
      </c>
      <c r="G58" s="769"/>
      <c r="H58" s="65">
        <f t="shared" si="1"/>
        <v>0</v>
      </c>
      <c r="I58" s="69"/>
    </row>
    <row r="59" spans="1:9">
      <c r="A59" s="39">
        <f t="shared" si="2"/>
        <v>44</v>
      </c>
      <c r="B59" s="746" t="s">
        <v>104</v>
      </c>
      <c r="C59" s="823"/>
      <c r="D59" s="830">
        <v>0</v>
      </c>
      <c r="E59" s="62" t="s">
        <v>105</v>
      </c>
      <c r="F59" s="73">
        <f>I124</f>
        <v>0</v>
      </c>
      <c r="G59" s="769"/>
      <c r="H59" s="65">
        <f t="shared" si="1"/>
        <v>0</v>
      </c>
      <c r="I59" s="776"/>
    </row>
    <row r="60" spans="1:9">
      <c r="A60" s="39">
        <f t="shared" si="2"/>
        <v>45</v>
      </c>
      <c r="B60" s="746" t="s">
        <v>158</v>
      </c>
      <c r="C60" s="823"/>
      <c r="D60" s="831">
        <v>0</v>
      </c>
      <c r="E60" s="62" t="s">
        <v>60</v>
      </c>
      <c r="F60" s="73">
        <v>1</v>
      </c>
      <c r="G60" s="769"/>
      <c r="H60" s="65">
        <f t="shared" si="1"/>
        <v>0</v>
      </c>
      <c r="I60" s="776"/>
    </row>
    <row r="61" spans="1:9" ht="26">
      <c r="A61" s="39">
        <f t="shared" si="2"/>
        <v>46</v>
      </c>
      <c r="B61" s="746" t="s">
        <v>159</v>
      </c>
      <c r="C61" s="72" t="str">
        <f>"(sum L"&amp;A49&amp;", "&amp;A50&amp;", "&amp;A51&amp;", "&amp;A54&amp;", "&amp;A55&amp;", "&amp;A58&amp;", "&amp;A59&amp;" less "&amp;A52&amp;", "&amp;A56&amp;", "&amp;A57&amp;")"</f>
        <v>(sum L35, 36, 37, 39, 40, 43, 44 less 38, 41, 42)</v>
      </c>
      <c r="D61" s="821">
        <f>+D49+D50+D51-D52+D54+D55-D56-D57+D58+D59+D60</f>
        <v>210285164.55999997</v>
      </c>
      <c r="E61" s="62"/>
      <c r="F61" s="65"/>
      <c r="G61" s="769"/>
      <c r="H61" s="60">
        <f>+H49+H50+H51-H52+H54+H55-H56-H57+H58+H59+H60</f>
        <v>97191512.02567555</v>
      </c>
      <c r="I61" s="829"/>
    </row>
    <row r="62" spans="1:9">
      <c r="A62" s="39"/>
      <c r="B62" s="746" t="s">
        <v>160</v>
      </c>
      <c r="C62" s="823"/>
      <c r="D62" s="757"/>
      <c r="E62" s="781"/>
      <c r="F62" s="65"/>
      <c r="G62" s="769"/>
      <c r="H62" s="65"/>
      <c r="I62" s="69"/>
    </row>
    <row r="63" spans="1:9">
      <c r="A63" s="39">
        <f>A61+1</f>
        <v>47</v>
      </c>
      <c r="B63" s="746" t="str">
        <f>+B48</f>
        <v xml:space="preserve">  Transmission </v>
      </c>
      <c r="C63" s="388" t="s">
        <v>161</v>
      </c>
      <c r="D63" s="823"/>
      <c r="E63" s="62"/>
      <c r="F63" s="73"/>
      <c r="G63" s="769"/>
      <c r="H63" s="65"/>
      <c r="I63" s="69"/>
    </row>
    <row r="64" spans="1:9">
      <c r="A64" s="39">
        <f t="shared" ref="A64:A69" si="3">A63+1</f>
        <v>48</v>
      </c>
      <c r="B64" s="746" t="s">
        <v>144</v>
      </c>
      <c r="C64" s="388" t="s">
        <v>2767</v>
      </c>
      <c r="D64" s="824">
        <f>'WS4-CostData'!C45</f>
        <v>32409950</v>
      </c>
      <c r="E64" s="62" t="str">
        <f>E49</f>
        <v>PTP/UGP</v>
      </c>
      <c r="F64" s="73">
        <f>F49</f>
        <v>0.94184447456602571</v>
      </c>
      <c r="G64" s="769"/>
      <c r="H64" s="65">
        <f>+F64*D64</f>
        <v>30525132.328461166</v>
      </c>
      <c r="I64" s="69"/>
    </row>
    <row r="65" spans="1:15">
      <c r="A65" s="39">
        <f t="shared" si="3"/>
        <v>49</v>
      </c>
      <c r="B65" s="746" t="s">
        <v>146</v>
      </c>
      <c r="C65" s="388" t="s">
        <v>2766</v>
      </c>
      <c r="D65" s="824">
        <f>'WS4-CostData'!E45</f>
        <v>18423415.75</v>
      </c>
      <c r="E65" s="62" t="str">
        <f>E50</f>
        <v>PTP/RMR</v>
      </c>
      <c r="F65" s="73">
        <f>F50</f>
        <v>8.4180254302480984E-3</v>
      </c>
      <c r="G65" s="769"/>
      <c r="H65" s="65">
        <f>+F65*D65</f>
        <v>155088.78229553334</v>
      </c>
      <c r="I65" s="69"/>
    </row>
    <row r="66" spans="1:15">
      <c r="A66" s="39">
        <f t="shared" si="3"/>
        <v>50</v>
      </c>
      <c r="B66" s="746" t="s">
        <v>148</v>
      </c>
      <c r="C66" s="388" t="s">
        <v>2765</v>
      </c>
      <c r="D66" s="824">
        <f>'WS4-CostData'!G45</f>
        <v>18396075</v>
      </c>
      <c r="E66" s="62" t="s">
        <v>149</v>
      </c>
      <c r="F66" s="73">
        <f>F51</f>
        <v>6.6308400407543225E-2</v>
      </c>
      <c r="G66" s="769"/>
      <c r="H66" s="65">
        <f>+F66*D66</f>
        <v>1219814.3070271958</v>
      </c>
      <c r="I66" s="69"/>
    </row>
    <row r="67" spans="1:15">
      <c r="A67" s="39">
        <f t="shared" si="3"/>
        <v>51</v>
      </c>
      <c r="B67" s="746" t="s">
        <v>162</v>
      </c>
      <c r="C67" s="388"/>
      <c r="D67" s="830">
        <v>0</v>
      </c>
      <c r="E67" s="62" t="s">
        <v>103</v>
      </c>
      <c r="F67" s="73">
        <f>H111</f>
        <v>1</v>
      </c>
      <c r="G67" s="769"/>
      <c r="H67" s="65">
        <f>+F67*D67</f>
        <v>0</v>
      </c>
      <c r="I67" s="69"/>
    </row>
    <row r="68" spans="1:15">
      <c r="A68" s="39">
        <f t="shared" si="3"/>
        <v>52</v>
      </c>
      <c r="B68" s="746" t="str">
        <f>+B59</f>
        <v xml:space="preserve">  Common</v>
      </c>
      <c r="C68" s="823"/>
      <c r="D68" s="830">
        <v>0</v>
      </c>
      <c r="E68" s="62" t="s">
        <v>105</v>
      </c>
      <c r="F68" s="73">
        <f>+F59</f>
        <v>0</v>
      </c>
      <c r="G68" s="769"/>
      <c r="H68" s="65">
        <f>+F68*D68</f>
        <v>0</v>
      </c>
      <c r="I68" s="69"/>
    </row>
    <row r="69" spans="1:15">
      <c r="A69" s="39">
        <f t="shared" si="3"/>
        <v>53</v>
      </c>
      <c r="B69" s="746" t="s">
        <v>163</v>
      </c>
      <c r="C69" s="823" t="str">
        <f>"(sum L"&amp;A63&amp;" : "&amp;A68&amp;")"</f>
        <v>(sum L47 : 52)</v>
      </c>
      <c r="D69" s="821">
        <f>SUM(D63:D68)</f>
        <v>69229440.75</v>
      </c>
      <c r="E69" s="62"/>
      <c r="F69" s="65"/>
      <c r="G69" s="769"/>
      <c r="H69" s="60">
        <f>SUM(H63:H68)</f>
        <v>31900035.417783894</v>
      </c>
      <c r="I69" s="829"/>
    </row>
    <row r="70" spans="1:15">
      <c r="A70" s="39"/>
      <c r="B70" s="746" t="s">
        <v>164</v>
      </c>
      <c r="C70" s="388" t="s">
        <v>165</v>
      </c>
      <c r="D70" s="757"/>
      <c r="E70" s="781"/>
      <c r="F70" s="65"/>
      <c r="G70" s="769"/>
      <c r="H70" s="65"/>
      <c r="I70" s="776"/>
    </row>
    <row r="71" spans="1:15" s="828" customFormat="1">
      <c r="A71" s="39"/>
      <c r="B71" s="746" t="s">
        <v>166</v>
      </c>
      <c r="C71" s="388"/>
      <c r="D71" s="388"/>
      <c r="E71" s="62"/>
      <c r="F71" s="67"/>
      <c r="G71" s="769"/>
      <c r="H71" s="67"/>
      <c r="I71" s="748"/>
      <c r="J71" s="764"/>
      <c r="K71" s="764"/>
      <c r="L71" s="764"/>
      <c r="M71" s="827"/>
      <c r="N71" s="827"/>
      <c r="O71" s="827"/>
    </row>
    <row r="72" spans="1:15">
      <c r="A72" s="39">
        <f>A69+1</f>
        <v>54</v>
      </c>
      <c r="B72" s="746" t="s">
        <v>167</v>
      </c>
      <c r="C72" s="823"/>
      <c r="D72" s="824">
        <v>0</v>
      </c>
      <c r="E72" s="62" t="s">
        <v>103</v>
      </c>
      <c r="F72" s="61">
        <f>+F67</f>
        <v>1</v>
      </c>
      <c r="G72" s="769"/>
      <c r="H72" s="65">
        <f>+F72*D72</f>
        <v>0</v>
      </c>
      <c r="I72" s="748"/>
    </row>
    <row r="73" spans="1:15">
      <c r="A73" s="39">
        <f>A72+1</f>
        <v>55</v>
      </c>
      <c r="B73" s="746" t="s">
        <v>168</v>
      </c>
      <c r="C73" s="823"/>
      <c r="D73" s="824">
        <v>0</v>
      </c>
      <c r="E73" s="62" t="str">
        <f>+E72</f>
        <v>W/S</v>
      </c>
      <c r="F73" s="61">
        <f>+F72</f>
        <v>1</v>
      </c>
      <c r="G73" s="769"/>
      <c r="H73" s="65">
        <f>+F73*D73</f>
        <v>0</v>
      </c>
      <c r="I73" s="748"/>
      <c r="J73" s="827"/>
      <c r="K73" s="827"/>
      <c r="L73" s="827"/>
    </row>
    <row r="74" spans="1:15">
      <c r="A74" s="39"/>
      <c r="B74" s="746" t="s">
        <v>169</v>
      </c>
      <c r="C74" s="823"/>
      <c r="D74" s="826"/>
      <c r="E74" s="62"/>
      <c r="F74" s="67"/>
      <c r="G74" s="769"/>
      <c r="H74" s="67"/>
      <c r="I74" s="748"/>
    </row>
    <row r="75" spans="1:15">
      <c r="A75" s="39">
        <f>A73+1</f>
        <v>56</v>
      </c>
      <c r="B75" s="746" t="s">
        <v>170</v>
      </c>
      <c r="C75" s="823"/>
      <c r="D75" s="824">
        <v>0</v>
      </c>
      <c r="E75" s="62" t="s">
        <v>138</v>
      </c>
      <c r="F75" s="61">
        <f>+F18</f>
        <v>0.54372861495942282</v>
      </c>
      <c r="G75" s="769"/>
      <c r="H75" s="65">
        <f>+F75*D75</f>
        <v>0</v>
      </c>
      <c r="I75" s="748"/>
    </row>
    <row r="76" spans="1:15">
      <c r="A76" s="39">
        <f>A75+1</f>
        <v>57</v>
      </c>
      <c r="B76" s="746" t="s">
        <v>171</v>
      </c>
      <c r="C76" s="823"/>
      <c r="D76" s="824">
        <v>0</v>
      </c>
      <c r="E76" s="62"/>
      <c r="F76" s="61">
        <v>0</v>
      </c>
      <c r="G76" s="769"/>
      <c r="H76" s="65">
        <v>0</v>
      </c>
      <c r="I76" s="748"/>
    </row>
    <row r="77" spans="1:15">
      <c r="A77" s="39">
        <f>A76+1</f>
        <v>58</v>
      </c>
      <c r="B77" s="746" t="s">
        <v>172</v>
      </c>
      <c r="C77" s="823"/>
      <c r="D77" s="824">
        <v>0</v>
      </c>
      <c r="E77" s="62" t="str">
        <f>+E75</f>
        <v>GP</v>
      </c>
      <c r="F77" s="61">
        <f>+F75</f>
        <v>0.54372861495942282</v>
      </c>
      <c r="G77" s="769"/>
      <c r="H77" s="65">
        <f>+F77*D77</f>
        <v>0</v>
      </c>
      <c r="I77" s="748"/>
    </row>
    <row r="78" spans="1:15">
      <c r="A78" s="39">
        <f>A77+1</f>
        <v>59</v>
      </c>
      <c r="B78" s="746" t="s">
        <v>173</v>
      </c>
      <c r="C78" s="823"/>
      <c r="D78" s="824">
        <v>0</v>
      </c>
      <c r="E78" s="62" t="s">
        <v>138</v>
      </c>
      <c r="F78" s="61">
        <f>+F77</f>
        <v>0.54372861495942282</v>
      </c>
      <c r="G78" s="769"/>
      <c r="H78" s="65">
        <f>+F78*D78</f>
        <v>0</v>
      </c>
      <c r="I78" s="748"/>
    </row>
    <row r="79" spans="1:15">
      <c r="A79" s="39">
        <f>A78+1</f>
        <v>60</v>
      </c>
      <c r="B79" s="746" t="s">
        <v>174</v>
      </c>
      <c r="C79" s="823" t="str">
        <f>"(sum L"&amp;A72&amp;" : "&amp;A78&amp;")"</f>
        <v>(sum L54 : 59)</v>
      </c>
      <c r="D79" s="821">
        <f>SUM(D72:D78)</f>
        <v>0</v>
      </c>
      <c r="E79" s="62"/>
      <c r="F79" s="61"/>
      <c r="G79" s="769"/>
      <c r="H79" s="60">
        <f>SUM(H72:H78)</f>
        <v>0</v>
      </c>
      <c r="I79" s="750"/>
    </row>
    <row r="80" spans="1:15">
      <c r="A80" s="39"/>
      <c r="B80" s="746" t="s">
        <v>175</v>
      </c>
      <c r="C80" s="64" t="s">
        <v>176</v>
      </c>
      <c r="D80" s="757"/>
      <c r="E80" s="781" t="s">
        <v>60</v>
      </c>
      <c r="F80" s="61"/>
      <c r="G80" s="769"/>
      <c r="H80" s="65"/>
      <c r="I80" s="748"/>
    </row>
    <row r="81" spans="1:12">
      <c r="A81" s="39">
        <f>A79+1</f>
        <v>61</v>
      </c>
      <c r="B81" s="822" t="s">
        <v>177</v>
      </c>
      <c r="C81" s="72"/>
      <c r="D81" s="71">
        <f>IF(D160&gt;0,1-(((1-D161)*(1-D160))/(1-D161*D160*D162)),0)</f>
        <v>0</v>
      </c>
      <c r="E81" s="62"/>
      <c r="F81" s="61"/>
      <c r="G81" s="769"/>
      <c r="H81" s="67"/>
      <c r="I81" s="776"/>
    </row>
    <row r="82" spans="1:12">
      <c r="A82" s="39">
        <f>A81+1</f>
        <v>62</v>
      </c>
      <c r="B82" s="746" t="s">
        <v>178</v>
      </c>
      <c r="C82" s="72"/>
      <c r="D82" s="71">
        <f>IF(H135&gt;0,(D81/(1-D81))*(1-H133/H135),0)</f>
        <v>0</v>
      </c>
      <c r="E82" s="62"/>
      <c r="F82" s="70"/>
      <c r="G82" s="769"/>
      <c r="H82" s="67"/>
      <c r="I82" s="748"/>
    </row>
    <row r="83" spans="1:12" ht="26">
      <c r="A83" s="39"/>
      <c r="B83" s="825" t="str">
        <f>"     where WCLTD= (line "&amp;A133&amp;") and R= (line "&amp;A135&amp;") and FIT, SIT &amp; p are as given in footnote I."</f>
        <v xml:space="preserve">     where WCLTD= (line 100) and R= (line 102) and FIT, SIT &amp; p are as given in footnote I.</v>
      </c>
      <c r="C83" s="823"/>
      <c r="D83" s="823"/>
      <c r="E83" s="62"/>
      <c r="F83" s="61"/>
      <c r="G83" s="769"/>
      <c r="H83" s="67"/>
      <c r="I83" s="69"/>
    </row>
    <row r="84" spans="1:12">
      <c r="A84" s="39">
        <f>A82+1</f>
        <v>63</v>
      </c>
      <c r="B84" s="822" t="str">
        <f>"      1 / (1 - T)  = (from line "&amp;A81&amp;")"</f>
        <v xml:space="preserve">      1 / (1 - T)  = (from line 61)</v>
      </c>
      <c r="C84" s="823"/>
      <c r="D84" s="68">
        <f>IF(D81&gt;0,1/(1-D81),0)</f>
        <v>0</v>
      </c>
      <c r="E84" s="62"/>
      <c r="F84" s="61"/>
      <c r="G84" s="769"/>
      <c r="H84" s="67"/>
      <c r="I84" s="748"/>
    </row>
    <row r="85" spans="1:12">
      <c r="A85" s="39">
        <f t="shared" ref="A85:A90" si="4">A84+1</f>
        <v>64</v>
      </c>
      <c r="B85" s="746" t="s">
        <v>179</v>
      </c>
      <c r="C85" s="823" t="s">
        <v>120</v>
      </c>
      <c r="D85" s="824">
        <v>0</v>
      </c>
      <c r="E85" s="62"/>
      <c r="F85" s="61"/>
      <c r="G85" s="769"/>
      <c r="H85" s="67">
        <v>0</v>
      </c>
      <c r="I85" s="748"/>
    </row>
    <row r="86" spans="1:12">
      <c r="A86" s="39">
        <f t="shared" si="4"/>
        <v>65</v>
      </c>
      <c r="B86" s="822" t="s">
        <v>180</v>
      </c>
      <c r="C86" s="64" t="str">
        <f>"(L"&amp;A82&amp;" * L"&amp;A89&amp;")"</f>
        <v>(L62 * L68)</v>
      </c>
      <c r="D86" s="823">
        <f>D82*D89</f>
        <v>0</v>
      </c>
      <c r="E86" s="62" t="s">
        <v>60</v>
      </c>
      <c r="F86" s="61"/>
      <c r="G86" s="769"/>
      <c r="H86" s="65">
        <f>D82*H89</f>
        <v>0</v>
      </c>
      <c r="I86" s="748"/>
    </row>
    <row r="87" spans="1:12">
      <c r="A87" s="39">
        <f t="shared" si="4"/>
        <v>66</v>
      </c>
      <c r="B87" s="746" t="s">
        <v>181</v>
      </c>
      <c r="C87" s="64" t="str">
        <f>"(L"&amp;A84&amp;" * L"&amp;A85&amp;")"</f>
        <v>(L63 * L64)</v>
      </c>
      <c r="D87" s="823">
        <f>D84*D85</f>
        <v>0</v>
      </c>
      <c r="E87" s="66" t="s">
        <v>122</v>
      </c>
      <c r="F87" s="61">
        <f>F32</f>
        <v>0.54530772364250613</v>
      </c>
      <c r="G87" s="769"/>
      <c r="H87" s="65">
        <f>F87*D87</f>
        <v>0</v>
      </c>
      <c r="I87" s="748"/>
    </row>
    <row r="88" spans="1:12">
      <c r="A88" s="39">
        <f t="shared" si="4"/>
        <v>67</v>
      </c>
      <c r="B88" s="822" t="s">
        <v>182</v>
      </c>
      <c r="C88" s="64" t="str">
        <f>"(L"&amp;A86&amp;" + L"&amp;A87&amp;")"</f>
        <v>(L65 + L66)</v>
      </c>
      <c r="D88" s="63">
        <f>+D86+D87</f>
        <v>0</v>
      </c>
      <c r="E88" s="781" t="s">
        <v>96</v>
      </c>
      <c r="F88" s="61" t="s">
        <v>96</v>
      </c>
      <c r="G88" s="769"/>
      <c r="H88" s="60">
        <f>+H86+H87</f>
        <v>0</v>
      </c>
      <c r="I88" s="750"/>
    </row>
    <row r="89" spans="1:12">
      <c r="A89" s="39">
        <f t="shared" si="4"/>
        <v>68</v>
      </c>
      <c r="B89" s="746" t="s">
        <v>183</v>
      </c>
      <c r="C89" s="388" t="str">
        <f>"(L"&amp;A46&amp;" * L"&amp;A135&amp;")"</f>
        <v>(L34 * L102)</v>
      </c>
      <c r="D89" s="821">
        <f>+$H135*D46</f>
        <v>56418846.027639717</v>
      </c>
      <c r="E89" s="62" t="s">
        <v>60</v>
      </c>
      <c r="F89" s="61"/>
      <c r="G89" s="769"/>
      <c r="H89" s="60">
        <f>+$H135*H46</f>
        <v>30199976.679042429</v>
      </c>
      <c r="I89" s="750"/>
    </row>
    <row r="90" spans="1:12" ht="13.5" thickBot="1">
      <c r="A90" s="41">
        <f t="shared" si="4"/>
        <v>69</v>
      </c>
      <c r="B90" s="34" t="s">
        <v>184</v>
      </c>
      <c r="C90" s="820" t="str">
        <f>"(sum L"&amp;A61&amp;", "&amp;A69&amp;" ,"&amp;A79&amp;", "&amp;A88&amp;", "&amp;A89&amp;")"</f>
        <v>(sum L46, 53 ,60, 67, 68)</v>
      </c>
      <c r="D90" s="819">
        <f>+D89+D88+D79+D69+D61</f>
        <v>335933451.33763969</v>
      </c>
      <c r="E90" s="59"/>
      <c r="F90" s="58"/>
      <c r="G90" s="767"/>
      <c r="H90" s="57">
        <f>+H89+H88+H79+H69+H61</f>
        <v>159291524.12250188</v>
      </c>
      <c r="I90" s="818"/>
    </row>
    <row r="91" spans="1:12">
      <c r="A91" s="759"/>
      <c r="B91" s="102"/>
      <c r="C91" s="817" t="s">
        <v>185</v>
      </c>
      <c r="D91" s="102"/>
      <c r="E91" s="96"/>
      <c r="F91" s="108"/>
      <c r="G91" s="102"/>
      <c r="H91" s="108"/>
      <c r="I91" s="74"/>
      <c r="J91" s="800"/>
      <c r="L91" s="800"/>
    </row>
    <row r="92" spans="1:12">
      <c r="A92" s="39"/>
      <c r="B92" s="746" t="s">
        <v>186</v>
      </c>
      <c r="C92" s="746"/>
      <c r="D92" s="746"/>
      <c r="E92" s="747"/>
      <c r="F92" s="751"/>
      <c r="G92" s="746"/>
      <c r="H92" s="751"/>
      <c r="I92" s="776"/>
      <c r="L92" s="800" t="s">
        <v>96</v>
      </c>
    </row>
    <row r="93" spans="1:12">
      <c r="A93" s="39">
        <f>A90+1</f>
        <v>70</v>
      </c>
      <c r="B93" s="746" t="s">
        <v>187</v>
      </c>
      <c r="C93" s="746" t="str">
        <f>"(L"&amp;A14&amp;", C3)"</f>
        <v>(L6, C3)</v>
      </c>
      <c r="D93" s="769"/>
      <c r="E93" s="781"/>
      <c r="F93" s="770"/>
      <c r="G93" s="769"/>
      <c r="H93" s="770">
        <f>+D14</f>
        <v>1607999966.8721147</v>
      </c>
      <c r="I93" s="776"/>
    </row>
    <row r="94" spans="1:12">
      <c r="A94" s="39">
        <f>A93+1</f>
        <v>71</v>
      </c>
      <c r="B94" s="746" t="s">
        <v>188</v>
      </c>
      <c r="C94" s="746" t="s">
        <v>189</v>
      </c>
      <c r="D94" s="746"/>
      <c r="E94" s="747"/>
      <c r="F94" s="751"/>
      <c r="G94" s="746"/>
      <c r="H94" s="816">
        <v>0</v>
      </c>
      <c r="I94" s="776"/>
    </row>
    <row r="95" spans="1:12" ht="13.5" thickBot="1">
      <c r="A95" s="39">
        <f>A94+1</f>
        <v>72</v>
      </c>
      <c r="B95" s="34" t="s">
        <v>190</v>
      </c>
      <c r="C95" s="34" t="s">
        <v>191</v>
      </c>
      <c r="D95" s="767"/>
      <c r="E95" s="781"/>
      <c r="F95" s="770"/>
      <c r="G95" s="769"/>
      <c r="H95" s="53">
        <v>0</v>
      </c>
      <c r="I95" s="748"/>
    </row>
    <row r="96" spans="1:12">
      <c r="A96" s="39">
        <f>A95+1</f>
        <v>73</v>
      </c>
      <c r="B96" s="746" t="s">
        <v>192</v>
      </c>
      <c r="C96" s="746" t="str">
        <f>"(L"&amp;A93&amp;" less L"&amp;A94&amp;" and L"&amp;A95&amp;")"</f>
        <v>(L70 less L71 and L72)</v>
      </c>
      <c r="D96" s="769"/>
      <c r="E96" s="781"/>
      <c r="F96" s="770"/>
      <c r="G96" s="769"/>
      <c r="H96" s="770">
        <f>H93-H94-H95</f>
        <v>1607999966.8721147</v>
      </c>
      <c r="I96" s="748"/>
    </row>
    <row r="97" spans="1:12">
      <c r="A97" s="39">
        <f>A96+1</f>
        <v>74</v>
      </c>
      <c r="B97" s="746" t="s">
        <v>193</v>
      </c>
      <c r="C97" s="746" t="str">
        <f>"(L"&amp;A96&amp;" / L"&amp;A93&amp;")"</f>
        <v>(L73 / L70)</v>
      </c>
      <c r="D97" s="813"/>
      <c r="E97" s="815"/>
      <c r="F97" s="814"/>
      <c r="G97" s="769" t="s">
        <v>194</v>
      </c>
      <c r="H97" s="808">
        <f>IF(H93&gt;0,H96/H93,0)</f>
        <v>1</v>
      </c>
      <c r="I97" s="748"/>
    </row>
    <row r="98" spans="1:12">
      <c r="A98" s="39"/>
      <c r="B98" s="746" t="s">
        <v>195</v>
      </c>
      <c r="C98" s="746"/>
      <c r="D98" s="746"/>
      <c r="E98" s="747"/>
      <c r="F98" s="751"/>
      <c r="G98" s="746"/>
      <c r="H98" s="746"/>
      <c r="I98" s="776"/>
    </row>
    <row r="99" spans="1:12">
      <c r="A99" s="39">
        <f>A97+1</f>
        <v>75</v>
      </c>
      <c r="B99" s="763" t="s">
        <v>196</v>
      </c>
      <c r="C99" s="746" t="str">
        <f>"(sum L"&amp;A49&amp;" to L"&amp;A51&amp;", C3)"</f>
        <v>(sum L35 to L37, C3)</v>
      </c>
      <c r="D99" s="746"/>
      <c r="E99" s="747"/>
      <c r="F99" s="751"/>
      <c r="G99" s="746"/>
      <c r="H99" s="769"/>
      <c r="I99" s="776"/>
    </row>
    <row r="100" spans="1:12" ht="13.5" thickBot="1">
      <c r="A100" s="39">
        <f>A99+1</f>
        <v>76</v>
      </c>
      <c r="B100" s="34" t="s">
        <v>197</v>
      </c>
      <c r="C100" s="34" t="s">
        <v>198</v>
      </c>
      <c r="D100" s="767"/>
      <c r="E100" s="43"/>
      <c r="F100" s="770"/>
      <c r="G100" s="769"/>
      <c r="H100" s="509">
        <v>0</v>
      </c>
      <c r="I100" s="776"/>
    </row>
    <row r="101" spans="1:12">
      <c r="A101" s="39">
        <f>A100+1</f>
        <v>77</v>
      </c>
      <c r="B101" s="746" t="s">
        <v>199</v>
      </c>
      <c r="C101" s="812" t="str">
        <f>"(L"&amp;A99&amp;" - L"&amp;A100&amp;")"</f>
        <v>(L75 - L76)</v>
      </c>
      <c r="D101" s="813"/>
      <c r="E101" s="815"/>
      <c r="F101" s="814"/>
      <c r="G101" s="813"/>
      <c r="H101" s="770">
        <f>+H99-H100</f>
        <v>0</v>
      </c>
      <c r="I101" s="776"/>
    </row>
    <row r="102" spans="1:12" ht="26">
      <c r="A102" s="39">
        <f>A101+1</f>
        <v>78</v>
      </c>
      <c r="B102" s="798" t="s">
        <v>200</v>
      </c>
      <c r="C102" s="812" t="str">
        <f>"(L"&amp;A101&amp;"/ L"&amp;A99&amp;")"</f>
        <v>(L77/ L75)</v>
      </c>
      <c r="D102" s="769"/>
      <c r="E102" s="781"/>
      <c r="F102" s="770"/>
      <c r="G102" s="769"/>
      <c r="H102" s="808">
        <f>IF(H99&gt;0,H101/H99,0)</f>
        <v>0</v>
      </c>
      <c r="I102" s="776"/>
      <c r="J102" s="800"/>
      <c r="L102" s="800" t="s">
        <v>96</v>
      </c>
    </row>
    <row r="103" spans="1:12">
      <c r="A103" s="39">
        <f>A102+1</f>
        <v>79</v>
      </c>
      <c r="B103" s="746" t="s">
        <v>201</v>
      </c>
      <c r="C103" s="746" t="str">
        <f>"(L"&amp;A97&amp;")"</f>
        <v>(L74)</v>
      </c>
      <c r="D103" s="769"/>
      <c r="E103" s="781"/>
      <c r="F103" s="770"/>
      <c r="G103" s="746" t="s">
        <v>67</v>
      </c>
      <c r="H103" s="808">
        <f>H97</f>
        <v>1</v>
      </c>
      <c r="I103" s="776"/>
      <c r="J103" s="800"/>
      <c r="L103" s="800"/>
    </row>
    <row r="104" spans="1:12">
      <c r="A104" s="39">
        <f>A103+1</f>
        <v>80</v>
      </c>
      <c r="B104" s="746" t="s">
        <v>202</v>
      </c>
      <c r="C104" s="812" t="str">
        <f>"(L"&amp;A103&amp;" * L"&amp;A102&amp;")"</f>
        <v>(L79 * L78)</v>
      </c>
      <c r="D104" s="746"/>
      <c r="E104" s="747"/>
      <c r="F104" s="751"/>
      <c r="G104" s="746" t="s">
        <v>203</v>
      </c>
      <c r="H104" s="803">
        <f>+H103*H102</f>
        <v>0</v>
      </c>
      <c r="I104" s="776"/>
      <c r="J104" s="800"/>
      <c r="L104" s="800"/>
    </row>
    <row r="105" spans="1:12">
      <c r="A105" s="39"/>
      <c r="B105" s="746" t="s">
        <v>204</v>
      </c>
      <c r="C105" s="769"/>
      <c r="D105" s="769"/>
      <c r="E105" s="781"/>
      <c r="F105" s="770"/>
      <c r="G105" s="769"/>
      <c r="H105" s="769"/>
      <c r="I105" s="776"/>
      <c r="J105" s="800"/>
      <c r="L105" s="811"/>
    </row>
    <row r="106" spans="1:12" ht="13.5" thickBot="1">
      <c r="A106" s="39"/>
      <c r="B106" s="746"/>
      <c r="C106" s="767"/>
      <c r="D106" s="43" t="s">
        <v>205</v>
      </c>
      <c r="E106" s="43" t="s">
        <v>67</v>
      </c>
      <c r="F106" s="42" t="s">
        <v>206</v>
      </c>
      <c r="G106" s="769"/>
      <c r="H106" s="769"/>
      <c r="I106" s="776"/>
      <c r="J106" s="800"/>
      <c r="L106" s="800"/>
    </row>
    <row r="107" spans="1:12">
      <c r="A107" s="39">
        <f>A104+1</f>
        <v>81</v>
      </c>
      <c r="B107" s="746" t="s">
        <v>94</v>
      </c>
      <c r="C107" s="769"/>
      <c r="D107" s="804">
        <v>0</v>
      </c>
      <c r="E107" s="810">
        <v>0</v>
      </c>
      <c r="F107" s="770">
        <f>D107*E107</f>
        <v>0</v>
      </c>
      <c r="G107" s="769"/>
      <c r="H107" s="769"/>
      <c r="I107" s="776"/>
      <c r="J107" s="800"/>
      <c r="L107" s="800"/>
    </row>
    <row r="108" spans="1:12">
      <c r="A108" s="39">
        <f>A107+1</f>
        <v>82</v>
      </c>
      <c r="B108" s="746" t="s">
        <v>97</v>
      </c>
      <c r="C108" s="769"/>
      <c r="D108" s="804">
        <f>'WS4-CostData'!C93</f>
        <v>11588613.746890143</v>
      </c>
      <c r="E108" s="810">
        <f>+H103</f>
        <v>1</v>
      </c>
      <c r="F108" s="770">
        <f>D108*E108</f>
        <v>11588613.746890143</v>
      </c>
      <c r="G108" s="769"/>
      <c r="H108" s="769"/>
      <c r="I108" s="776"/>
      <c r="J108" s="800"/>
      <c r="L108" s="800"/>
    </row>
    <row r="109" spans="1:12">
      <c r="A109" s="39">
        <f>A108+1</f>
        <v>83</v>
      </c>
      <c r="B109" s="746" t="s">
        <v>99</v>
      </c>
      <c r="C109" s="769"/>
      <c r="D109" s="804">
        <v>0</v>
      </c>
      <c r="E109" s="810">
        <v>0</v>
      </c>
      <c r="F109" s="770">
        <f>D109*E109</f>
        <v>0</v>
      </c>
      <c r="G109" s="769"/>
      <c r="H109" s="781" t="s">
        <v>207</v>
      </c>
      <c r="I109" s="776"/>
      <c r="J109" s="800"/>
      <c r="L109" s="800"/>
    </row>
    <row r="110" spans="1:12" ht="13.5" thickBot="1">
      <c r="A110" s="39">
        <f>A109+1</f>
        <v>84</v>
      </c>
      <c r="B110" s="746" t="s">
        <v>208</v>
      </c>
      <c r="C110" s="769"/>
      <c r="D110" s="801">
        <v>0</v>
      </c>
      <c r="E110" s="810">
        <v>0</v>
      </c>
      <c r="F110" s="42">
        <f>D110*E110</f>
        <v>0</v>
      </c>
      <c r="G110" s="769"/>
      <c r="H110" s="47" t="s">
        <v>209</v>
      </c>
      <c r="I110" s="776"/>
      <c r="J110" s="800"/>
      <c r="L110" s="800"/>
    </row>
    <row r="111" spans="1:12">
      <c r="A111" s="39">
        <f>A110+1</f>
        <v>85</v>
      </c>
      <c r="B111" s="746" t="s">
        <v>210</v>
      </c>
      <c r="C111" s="769" t="str">
        <f>"(sum L"&amp;A107&amp;" to L"&amp;A110&amp;")"</f>
        <v>(sum L81 to L84)</v>
      </c>
      <c r="D111" s="769">
        <f>SUM(D107:D110)</f>
        <v>11588613.746890143</v>
      </c>
      <c r="E111" s="781"/>
      <c r="F111" s="770">
        <f>SUM(F107:F110)</f>
        <v>11588613.746890143</v>
      </c>
      <c r="G111" s="747" t="s">
        <v>211</v>
      </c>
      <c r="H111" s="808">
        <f>IF(F111&gt;0,F111/D111,0)</f>
        <v>1</v>
      </c>
      <c r="I111" s="776"/>
      <c r="L111" s="800"/>
    </row>
    <row r="112" spans="1:12">
      <c r="A112" s="39"/>
      <c r="B112" s="746" t="s">
        <v>212</v>
      </c>
      <c r="C112" s="769" t="s">
        <v>213</v>
      </c>
      <c r="D112" s="769"/>
      <c r="E112" s="781"/>
      <c r="F112" s="770"/>
      <c r="G112" s="769"/>
      <c r="H112" s="769"/>
      <c r="I112" s="776"/>
      <c r="J112" s="800"/>
      <c r="L112" s="800"/>
    </row>
    <row r="113" spans="1:12" ht="13.5" thickBot="1">
      <c r="A113" s="39"/>
      <c r="B113" s="746"/>
      <c r="C113" s="767"/>
      <c r="D113" s="43" t="s">
        <v>205</v>
      </c>
      <c r="E113" s="781"/>
      <c r="F113" s="770"/>
      <c r="G113" s="769"/>
      <c r="H113" s="809"/>
      <c r="I113" s="776"/>
      <c r="L113" s="800"/>
    </row>
    <row r="114" spans="1:12">
      <c r="A114" s="39">
        <f>A111+1</f>
        <v>86</v>
      </c>
      <c r="B114" s="746" t="s">
        <v>214</v>
      </c>
      <c r="C114" s="769"/>
      <c r="D114" s="769">
        <f>'WS4-CostData'!C8</f>
        <v>1511459499.4096146</v>
      </c>
      <c r="E114" s="781"/>
      <c r="F114" s="751"/>
      <c r="G114" s="746"/>
      <c r="H114" s="746"/>
      <c r="I114" s="748"/>
      <c r="L114" s="800"/>
    </row>
    <row r="115" spans="1:12">
      <c r="A115" s="39">
        <f t="shared" ref="A115:A122" si="5">A114+1</f>
        <v>87</v>
      </c>
      <c r="B115" s="746" t="s">
        <v>215</v>
      </c>
      <c r="C115" s="769"/>
      <c r="D115" s="769">
        <f>'WS4-CostData'!C7</f>
        <v>1604786713.970001</v>
      </c>
      <c r="E115" s="781"/>
      <c r="F115" s="770"/>
      <c r="G115" s="769"/>
      <c r="H115" s="809"/>
      <c r="I115" s="748"/>
      <c r="J115" s="800"/>
    </row>
    <row r="116" spans="1:12">
      <c r="A116" s="39">
        <f t="shared" si="5"/>
        <v>88</v>
      </c>
      <c r="B116" s="746" t="s">
        <v>216</v>
      </c>
      <c r="C116" s="746" t="str">
        <f>"(L"&amp;A114&amp;" / L"&amp;A115&amp;")"</f>
        <v>(L86 / L87)</v>
      </c>
      <c r="D116" s="769"/>
      <c r="E116" s="781"/>
      <c r="F116" s="770" t="s">
        <v>145</v>
      </c>
      <c r="G116" s="781" t="s">
        <v>211</v>
      </c>
      <c r="H116" s="808">
        <f>D114/D115</f>
        <v>0.94184447456602571</v>
      </c>
      <c r="I116" s="776"/>
      <c r="L116" s="800"/>
    </row>
    <row r="117" spans="1:12">
      <c r="A117" s="39">
        <f t="shared" si="5"/>
        <v>89</v>
      </c>
      <c r="B117" s="746" t="s">
        <v>217</v>
      </c>
      <c r="C117" s="769"/>
      <c r="D117" s="769">
        <f>'WS4-CostData'!E8</f>
        <v>7340382.7725</v>
      </c>
      <c r="E117" s="781"/>
      <c r="F117" s="770"/>
      <c r="G117" s="769"/>
      <c r="H117" s="770"/>
      <c r="I117" s="776"/>
    </row>
    <row r="118" spans="1:12">
      <c r="A118" s="39">
        <f t="shared" si="5"/>
        <v>90</v>
      </c>
      <c r="B118" s="746" t="s">
        <v>218</v>
      </c>
      <c r="C118" s="769"/>
      <c r="D118" s="769">
        <f>'WS4-CostData'!E7</f>
        <v>871983915.14999998</v>
      </c>
      <c r="E118" s="781"/>
      <c r="F118" s="770"/>
      <c r="G118" s="769"/>
      <c r="H118" s="808"/>
      <c r="I118" s="776"/>
    </row>
    <row r="119" spans="1:12">
      <c r="A119" s="39">
        <f t="shared" si="5"/>
        <v>91</v>
      </c>
      <c r="B119" s="746" t="s">
        <v>219</v>
      </c>
      <c r="C119" s="746" t="str">
        <f>"(L"&amp;A117&amp;" / L"&amp;A118&amp;")"</f>
        <v>(L89 / L90)</v>
      </c>
      <c r="D119" s="746"/>
      <c r="E119" s="781"/>
      <c r="F119" s="770" t="s">
        <v>147</v>
      </c>
      <c r="G119" s="781" t="s">
        <v>211</v>
      </c>
      <c r="H119" s="808">
        <f>D117/D118</f>
        <v>8.4180254302480984E-3</v>
      </c>
      <c r="I119" s="776"/>
    </row>
    <row r="120" spans="1:12">
      <c r="A120" s="39">
        <f t="shared" si="5"/>
        <v>92</v>
      </c>
      <c r="B120" s="746" t="s">
        <v>220</v>
      </c>
      <c r="C120" s="769"/>
      <c r="D120" s="769">
        <f>'WS4-CostData'!G8</f>
        <v>89200084.689999998</v>
      </c>
      <c r="E120" s="781"/>
      <c r="F120" s="770"/>
      <c r="G120" s="769"/>
      <c r="H120" s="770"/>
      <c r="I120" s="776"/>
    </row>
    <row r="121" spans="1:12">
      <c r="A121" s="39">
        <f t="shared" si="5"/>
        <v>93</v>
      </c>
      <c r="B121" s="746" t="s">
        <v>221</v>
      </c>
      <c r="C121" s="769"/>
      <c r="D121" s="769">
        <f>'WS4-CostData'!G7</f>
        <v>1345230531</v>
      </c>
      <c r="E121" s="781"/>
      <c r="F121" s="770"/>
      <c r="G121" s="769"/>
      <c r="H121" s="808"/>
      <c r="I121" s="776"/>
    </row>
    <row r="122" spans="1:12">
      <c r="A122" s="39">
        <f t="shared" si="5"/>
        <v>94</v>
      </c>
      <c r="B122" s="746" t="s">
        <v>222</v>
      </c>
      <c r="C122" s="746" t="str">
        <f>"(L"&amp;A120&amp;" / L"&amp;A121&amp;")"</f>
        <v>(L92 / L93)</v>
      </c>
      <c r="D122" s="746"/>
      <c r="E122" s="781"/>
      <c r="F122" s="770" t="s">
        <v>149</v>
      </c>
      <c r="G122" s="781" t="s">
        <v>211</v>
      </c>
      <c r="H122" s="808">
        <f>D120/D121</f>
        <v>6.6308400407543225E-2</v>
      </c>
      <c r="I122" s="776"/>
    </row>
    <row r="123" spans="1:12">
      <c r="A123" s="39"/>
      <c r="B123" s="746" t="s">
        <v>223</v>
      </c>
      <c r="C123" s="769" t="s">
        <v>224</v>
      </c>
      <c r="D123" s="769"/>
      <c r="E123" s="781"/>
      <c r="F123" s="770"/>
      <c r="G123" s="769"/>
      <c r="H123" s="770"/>
      <c r="I123" s="52" t="s">
        <v>105</v>
      </c>
    </row>
    <row r="124" spans="1:12">
      <c r="A124" s="39"/>
      <c r="B124" s="746"/>
      <c r="C124" s="769"/>
      <c r="D124" s="781" t="s">
        <v>205</v>
      </c>
      <c r="E124" s="781"/>
      <c r="F124" s="770" t="s">
        <v>225</v>
      </c>
      <c r="G124" s="805" t="s">
        <v>96</v>
      </c>
      <c r="H124" s="807" t="s">
        <v>226</v>
      </c>
      <c r="I124" s="806">
        <f>H126*F126</f>
        <v>0</v>
      </c>
    </row>
    <row r="125" spans="1:12">
      <c r="A125" s="39">
        <f>A122+1</f>
        <v>95</v>
      </c>
      <c r="B125" s="746" t="s">
        <v>227</v>
      </c>
      <c r="C125" s="769"/>
      <c r="D125" s="804">
        <v>0</v>
      </c>
      <c r="E125" s="781"/>
      <c r="F125" s="751" t="str">
        <f>"(L"&amp;A125&amp;" / L"&amp;A128&amp;")"</f>
        <v>(L95 / L98)</v>
      </c>
      <c r="G125" s="805"/>
      <c r="H125" s="747" t="str">
        <f>"(L"&amp;A111&amp;")"</f>
        <v>(L85)</v>
      </c>
      <c r="I125" s="748"/>
      <c r="L125" s="800"/>
    </row>
    <row r="126" spans="1:12">
      <c r="A126" s="39">
        <f>A125+1</f>
        <v>96</v>
      </c>
      <c r="B126" s="746" t="s">
        <v>228</v>
      </c>
      <c r="C126" s="769"/>
      <c r="D126" s="804">
        <v>0</v>
      </c>
      <c r="E126" s="781"/>
      <c r="F126" s="803">
        <f>IF(D128&gt;0,D125/D128,0)</f>
        <v>0</v>
      </c>
      <c r="G126" s="781" t="s">
        <v>229</v>
      </c>
      <c r="H126" s="802">
        <f>H111</f>
        <v>1</v>
      </c>
      <c r="I126" s="748"/>
    </row>
    <row r="127" spans="1:12" ht="13.5" thickBot="1">
      <c r="A127" s="39">
        <f>A126+1</f>
        <v>97</v>
      </c>
      <c r="B127" s="34" t="s">
        <v>230</v>
      </c>
      <c r="C127" s="767"/>
      <c r="D127" s="801">
        <v>0</v>
      </c>
      <c r="E127" s="781"/>
      <c r="F127" s="770" t="s">
        <v>96</v>
      </c>
      <c r="G127" s="769"/>
      <c r="H127" s="769"/>
      <c r="I127" s="748"/>
      <c r="L127" s="800"/>
    </row>
    <row r="128" spans="1:12">
      <c r="A128" s="39">
        <f>A127+1</f>
        <v>98</v>
      </c>
      <c r="B128" s="746" t="s">
        <v>210</v>
      </c>
      <c r="C128" s="769" t="str">
        <f>"(sum L"&amp;A125&amp;" : L"&amp;A127&amp;")"</f>
        <v>(sum L95 : L97)</v>
      </c>
      <c r="D128" s="769">
        <f>D125+D126+D127</f>
        <v>0</v>
      </c>
      <c r="E128" s="781"/>
      <c r="F128" s="770"/>
      <c r="G128" s="769"/>
      <c r="H128" s="769"/>
      <c r="I128" s="748"/>
    </row>
    <row r="129" spans="1:20" ht="13.5" thickBot="1">
      <c r="A129" s="39"/>
      <c r="B129" s="746" t="s">
        <v>231</v>
      </c>
      <c r="C129" s="769"/>
      <c r="D129" s="43" t="s">
        <v>205</v>
      </c>
      <c r="E129" s="781"/>
      <c r="F129" s="770"/>
      <c r="G129" s="769"/>
      <c r="H129" s="746"/>
      <c r="I129" s="51"/>
    </row>
    <row r="130" spans="1:20">
      <c r="A130" s="39">
        <f>A128+1</f>
        <v>99</v>
      </c>
      <c r="B130" s="769" t="s">
        <v>232</v>
      </c>
      <c r="C130" s="746"/>
      <c r="D130" s="799">
        <f>('WS4-CostData'!C68*'WS4-CostData'!C14)+('WS4-CostData'!E68*'WS4-CostData'!E14)+('WS4-CostData'!G68*'WS4-CostData'!G14)</f>
        <v>35790863.796937175</v>
      </c>
      <c r="E130" s="781"/>
      <c r="F130" s="770"/>
      <c r="G130" s="769"/>
      <c r="H130" s="769"/>
      <c r="I130" s="748"/>
      <c r="Q130" s="790"/>
      <c r="R130" s="793"/>
      <c r="S130" s="793"/>
      <c r="T130" s="793"/>
    </row>
    <row r="131" spans="1:20">
      <c r="A131" s="39"/>
      <c r="B131" s="746"/>
      <c r="C131" s="769"/>
      <c r="D131" s="769"/>
      <c r="E131" s="781"/>
      <c r="F131" s="770" t="s">
        <v>233</v>
      </c>
      <c r="G131" s="769"/>
      <c r="H131" s="769"/>
      <c r="I131" s="797" t="s">
        <v>234</v>
      </c>
      <c r="Q131" s="790"/>
      <c r="R131" s="793"/>
      <c r="S131" s="793"/>
      <c r="T131" s="793"/>
    </row>
    <row r="132" spans="1:20" ht="13.5" thickBot="1">
      <c r="A132" s="39"/>
      <c r="B132" s="746"/>
      <c r="C132" s="746"/>
      <c r="D132" s="47" t="s">
        <v>205</v>
      </c>
      <c r="E132" s="47" t="s">
        <v>235</v>
      </c>
      <c r="F132" s="50" t="s">
        <v>236</v>
      </c>
      <c r="G132" s="769"/>
      <c r="H132" s="47" t="s">
        <v>237</v>
      </c>
      <c r="I132" s="748"/>
      <c r="Q132" s="790"/>
      <c r="R132" s="793"/>
      <c r="S132" s="793"/>
      <c r="T132" s="793"/>
    </row>
    <row r="133" spans="1:20" ht="26">
      <c r="A133" s="39">
        <f>A130+1</f>
        <v>100</v>
      </c>
      <c r="B133" s="746" t="s">
        <v>238</v>
      </c>
      <c r="C133" s="798" t="s">
        <v>239</v>
      </c>
      <c r="D133" s="769">
        <f>('WS4-CostData'!C66*'WS4-CostData'!C14)+('WS4-CostData'!E66*'WS4-CostData'!E14)+('WS4-CostData'!G66*'WS4-CostData'!G14)</f>
        <v>906943468.85750413</v>
      </c>
      <c r="E133" s="796">
        <f>IF($D$135&gt;0,D133/$D$135,0)</f>
        <v>1</v>
      </c>
      <c r="F133" s="795">
        <f>IF(D130&gt;0,D130/D133,0)</f>
        <v>3.9463169454236967E-2</v>
      </c>
      <c r="G133" s="746"/>
      <c r="H133" s="795">
        <f>F133*E133</f>
        <v>3.9463169454236967E-2</v>
      </c>
      <c r="I133" s="797" t="s">
        <v>240</v>
      </c>
      <c r="Q133" s="790"/>
      <c r="R133" s="793"/>
      <c r="S133" s="793"/>
      <c r="T133" s="793"/>
    </row>
    <row r="134" spans="1:20" ht="13.5" thickBot="1">
      <c r="A134" s="39">
        <f>A133+1</f>
        <v>101</v>
      </c>
      <c r="B134" s="746" t="s">
        <v>241</v>
      </c>
      <c r="C134" s="746"/>
      <c r="D134" s="767">
        <v>0</v>
      </c>
      <c r="E134" s="796">
        <f>IF($D$135&gt;0,D134/$D$135,0)</f>
        <v>0</v>
      </c>
      <c r="F134" s="795">
        <f>H136</f>
        <v>0.12379999999999999</v>
      </c>
      <c r="G134" s="746"/>
      <c r="H134" s="49">
        <f>F134*E134</f>
        <v>0</v>
      </c>
      <c r="I134" s="748"/>
      <c r="Q134" s="790"/>
      <c r="R134" s="793"/>
      <c r="S134" s="793"/>
      <c r="T134" s="793"/>
    </row>
    <row r="135" spans="1:20">
      <c r="A135" s="39">
        <f>A134+1</f>
        <v>102</v>
      </c>
      <c r="B135" s="746" t="s">
        <v>242</v>
      </c>
      <c r="C135" s="769" t="str">
        <f>"(sum L"&amp;A133&amp;" : "&amp;A134&amp;")"</f>
        <v>(sum L100 : 101)</v>
      </c>
      <c r="D135" s="769">
        <f>SUM(D133:D134)</f>
        <v>906943468.85750413</v>
      </c>
      <c r="E135" s="796">
        <f>IF($D$135&gt;0,D135/$D$135,0)</f>
        <v>1</v>
      </c>
      <c r="F135" s="795"/>
      <c r="G135" s="746"/>
      <c r="H135" s="795">
        <f>SUM(H133:H134)</f>
        <v>3.9463169454236967E-2</v>
      </c>
      <c r="I135" s="748"/>
      <c r="Q135" s="790"/>
      <c r="R135" s="793"/>
      <c r="S135" s="793"/>
      <c r="T135" s="793"/>
    </row>
    <row r="136" spans="1:20">
      <c r="A136" s="39">
        <f>A135+1</f>
        <v>103</v>
      </c>
      <c r="B136" s="746"/>
      <c r="C136" s="746"/>
      <c r="D136" s="746"/>
      <c r="E136" s="781"/>
      <c r="F136" s="770"/>
      <c r="G136" s="751" t="s">
        <v>243</v>
      </c>
      <c r="H136" s="794">
        <v>0.12379999999999999</v>
      </c>
      <c r="I136" s="748"/>
      <c r="Q136" s="790"/>
      <c r="R136" s="793"/>
      <c r="S136" s="793"/>
      <c r="T136" s="793"/>
    </row>
    <row r="137" spans="1:20">
      <c r="A137" s="39">
        <f>A136+1</f>
        <v>104</v>
      </c>
      <c r="B137" s="746"/>
      <c r="C137" s="746"/>
      <c r="D137" s="746"/>
      <c r="E137" s="747"/>
      <c r="F137" s="751"/>
      <c r="G137" s="747" t="s">
        <v>244</v>
      </c>
      <c r="H137" s="792">
        <f>IF(H135&gt;0,H135/F133,0)</f>
        <v>1</v>
      </c>
      <c r="I137" s="748"/>
      <c r="P137" s="790" t="s">
        <v>96</v>
      </c>
      <c r="R137" s="791"/>
      <c r="S137" s="789"/>
    </row>
    <row r="138" spans="1:20">
      <c r="A138" s="39"/>
      <c r="B138" s="746" t="s">
        <v>58</v>
      </c>
      <c r="C138" s="746"/>
      <c r="D138" s="746"/>
      <c r="E138" s="747"/>
      <c r="F138" s="751"/>
      <c r="G138" s="746"/>
      <c r="H138" s="751"/>
      <c r="I138" s="748"/>
      <c r="P138" s="790"/>
      <c r="Q138" s="789"/>
      <c r="R138" s="789"/>
    </row>
    <row r="139" spans="1:20" ht="13.5" thickBot="1">
      <c r="A139" s="39"/>
      <c r="B139" s="746"/>
      <c r="C139" s="746"/>
      <c r="D139" s="746"/>
      <c r="E139" s="747"/>
      <c r="F139" s="751"/>
      <c r="G139" s="746"/>
      <c r="H139" s="47" t="s">
        <v>245</v>
      </c>
      <c r="I139" s="748"/>
      <c r="P139" s="787"/>
      <c r="S139" s="765"/>
    </row>
    <row r="140" spans="1:20">
      <c r="A140" s="39"/>
      <c r="B140" s="746" t="s">
        <v>246</v>
      </c>
      <c r="C140" s="746"/>
      <c r="D140" s="746"/>
      <c r="E140" s="747"/>
      <c r="F140" s="788" t="s">
        <v>96</v>
      </c>
      <c r="G140" s="786"/>
      <c r="H140" s="751"/>
      <c r="I140" s="748"/>
      <c r="P140" s="787"/>
      <c r="S140" s="765"/>
    </row>
    <row r="141" spans="1:20">
      <c r="A141" s="39">
        <f>A137+1</f>
        <v>105</v>
      </c>
      <c r="B141" s="746" t="s">
        <v>247</v>
      </c>
      <c r="C141" s="746" t="s">
        <v>248</v>
      </c>
      <c r="D141" s="746"/>
      <c r="E141" s="747"/>
      <c r="F141" s="751"/>
      <c r="G141" s="786"/>
      <c r="H141" s="785">
        <v>0</v>
      </c>
      <c r="I141" s="748"/>
    </row>
    <row r="142" spans="1:20" ht="13.5" thickBot="1">
      <c r="A142" s="39">
        <f t="shared" ref="A142:A148" si="6">A141+1</f>
        <v>106</v>
      </c>
      <c r="B142" s="34" t="s">
        <v>249</v>
      </c>
      <c r="C142" s="746"/>
      <c r="D142" s="746"/>
      <c r="E142" s="747"/>
      <c r="F142" s="751"/>
      <c r="G142" s="746"/>
      <c r="H142" s="509">
        <v>0</v>
      </c>
      <c r="I142" s="46"/>
    </row>
    <row r="143" spans="1:20">
      <c r="A143" s="39">
        <f t="shared" si="6"/>
        <v>107</v>
      </c>
      <c r="B143" s="746" t="s">
        <v>250</v>
      </c>
      <c r="C143" s="746"/>
      <c r="D143" s="746"/>
      <c r="E143" s="747"/>
      <c r="F143" s="751"/>
      <c r="G143" s="746"/>
      <c r="H143" s="785">
        <f>+H141-H142</f>
        <v>0</v>
      </c>
      <c r="I143" s="46"/>
    </row>
    <row r="144" spans="1:20">
      <c r="A144" s="39">
        <f t="shared" si="6"/>
        <v>108</v>
      </c>
      <c r="B144" s="746" t="s">
        <v>251</v>
      </c>
      <c r="C144" s="746" t="s">
        <v>252</v>
      </c>
      <c r="D144" s="746"/>
      <c r="E144" s="747"/>
      <c r="F144" s="784"/>
      <c r="G144" s="746"/>
      <c r="H144" s="783">
        <f>-('Summary-ATRR'!D12)</f>
        <v>4240</v>
      </c>
      <c r="I144" s="748"/>
    </row>
    <row r="145" spans="1:9">
      <c r="A145" s="39">
        <f t="shared" si="6"/>
        <v>109</v>
      </c>
      <c r="B145" s="746" t="s">
        <v>253</v>
      </c>
      <c r="C145" s="746"/>
      <c r="D145" s="746"/>
      <c r="E145" s="747"/>
      <c r="F145" s="751"/>
      <c r="G145" s="746"/>
      <c r="H145" s="782">
        <v>0</v>
      </c>
      <c r="I145" s="776"/>
    </row>
    <row r="146" spans="1:9">
      <c r="A146" s="39">
        <f t="shared" si="6"/>
        <v>110</v>
      </c>
      <c r="B146" s="746" t="s">
        <v>254</v>
      </c>
      <c r="C146" s="769"/>
      <c r="D146" s="769"/>
      <c r="E146" s="781"/>
      <c r="F146" s="770"/>
      <c r="G146" s="769"/>
      <c r="H146" s="780">
        <v>0</v>
      </c>
      <c r="I146" s="776"/>
    </row>
    <row r="147" spans="1:9" ht="13.5" thickBot="1">
      <c r="A147" s="39">
        <f t="shared" si="6"/>
        <v>111</v>
      </c>
      <c r="B147" s="34" t="s">
        <v>255</v>
      </c>
      <c r="C147" s="34"/>
      <c r="D147" s="746"/>
      <c r="E147" s="747"/>
      <c r="F147" s="751"/>
      <c r="G147" s="746"/>
      <c r="H147" s="510">
        <v>0</v>
      </c>
      <c r="I147" s="776"/>
    </row>
    <row r="148" spans="1:9" ht="13.5" thickBot="1">
      <c r="A148" s="41">
        <f t="shared" si="6"/>
        <v>112</v>
      </c>
      <c r="B148" s="779" t="str">
        <f>+B143</f>
        <v xml:space="preserve">  Total of (a)-(b)</v>
      </c>
      <c r="C148" s="47"/>
      <c r="D148" s="767"/>
      <c r="E148" s="43"/>
      <c r="F148" s="42"/>
      <c r="G148" s="34"/>
      <c r="H148" s="778">
        <f>+H146-H147</f>
        <v>0</v>
      </c>
      <c r="I148" s="777"/>
    </row>
    <row r="149" spans="1:9">
      <c r="A149" s="39" t="s">
        <v>256</v>
      </c>
      <c r="B149" s="896" t="s">
        <v>257</v>
      </c>
      <c r="C149" s="896"/>
      <c r="D149" s="896"/>
      <c r="E149" s="896"/>
      <c r="F149" s="896"/>
      <c r="G149" s="896"/>
      <c r="H149" s="896"/>
      <c r="I149" s="897"/>
    </row>
    <row r="150" spans="1:9" ht="13.5" thickBot="1">
      <c r="A150" s="41" t="s">
        <v>258</v>
      </c>
      <c r="B150" s="896" t="s">
        <v>259</v>
      </c>
      <c r="C150" s="896"/>
      <c r="D150" s="896"/>
      <c r="E150" s="896"/>
      <c r="F150" s="896"/>
      <c r="G150" s="896"/>
      <c r="H150" s="896"/>
      <c r="I150" s="897"/>
    </row>
    <row r="151" spans="1:9" ht="13.5" customHeight="1">
      <c r="A151" s="39" t="s">
        <v>260</v>
      </c>
      <c r="B151" s="896" t="s">
        <v>261</v>
      </c>
      <c r="C151" s="896"/>
      <c r="D151" s="896"/>
      <c r="E151" s="896"/>
      <c r="F151" s="896"/>
      <c r="G151" s="896"/>
      <c r="H151" s="896"/>
      <c r="I151" s="897"/>
    </row>
    <row r="152" spans="1:9" ht="27" customHeight="1">
      <c r="A152" s="38" t="s">
        <v>262</v>
      </c>
      <c r="B152" s="898" t="s">
        <v>263</v>
      </c>
      <c r="C152" s="898"/>
      <c r="D152" s="898"/>
      <c r="E152" s="898"/>
      <c r="F152" s="898"/>
      <c r="G152" s="898"/>
      <c r="H152" s="898"/>
      <c r="I152" s="899"/>
    </row>
    <row r="153" spans="1:9">
      <c r="A153" s="39" t="s">
        <v>264</v>
      </c>
      <c r="B153" s="896" t="s">
        <v>265</v>
      </c>
      <c r="C153" s="896"/>
      <c r="D153" s="896"/>
      <c r="E153" s="896"/>
      <c r="F153" s="896"/>
      <c r="G153" s="896"/>
      <c r="H153" s="896"/>
      <c r="I153" s="897"/>
    </row>
    <row r="154" spans="1:9" ht="25.5" customHeight="1">
      <c r="A154" s="38" t="s">
        <v>266</v>
      </c>
      <c r="B154" s="898"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898"/>
      <c r="D154" s="898"/>
      <c r="E154" s="898"/>
      <c r="F154" s="898"/>
      <c r="G154" s="898"/>
      <c r="H154" s="898"/>
      <c r="I154" s="899"/>
    </row>
    <row r="155" spans="1:9" ht="25.5" customHeight="1">
      <c r="A155" s="38" t="s">
        <v>267</v>
      </c>
      <c r="B155" s="898" t="s">
        <v>268</v>
      </c>
      <c r="C155" s="898"/>
      <c r="D155" s="898"/>
      <c r="E155" s="898"/>
      <c r="F155" s="898"/>
      <c r="G155" s="898"/>
      <c r="H155" s="898"/>
      <c r="I155" s="899"/>
    </row>
    <row r="156" spans="1:9">
      <c r="A156" s="39" t="s">
        <v>269</v>
      </c>
      <c r="B156" s="896" t="s">
        <v>270</v>
      </c>
      <c r="C156" s="896"/>
      <c r="D156" s="896"/>
      <c r="E156" s="896"/>
      <c r="F156" s="896"/>
      <c r="G156" s="896"/>
      <c r="H156" s="896"/>
      <c r="I156" s="897"/>
    </row>
    <row r="157" spans="1:9" ht="25.5" customHeight="1">
      <c r="A157" s="38" t="s">
        <v>271</v>
      </c>
      <c r="B157" s="898"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898"/>
      <c r="D157" s="898"/>
      <c r="E157" s="898"/>
      <c r="F157" s="898"/>
      <c r="G157" s="898"/>
      <c r="H157" s="898"/>
      <c r="I157" s="899"/>
    </row>
    <row r="158" spans="1:9" ht="25.5" customHeight="1">
      <c r="A158" s="38" t="s">
        <v>272</v>
      </c>
      <c r="B158" s="898" t="s">
        <v>273</v>
      </c>
      <c r="C158" s="898"/>
      <c r="D158" s="898"/>
      <c r="E158" s="898"/>
      <c r="F158" s="898"/>
      <c r="G158" s="898"/>
      <c r="H158" s="898"/>
      <c r="I158" s="899"/>
    </row>
    <row r="159" spans="1:9">
      <c r="A159" s="39" t="s">
        <v>274</v>
      </c>
      <c r="B159" s="746" t="s">
        <v>275</v>
      </c>
      <c r="C159" s="746"/>
      <c r="D159" s="746"/>
      <c r="E159" s="747"/>
      <c r="F159" s="770"/>
      <c r="G159" s="746"/>
      <c r="H159" s="769"/>
      <c r="I159" s="776"/>
    </row>
    <row r="160" spans="1:9">
      <c r="A160" s="39" t="s">
        <v>96</v>
      </c>
      <c r="B160" s="746" t="s">
        <v>276</v>
      </c>
      <c r="C160" s="746" t="s">
        <v>277</v>
      </c>
      <c r="D160" s="775">
        <v>0</v>
      </c>
      <c r="E160" s="747"/>
      <c r="F160" s="770"/>
      <c r="G160" s="746"/>
      <c r="H160" s="769"/>
      <c r="I160" s="776"/>
    </row>
    <row r="161" spans="1:10">
      <c r="A161" s="39"/>
      <c r="B161" s="746"/>
      <c r="C161" s="746" t="s">
        <v>278</v>
      </c>
      <c r="D161" s="775">
        <v>0</v>
      </c>
      <c r="E161" s="900" t="s">
        <v>279</v>
      </c>
      <c r="F161" s="900"/>
      <c r="G161" s="900"/>
      <c r="H161" s="900"/>
      <c r="I161" s="901"/>
    </row>
    <row r="162" spans="1:10">
      <c r="A162" s="39"/>
      <c r="B162" s="746"/>
      <c r="C162" s="746" t="s">
        <v>280</v>
      </c>
      <c r="D162" s="775">
        <v>0</v>
      </c>
      <c r="E162" s="900" t="s">
        <v>281</v>
      </c>
      <c r="F162" s="900"/>
      <c r="G162" s="900"/>
      <c r="H162" s="900"/>
      <c r="I162" s="901"/>
    </row>
    <row r="163" spans="1:10">
      <c r="A163" s="39" t="s">
        <v>282</v>
      </c>
      <c r="B163" s="896" t="s">
        <v>283</v>
      </c>
      <c r="C163" s="896"/>
      <c r="D163" s="896"/>
      <c r="E163" s="896"/>
      <c r="F163" s="896"/>
      <c r="G163" s="896"/>
      <c r="H163" s="896"/>
      <c r="I163" s="897"/>
    </row>
    <row r="164" spans="1:10" ht="12.75" customHeight="1">
      <c r="A164" s="38" t="s">
        <v>284</v>
      </c>
      <c r="B164" s="898" t="s">
        <v>285</v>
      </c>
      <c r="C164" s="898"/>
      <c r="D164" s="898"/>
      <c r="E164" s="898"/>
      <c r="F164" s="898"/>
      <c r="G164" s="898"/>
      <c r="H164" s="898"/>
      <c r="I164" s="899"/>
    </row>
    <row r="165" spans="1:10" ht="25.5" customHeight="1">
      <c r="A165" s="38" t="s">
        <v>286</v>
      </c>
      <c r="B165" s="898" t="s">
        <v>287</v>
      </c>
      <c r="C165" s="898"/>
      <c r="D165" s="898"/>
      <c r="E165" s="898"/>
      <c r="F165" s="898"/>
      <c r="G165" s="898"/>
      <c r="H165" s="898"/>
      <c r="I165" s="899"/>
    </row>
    <row r="166" spans="1:10" ht="13.5" customHeight="1">
      <c r="A166" s="38" t="s">
        <v>288</v>
      </c>
      <c r="B166" s="898" t="s">
        <v>289</v>
      </c>
      <c r="C166" s="898"/>
      <c r="D166" s="898"/>
      <c r="E166" s="898"/>
      <c r="F166" s="898"/>
      <c r="G166" s="898"/>
      <c r="H166" s="898"/>
      <c r="I166" s="899"/>
      <c r="J166" s="774"/>
    </row>
    <row r="167" spans="1:10">
      <c r="A167" s="39" t="s">
        <v>290</v>
      </c>
      <c r="B167" s="896" t="s">
        <v>291</v>
      </c>
      <c r="C167" s="896"/>
      <c r="D167" s="896"/>
      <c r="E167" s="896"/>
      <c r="F167" s="896"/>
      <c r="G167" s="896"/>
      <c r="H167" s="896"/>
      <c r="I167" s="897"/>
      <c r="J167" s="773"/>
    </row>
    <row r="168" spans="1:10" ht="25.5" customHeight="1">
      <c r="A168" s="38" t="s">
        <v>292</v>
      </c>
      <c r="B168" s="898"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898"/>
      <c r="D168" s="898"/>
      <c r="E168" s="898"/>
      <c r="F168" s="898"/>
      <c r="G168" s="898"/>
      <c r="H168" s="898"/>
      <c r="I168" s="899"/>
    </row>
    <row r="169" spans="1:10">
      <c r="A169" s="39" t="s">
        <v>293</v>
      </c>
      <c r="B169" s="896"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896"/>
      <c r="D169" s="896"/>
      <c r="E169" s="896"/>
      <c r="F169" s="896"/>
      <c r="G169" s="896"/>
      <c r="H169" s="896"/>
      <c r="I169" s="897"/>
    </row>
    <row r="170" spans="1:10">
      <c r="A170" s="39" t="s">
        <v>294</v>
      </c>
      <c r="B170" s="896" t="s">
        <v>295</v>
      </c>
      <c r="C170" s="896"/>
      <c r="D170" s="896"/>
      <c r="E170" s="896"/>
      <c r="F170" s="896"/>
      <c r="G170" s="896"/>
      <c r="H170" s="896"/>
      <c r="I170" s="897"/>
    </row>
    <row r="171" spans="1:10" ht="25.5" customHeight="1">
      <c r="A171" s="38" t="s">
        <v>296</v>
      </c>
      <c r="B171" s="898"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898"/>
      <c r="D171" s="898"/>
      <c r="E171" s="898"/>
      <c r="F171" s="898"/>
      <c r="G171" s="898"/>
      <c r="H171" s="898"/>
      <c r="I171" s="899"/>
    </row>
    <row r="172" spans="1:10">
      <c r="A172" s="318"/>
      <c r="B172" s="746" t="s">
        <v>297</v>
      </c>
      <c r="C172" s="771"/>
      <c r="D172" s="746"/>
      <c r="E172" s="747"/>
      <c r="F172" s="770"/>
      <c r="G172" s="746"/>
      <c r="H172" s="769"/>
      <c r="I172" s="748"/>
    </row>
    <row r="173" spans="1:10" ht="13.5" thickBot="1">
      <c r="A173" s="768"/>
      <c r="B173" s="34"/>
      <c r="C173" s="34"/>
      <c r="D173" s="34"/>
      <c r="E173" s="47"/>
      <c r="F173" s="50"/>
      <c r="G173" s="34"/>
      <c r="H173" s="767"/>
      <c r="I173" s="749"/>
    </row>
  </sheetData>
  <mergeCells count="21">
    <mergeCell ref="B154:I154"/>
    <mergeCell ref="B168:I168"/>
    <mergeCell ref="B156:I156"/>
    <mergeCell ref="B157:I157"/>
    <mergeCell ref="B169:I169"/>
    <mergeCell ref="B155:I155"/>
    <mergeCell ref="B158:I158"/>
    <mergeCell ref="E161:I161"/>
    <mergeCell ref="E162:I162"/>
    <mergeCell ref="B171:I171"/>
    <mergeCell ref="B163:I163"/>
    <mergeCell ref="B164:I164"/>
    <mergeCell ref="B165:I165"/>
    <mergeCell ref="B166:I166"/>
    <mergeCell ref="B170:I170"/>
    <mergeCell ref="B167:I167"/>
    <mergeCell ref="B149:I149"/>
    <mergeCell ref="B150:I150"/>
    <mergeCell ref="B151:I151"/>
    <mergeCell ref="B152:I152"/>
    <mergeCell ref="B153:I153"/>
  </mergeCells>
  <hyperlinks>
    <hyperlink ref="J1" location="'Cover Sheets'!A16" display="(Back to Worksheet Links)" xr:uid="{63EF27F5-F9AF-4FBC-BE00-B3E6360E269F}"/>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13.453125" defaultRowHeight="14.5"/>
  <cols>
    <col min="1" max="1" width="13.453125" style="30"/>
    <col min="2" max="2" width="89.453125" style="30" bestFit="1" customWidth="1"/>
    <col min="3" max="5" width="13.453125" style="30"/>
    <col min="6" max="6" width="13.1796875" style="30" customWidth="1"/>
    <col min="7" max="7" width="13.453125" style="30"/>
    <col min="8" max="8" width="43.54296875" style="30" customWidth="1"/>
    <col min="9" max="9" width="22.54296875" style="30" customWidth="1"/>
    <col min="10" max="16384" width="13.453125" style="30"/>
  </cols>
  <sheetData>
    <row r="1" spans="1:9">
      <c r="A1" s="742" t="str">
        <f>'Cover Sheets'!A10:B10</f>
        <v>WAPA-UGP 2024 Rate Estimate Calculation</v>
      </c>
      <c r="B1" s="141"/>
      <c r="C1" s="142"/>
      <c r="D1" s="142"/>
      <c r="E1" s="142"/>
      <c r="F1" s="142"/>
      <c r="G1" s="142"/>
      <c r="H1" s="143"/>
      <c r="I1" s="327" t="s">
        <v>41</v>
      </c>
    </row>
    <row r="2" spans="1:9">
      <c r="A2" s="37" t="s">
        <v>298</v>
      </c>
      <c r="B2" s="289"/>
      <c r="C2" s="144"/>
      <c r="D2" s="144"/>
      <c r="E2" s="144"/>
      <c r="F2" s="144"/>
      <c r="G2" s="144"/>
      <c r="H2" s="145"/>
      <c r="I2" s="327"/>
    </row>
    <row r="3" spans="1:9">
      <c r="A3" s="37" t="str">
        <f>'Summary-ATRR'!A3</f>
        <v>12 Months Ending 09/30/2024 ESTIMATE</v>
      </c>
      <c r="B3" s="144"/>
      <c r="C3" s="144"/>
      <c r="D3" s="144"/>
      <c r="E3" s="144"/>
      <c r="F3" s="144"/>
      <c r="G3" s="144"/>
      <c r="H3" s="145"/>
    </row>
    <row r="4" spans="1:9" ht="48" customHeight="1">
      <c r="A4" s="37"/>
      <c r="B4" s="116" t="s">
        <v>299</v>
      </c>
      <c r="C4" s="117" t="s">
        <v>43</v>
      </c>
      <c r="D4" s="117" t="s">
        <v>300</v>
      </c>
      <c r="E4" s="117" t="s">
        <v>301</v>
      </c>
      <c r="F4" s="117" t="s">
        <v>302</v>
      </c>
      <c r="G4" s="117" t="s">
        <v>303</v>
      </c>
      <c r="H4" s="118" t="s">
        <v>45</v>
      </c>
    </row>
    <row r="5" spans="1:9" ht="15" thickBot="1">
      <c r="A5" s="119" t="s">
        <v>304</v>
      </c>
      <c r="B5" s="120">
        <v>-1</v>
      </c>
      <c r="C5" s="120">
        <v>-2</v>
      </c>
      <c r="D5" s="120">
        <v>-3</v>
      </c>
      <c r="E5" s="120">
        <v>-5</v>
      </c>
      <c r="F5" s="120">
        <v>-4</v>
      </c>
      <c r="G5" s="120">
        <v>-5</v>
      </c>
      <c r="H5" s="121">
        <v>-6</v>
      </c>
    </row>
    <row r="6" spans="1:9">
      <c r="A6" s="146">
        <v>1</v>
      </c>
      <c r="B6" s="147" t="s">
        <v>305</v>
      </c>
      <c r="C6" s="159"/>
      <c r="D6" s="151"/>
      <c r="E6" s="160"/>
      <c r="F6" s="151"/>
      <c r="G6" s="151"/>
      <c r="H6" s="149"/>
    </row>
    <row r="7" spans="1:9">
      <c r="A7" s="146">
        <f t="shared" ref="A7:A37" si="0">A6+1</f>
        <v>2</v>
      </c>
      <c r="B7" s="152" t="s">
        <v>306</v>
      </c>
      <c r="C7" s="161">
        <f>'WS4-CostData'!K122</f>
        <v>85490662.033681795</v>
      </c>
      <c r="D7" s="148">
        <f>'WS4-CostData'!K123</f>
        <v>95240948.575424224</v>
      </c>
      <c r="E7" s="148">
        <f>'WS4-CostData'!G123</f>
        <v>48087378.780065738</v>
      </c>
      <c r="F7" s="148">
        <f>'WS4-CostData'!C124</f>
        <v>272503.2590559508</v>
      </c>
      <c r="G7" s="148">
        <f>'WS4-CostData'!K125</f>
        <v>830251.1831844548</v>
      </c>
      <c r="H7" s="149" t="s">
        <v>307</v>
      </c>
    </row>
    <row r="8" spans="1:9">
      <c r="A8" s="146">
        <f t="shared" si="0"/>
        <v>3</v>
      </c>
      <c r="B8" s="152" t="s">
        <v>308</v>
      </c>
      <c r="C8" s="161">
        <v>0</v>
      </c>
      <c r="D8" s="148">
        <v>0</v>
      </c>
      <c r="E8" s="148">
        <v>0</v>
      </c>
      <c r="F8" s="148">
        <v>0</v>
      </c>
      <c r="G8" s="148">
        <v>0</v>
      </c>
      <c r="H8" s="149"/>
    </row>
    <row r="9" spans="1:9">
      <c r="A9" s="146">
        <f t="shared" si="0"/>
        <v>4</v>
      </c>
      <c r="B9" s="152" t="s">
        <v>309</v>
      </c>
      <c r="C9" s="161">
        <f>SUM(C7:C8)</f>
        <v>85490662.033681795</v>
      </c>
      <c r="D9" s="148">
        <f>SUM(D7:D8)</f>
        <v>95240948.575424224</v>
      </c>
      <c r="E9" s="148">
        <f>SUM(E7:E8)</f>
        <v>48087378.780065738</v>
      </c>
      <c r="F9" s="148">
        <f>SUM(F7:F8)</f>
        <v>272503.2590559508</v>
      </c>
      <c r="G9" s="148">
        <f>SUM(G7:G8)</f>
        <v>830251.1831844548</v>
      </c>
      <c r="H9" s="149" t="s">
        <v>310</v>
      </c>
    </row>
    <row r="10" spans="1:9" ht="15" thickBot="1">
      <c r="A10" s="146">
        <f t="shared" si="0"/>
        <v>5</v>
      </c>
      <c r="B10" s="152" t="s">
        <v>311</v>
      </c>
      <c r="C10" s="161">
        <f>'WS4-CostData'!K24</f>
        <v>765269923.74658346</v>
      </c>
      <c r="D10" s="148">
        <f>'WS4-CostData'!K25</f>
        <v>782690230.80480337</v>
      </c>
      <c r="E10" s="148">
        <f>'WS4-CostData'!G25</f>
        <v>593667884.22427785</v>
      </c>
      <c r="F10" s="148">
        <f>'WS4-CostData'!K27</f>
        <v>2400719.940774601</v>
      </c>
      <c r="G10" s="148">
        <f>'WS4-CostData'!K28</f>
        <v>7314410.0302792341</v>
      </c>
      <c r="H10" s="149" t="s">
        <v>312</v>
      </c>
    </row>
    <row r="11" spans="1:9" ht="15" thickBot="1">
      <c r="A11" s="146">
        <f t="shared" si="0"/>
        <v>6</v>
      </c>
      <c r="B11" s="152" t="s">
        <v>313</v>
      </c>
      <c r="C11" s="162">
        <f>+C9/C10</f>
        <v>0.11171308237901133</v>
      </c>
      <c r="D11" s="163">
        <f>+D9/D10</f>
        <v>0.12168409011249887</v>
      </c>
      <c r="E11" s="163">
        <f>+E9/E10</f>
        <v>8.1000471910148211E-2</v>
      </c>
      <c r="F11" s="163">
        <f>+F9/F10</f>
        <v>0.11350897471532087</v>
      </c>
      <c r="G11" s="163">
        <f>+G9/G10</f>
        <v>0.11350897471532086</v>
      </c>
      <c r="H11" s="149" t="s">
        <v>314</v>
      </c>
    </row>
    <row r="12" spans="1:9">
      <c r="A12" s="146">
        <f t="shared" si="0"/>
        <v>7</v>
      </c>
      <c r="B12" s="147" t="s">
        <v>315</v>
      </c>
      <c r="C12" s="159"/>
      <c r="D12" s="151"/>
      <c r="E12" s="151"/>
      <c r="F12" s="151"/>
      <c r="G12" s="151"/>
      <c r="H12" s="149"/>
    </row>
    <row r="13" spans="1:9">
      <c r="A13" s="146">
        <f t="shared" si="0"/>
        <v>8</v>
      </c>
      <c r="B13" s="152" t="s">
        <v>316</v>
      </c>
      <c r="C13" s="161">
        <f>'WS4-CostData'!K93</f>
        <v>11700849.99199375</v>
      </c>
      <c r="D13" s="148">
        <f>'WS4-CostData'!K94</f>
        <v>122479.53158171309</v>
      </c>
      <c r="E13" s="148">
        <f>'WS4-CostData'!G94</f>
        <v>0</v>
      </c>
      <c r="F13" s="148">
        <f>'WS4-CostData'!C96</f>
        <v>38659.970758252224</v>
      </c>
      <c r="G13" s="148">
        <f>'WS4-CostData'!K97</f>
        <v>117787.53243213517</v>
      </c>
      <c r="H13" s="149" t="s">
        <v>317</v>
      </c>
    </row>
    <row r="14" spans="1:9" ht="15" thickBot="1">
      <c r="A14" s="146">
        <f t="shared" si="0"/>
        <v>9</v>
      </c>
      <c r="B14" s="152" t="s">
        <v>318</v>
      </c>
      <c r="C14" s="161">
        <f>C10</f>
        <v>765269923.74658346</v>
      </c>
      <c r="D14" s="148">
        <f>D10</f>
        <v>782690230.80480337</v>
      </c>
      <c r="E14" s="148">
        <f>E10</f>
        <v>593667884.22427785</v>
      </c>
      <c r="F14" s="148">
        <f>F10</f>
        <v>2400719.940774601</v>
      </c>
      <c r="G14" s="148">
        <f>G10</f>
        <v>7314410.0302792341</v>
      </c>
      <c r="H14" s="149" t="s">
        <v>319</v>
      </c>
    </row>
    <row r="15" spans="1:9" ht="15" thickBot="1">
      <c r="A15" s="146">
        <f t="shared" si="0"/>
        <v>10</v>
      </c>
      <c r="B15" s="152" t="s">
        <v>320</v>
      </c>
      <c r="C15" s="162">
        <f>+C13/C14</f>
        <v>1.528983385980872E-2</v>
      </c>
      <c r="D15" s="163">
        <f>+D13/D14</f>
        <v>1.5648532045145521E-4</v>
      </c>
      <c r="E15" s="163">
        <f>+E13/E14</f>
        <v>0</v>
      </c>
      <c r="F15" s="163">
        <f>+F13/F14</f>
        <v>1.610349049951176E-2</v>
      </c>
      <c r="G15" s="163">
        <f>+G13/G14</f>
        <v>1.610349049951176E-2</v>
      </c>
      <c r="H15" s="149" t="s">
        <v>321</v>
      </c>
    </row>
    <row r="16" spans="1:9">
      <c r="A16" s="146">
        <f t="shared" si="0"/>
        <v>11</v>
      </c>
      <c r="B16" s="147" t="s">
        <v>322</v>
      </c>
      <c r="C16" s="159"/>
      <c r="D16" s="151"/>
      <c r="E16" s="151"/>
      <c r="F16" s="151"/>
      <c r="G16" s="151"/>
      <c r="H16" s="149"/>
    </row>
    <row r="17" spans="1:8">
      <c r="A17" s="146">
        <f t="shared" si="0"/>
        <v>12</v>
      </c>
      <c r="B17" s="152" t="s">
        <v>323</v>
      </c>
      <c r="C17" s="148">
        <f>'WS4-CostData'!K46</f>
        <v>31900035.417783894</v>
      </c>
      <c r="D17" s="148">
        <f>'WS4-CostData'!K47</f>
        <v>23867612.258113839</v>
      </c>
      <c r="E17" s="148">
        <f>'WS4-CostData'!G47</f>
        <v>17176260.692972805</v>
      </c>
      <c r="F17" s="148">
        <f>'WS4-CostData'!K49</f>
        <v>101832.7773265179</v>
      </c>
      <c r="G17" s="148">
        <f>'WS4-CostData'!K50</f>
        <v>310259.71636156226</v>
      </c>
      <c r="H17" s="149" t="s">
        <v>324</v>
      </c>
    </row>
    <row r="18" spans="1:8" ht="15" thickBot="1">
      <c r="A18" s="146">
        <f t="shared" si="0"/>
        <v>13</v>
      </c>
      <c r="B18" s="152" t="s">
        <v>311</v>
      </c>
      <c r="C18" s="161">
        <f>C14</f>
        <v>765269923.74658346</v>
      </c>
      <c r="D18" s="148">
        <f>D14</f>
        <v>782690230.80480337</v>
      </c>
      <c r="E18" s="148">
        <f>E14</f>
        <v>593667884.22427785</v>
      </c>
      <c r="F18" s="148">
        <f>F14</f>
        <v>2400719.940774601</v>
      </c>
      <c r="G18" s="148">
        <f>G14</f>
        <v>7314410.0302792341</v>
      </c>
      <c r="H18" s="149" t="s">
        <v>319</v>
      </c>
    </row>
    <row r="19" spans="1:8" ht="15" thickBot="1">
      <c r="A19" s="146">
        <f t="shared" si="0"/>
        <v>14</v>
      </c>
      <c r="B19" s="152" t="s">
        <v>325</v>
      </c>
      <c r="C19" s="162">
        <f>C17/C18</f>
        <v>4.168468461638835E-2</v>
      </c>
      <c r="D19" s="163">
        <f>D17/D18</f>
        <v>3.0494327536925946E-2</v>
      </c>
      <c r="E19" s="163">
        <f>E17/E18</f>
        <v>2.8932440425704246E-2</v>
      </c>
      <c r="F19" s="163">
        <f>F17/F18</f>
        <v>4.2417599652902947E-2</v>
      </c>
      <c r="G19" s="163">
        <f>G17/G18</f>
        <v>4.2417599652902947E-2</v>
      </c>
      <c r="H19" s="149" t="s">
        <v>326</v>
      </c>
    </row>
    <row r="20" spans="1:8">
      <c r="A20" s="146">
        <f t="shared" si="0"/>
        <v>15</v>
      </c>
      <c r="B20" s="147" t="s">
        <v>327</v>
      </c>
      <c r="C20" s="159"/>
      <c r="D20" s="151"/>
      <c r="E20" s="151"/>
      <c r="F20" s="151"/>
      <c r="G20" s="151"/>
      <c r="H20" s="149"/>
    </row>
    <row r="21" spans="1:8">
      <c r="A21" s="146">
        <f t="shared" si="0"/>
        <v>16</v>
      </c>
      <c r="B21" s="152" t="s">
        <v>328</v>
      </c>
      <c r="C21" s="159"/>
      <c r="D21" s="151"/>
      <c r="E21" s="151"/>
      <c r="F21" s="151"/>
      <c r="G21" s="151"/>
      <c r="H21" s="149"/>
    </row>
    <row r="22" spans="1:8">
      <c r="A22" s="146">
        <f t="shared" si="0"/>
        <v>17</v>
      </c>
      <c r="B22" s="147" t="s">
        <v>329</v>
      </c>
      <c r="C22" s="159"/>
      <c r="D22" s="151"/>
      <c r="E22" s="151"/>
      <c r="F22" s="151"/>
      <c r="G22" s="151"/>
      <c r="H22" s="149"/>
    </row>
    <row r="23" spans="1:8">
      <c r="A23" s="146">
        <f t="shared" si="0"/>
        <v>18</v>
      </c>
      <c r="B23" s="152" t="s">
        <v>330</v>
      </c>
      <c r="C23" s="159"/>
      <c r="D23" s="151"/>
      <c r="E23" s="151"/>
      <c r="F23" s="151"/>
      <c r="G23" s="151"/>
      <c r="H23" s="149"/>
    </row>
    <row r="24" spans="1:8" ht="15" thickBot="1">
      <c r="A24" s="146">
        <f t="shared" si="0"/>
        <v>19</v>
      </c>
      <c r="B24" s="147" t="s">
        <v>331</v>
      </c>
      <c r="C24" s="159"/>
      <c r="D24" s="151"/>
      <c r="E24" s="151"/>
      <c r="F24" s="151"/>
      <c r="G24" s="151"/>
      <c r="H24" s="149"/>
    </row>
    <row r="25" spans="1:8" ht="15" thickBot="1">
      <c r="A25" s="146">
        <f t="shared" si="0"/>
        <v>20</v>
      </c>
      <c r="B25" s="152" t="s">
        <v>332</v>
      </c>
      <c r="C25" s="162">
        <f>'WS4-CostData'!K71</f>
        <v>3.9423571574590852E-2</v>
      </c>
      <c r="D25" s="163">
        <f>'WS4-CostData'!K73</f>
        <v>3.6395315265351356E-2</v>
      </c>
      <c r="E25" s="163">
        <f>'WS4-CostData'!K73</f>
        <v>3.6395315265351356E-2</v>
      </c>
      <c r="F25" s="163">
        <f>C25</f>
        <v>3.9423571574590852E-2</v>
      </c>
      <c r="G25" s="163">
        <f>F25</f>
        <v>3.9423571574590852E-2</v>
      </c>
      <c r="H25" s="149" t="s">
        <v>333</v>
      </c>
    </row>
    <row r="26" spans="1:8">
      <c r="A26" s="146">
        <f t="shared" si="0"/>
        <v>21</v>
      </c>
      <c r="B26" s="147" t="s">
        <v>334</v>
      </c>
      <c r="C26" s="159"/>
      <c r="D26" s="151"/>
      <c r="E26" s="151"/>
      <c r="F26" s="151"/>
      <c r="G26" s="151"/>
      <c r="H26" s="149"/>
    </row>
    <row r="27" spans="1:8">
      <c r="A27" s="146">
        <f t="shared" si="0"/>
        <v>22</v>
      </c>
      <c r="B27" s="152" t="s">
        <v>335</v>
      </c>
      <c r="C27" s="164">
        <f>C11</f>
        <v>0.11171308237901133</v>
      </c>
      <c r="D27" s="153">
        <f>D11</f>
        <v>0.12168409011249887</v>
      </c>
      <c r="E27" s="153">
        <f>E11</f>
        <v>8.1000471910148211E-2</v>
      </c>
      <c r="F27" s="153">
        <f>F11</f>
        <v>0.11350897471532087</v>
      </c>
      <c r="G27" s="153">
        <f>G11</f>
        <v>0.11350897471532086</v>
      </c>
      <c r="H27" s="149" t="s">
        <v>336</v>
      </c>
    </row>
    <row r="28" spans="1:8">
      <c r="A28" s="146">
        <f t="shared" si="0"/>
        <v>23</v>
      </c>
      <c r="B28" s="152" t="s">
        <v>337</v>
      </c>
      <c r="C28" s="164">
        <f>C15</f>
        <v>1.528983385980872E-2</v>
      </c>
      <c r="D28" s="153">
        <f>D15</f>
        <v>1.5648532045145521E-4</v>
      </c>
      <c r="E28" s="153">
        <f>E15</f>
        <v>0</v>
      </c>
      <c r="F28" s="153">
        <f>F15</f>
        <v>1.610349049951176E-2</v>
      </c>
      <c r="G28" s="153">
        <f>G15</f>
        <v>1.610349049951176E-2</v>
      </c>
      <c r="H28" s="149" t="s">
        <v>338</v>
      </c>
    </row>
    <row r="29" spans="1:8">
      <c r="A29" s="146">
        <f t="shared" si="0"/>
        <v>24</v>
      </c>
      <c r="B29" s="152" t="s">
        <v>323</v>
      </c>
      <c r="C29" s="164">
        <f>C19</f>
        <v>4.168468461638835E-2</v>
      </c>
      <c r="D29" s="153">
        <f>D19</f>
        <v>3.0494327536925946E-2</v>
      </c>
      <c r="E29" s="153">
        <f>E19</f>
        <v>2.8932440425704246E-2</v>
      </c>
      <c r="F29" s="153">
        <f>F19</f>
        <v>4.2417599652902947E-2</v>
      </c>
      <c r="G29" s="153">
        <f>G19</f>
        <v>4.2417599652902947E-2</v>
      </c>
      <c r="H29" s="149" t="s">
        <v>339</v>
      </c>
    </row>
    <row r="30" spans="1:8">
      <c r="A30" s="146">
        <f t="shared" si="0"/>
        <v>25</v>
      </c>
      <c r="B30" s="152" t="s">
        <v>340</v>
      </c>
      <c r="C30" s="164">
        <v>0</v>
      </c>
      <c r="D30" s="153">
        <v>0</v>
      </c>
      <c r="E30" s="153">
        <v>0</v>
      </c>
      <c r="F30" s="153">
        <v>0</v>
      </c>
      <c r="G30" s="153">
        <v>0</v>
      </c>
      <c r="H30" s="149"/>
    </row>
    <row r="31" spans="1:8">
      <c r="A31" s="146">
        <f t="shared" si="0"/>
        <v>26</v>
      </c>
      <c r="B31" s="152" t="s">
        <v>341</v>
      </c>
      <c r="C31" s="164">
        <v>0</v>
      </c>
      <c r="D31" s="153">
        <v>0</v>
      </c>
      <c r="E31" s="153">
        <v>0</v>
      </c>
      <c r="F31" s="153">
        <v>0</v>
      </c>
      <c r="G31" s="153">
        <v>0</v>
      </c>
      <c r="H31" s="149"/>
    </row>
    <row r="32" spans="1:8" ht="15" thickBot="1">
      <c r="A32" s="146">
        <f t="shared" si="0"/>
        <v>27</v>
      </c>
      <c r="B32" s="152" t="s">
        <v>342</v>
      </c>
      <c r="C32" s="164">
        <f>C25</f>
        <v>3.9423571574590852E-2</v>
      </c>
      <c r="D32" s="153">
        <f>D25</f>
        <v>3.6395315265351356E-2</v>
      </c>
      <c r="E32" s="153">
        <f>E25</f>
        <v>3.6395315265351356E-2</v>
      </c>
      <c r="F32" s="153">
        <f>F25</f>
        <v>3.9423571574590852E-2</v>
      </c>
      <c r="G32" s="153">
        <f>G25</f>
        <v>3.9423571574590852E-2</v>
      </c>
      <c r="H32" s="149" t="s">
        <v>343</v>
      </c>
    </row>
    <row r="33" spans="1:8" ht="15" thickBot="1">
      <c r="A33" s="146">
        <f t="shared" si="0"/>
        <v>28</v>
      </c>
      <c r="B33" s="152" t="s">
        <v>344</v>
      </c>
      <c r="C33" s="162">
        <f>SUM(C27:C32)</f>
        <v>0.20811117242979926</v>
      </c>
      <c r="D33" s="163">
        <f>SUM(D27:D32)</f>
        <v>0.18873021823522762</v>
      </c>
      <c r="E33" s="163">
        <f>SUM(E27:E32)</f>
        <v>0.14632822760120381</v>
      </c>
      <c r="F33" s="163">
        <f>SUM(F27:F32)</f>
        <v>0.21145363644232645</v>
      </c>
      <c r="G33" s="163">
        <f>SUM(G27:G32)</f>
        <v>0.2114536364423264</v>
      </c>
      <c r="H33" s="149"/>
    </row>
    <row r="34" spans="1:8">
      <c r="A34" s="146">
        <f t="shared" si="0"/>
        <v>29</v>
      </c>
      <c r="B34" s="147" t="s">
        <v>345</v>
      </c>
      <c r="C34" s="164"/>
      <c r="D34" s="153"/>
      <c r="E34" s="153"/>
      <c r="F34" s="153"/>
      <c r="G34" s="153"/>
      <c r="H34" s="154"/>
    </row>
    <row r="35" spans="1:8">
      <c r="A35" s="146">
        <f t="shared" si="0"/>
        <v>30</v>
      </c>
      <c r="B35" s="152" t="s">
        <v>346</v>
      </c>
      <c r="C35" s="164">
        <f>C33</f>
        <v>0.20811117242979926</v>
      </c>
      <c r="D35" s="153">
        <f>D33</f>
        <v>0.18873021823522762</v>
      </c>
      <c r="E35" s="153">
        <f>E33</f>
        <v>0.14632822760120381</v>
      </c>
      <c r="F35" s="153">
        <f>F33</f>
        <v>0.21145363644232645</v>
      </c>
      <c r="G35" s="153">
        <f>G33</f>
        <v>0.2114536364423264</v>
      </c>
      <c r="H35" s="165" t="s">
        <v>347</v>
      </c>
    </row>
    <row r="36" spans="1:8">
      <c r="A36" s="146">
        <f t="shared" si="0"/>
        <v>31</v>
      </c>
      <c r="B36" s="152" t="s">
        <v>311</v>
      </c>
      <c r="C36" s="166">
        <f>C10</f>
        <v>765269923.74658346</v>
      </c>
      <c r="D36" s="167">
        <f>D10</f>
        <v>782690230.80480337</v>
      </c>
      <c r="E36" s="167">
        <f>E10</f>
        <v>593667884.22427785</v>
      </c>
      <c r="F36" s="167">
        <f>F10</f>
        <v>2400719.940774601</v>
      </c>
      <c r="G36" s="167">
        <f>G10</f>
        <v>7314410.0302792341</v>
      </c>
      <c r="H36" s="149" t="s">
        <v>319</v>
      </c>
    </row>
    <row r="37" spans="1:8" ht="15" thickBot="1">
      <c r="A37" s="119">
        <f t="shared" si="0"/>
        <v>32</v>
      </c>
      <c r="B37" s="155" t="s">
        <v>348</v>
      </c>
      <c r="C37" s="168">
        <f>C36*C35</f>
        <v>159261221.05616456</v>
      </c>
      <c r="D37" s="156">
        <f>D36*D35</f>
        <v>147717298.07037121</v>
      </c>
      <c r="E37" s="156">
        <f>E36*E35</f>
        <v>86870369.282295242</v>
      </c>
      <c r="F37" s="156">
        <f>F36*F35</f>
        <v>507640.96155639598</v>
      </c>
      <c r="G37" s="156">
        <f>G36*G35</f>
        <v>1546658.5993327708</v>
      </c>
      <c r="H37" s="157" t="s">
        <v>349</v>
      </c>
    </row>
  </sheetData>
  <hyperlinks>
    <hyperlink ref="I1" location="'Cover Sheets'!A16"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view="pageBreakPreview" zoomScaleNormal="100" zoomScaleSheetLayoutView="100" workbookViewId="0"/>
  </sheetViews>
  <sheetFormatPr defaultRowHeight="14.5"/>
  <cols>
    <col min="1" max="1" width="8.453125" customWidth="1"/>
    <col min="2" max="2" width="11.1796875" customWidth="1"/>
    <col min="3" max="3" width="40.81640625" customWidth="1"/>
    <col min="4" max="4" width="26.453125" bestFit="1" customWidth="1"/>
    <col min="5" max="5" width="12.81640625" customWidth="1"/>
    <col min="6" max="6" width="11.54296875" customWidth="1"/>
    <col min="7" max="7" width="14.453125" customWidth="1"/>
    <col min="8" max="8" width="20.453125" customWidth="1"/>
    <col min="9" max="9" width="3.54296875" customWidth="1"/>
    <col min="10" max="10" width="22.81640625" customWidth="1"/>
  </cols>
  <sheetData>
    <row r="1" spans="1:11">
      <c r="A1" s="627" t="str">
        <f>'Cover Sheets'!A10:B10</f>
        <v>WAPA-UGP 2024 Rate Estimate Calculation</v>
      </c>
      <c r="B1" s="102"/>
      <c r="C1" s="300"/>
      <c r="D1" s="300"/>
      <c r="E1" s="301"/>
      <c r="F1" s="55"/>
      <c r="G1" s="54"/>
      <c r="H1" s="628"/>
      <c r="I1" s="302"/>
      <c r="J1" s="328" t="s">
        <v>41</v>
      </c>
    </row>
    <row r="2" spans="1:11">
      <c r="A2" s="318" t="s">
        <v>350</v>
      </c>
      <c r="B2" s="370"/>
      <c r="C2" s="48"/>
      <c r="D2" s="48"/>
      <c r="E2" s="106"/>
      <c r="F2" s="36"/>
      <c r="G2" s="45"/>
      <c r="H2" s="105"/>
      <c r="I2" s="81"/>
    </row>
    <row r="3" spans="1:11">
      <c r="A3" s="318" t="str">
        <f>'WS1-RateBase'!A4</f>
        <v>12 Months Ending 09/30/2024 ESTIMATE</v>
      </c>
      <c r="B3" s="370"/>
      <c r="C3" s="48"/>
      <c r="D3" s="48"/>
      <c r="E3" s="106"/>
      <c r="F3" s="36"/>
      <c r="G3" s="45"/>
      <c r="H3" s="105" t="s">
        <v>43</v>
      </c>
      <c r="I3" s="81"/>
      <c r="J3" s="502"/>
      <c r="K3" s="502"/>
    </row>
    <row r="4" spans="1:11" ht="26.5">
      <c r="A4" s="39" t="s">
        <v>44</v>
      </c>
      <c r="B4" s="105" t="s">
        <v>351</v>
      </c>
      <c r="C4" s="105" t="s">
        <v>352</v>
      </c>
      <c r="D4" s="105" t="s">
        <v>45</v>
      </c>
      <c r="E4" s="337" t="s">
        <v>46</v>
      </c>
      <c r="F4" s="105" t="s">
        <v>47</v>
      </c>
      <c r="G4" s="105" t="s">
        <v>48</v>
      </c>
      <c r="H4" s="105" t="s">
        <v>49</v>
      </c>
      <c r="I4" s="35"/>
      <c r="J4" s="502"/>
      <c r="K4" s="502"/>
    </row>
    <row r="5" spans="1:11" ht="15" thickBot="1">
      <c r="A5" s="41" t="s">
        <v>50</v>
      </c>
      <c r="B5" s="47"/>
      <c r="C5" s="47" t="s">
        <v>51</v>
      </c>
      <c r="D5" s="47" t="s">
        <v>52</v>
      </c>
      <c r="E5" s="47" t="s">
        <v>53</v>
      </c>
      <c r="F5" s="33"/>
      <c r="G5" s="103" t="s">
        <v>54</v>
      </c>
      <c r="H5" s="103" t="s">
        <v>55</v>
      </c>
      <c r="I5" s="32"/>
      <c r="J5" s="502"/>
      <c r="K5" s="502"/>
    </row>
    <row r="6" spans="1:11">
      <c r="A6" s="56">
        <v>1</v>
      </c>
      <c r="B6" s="55" t="s">
        <v>2667</v>
      </c>
      <c r="C6" s="310"/>
      <c r="D6" s="311" t="s">
        <v>353</v>
      </c>
      <c r="E6" s="454">
        <v>5500</v>
      </c>
      <c r="F6" s="306" t="s">
        <v>60</v>
      </c>
      <c r="G6" s="516">
        <v>1</v>
      </c>
      <c r="H6" s="319">
        <f>E6</f>
        <v>5500</v>
      </c>
      <c r="I6" s="307"/>
      <c r="J6" s="515"/>
      <c r="K6" s="502"/>
    </row>
    <row r="7" spans="1:11">
      <c r="A7" s="40">
        <v>2</v>
      </c>
      <c r="B7" s="36" t="s">
        <v>2667</v>
      </c>
      <c r="C7" s="370" t="s">
        <v>354</v>
      </c>
      <c r="D7" s="313" t="s">
        <v>353</v>
      </c>
      <c r="E7" s="454">
        <v>0</v>
      </c>
      <c r="F7" s="312"/>
      <c r="G7" s="517">
        <v>1</v>
      </c>
      <c r="H7" s="320">
        <f>E7</f>
        <v>0</v>
      </c>
      <c r="I7" s="629"/>
      <c r="J7" s="502"/>
      <c r="K7" s="502"/>
    </row>
    <row r="8" spans="1:11" ht="15" thickBot="1">
      <c r="A8" s="44">
        <v>3</v>
      </c>
      <c r="B8" s="33" t="s">
        <v>355</v>
      </c>
      <c r="C8" s="34"/>
      <c r="D8" s="314"/>
      <c r="E8" s="626">
        <f>SUM(E6:E7)</f>
        <v>5500</v>
      </c>
      <c r="F8" s="315"/>
      <c r="G8" s="33"/>
      <c r="H8" s="321">
        <f>SUM(H6:H7)</f>
        <v>5500</v>
      </c>
      <c r="I8" s="32"/>
      <c r="J8" s="502"/>
      <c r="K8" s="502"/>
    </row>
    <row r="9" spans="1:11">
      <c r="A9" s="56">
        <v>4</v>
      </c>
      <c r="B9" s="55" t="s">
        <v>356</v>
      </c>
      <c r="C9" s="310"/>
      <c r="D9" s="311" t="s">
        <v>357</v>
      </c>
      <c r="E9" s="511">
        <v>-6300000</v>
      </c>
      <c r="F9" s="306" t="s">
        <v>67</v>
      </c>
      <c r="G9" s="516">
        <v>1</v>
      </c>
      <c r="H9" s="319">
        <f>E9</f>
        <v>-6300000</v>
      </c>
      <c r="I9" s="307"/>
      <c r="J9" s="515"/>
      <c r="K9" s="502"/>
    </row>
    <row r="10" spans="1:11">
      <c r="A10" s="40">
        <v>5</v>
      </c>
      <c r="B10" s="36" t="s">
        <v>356</v>
      </c>
      <c r="C10" s="370" t="s">
        <v>354</v>
      </c>
      <c r="D10" s="313" t="s">
        <v>357</v>
      </c>
      <c r="E10" s="511">
        <v>0</v>
      </c>
      <c r="F10" s="312" t="s">
        <v>67</v>
      </c>
      <c r="G10" s="517">
        <v>1</v>
      </c>
      <c r="H10" s="320">
        <f>E10</f>
        <v>0</v>
      </c>
      <c r="I10" s="629"/>
      <c r="J10" s="502"/>
      <c r="K10" s="502"/>
    </row>
    <row r="11" spans="1:11" ht="15" thickBot="1">
      <c r="A11" s="44">
        <v>6</v>
      </c>
      <c r="B11" s="33" t="s">
        <v>355</v>
      </c>
      <c r="C11" s="34"/>
      <c r="D11" s="314"/>
      <c r="E11" s="512">
        <f>SUM(E9:E10)</f>
        <v>-6300000</v>
      </c>
      <c r="F11" s="315"/>
      <c r="G11" s="33"/>
      <c r="H11" s="321">
        <f>SUM(H9:H10)</f>
        <v>-6300000</v>
      </c>
      <c r="I11" s="32"/>
      <c r="J11" s="502"/>
      <c r="K11" s="502"/>
    </row>
    <row r="12" spans="1:11">
      <c r="A12" s="56">
        <v>7</v>
      </c>
      <c r="B12" s="55" t="s">
        <v>358</v>
      </c>
      <c r="C12" s="310"/>
      <c r="D12" s="311" t="s">
        <v>359</v>
      </c>
      <c r="E12" s="511">
        <v>-3850000</v>
      </c>
      <c r="F12" s="306" t="s">
        <v>67</v>
      </c>
      <c r="G12" s="516">
        <v>1</v>
      </c>
      <c r="H12" s="319">
        <f>E12</f>
        <v>-3850000</v>
      </c>
      <c r="I12" s="307"/>
      <c r="J12" s="515"/>
      <c r="K12" s="502"/>
    </row>
    <row r="13" spans="1:11">
      <c r="A13" s="40">
        <v>8</v>
      </c>
      <c r="B13" s="36" t="s">
        <v>358</v>
      </c>
      <c r="C13" s="370" t="s">
        <v>354</v>
      </c>
      <c r="D13" s="316" t="s">
        <v>359</v>
      </c>
      <c r="E13" s="511">
        <v>0</v>
      </c>
      <c r="F13" s="312" t="s">
        <v>67</v>
      </c>
      <c r="G13" s="517">
        <v>1</v>
      </c>
      <c r="H13" s="330">
        <f>E13</f>
        <v>0</v>
      </c>
      <c r="I13" s="629"/>
      <c r="J13" s="502"/>
      <c r="K13" s="502"/>
    </row>
    <row r="14" spans="1:11" ht="15" thickBot="1">
      <c r="A14" s="44">
        <v>9</v>
      </c>
      <c r="B14" s="33" t="s">
        <v>355</v>
      </c>
      <c r="C14" s="34"/>
      <c r="D14" s="314"/>
      <c r="E14" s="512">
        <f>SUM(E12:E13)</f>
        <v>-3850000</v>
      </c>
      <c r="F14" s="315"/>
      <c r="G14" s="33"/>
      <c r="H14" s="321">
        <f>SUM(H12:H13)</f>
        <v>-3850000</v>
      </c>
      <c r="I14" s="32"/>
      <c r="J14" s="502"/>
      <c r="K14" s="502"/>
    </row>
    <row r="15" spans="1:11">
      <c r="A15" s="56">
        <v>10</v>
      </c>
      <c r="B15" s="55" t="s">
        <v>360</v>
      </c>
      <c r="C15" s="310"/>
      <c r="D15" s="311" t="s">
        <v>361</v>
      </c>
      <c r="E15" s="511">
        <v>-1250000</v>
      </c>
      <c r="F15" s="306" t="s">
        <v>67</v>
      </c>
      <c r="G15" s="516">
        <v>1</v>
      </c>
      <c r="H15" s="319">
        <f>E15</f>
        <v>-1250000</v>
      </c>
      <c r="I15" s="307"/>
      <c r="J15" s="515"/>
      <c r="K15" s="502"/>
    </row>
    <row r="16" spans="1:11">
      <c r="A16" s="40">
        <v>11</v>
      </c>
      <c r="B16" s="36" t="s">
        <v>360</v>
      </c>
      <c r="C16" s="370" t="s">
        <v>354</v>
      </c>
      <c r="D16" s="388" t="s">
        <v>361</v>
      </c>
      <c r="E16" s="511">
        <v>0</v>
      </c>
      <c r="F16" s="312" t="s">
        <v>67</v>
      </c>
      <c r="G16" s="517">
        <v>1</v>
      </c>
      <c r="H16" s="320">
        <f>E16</f>
        <v>0</v>
      </c>
      <c r="I16" s="629"/>
      <c r="J16" s="502"/>
      <c r="K16" s="502"/>
    </row>
    <row r="17" spans="1:11" ht="15" thickBot="1">
      <c r="A17" s="44">
        <v>12</v>
      </c>
      <c r="B17" s="33" t="s">
        <v>355</v>
      </c>
      <c r="C17" s="34"/>
      <c r="D17" s="314"/>
      <c r="E17" s="512">
        <f>SUM(E15:E16)</f>
        <v>-1250000</v>
      </c>
      <c r="F17" s="315"/>
      <c r="G17" s="33"/>
      <c r="H17" s="321">
        <f>SUM(H15:H16)</f>
        <v>-1250000</v>
      </c>
      <c r="I17" s="32"/>
      <c r="J17" s="502"/>
      <c r="K17" s="502"/>
    </row>
    <row r="18" spans="1:11">
      <c r="A18" s="56">
        <v>13</v>
      </c>
      <c r="B18" s="55">
        <v>45420</v>
      </c>
      <c r="C18" s="310"/>
      <c r="D18" s="311" t="s">
        <v>362</v>
      </c>
      <c r="E18" s="624">
        <v>-4240</v>
      </c>
      <c r="F18" s="306" t="s">
        <v>67</v>
      </c>
      <c r="G18" s="516">
        <v>1</v>
      </c>
      <c r="H18" s="319">
        <f>E18</f>
        <v>-4240</v>
      </c>
      <c r="I18" s="307"/>
      <c r="J18" s="502"/>
      <c r="K18" s="502"/>
    </row>
    <row r="19" spans="1:11">
      <c r="A19" s="40">
        <v>14</v>
      </c>
      <c r="B19" s="36">
        <v>45420</v>
      </c>
      <c r="C19" s="370" t="s">
        <v>354</v>
      </c>
      <c r="D19" s="316" t="s">
        <v>362</v>
      </c>
      <c r="E19" s="625">
        <v>0</v>
      </c>
      <c r="F19" s="312" t="s">
        <v>67</v>
      </c>
      <c r="G19" s="517">
        <v>1</v>
      </c>
      <c r="H19" s="330">
        <f>E19</f>
        <v>0</v>
      </c>
      <c r="I19" s="629"/>
      <c r="J19" s="502"/>
      <c r="K19" s="502"/>
    </row>
    <row r="20" spans="1:11" ht="15" thickBot="1">
      <c r="A20" s="44">
        <v>15</v>
      </c>
      <c r="B20" s="33" t="s">
        <v>355</v>
      </c>
      <c r="C20" s="34"/>
      <c r="D20" s="314"/>
      <c r="E20" s="626">
        <f>SUM(E18:E19)</f>
        <v>-4240</v>
      </c>
      <c r="F20" s="315"/>
      <c r="G20" s="33"/>
      <c r="H20" s="321">
        <f>SUM(H18:H19)</f>
        <v>-4240</v>
      </c>
      <c r="I20" s="32"/>
      <c r="J20" s="502"/>
      <c r="K20" s="502"/>
    </row>
    <row r="21" spans="1:11">
      <c r="A21" s="56">
        <v>16</v>
      </c>
      <c r="B21" s="55" t="s">
        <v>363</v>
      </c>
      <c r="C21" s="310"/>
      <c r="D21" s="311" t="s">
        <v>364</v>
      </c>
      <c r="E21" s="513">
        <v>-65000</v>
      </c>
      <c r="F21" s="306" t="s">
        <v>60</v>
      </c>
      <c r="G21" s="516">
        <v>1</v>
      </c>
      <c r="H21" s="319">
        <f>E21</f>
        <v>-65000</v>
      </c>
      <c r="I21" s="307"/>
      <c r="J21" s="502"/>
      <c r="K21" s="515"/>
    </row>
    <row r="22" spans="1:11">
      <c r="A22" s="40">
        <v>17</v>
      </c>
      <c r="B22" s="36" t="s">
        <v>363</v>
      </c>
      <c r="C22" s="370" t="s">
        <v>354</v>
      </c>
      <c r="D22" s="316" t="s">
        <v>364</v>
      </c>
      <c r="E22" s="514">
        <v>0</v>
      </c>
      <c r="F22" s="312" t="s">
        <v>60</v>
      </c>
      <c r="G22" s="517">
        <v>1</v>
      </c>
      <c r="H22" s="330">
        <f>E22</f>
        <v>0</v>
      </c>
      <c r="I22" s="629"/>
      <c r="J22" s="502"/>
      <c r="K22" s="515"/>
    </row>
    <row r="23" spans="1:11" ht="15" thickBot="1">
      <c r="A23" s="44">
        <v>18</v>
      </c>
      <c r="B23" s="33" t="s">
        <v>355</v>
      </c>
      <c r="C23" s="34"/>
      <c r="D23" s="314"/>
      <c r="E23" s="512">
        <f>SUM(E21:E22)</f>
        <v>-65000</v>
      </c>
      <c r="F23" s="315"/>
      <c r="G23" s="33"/>
      <c r="H23" s="321">
        <f>SUM(H21:H22)</f>
        <v>-65000</v>
      </c>
      <c r="I23" s="32"/>
      <c r="J23" s="502"/>
      <c r="K23" s="502"/>
    </row>
    <row r="24" spans="1:11">
      <c r="A24" s="56">
        <v>19</v>
      </c>
      <c r="B24" s="55" t="s">
        <v>363</v>
      </c>
      <c r="C24" s="310"/>
      <c r="D24" s="311" t="s">
        <v>365</v>
      </c>
      <c r="E24" s="513">
        <v>-7500</v>
      </c>
      <c r="F24" s="306" t="s">
        <v>60</v>
      </c>
      <c r="G24" s="516">
        <v>1</v>
      </c>
      <c r="H24" s="319">
        <f>E24</f>
        <v>-7500</v>
      </c>
      <c r="I24" s="307"/>
      <c r="J24" s="502"/>
      <c r="K24" s="515"/>
    </row>
    <row r="25" spans="1:11">
      <c r="A25" s="40">
        <v>20</v>
      </c>
      <c r="B25" s="36" t="s">
        <v>363</v>
      </c>
      <c r="C25" s="370" t="s">
        <v>354</v>
      </c>
      <c r="D25" s="316" t="s">
        <v>365</v>
      </c>
      <c r="E25" s="514">
        <v>0</v>
      </c>
      <c r="F25" s="312" t="s">
        <v>60</v>
      </c>
      <c r="G25" s="517">
        <v>1</v>
      </c>
      <c r="H25" s="330">
        <f>E25</f>
        <v>0</v>
      </c>
      <c r="I25" s="629"/>
      <c r="J25" s="502"/>
      <c r="K25" s="515"/>
    </row>
    <row r="26" spans="1:11" ht="15" thickBot="1">
      <c r="A26" s="44">
        <v>21</v>
      </c>
      <c r="B26" s="33" t="s">
        <v>355</v>
      </c>
      <c r="C26" s="34"/>
      <c r="D26" s="314"/>
      <c r="E26" s="512">
        <f>SUM(E24:E25)</f>
        <v>-7500</v>
      </c>
      <c r="F26" s="315"/>
      <c r="G26" s="33"/>
      <c r="H26" s="321">
        <f>SUM(H24:H25)</f>
        <v>-7500</v>
      </c>
      <c r="I26" s="32"/>
      <c r="J26" s="502"/>
      <c r="K26" s="502"/>
    </row>
    <row r="27" spans="1:11">
      <c r="A27" s="56">
        <v>22</v>
      </c>
      <c r="B27" s="113" t="s">
        <v>366</v>
      </c>
      <c r="C27" s="113" t="s">
        <v>367</v>
      </c>
      <c r="D27" s="113"/>
      <c r="E27" s="113"/>
      <c r="F27" s="113"/>
      <c r="G27" s="113"/>
      <c r="H27" s="113"/>
      <c r="I27" s="133"/>
      <c r="J27" s="502"/>
      <c r="K27" s="502"/>
    </row>
    <row r="28" spans="1:11">
      <c r="A28" s="40">
        <v>23</v>
      </c>
      <c r="B28" s="114"/>
      <c r="C28" s="114" t="s">
        <v>368</v>
      </c>
      <c r="D28" s="114"/>
      <c r="E28" s="114"/>
      <c r="F28" s="114"/>
      <c r="G28" s="114"/>
      <c r="H28" s="114"/>
      <c r="I28" s="134"/>
    </row>
    <row r="29" spans="1:11">
      <c r="A29" s="40">
        <v>24</v>
      </c>
      <c r="B29" s="114"/>
      <c r="C29" s="904" t="s">
        <v>2666</v>
      </c>
      <c r="D29" s="904"/>
      <c r="E29" s="904"/>
      <c r="F29" s="904"/>
      <c r="G29" s="904"/>
      <c r="H29" s="904"/>
      <c r="I29" s="905"/>
    </row>
    <row r="30" spans="1:11">
      <c r="A30" s="40">
        <v>25</v>
      </c>
      <c r="B30" s="114"/>
      <c r="C30" s="904" t="s">
        <v>369</v>
      </c>
      <c r="D30" s="904"/>
      <c r="E30" s="904"/>
      <c r="F30" s="904"/>
      <c r="G30" s="904"/>
      <c r="H30" s="904"/>
      <c r="I30" s="905"/>
    </row>
    <row r="31" spans="1:11">
      <c r="A31" s="40">
        <v>26</v>
      </c>
      <c r="B31" s="114"/>
      <c r="C31" s="904" t="s">
        <v>370</v>
      </c>
      <c r="D31" s="904"/>
      <c r="E31" s="904"/>
      <c r="F31" s="904"/>
      <c r="G31" s="904"/>
      <c r="H31" s="904"/>
      <c r="I31" s="905"/>
    </row>
    <row r="32" spans="1:11">
      <c r="A32" s="40">
        <v>27</v>
      </c>
      <c r="B32" s="114"/>
      <c r="C32" s="904" t="s">
        <v>371</v>
      </c>
      <c r="D32" s="904"/>
      <c r="E32" s="904"/>
      <c r="F32" s="904"/>
      <c r="G32" s="904"/>
      <c r="H32" s="904"/>
      <c r="I32" s="905"/>
    </row>
    <row r="33" spans="1:9">
      <c r="A33" s="40">
        <v>28</v>
      </c>
      <c r="B33" s="114"/>
      <c r="C33" s="740" t="s">
        <v>372</v>
      </c>
      <c r="D33" s="740"/>
      <c r="E33" s="740"/>
      <c r="F33" s="740"/>
      <c r="G33" s="740"/>
      <c r="H33" s="740"/>
      <c r="I33" s="741"/>
    </row>
    <row r="34" spans="1:9">
      <c r="A34" s="40">
        <v>29</v>
      </c>
      <c r="B34" s="114"/>
      <c r="C34" s="904" t="s">
        <v>373</v>
      </c>
      <c r="D34" s="904"/>
      <c r="E34" s="904"/>
      <c r="F34" s="904"/>
      <c r="G34" s="904"/>
      <c r="H34" s="904"/>
      <c r="I34" s="905"/>
    </row>
    <row r="35" spans="1:9" ht="15" thickBot="1">
      <c r="A35" s="44"/>
      <c r="B35" s="630"/>
      <c r="C35" s="902"/>
      <c r="D35" s="902"/>
      <c r="E35" s="902"/>
      <c r="F35" s="902"/>
      <c r="G35" s="902"/>
      <c r="H35" s="902"/>
      <c r="I35" s="903"/>
    </row>
  </sheetData>
  <mergeCells count="6">
    <mergeCell ref="C35:I35"/>
    <mergeCell ref="C29:I29"/>
    <mergeCell ref="C30:I30"/>
    <mergeCell ref="C31:I31"/>
    <mergeCell ref="C32:I32"/>
    <mergeCell ref="C34:I34"/>
  </mergeCells>
  <hyperlinks>
    <hyperlink ref="J1" location="'Cover Sheets'!A16" display="(Back to Worksheet Links)" xr:uid="{00000000-0004-0000-0400-000000000000}"/>
  </hyperlinks>
  <pageMargins left="0.7" right="0.7" top="0.75" bottom="0.75" header="0.3" footer="0.3"/>
  <pageSetup scale="60"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138"/>
  <sheetViews>
    <sheetView view="pageBreakPreview" zoomScale="90" zoomScaleNormal="100" zoomScaleSheetLayoutView="90" workbookViewId="0"/>
  </sheetViews>
  <sheetFormatPr defaultColWidth="12.54296875" defaultRowHeight="13"/>
  <cols>
    <col min="1" max="1" width="12.54296875" style="110"/>
    <col min="2" max="2" width="37.1796875" style="109" customWidth="1"/>
    <col min="3" max="3" width="18.54296875" style="109" bestFit="1" customWidth="1"/>
    <col min="4" max="4" width="7.453125" style="109" bestFit="1" customWidth="1"/>
    <col min="5" max="5" width="12.81640625" style="109" bestFit="1" customWidth="1"/>
    <col min="6" max="6" width="6.54296875" style="109" customWidth="1"/>
    <col min="7" max="7" width="13.453125" style="109" bestFit="1" customWidth="1"/>
    <col min="8" max="8" width="6" style="109" bestFit="1" customWidth="1"/>
    <col min="9" max="9" width="12.54296875" style="109"/>
    <col min="10" max="10" width="7" style="109" customWidth="1"/>
    <col min="11" max="11" width="13.453125" style="109" bestFit="1" customWidth="1"/>
    <col min="12" max="12" width="38.54296875" style="109" customWidth="1"/>
    <col min="13" max="13" width="21.81640625" style="109" customWidth="1"/>
    <col min="14" max="16384" width="12.54296875" style="109"/>
  </cols>
  <sheetData>
    <row r="1" spans="1:12" ht="14.5">
      <c r="A1" s="461" t="str">
        <f>'Cover Sheets'!A10:B10</f>
        <v>WAPA-UGP 2024 Rate Estimate Calculation</v>
      </c>
      <c r="B1" s="462"/>
      <c r="C1" s="113"/>
      <c r="D1" s="113"/>
      <c r="E1" s="113"/>
      <c r="F1" s="113"/>
      <c r="G1" s="113"/>
      <c r="H1" s="113"/>
      <c r="I1" s="113"/>
      <c r="J1" s="113"/>
      <c r="K1" s="409" t="s">
        <v>41</v>
      </c>
      <c r="L1" s="133"/>
    </row>
    <row r="2" spans="1:12">
      <c r="A2" s="463" t="s">
        <v>374</v>
      </c>
      <c r="B2" s="460"/>
      <c r="C2" s="114"/>
      <c r="D2" s="114"/>
      <c r="E2" s="114"/>
      <c r="F2" s="114"/>
      <c r="G2" s="114"/>
      <c r="H2" s="114"/>
      <c r="I2" s="114"/>
      <c r="J2" s="114"/>
      <c r="K2" s="114"/>
      <c r="L2" s="134"/>
    </row>
    <row r="3" spans="1:12">
      <c r="A3" s="463" t="str">
        <f>'Summary-ATRR'!A3</f>
        <v>12 Months Ending 09/30/2024 ESTIMATE</v>
      </c>
      <c r="B3" s="460"/>
      <c r="C3" s="114"/>
      <c r="D3" s="114"/>
      <c r="E3" s="114"/>
      <c r="F3" s="114"/>
      <c r="G3" s="114"/>
      <c r="H3" s="114"/>
      <c r="I3" s="114"/>
      <c r="J3" s="114"/>
      <c r="K3" s="114"/>
      <c r="L3" s="134"/>
    </row>
    <row r="4" spans="1:12">
      <c r="A4" s="169"/>
      <c r="B4" s="170"/>
      <c r="C4" s="170" t="s">
        <v>375</v>
      </c>
      <c r="D4" s="171"/>
      <c r="E4" s="170" t="s">
        <v>376</v>
      </c>
      <c r="F4" s="171"/>
      <c r="G4" s="170" t="s">
        <v>377</v>
      </c>
      <c r="H4" s="172"/>
      <c r="I4" s="170" t="s">
        <v>378</v>
      </c>
      <c r="J4" s="172"/>
      <c r="K4" s="170" t="s">
        <v>379</v>
      </c>
      <c r="L4" s="134"/>
    </row>
    <row r="5" spans="1:12" s="110" customFormat="1" ht="13.5" thickBot="1">
      <c r="A5" s="169" t="s">
        <v>380</v>
      </c>
      <c r="B5" s="173">
        <v>-1</v>
      </c>
      <c r="C5" s="174">
        <v>-2</v>
      </c>
      <c r="D5" s="175"/>
      <c r="E5" s="174">
        <v>-3</v>
      </c>
      <c r="F5" s="175"/>
      <c r="G5" s="173">
        <v>-4</v>
      </c>
      <c r="H5" s="176"/>
      <c r="I5" s="173">
        <v>-5</v>
      </c>
      <c r="J5" s="176"/>
      <c r="K5" s="173">
        <v>-6</v>
      </c>
      <c r="L5" s="177"/>
    </row>
    <row r="6" spans="1:12">
      <c r="A6" s="178">
        <v>1</v>
      </c>
      <c r="B6" s="179" t="s">
        <v>381</v>
      </c>
      <c r="C6" s="180"/>
      <c r="D6" s="180"/>
      <c r="E6" s="180"/>
      <c r="F6" s="180"/>
      <c r="G6" s="180"/>
      <c r="H6" s="180"/>
      <c r="I6" s="180"/>
      <c r="J6" s="180"/>
      <c r="K6" s="180"/>
      <c r="L6" s="133"/>
    </row>
    <row r="7" spans="1:12">
      <c r="A7" s="169">
        <f t="shared" ref="A7:A29" si="0">A6+1</f>
        <v>2</v>
      </c>
      <c r="B7" s="181" t="s">
        <v>382</v>
      </c>
      <c r="C7" s="182">
        <f>'WS8-TransFac'!G520</f>
        <v>1604786713.970001</v>
      </c>
      <c r="D7" s="176" t="s">
        <v>383</v>
      </c>
      <c r="E7" s="182">
        <f>871983915.15</f>
        <v>871983915.14999998</v>
      </c>
      <c r="F7" s="176" t="s">
        <v>384</v>
      </c>
      <c r="G7" s="182">
        <f>170835578+212097069+221344212+362653001+82909504+295391167</f>
        <v>1345230531</v>
      </c>
      <c r="H7" s="176" t="s">
        <v>385</v>
      </c>
      <c r="I7" s="182">
        <f>565922077.7</f>
        <v>565922077.70000005</v>
      </c>
      <c r="J7" s="176" t="s">
        <v>386</v>
      </c>
      <c r="K7" s="181">
        <f t="shared" ref="K7:K12" si="1">C7+E7+G7+I7</f>
        <v>4387923237.8200006</v>
      </c>
      <c r="L7" s="134"/>
    </row>
    <row r="8" spans="1:12">
      <c r="A8" s="169">
        <f t="shared" si="0"/>
        <v>3</v>
      </c>
      <c r="B8" s="181" t="s">
        <v>387</v>
      </c>
      <c r="C8" s="182">
        <f>'WS8-TransFac'!K520</f>
        <v>1511459499.4096146</v>
      </c>
      <c r="D8" s="176" t="s">
        <v>388</v>
      </c>
      <c r="E8" s="181">
        <f>'WS8-TransFac'!K511</f>
        <v>7340382.7725</v>
      </c>
      <c r="F8" s="176" t="s">
        <v>389</v>
      </c>
      <c r="G8" s="181">
        <f>'WS8-TransFac'!K518</f>
        <v>89200084.689999998</v>
      </c>
      <c r="H8" s="176" t="s">
        <v>390</v>
      </c>
      <c r="I8" s="181">
        <v>0</v>
      </c>
      <c r="J8" s="176"/>
      <c r="K8" s="181">
        <f t="shared" si="1"/>
        <v>1607999966.8721147</v>
      </c>
      <c r="L8" s="134"/>
    </row>
    <row r="9" spans="1:12">
      <c r="A9" s="169">
        <f t="shared" si="0"/>
        <v>4</v>
      </c>
      <c r="B9" s="492" t="s">
        <v>2578</v>
      </c>
      <c r="C9" s="182">
        <f>'WS8-TransFac'!I520</f>
        <v>15974546.700384997</v>
      </c>
      <c r="D9" s="176" t="s">
        <v>391</v>
      </c>
      <c r="E9" s="181">
        <v>0</v>
      </c>
      <c r="F9" s="176"/>
      <c r="G9" s="182">
        <f>G7-G8</f>
        <v>1256030446.3099999</v>
      </c>
      <c r="H9" s="176" t="s">
        <v>392</v>
      </c>
      <c r="I9" s="182">
        <f>I7-I8</f>
        <v>565922077.70000005</v>
      </c>
      <c r="J9" s="176" t="s">
        <v>392</v>
      </c>
      <c r="K9" s="181">
        <f t="shared" si="1"/>
        <v>1837927070.7103851</v>
      </c>
      <c r="L9" s="134"/>
    </row>
    <row r="10" spans="1:12">
      <c r="A10" s="169">
        <f>A9+1</f>
        <v>5</v>
      </c>
      <c r="B10" s="181" t="s">
        <v>393</v>
      </c>
      <c r="C10" s="182">
        <f>'WS13-SSCDFac'!$G$53+'WS13-SSCDFac'!$G$59+'WS13-SSCDFac'!$G$70+'WS13-SSCDFac'!$G$123+'WS13-SSCDFac'!$G$142</f>
        <v>17251263.346579999</v>
      </c>
      <c r="D10" s="176" t="s">
        <v>394</v>
      </c>
      <c r="E10" s="181"/>
      <c r="F10" s="176"/>
      <c r="G10" s="182"/>
      <c r="H10" s="176"/>
      <c r="I10" s="182"/>
      <c r="J10" s="176"/>
      <c r="K10" s="181">
        <f t="shared" si="1"/>
        <v>17251263.346579999</v>
      </c>
      <c r="L10" s="134"/>
    </row>
    <row r="11" spans="1:12">
      <c r="A11" s="169">
        <f t="shared" si="0"/>
        <v>6</v>
      </c>
      <c r="B11" s="181" t="s">
        <v>395</v>
      </c>
      <c r="C11" s="182">
        <f>'WS7-BPUFac'!F15</f>
        <v>5042275.2302999999</v>
      </c>
      <c r="D11" s="176"/>
      <c r="E11" s="181"/>
      <c r="F11" s="176"/>
      <c r="G11" s="182"/>
      <c r="H11" s="176"/>
      <c r="I11" s="182"/>
      <c r="J11" s="176"/>
      <c r="K11" s="181">
        <f t="shared" si="1"/>
        <v>5042275.2302999999</v>
      </c>
      <c r="L11" s="134"/>
    </row>
    <row r="12" spans="1:12">
      <c r="A12" s="169">
        <f t="shared" si="0"/>
        <v>7</v>
      </c>
      <c r="B12" s="181" t="s">
        <v>396</v>
      </c>
      <c r="C12" s="182">
        <f>'WS7-BPUFac'!G15</f>
        <v>15362586.819700001</v>
      </c>
      <c r="D12" s="176"/>
      <c r="E12" s="181"/>
      <c r="F12" s="176"/>
      <c r="G12" s="182"/>
      <c r="H12" s="176"/>
      <c r="I12" s="182"/>
      <c r="J12" s="176"/>
      <c r="K12" s="181">
        <f t="shared" si="1"/>
        <v>15362586.819700001</v>
      </c>
      <c r="L12" s="134"/>
    </row>
    <row r="13" spans="1:12">
      <c r="A13" s="169">
        <f t="shared" si="0"/>
        <v>8</v>
      </c>
      <c r="B13" s="181" t="s">
        <v>397</v>
      </c>
      <c r="C13" s="640">
        <f>C9/C7</f>
        <v>9.9543114118052309E-3</v>
      </c>
      <c r="D13" s="183" t="s">
        <v>398</v>
      </c>
      <c r="E13" s="640">
        <f>E9/E7</f>
        <v>0</v>
      </c>
      <c r="F13" s="183" t="s">
        <v>398</v>
      </c>
      <c r="G13" s="640">
        <f>G9/G7</f>
        <v>0.93369159959245673</v>
      </c>
      <c r="H13" s="183" t="s">
        <v>398</v>
      </c>
      <c r="I13" s="640">
        <f>I9/I7</f>
        <v>1</v>
      </c>
      <c r="J13" s="183" t="s">
        <v>398</v>
      </c>
      <c r="K13" s="181"/>
      <c r="L13" s="134"/>
    </row>
    <row r="14" spans="1:12">
      <c r="A14" s="169">
        <f t="shared" si="0"/>
        <v>9</v>
      </c>
      <c r="B14" s="181" t="s">
        <v>399</v>
      </c>
      <c r="C14" s="640">
        <f>C8/C7</f>
        <v>0.94184447456602571</v>
      </c>
      <c r="D14" s="183" t="s">
        <v>400</v>
      </c>
      <c r="E14" s="640">
        <f>E8/E7</f>
        <v>8.4180254302480984E-3</v>
      </c>
      <c r="F14" s="183" t="s">
        <v>400</v>
      </c>
      <c r="G14" s="640">
        <f>G8/G7</f>
        <v>6.6308400407543225E-2</v>
      </c>
      <c r="H14" s="183" t="s">
        <v>400</v>
      </c>
      <c r="I14" s="640">
        <f>I8/I7</f>
        <v>0</v>
      </c>
      <c r="J14" s="183" t="s">
        <v>400</v>
      </c>
      <c r="K14" s="181"/>
      <c r="L14" s="134"/>
    </row>
    <row r="15" spans="1:12">
      <c r="A15" s="169">
        <f t="shared" si="0"/>
        <v>10</v>
      </c>
      <c r="B15" s="181" t="s">
        <v>401</v>
      </c>
      <c r="C15" s="640">
        <f>C10/C7</f>
        <v>1.0749879218468209E-2</v>
      </c>
      <c r="D15" s="183" t="s">
        <v>402</v>
      </c>
      <c r="E15" s="640"/>
      <c r="F15" s="183"/>
      <c r="G15" s="640"/>
      <c r="H15" s="183"/>
      <c r="I15" s="640"/>
      <c r="J15" s="183"/>
      <c r="K15" s="181"/>
      <c r="L15" s="134"/>
    </row>
    <row r="16" spans="1:12">
      <c r="A16" s="169">
        <f t="shared" si="0"/>
        <v>11</v>
      </c>
      <c r="B16" s="181" t="s">
        <v>403</v>
      </c>
      <c r="C16" s="640">
        <f>C11/C7</f>
        <v>3.1420220434316593E-3</v>
      </c>
      <c r="D16" s="183" t="s">
        <v>404</v>
      </c>
      <c r="E16" s="640"/>
      <c r="F16" s="183"/>
      <c r="G16" s="640"/>
      <c r="H16" s="183"/>
      <c r="I16" s="640"/>
      <c r="J16" s="183"/>
      <c r="K16" s="181"/>
      <c r="L16" s="134"/>
    </row>
    <row r="17" spans="1:12">
      <c r="A17" s="169">
        <f t="shared" si="0"/>
        <v>12</v>
      </c>
      <c r="B17" s="181" t="s">
        <v>405</v>
      </c>
      <c r="C17" s="640">
        <f>C12/C7</f>
        <v>9.5729773221360191E-3</v>
      </c>
      <c r="D17" s="183" t="s">
        <v>406</v>
      </c>
      <c r="E17" s="640"/>
      <c r="F17" s="183"/>
      <c r="G17" s="640"/>
      <c r="H17" s="183"/>
      <c r="I17" s="640"/>
      <c r="J17" s="183"/>
      <c r="K17" s="181"/>
      <c r="L17" s="134"/>
    </row>
    <row r="18" spans="1:12">
      <c r="A18" s="169">
        <f t="shared" si="0"/>
        <v>13</v>
      </c>
      <c r="B18" s="181" t="s">
        <v>407</v>
      </c>
      <c r="C18" s="182">
        <f>840718255</f>
        <v>840718255</v>
      </c>
      <c r="D18" s="176" t="s">
        <v>408</v>
      </c>
      <c r="E18" s="641">
        <f>459121572.48</f>
        <v>459121572.48000002</v>
      </c>
      <c r="F18" s="642" t="s">
        <v>409</v>
      </c>
      <c r="G18" s="181">
        <f>709401865</f>
        <v>709401865</v>
      </c>
      <c r="H18" s="176" t="s">
        <v>410</v>
      </c>
      <c r="I18" s="182">
        <f>384505506.5</f>
        <v>384505506.5</v>
      </c>
      <c r="J18" s="176" t="s">
        <v>386</v>
      </c>
      <c r="K18" s="181">
        <f t="shared" ref="K18:K28" si="2">C18+E18+G18+I18</f>
        <v>2393747198.98</v>
      </c>
      <c r="L18" s="134"/>
    </row>
    <row r="19" spans="1:12">
      <c r="A19" s="169">
        <f t="shared" si="0"/>
        <v>14</v>
      </c>
      <c r="B19" s="181" t="s">
        <v>411</v>
      </c>
      <c r="C19" s="181">
        <f>C18*C14</f>
        <v>791825843.13854098</v>
      </c>
      <c r="D19" s="176" t="s">
        <v>412</v>
      </c>
      <c r="E19" s="181">
        <f>E18*E14</f>
        <v>3864897.0727121355</v>
      </c>
      <c r="F19" s="176" t="s">
        <v>412</v>
      </c>
      <c r="G19" s="181">
        <f>G18*G14</f>
        <v>47039302.914277926</v>
      </c>
      <c r="H19" s="176" t="s">
        <v>412</v>
      </c>
      <c r="I19" s="181">
        <f>I18*I14</f>
        <v>0</v>
      </c>
      <c r="J19" s="176" t="s">
        <v>412</v>
      </c>
      <c r="K19" s="181">
        <f t="shared" si="2"/>
        <v>842730043.12553108</v>
      </c>
      <c r="L19" s="134"/>
    </row>
    <row r="20" spans="1:12">
      <c r="A20" s="169">
        <f t="shared" si="0"/>
        <v>15</v>
      </c>
      <c r="B20" s="181" t="s">
        <v>413</v>
      </c>
      <c r="C20" s="181">
        <f>C18*C$13</f>
        <v>8368771.3198594805</v>
      </c>
      <c r="D20" s="176" t="s">
        <v>414</v>
      </c>
      <c r="E20" s="181">
        <v>0</v>
      </c>
      <c r="F20" s="176"/>
      <c r="G20" s="182">
        <f>G18-G19</f>
        <v>662362562.08572209</v>
      </c>
      <c r="H20" s="176" t="s">
        <v>415</v>
      </c>
      <c r="I20" s="181">
        <f>I13*I18</f>
        <v>384505506.5</v>
      </c>
      <c r="J20" s="176" t="s">
        <v>414</v>
      </c>
      <c r="K20" s="181">
        <f t="shared" si="2"/>
        <v>1055236839.9055816</v>
      </c>
      <c r="L20" s="134"/>
    </row>
    <row r="21" spans="1:12">
      <c r="A21" s="169">
        <f>A20+1</f>
        <v>16</v>
      </c>
      <c r="B21" s="181" t="s">
        <v>416</v>
      </c>
      <c r="C21" s="181">
        <f>C18*C$15</f>
        <v>9037619.6980113573</v>
      </c>
      <c r="D21" s="176" t="s">
        <v>417</v>
      </c>
      <c r="E21" s="181"/>
      <c r="F21" s="176"/>
      <c r="G21" s="182"/>
      <c r="H21" s="176"/>
      <c r="I21" s="181"/>
      <c r="J21" s="176"/>
      <c r="K21" s="181">
        <f t="shared" si="2"/>
        <v>9037619.6980113573</v>
      </c>
      <c r="L21" s="134"/>
    </row>
    <row r="22" spans="1:12">
      <c r="A22" s="169">
        <f t="shared" si="0"/>
        <v>17</v>
      </c>
      <c r="B22" s="181" t="s">
        <v>418</v>
      </c>
      <c r="C22" s="181">
        <f>C18*C16</f>
        <v>2641555.289525399</v>
      </c>
      <c r="D22" s="176" t="s">
        <v>419</v>
      </c>
      <c r="E22" s="181"/>
      <c r="F22" s="176"/>
      <c r="G22" s="182"/>
      <c r="H22" s="176"/>
      <c r="I22" s="181"/>
      <c r="J22" s="176"/>
      <c r="K22" s="181">
        <f t="shared" si="2"/>
        <v>2641555.289525399</v>
      </c>
      <c r="L22" s="134"/>
    </row>
    <row r="23" spans="1:12">
      <c r="A23" s="169">
        <f t="shared" si="0"/>
        <v>18</v>
      </c>
      <c r="B23" s="184" t="s">
        <v>420</v>
      </c>
      <c r="C23" s="184">
        <f>C18*C17</f>
        <v>8048176.7894207668</v>
      </c>
      <c r="D23" s="185" t="s">
        <v>421</v>
      </c>
      <c r="E23" s="184"/>
      <c r="F23" s="185"/>
      <c r="G23" s="186"/>
      <c r="H23" s="185"/>
      <c r="I23" s="184"/>
      <c r="J23" s="185"/>
      <c r="K23" s="181">
        <f t="shared" si="2"/>
        <v>8048176.7894207668</v>
      </c>
      <c r="L23" s="134"/>
    </row>
    <row r="24" spans="1:12">
      <c r="A24" s="169">
        <f t="shared" si="0"/>
        <v>19</v>
      </c>
      <c r="B24" s="181" t="s">
        <v>422</v>
      </c>
      <c r="C24" s="181">
        <f>C8-C19</f>
        <v>719633656.27107358</v>
      </c>
      <c r="D24" s="176" t="s">
        <v>423</v>
      </c>
      <c r="E24" s="181">
        <f>E8-E19</f>
        <v>3475485.6997878645</v>
      </c>
      <c r="F24" s="176" t="s">
        <v>423</v>
      </c>
      <c r="G24" s="181">
        <f>G8-G19</f>
        <v>42160781.775722072</v>
      </c>
      <c r="H24" s="176" t="s">
        <v>423</v>
      </c>
      <c r="I24" s="181">
        <f>I8-I19</f>
        <v>0</v>
      </c>
      <c r="J24" s="176" t="s">
        <v>423</v>
      </c>
      <c r="K24" s="181">
        <f t="shared" si="2"/>
        <v>765269923.74658346</v>
      </c>
      <c r="L24" s="134"/>
    </row>
    <row r="25" spans="1:12">
      <c r="A25" s="169">
        <f t="shared" si="0"/>
        <v>20</v>
      </c>
      <c r="B25" s="181" t="s">
        <v>424</v>
      </c>
      <c r="C25" s="181">
        <f>C9-C20</f>
        <v>7605775.3805255163</v>
      </c>
      <c r="D25" s="176" t="s">
        <v>425</v>
      </c>
      <c r="E25" s="181">
        <v>0</v>
      </c>
      <c r="F25" s="176" t="s">
        <v>425</v>
      </c>
      <c r="G25" s="182">
        <f>G9-G20</f>
        <v>593667884.22427785</v>
      </c>
      <c r="H25" s="176" t="s">
        <v>425</v>
      </c>
      <c r="I25" s="181">
        <f>I9-I20</f>
        <v>181416571.20000005</v>
      </c>
      <c r="J25" s="176" t="s">
        <v>425</v>
      </c>
      <c r="K25" s="181">
        <f>C25+E25+G25+I25</f>
        <v>782690230.80480337</v>
      </c>
      <c r="L25" s="134"/>
    </row>
    <row r="26" spans="1:12">
      <c r="A26" s="169">
        <f t="shared" si="0"/>
        <v>21</v>
      </c>
      <c r="B26" s="181" t="s">
        <v>426</v>
      </c>
      <c r="C26" s="181">
        <f>C10-C21</f>
        <v>8213643.6485686414</v>
      </c>
      <c r="D26" s="176" t="s">
        <v>427</v>
      </c>
      <c r="E26" s="181"/>
      <c r="F26" s="176"/>
      <c r="G26" s="182"/>
      <c r="H26" s="176"/>
      <c r="I26" s="181"/>
      <c r="J26" s="176"/>
      <c r="K26" s="181">
        <f t="shared" si="2"/>
        <v>8213643.6485686414</v>
      </c>
      <c r="L26" s="134"/>
    </row>
    <row r="27" spans="1:12">
      <c r="A27" s="169">
        <f t="shared" si="0"/>
        <v>22</v>
      </c>
      <c r="B27" s="181" t="s">
        <v>428</v>
      </c>
      <c r="C27" s="181">
        <f>C11-C22</f>
        <v>2400719.940774601</v>
      </c>
      <c r="D27" s="176" t="s">
        <v>429</v>
      </c>
      <c r="E27" s="181"/>
      <c r="F27" s="176"/>
      <c r="G27" s="182"/>
      <c r="H27" s="176"/>
      <c r="I27" s="181"/>
      <c r="J27" s="176"/>
      <c r="K27" s="181">
        <f t="shared" si="2"/>
        <v>2400719.940774601</v>
      </c>
      <c r="L27" s="134"/>
    </row>
    <row r="28" spans="1:12">
      <c r="A28" s="169">
        <f>A27+1</f>
        <v>23</v>
      </c>
      <c r="B28" s="181" t="s">
        <v>430</v>
      </c>
      <c r="C28" s="181">
        <f>C12-C23</f>
        <v>7314410.0302792341</v>
      </c>
      <c r="D28" s="176" t="s">
        <v>431</v>
      </c>
      <c r="E28" s="181"/>
      <c r="F28" s="176"/>
      <c r="G28" s="182"/>
      <c r="H28" s="176"/>
      <c r="I28" s="181"/>
      <c r="J28" s="176"/>
      <c r="K28" s="181">
        <f t="shared" si="2"/>
        <v>7314410.0302792341</v>
      </c>
      <c r="L28" s="134"/>
    </row>
    <row r="29" spans="1:12">
      <c r="A29" s="169">
        <f t="shared" si="0"/>
        <v>24</v>
      </c>
      <c r="B29" s="181" t="s">
        <v>2764</v>
      </c>
      <c r="C29" s="181"/>
      <c r="D29" s="181"/>
      <c r="E29" s="181"/>
      <c r="F29" s="181"/>
      <c r="G29" s="181"/>
      <c r="H29" s="181"/>
      <c r="I29" s="181"/>
      <c r="J29" s="181"/>
      <c r="K29" s="181"/>
      <c r="L29" s="134"/>
    </row>
    <row r="30" spans="1:12">
      <c r="A30" s="169">
        <f t="shared" ref="A30:A40" si="3">A29+1</f>
        <v>25</v>
      </c>
      <c r="B30" s="493" t="s">
        <v>2579</v>
      </c>
      <c r="C30" s="181"/>
      <c r="D30" s="181"/>
      <c r="E30" s="181"/>
      <c r="F30" s="181"/>
      <c r="G30" s="181"/>
      <c r="H30" s="181"/>
      <c r="I30" s="181"/>
      <c r="J30" s="181"/>
      <c r="K30" s="181"/>
      <c r="L30" s="134"/>
    </row>
    <row r="31" spans="1:12">
      <c r="A31" s="169">
        <f t="shared" si="3"/>
        <v>26</v>
      </c>
      <c r="B31" s="492" t="s">
        <v>2580</v>
      </c>
      <c r="C31" s="181"/>
      <c r="D31" s="181"/>
      <c r="E31" s="181"/>
      <c r="F31" s="181"/>
      <c r="G31" s="181"/>
      <c r="H31" s="181"/>
      <c r="I31" s="181"/>
      <c r="J31" s="181"/>
      <c r="K31" s="181"/>
      <c r="L31" s="134"/>
    </row>
    <row r="32" spans="1:12">
      <c r="A32" s="169">
        <f t="shared" si="3"/>
        <v>27</v>
      </c>
      <c r="B32" s="181" t="s">
        <v>2760</v>
      </c>
      <c r="C32" s="181"/>
      <c r="D32" s="181"/>
      <c r="E32" s="181"/>
      <c r="F32" s="181"/>
      <c r="G32" s="181"/>
      <c r="H32" s="181"/>
      <c r="I32" s="181"/>
      <c r="J32" s="181"/>
      <c r="K32" s="181"/>
      <c r="L32" s="134"/>
    </row>
    <row r="33" spans="1:12">
      <c r="A33" s="169">
        <f t="shared" si="3"/>
        <v>28</v>
      </c>
      <c r="B33" s="181" t="s">
        <v>2761</v>
      </c>
      <c r="C33" s="181"/>
      <c r="D33" s="181"/>
      <c r="E33" s="181"/>
      <c r="F33" s="181"/>
      <c r="G33" s="181"/>
      <c r="H33" s="181"/>
      <c r="I33" s="181"/>
      <c r="J33" s="181"/>
      <c r="K33" s="188"/>
      <c r="L33" s="134"/>
    </row>
    <row r="34" spans="1:12">
      <c r="A34" s="169">
        <f t="shared" si="3"/>
        <v>29</v>
      </c>
      <c r="B34" s="181" t="s">
        <v>2762</v>
      </c>
      <c r="C34" s="181"/>
      <c r="D34" s="181"/>
      <c r="E34" s="181"/>
      <c r="F34" s="181"/>
      <c r="G34" s="181"/>
      <c r="H34" s="181"/>
      <c r="I34" s="181"/>
      <c r="J34" s="181"/>
      <c r="K34" s="181"/>
      <c r="L34" s="134"/>
    </row>
    <row r="35" spans="1:12">
      <c r="A35" s="169">
        <f t="shared" si="3"/>
        <v>30</v>
      </c>
      <c r="B35" s="181" t="s">
        <v>2763</v>
      </c>
      <c r="C35" s="181"/>
      <c r="D35" s="181"/>
      <c r="E35" s="181"/>
      <c r="F35" s="181"/>
      <c r="G35" s="181"/>
      <c r="H35" s="181"/>
      <c r="I35" s="181"/>
      <c r="J35" s="181"/>
      <c r="K35" s="181"/>
      <c r="L35" s="134"/>
    </row>
    <row r="36" spans="1:12">
      <c r="A36" s="169">
        <f t="shared" si="3"/>
        <v>31</v>
      </c>
      <c r="B36" s="114" t="s">
        <v>432</v>
      </c>
      <c r="C36" s="181"/>
      <c r="D36" s="181"/>
      <c r="E36" s="181"/>
      <c r="F36" s="181"/>
      <c r="G36" s="181"/>
      <c r="H36" s="181"/>
      <c r="I36" s="181"/>
      <c r="J36" s="181"/>
      <c r="K36" s="181"/>
      <c r="L36" s="134"/>
    </row>
    <row r="37" spans="1:12">
      <c r="A37" s="169">
        <f t="shared" si="3"/>
        <v>32</v>
      </c>
      <c r="B37" s="187" t="s">
        <v>433</v>
      </c>
      <c r="C37" s="181"/>
      <c r="D37" s="181"/>
      <c r="E37" s="181"/>
      <c r="F37" s="181"/>
      <c r="G37" s="181"/>
      <c r="H37" s="181"/>
      <c r="I37" s="181"/>
      <c r="J37" s="181"/>
      <c r="K37" s="181"/>
      <c r="L37" s="134"/>
    </row>
    <row r="38" spans="1:12">
      <c r="A38" s="169">
        <f t="shared" si="3"/>
        <v>33</v>
      </c>
      <c r="B38" s="187" t="s">
        <v>434</v>
      </c>
      <c r="C38" s="181"/>
      <c r="D38" s="181"/>
      <c r="E38" s="181"/>
      <c r="F38" s="181"/>
      <c r="G38" s="181"/>
      <c r="H38" s="181"/>
      <c r="I38" s="181"/>
      <c r="J38" s="181"/>
      <c r="K38" s="181"/>
      <c r="L38" s="134"/>
    </row>
    <row r="39" spans="1:12">
      <c r="A39" s="169">
        <f t="shared" si="3"/>
        <v>34</v>
      </c>
      <c r="B39" s="181" t="s">
        <v>435</v>
      </c>
      <c r="C39" s="181"/>
      <c r="D39" s="181"/>
      <c r="E39" s="181"/>
      <c r="F39" s="181"/>
      <c r="G39" s="181"/>
      <c r="H39" s="181"/>
      <c r="I39" s="181"/>
      <c r="J39" s="181"/>
      <c r="K39" s="181"/>
      <c r="L39" s="134"/>
    </row>
    <row r="40" spans="1:12" ht="13.5" thickBot="1">
      <c r="A40" s="189">
        <f t="shared" si="3"/>
        <v>35</v>
      </c>
      <c r="B40" s="190" t="s">
        <v>436</v>
      </c>
      <c r="C40" s="190"/>
      <c r="D40" s="190"/>
      <c r="E40" s="190"/>
      <c r="F40" s="190"/>
      <c r="G40" s="190"/>
      <c r="H40" s="190"/>
      <c r="I40" s="190"/>
      <c r="J40" s="190"/>
      <c r="K40" s="190"/>
      <c r="L40" s="191"/>
    </row>
    <row r="41" spans="1:12">
      <c r="A41" s="461" t="str">
        <f>A1</f>
        <v>WAPA-UGP 2024 Rate Estimate Calculation</v>
      </c>
      <c r="B41" s="462"/>
      <c r="C41" s="113"/>
      <c r="D41" s="113"/>
      <c r="E41" s="113"/>
      <c r="F41" s="113"/>
      <c r="G41" s="113"/>
      <c r="H41" s="113"/>
      <c r="I41" s="113"/>
      <c r="J41" s="113"/>
      <c r="K41" s="113"/>
      <c r="L41" s="133"/>
    </row>
    <row r="42" spans="1:12">
      <c r="A42" s="169"/>
      <c r="B42" s="170"/>
      <c r="C42" s="170" t="s">
        <v>375</v>
      </c>
      <c r="D42" s="171"/>
      <c r="E42" s="170" t="s">
        <v>376</v>
      </c>
      <c r="F42" s="171"/>
      <c r="G42" s="170" t="s">
        <v>377</v>
      </c>
      <c r="H42" s="172"/>
      <c r="I42" s="170" t="s">
        <v>378</v>
      </c>
      <c r="J42" s="172"/>
      <c r="K42" s="170" t="s">
        <v>379</v>
      </c>
      <c r="L42" s="134"/>
    </row>
    <row r="43" spans="1:12" s="110" customFormat="1" ht="13.5" thickBot="1">
      <c r="A43" s="169" t="s">
        <v>380</v>
      </c>
      <c r="B43" s="173">
        <v>-1</v>
      </c>
      <c r="C43" s="174">
        <v>-2</v>
      </c>
      <c r="D43" s="175"/>
      <c r="E43" s="174">
        <v>-3</v>
      </c>
      <c r="F43" s="175"/>
      <c r="G43" s="173">
        <v>-4</v>
      </c>
      <c r="H43" s="176"/>
      <c r="I43" s="173">
        <v>-5</v>
      </c>
      <c r="J43" s="176"/>
      <c r="K43" s="173">
        <v>-6</v>
      </c>
      <c r="L43" s="177"/>
    </row>
    <row r="44" spans="1:12">
      <c r="A44" s="178">
        <f>A40+1</f>
        <v>36</v>
      </c>
      <c r="B44" s="179" t="s">
        <v>437</v>
      </c>
      <c r="C44" s="180"/>
      <c r="D44" s="180"/>
      <c r="E44" s="180"/>
      <c r="F44" s="180"/>
      <c r="G44" s="180"/>
      <c r="H44" s="180"/>
      <c r="I44" s="180"/>
      <c r="J44" s="180"/>
      <c r="K44" s="180"/>
      <c r="L44" s="133"/>
    </row>
    <row r="45" spans="1:12">
      <c r="A45" s="169">
        <f>A44+1</f>
        <v>37</v>
      </c>
      <c r="B45" s="184" t="s">
        <v>438</v>
      </c>
      <c r="C45" s="184">
        <f>32409950</f>
        <v>32409950</v>
      </c>
      <c r="D45" s="185" t="s">
        <v>383</v>
      </c>
      <c r="E45" s="639">
        <f>18423415.75</f>
        <v>18423415.75</v>
      </c>
      <c r="F45" s="192" t="s">
        <v>384</v>
      </c>
      <c r="G45" s="186">
        <f>18396075</f>
        <v>18396075</v>
      </c>
      <c r="H45" s="192" t="s">
        <v>385</v>
      </c>
      <c r="I45" s="639">
        <f>6368732.83</f>
        <v>6368732.8300000001</v>
      </c>
      <c r="J45" s="192" t="s">
        <v>388</v>
      </c>
      <c r="K45" s="184">
        <f t="shared" ref="K45:K50" si="4">SUM(C45:I45)</f>
        <v>75598173.579999998</v>
      </c>
      <c r="L45" s="193"/>
    </row>
    <row r="46" spans="1:12">
      <c r="A46" s="169">
        <f>A45+1</f>
        <v>38</v>
      </c>
      <c r="B46" s="181" t="s">
        <v>439</v>
      </c>
      <c r="C46" s="519">
        <f>C45*C14</f>
        <v>30525132.328461166</v>
      </c>
      <c r="D46" s="518" t="s">
        <v>440</v>
      </c>
      <c r="E46" s="519">
        <f>E45*E14</f>
        <v>155088.78229553334</v>
      </c>
      <c r="F46" s="518" t="s">
        <v>440</v>
      </c>
      <c r="G46" s="520">
        <f>G45*G14</f>
        <v>1219814.3070271958</v>
      </c>
      <c r="H46" s="518" t="s">
        <v>440</v>
      </c>
      <c r="I46" s="519">
        <f>I45*I14</f>
        <v>0</v>
      </c>
      <c r="J46" s="176" t="s">
        <v>440</v>
      </c>
      <c r="K46" s="181">
        <f t="shared" si="4"/>
        <v>31900035.417783894</v>
      </c>
      <c r="L46" s="193"/>
    </row>
    <row r="47" spans="1:12">
      <c r="A47" s="169">
        <f>A46+1</f>
        <v>39</v>
      </c>
      <c r="B47" s="181" t="s">
        <v>441</v>
      </c>
      <c r="C47" s="181">
        <f>C45*C13</f>
        <v>322618.73514103697</v>
      </c>
      <c r="D47" s="176" t="s">
        <v>442</v>
      </c>
      <c r="E47" s="181">
        <v>0</v>
      </c>
      <c r="F47" s="176" t="s">
        <v>442</v>
      </c>
      <c r="G47" s="182">
        <f>G45-G46</f>
        <v>17176260.692972805</v>
      </c>
      <c r="H47" s="176" t="s">
        <v>442</v>
      </c>
      <c r="I47" s="181">
        <f>I45*I13</f>
        <v>6368732.8300000001</v>
      </c>
      <c r="J47" s="176" t="s">
        <v>442</v>
      </c>
      <c r="K47" s="181">
        <f t="shared" si="4"/>
        <v>23867612.258113839</v>
      </c>
      <c r="L47" s="193"/>
    </row>
    <row r="48" spans="1:12">
      <c r="A48" s="169">
        <f>A47+1</f>
        <v>40</v>
      </c>
      <c r="B48" s="181" t="s">
        <v>443</v>
      </c>
      <c r="C48" s="181">
        <f>C45*C15</f>
        <v>348403.04797659372</v>
      </c>
      <c r="D48" s="176" t="s">
        <v>444</v>
      </c>
      <c r="E48" s="181"/>
      <c r="F48" s="176"/>
      <c r="G48" s="182"/>
      <c r="H48" s="176"/>
      <c r="I48" s="181"/>
      <c r="J48" s="176"/>
      <c r="K48" s="181">
        <f t="shared" si="4"/>
        <v>348403.04797659372</v>
      </c>
      <c r="L48" s="193"/>
    </row>
    <row r="49" spans="1:12">
      <c r="A49" s="169">
        <f t="shared" ref="A49:A56" si="5">A48+1</f>
        <v>41</v>
      </c>
      <c r="B49" s="181" t="s">
        <v>445</v>
      </c>
      <c r="C49" s="181">
        <f>C45*C16</f>
        <v>101832.7773265179</v>
      </c>
      <c r="D49" s="176" t="s">
        <v>446</v>
      </c>
      <c r="E49" s="181"/>
      <c r="F49" s="176"/>
      <c r="G49" s="182"/>
      <c r="H49" s="176"/>
      <c r="I49" s="181"/>
      <c r="J49" s="176"/>
      <c r="K49" s="181">
        <f t="shared" si="4"/>
        <v>101832.7773265179</v>
      </c>
      <c r="L49" s="193"/>
    </row>
    <row r="50" spans="1:12">
      <c r="A50" s="169">
        <f t="shared" si="5"/>
        <v>42</v>
      </c>
      <c r="B50" s="181" t="s">
        <v>447</v>
      </c>
      <c r="C50" s="181">
        <f>C45*C17</f>
        <v>310259.71636156226</v>
      </c>
      <c r="D50" s="176" t="s">
        <v>448</v>
      </c>
      <c r="E50" s="181"/>
      <c r="F50" s="176"/>
      <c r="G50" s="182"/>
      <c r="H50" s="176"/>
      <c r="I50" s="181"/>
      <c r="J50" s="176"/>
      <c r="K50" s="181">
        <f t="shared" si="4"/>
        <v>310259.71636156226</v>
      </c>
      <c r="L50" s="193"/>
    </row>
    <row r="51" spans="1:12">
      <c r="A51" s="169">
        <f t="shared" si="5"/>
        <v>43</v>
      </c>
      <c r="B51" s="195" t="s">
        <v>449</v>
      </c>
      <c r="C51" s="181"/>
      <c r="D51" s="181"/>
      <c r="E51" s="181"/>
      <c r="F51" s="181"/>
      <c r="G51" s="181"/>
      <c r="H51" s="181"/>
      <c r="I51" s="181"/>
      <c r="J51" s="181"/>
      <c r="K51" s="181"/>
      <c r="L51" s="193"/>
    </row>
    <row r="52" spans="1:12">
      <c r="A52" s="169">
        <f t="shared" si="5"/>
        <v>44</v>
      </c>
      <c r="B52" s="195" t="s">
        <v>450</v>
      </c>
      <c r="C52" s="181"/>
      <c r="D52" s="181"/>
      <c r="E52" s="181"/>
      <c r="F52" s="181"/>
      <c r="G52" s="181"/>
      <c r="H52" s="181"/>
      <c r="I52" s="181"/>
      <c r="J52" s="181"/>
      <c r="K52" s="181"/>
      <c r="L52" s="193"/>
    </row>
    <row r="53" spans="1:12">
      <c r="A53" s="169">
        <f t="shared" si="5"/>
        <v>45</v>
      </c>
      <c r="B53" s="181" t="s">
        <v>451</v>
      </c>
      <c r="C53" s="181"/>
      <c r="D53" s="181"/>
      <c r="E53" s="181"/>
      <c r="F53" s="181"/>
      <c r="G53" s="181"/>
      <c r="H53" s="181"/>
      <c r="I53" s="181"/>
      <c r="J53" s="181"/>
      <c r="K53" s="181"/>
      <c r="L53" s="193"/>
    </row>
    <row r="54" spans="1:12">
      <c r="A54" s="169">
        <f t="shared" si="5"/>
        <v>46</v>
      </c>
      <c r="B54" s="181" t="s">
        <v>452</v>
      </c>
      <c r="C54" s="181"/>
      <c r="D54" s="181"/>
      <c r="E54" s="181"/>
      <c r="F54" s="181"/>
      <c r="G54" s="181"/>
      <c r="H54" s="181"/>
      <c r="I54" s="181"/>
      <c r="J54" s="181"/>
      <c r="K54" s="181"/>
      <c r="L54" s="193"/>
    </row>
    <row r="55" spans="1:12">
      <c r="A55" s="169">
        <f t="shared" si="5"/>
        <v>47</v>
      </c>
      <c r="B55" s="195" t="s">
        <v>453</v>
      </c>
      <c r="C55" s="181"/>
      <c r="D55" s="181"/>
      <c r="E55" s="181"/>
      <c r="F55" s="181"/>
      <c r="G55" s="181"/>
      <c r="H55" s="181"/>
      <c r="I55" s="181"/>
      <c r="J55" s="181"/>
      <c r="K55" s="181"/>
      <c r="L55" s="193"/>
    </row>
    <row r="56" spans="1:12">
      <c r="A56" s="169">
        <f t="shared" si="5"/>
        <v>48</v>
      </c>
      <c r="B56" s="195" t="s">
        <v>454</v>
      </c>
      <c r="C56" s="181"/>
      <c r="D56" s="181"/>
      <c r="E56" s="181"/>
      <c r="F56" s="181"/>
      <c r="G56" s="181"/>
      <c r="H56" s="181"/>
      <c r="I56" s="181"/>
      <c r="J56" s="181"/>
      <c r="K56" s="181"/>
      <c r="L56" s="193"/>
    </row>
    <row r="57" spans="1:12">
      <c r="A57" s="169">
        <f>A56+1</f>
        <v>49</v>
      </c>
      <c r="B57" s="195" t="s">
        <v>455</v>
      </c>
      <c r="C57" s="181"/>
      <c r="D57" s="181"/>
      <c r="E57" s="181"/>
      <c r="F57" s="181"/>
      <c r="G57" s="181"/>
      <c r="H57" s="181"/>
      <c r="I57" s="181"/>
      <c r="J57" s="181"/>
      <c r="K57" s="181"/>
      <c r="L57" s="193"/>
    </row>
    <row r="58" spans="1:12">
      <c r="A58" s="169">
        <f>A57+1</f>
        <v>50</v>
      </c>
      <c r="B58" s="195" t="s">
        <v>456</v>
      </c>
      <c r="C58" s="181"/>
      <c r="D58" s="181"/>
      <c r="E58" s="181"/>
      <c r="F58" s="181"/>
      <c r="G58" s="181"/>
      <c r="H58" s="181"/>
      <c r="I58" s="181"/>
      <c r="J58" s="181"/>
      <c r="K58" s="181"/>
      <c r="L58" s="193"/>
    </row>
    <row r="59" spans="1:12">
      <c r="A59" s="169">
        <f>A58+1</f>
        <v>51</v>
      </c>
      <c r="B59" s="195" t="s">
        <v>457</v>
      </c>
      <c r="C59" s="181"/>
      <c r="D59" s="181"/>
      <c r="E59" s="181"/>
      <c r="F59" s="181"/>
      <c r="G59" s="181"/>
      <c r="H59" s="181"/>
      <c r="I59" s="181"/>
      <c r="J59" s="181"/>
      <c r="K59" s="181"/>
      <c r="L59" s="193"/>
    </row>
    <row r="60" spans="1:12" ht="13.5" thickBot="1">
      <c r="A60" s="189">
        <f>A59+1</f>
        <v>52</v>
      </c>
      <c r="B60" s="196" t="s">
        <v>458</v>
      </c>
      <c r="C60" s="190"/>
      <c r="D60" s="190"/>
      <c r="E60" s="190"/>
      <c r="F60" s="190"/>
      <c r="G60" s="190"/>
      <c r="H60" s="190"/>
      <c r="I60" s="190"/>
      <c r="J60" s="190"/>
      <c r="K60" s="190"/>
      <c r="L60" s="197"/>
    </row>
    <row r="61" spans="1:12">
      <c r="A61" s="461" t="str">
        <f>A1</f>
        <v>WAPA-UGP 2024 Rate Estimate Calculation</v>
      </c>
      <c r="B61" s="462"/>
      <c r="C61" s="113"/>
      <c r="D61" s="113"/>
      <c r="E61" s="113"/>
      <c r="F61" s="113"/>
      <c r="G61" s="113"/>
      <c r="H61" s="113"/>
      <c r="I61" s="113"/>
      <c r="J61" s="113"/>
      <c r="K61" s="113"/>
      <c r="L61" s="133"/>
    </row>
    <row r="62" spans="1:12">
      <c r="A62" s="169"/>
      <c r="B62" s="170"/>
      <c r="C62" s="170" t="s">
        <v>375</v>
      </c>
      <c r="D62" s="171"/>
      <c r="E62" s="170" t="s">
        <v>376</v>
      </c>
      <c r="F62" s="171"/>
      <c r="G62" s="170" t="s">
        <v>377</v>
      </c>
      <c r="H62" s="172"/>
      <c r="I62" s="170" t="s">
        <v>378</v>
      </c>
      <c r="J62" s="172"/>
      <c r="K62" s="170" t="s">
        <v>379</v>
      </c>
      <c r="L62" s="134"/>
    </row>
    <row r="63" spans="1:12" s="110" customFormat="1" ht="13.5" thickBot="1">
      <c r="A63" s="169" t="s">
        <v>380</v>
      </c>
      <c r="B63" s="173">
        <v>-1</v>
      </c>
      <c r="C63" s="174">
        <v>-2</v>
      </c>
      <c r="D63" s="175"/>
      <c r="E63" s="174">
        <v>-3</v>
      </c>
      <c r="F63" s="175"/>
      <c r="G63" s="173">
        <v>-4</v>
      </c>
      <c r="H63" s="176"/>
      <c r="I63" s="173">
        <v>-5</v>
      </c>
      <c r="J63" s="176"/>
      <c r="K63" s="173">
        <v>-6</v>
      </c>
      <c r="L63" s="177"/>
    </row>
    <row r="64" spans="1:12">
      <c r="A64" s="178">
        <f>A60+1</f>
        <v>53</v>
      </c>
      <c r="B64" s="179" t="s">
        <v>459</v>
      </c>
      <c r="C64" s="180"/>
      <c r="D64" s="180"/>
      <c r="E64" s="180"/>
      <c r="F64" s="180"/>
      <c r="G64" s="180"/>
      <c r="H64" s="180"/>
      <c r="I64" s="180"/>
      <c r="J64" s="180"/>
      <c r="K64" s="180"/>
      <c r="L64" s="198"/>
    </row>
    <row r="65" spans="1:12">
      <c r="A65" s="169">
        <f t="shared" ref="A65:A86" si="6">A64+1</f>
        <v>54</v>
      </c>
      <c r="B65" s="199" t="s">
        <v>460</v>
      </c>
      <c r="C65" s="181"/>
      <c r="D65" s="181"/>
      <c r="E65" s="181"/>
      <c r="F65" s="181"/>
      <c r="G65" s="181"/>
      <c r="H65" s="181"/>
      <c r="I65" s="181"/>
      <c r="J65" s="181"/>
      <c r="K65" s="181"/>
      <c r="L65" s="193"/>
    </row>
    <row r="66" spans="1:12">
      <c r="A66" s="169">
        <f t="shared" si="6"/>
        <v>55</v>
      </c>
      <c r="B66" s="181" t="s">
        <v>461</v>
      </c>
      <c r="C66" s="181">
        <f>332772514+64653616+382548060+129559816</f>
        <v>909534006</v>
      </c>
      <c r="D66" s="176" t="s">
        <v>383</v>
      </c>
      <c r="E66" s="181">
        <f>212666568+6600330+159226001+5372679</f>
        <v>383865578</v>
      </c>
      <c r="F66" s="176" t="s">
        <v>383</v>
      </c>
      <c r="G66" s="181">
        <f>534398443+175504079</f>
        <v>709902522</v>
      </c>
      <c r="H66" s="176" t="s">
        <v>383</v>
      </c>
      <c r="I66" s="181">
        <f>163834280+65169648</f>
        <v>229003928</v>
      </c>
      <c r="J66" s="176" t="s">
        <v>383</v>
      </c>
      <c r="K66" s="181">
        <f>SUM(C66:I66)</f>
        <v>2232306034</v>
      </c>
      <c r="L66" s="193"/>
    </row>
    <row r="67" spans="1:12">
      <c r="A67" s="169">
        <f t="shared" si="6"/>
        <v>56</v>
      </c>
      <c r="B67" s="199" t="s">
        <v>462</v>
      </c>
      <c r="C67" s="181"/>
      <c r="D67" s="176"/>
      <c r="E67" s="181"/>
      <c r="F67" s="176"/>
      <c r="G67" s="181"/>
      <c r="H67" s="176"/>
      <c r="I67" s="181"/>
      <c r="J67" s="176"/>
      <c r="K67" s="181"/>
      <c r="L67" s="193"/>
    </row>
    <row r="68" spans="1:12">
      <c r="A68" s="169">
        <f t="shared" si="6"/>
        <v>57</v>
      </c>
      <c r="B68" s="181" t="s">
        <v>463</v>
      </c>
      <c r="C68" s="181">
        <f>13139461+15798506-1082445+13757+3120637+5639686-299142+2623</f>
        <v>36333083</v>
      </c>
      <c r="D68" s="176" t="s">
        <v>464</v>
      </c>
      <c r="E68" s="181">
        <f>3120637+5639686</f>
        <v>8760323</v>
      </c>
      <c r="F68" s="176" t="s">
        <v>464</v>
      </c>
      <c r="G68" s="181">
        <f>22576411.11</f>
        <v>22576411.109999999</v>
      </c>
      <c r="H68" s="176" t="s">
        <v>384</v>
      </c>
      <c r="I68" s="181">
        <f>10646247.9</f>
        <v>10646247.9</v>
      </c>
      <c r="J68" s="176" t="s">
        <v>384</v>
      </c>
      <c r="K68" s="181">
        <f>SUM(C68:I68)</f>
        <v>78316065.010000005</v>
      </c>
      <c r="L68" s="193"/>
    </row>
    <row r="69" spans="1:12">
      <c r="A69" s="169">
        <f t="shared" si="6"/>
        <v>58</v>
      </c>
      <c r="B69" s="181" t="s">
        <v>465</v>
      </c>
      <c r="C69" s="200">
        <f>C68/C66</f>
        <v>3.9946920907100204E-2</v>
      </c>
      <c r="D69" s="201" t="s">
        <v>466</v>
      </c>
      <c r="E69" s="200">
        <f>E68/E66</f>
        <v>2.2821329918776931E-2</v>
      </c>
      <c r="F69" s="201" t="s">
        <v>466</v>
      </c>
      <c r="G69" s="200">
        <f>G68/G66</f>
        <v>3.1802128335022307E-2</v>
      </c>
      <c r="H69" s="201" t="s">
        <v>466</v>
      </c>
      <c r="I69" s="200">
        <f>I68/I66</f>
        <v>4.6489368077564153E-2</v>
      </c>
      <c r="J69" s="201" t="s">
        <v>466</v>
      </c>
      <c r="K69" s="202"/>
      <c r="L69" s="193"/>
    </row>
    <row r="70" spans="1:12">
      <c r="A70" s="169">
        <f t="shared" si="6"/>
        <v>59</v>
      </c>
      <c r="B70" s="181" t="s">
        <v>467</v>
      </c>
      <c r="C70" s="203">
        <f>(C8+C11+C12)/(K8+K11+K12)</f>
        <v>0.94071470082387143</v>
      </c>
      <c r="D70" s="183" t="s">
        <v>385</v>
      </c>
      <c r="E70" s="203">
        <f>E8/(K8+K11+K12)</f>
        <v>4.5077137098388483E-3</v>
      </c>
      <c r="F70" s="183" t="s">
        <v>388</v>
      </c>
      <c r="G70" s="203">
        <f>G8/(K8+K11+K12)</f>
        <v>5.4777585466289705E-2</v>
      </c>
      <c r="H70" s="183" t="s">
        <v>389</v>
      </c>
      <c r="I70" s="203">
        <v>0</v>
      </c>
      <c r="J70" s="183" t="s">
        <v>390</v>
      </c>
      <c r="K70" s="202"/>
      <c r="L70" s="193"/>
    </row>
    <row r="71" spans="1:12">
      <c r="A71" s="169">
        <f t="shared" si="6"/>
        <v>60</v>
      </c>
      <c r="B71" s="181" t="s">
        <v>468</v>
      </c>
      <c r="C71" s="202"/>
      <c r="D71" s="201"/>
      <c r="E71" s="202"/>
      <c r="F71" s="201"/>
      <c r="G71" s="202"/>
      <c r="H71" s="201"/>
      <c r="I71" s="202"/>
      <c r="J71" s="201"/>
      <c r="K71" s="200">
        <f>C69*C70+E69*E70+G69*G70+I69*I70</f>
        <v>3.9423571574590852E-2</v>
      </c>
      <c r="L71" s="204" t="s">
        <v>391</v>
      </c>
    </row>
    <row r="72" spans="1:12">
      <c r="A72" s="169">
        <f t="shared" si="6"/>
        <v>61</v>
      </c>
      <c r="B72" s="181" t="s">
        <v>469</v>
      </c>
      <c r="C72" s="203">
        <f>C9/(C9+E9+G9+I9)</f>
        <v>8.6916107580974934E-3</v>
      </c>
      <c r="D72" s="183" t="s">
        <v>394</v>
      </c>
      <c r="E72" s="203">
        <v>0</v>
      </c>
      <c r="F72" s="201" t="s">
        <v>408</v>
      </c>
      <c r="G72" s="203">
        <f>G9/(C9+G9+I9)</f>
        <v>0.68339515007226392</v>
      </c>
      <c r="H72" s="183" t="s">
        <v>409</v>
      </c>
      <c r="I72" s="203">
        <f>I9/(C9+G9+I9)</f>
        <v>0.30791323916963859</v>
      </c>
      <c r="J72" s="183" t="s">
        <v>410</v>
      </c>
      <c r="K72" s="202"/>
      <c r="L72" s="193"/>
    </row>
    <row r="73" spans="1:12">
      <c r="A73" s="169">
        <f t="shared" si="6"/>
        <v>62</v>
      </c>
      <c r="B73" s="181" t="s">
        <v>470</v>
      </c>
      <c r="C73" s="202"/>
      <c r="D73" s="201"/>
      <c r="E73" s="202"/>
      <c r="F73" s="202"/>
      <c r="G73" s="205"/>
      <c r="H73" s="205"/>
      <c r="I73" s="205"/>
      <c r="J73" s="201"/>
      <c r="K73" s="200">
        <f>C69*C72+E69*E72+G69*G72+I69*I72</f>
        <v>3.6395315265351356E-2</v>
      </c>
      <c r="L73" s="204" t="s">
        <v>386</v>
      </c>
    </row>
    <row r="74" spans="1:12">
      <c r="A74" s="169">
        <f t="shared" si="6"/>
        <v>63</v>
      </c>
      <c r="B74" s="181" t="s">
        <v>471</v>
      </c>
      <c r="C74" s="181"/>
      <c r="D74" s="181"/>
      <c r="E74" s="181"/>
      <c r="F74" s="181"/>
      <c r="G74" s="181"/>
      <c r="H74" s="181"/>
      <c r="I74" s="181"/>
      <c r="J74" s="181"/>
      <c r="K74" s="181"/>
      <c r="L74" s="193"/>
    </row>
    <row r="75" spans="1:12">
      <c r="A75" s="169">
        <f t="shared" si="6"/>
        <v>64</v>
      </c>
      <c r="B75" s="181" t="s">
        <v>472</v>
      </c>
      <c r="C75" s="181"/>
      <c r="D75" s="181"/>
      <c r="E75" s="181"/>
      <c r="F75" s="181"/>
      <c r="G75" s="181"/>
      <c r="H75" s="181"/>
      <c r="I75" s="181"/>
      <c r="J75" s="181"/>
      <c r="K75" s="181"/>
      <c r="L75" s="193"/>
    </row>
    <row r="76" spans="1:12">
      <c r="A76" s="169">
        <f t="shared" si="6"/>
        <v>65</v>
      </c>
      <c r="B76" s="181" t="s">
        <v>2581</v>
      </c>
      <c r="C76" s="181"/>
      <c r="D76" s="181"/>
      <c r="E76" s="181"/>
      <c r="F76" s="181"/>
      <c r="G76" s="181"/>
      <c r="H76" s="181"/>
      <c r="I76" s="181"/>
      <c r="J76" s="181"/>
      <c r="K76" s="181"/>
      <c r="L76" s="193"/>
    </row>
    <row r="77" spans="1:12">
      <c r="A77" s="169">
        <f t="shared" si="6"/>
        <v>66</v>
      </c>
      <c r="B77" s="181" t="s">
        <v>2582</v>
      </c>
      <c r="C77" s="181"/>
      <c r="D77" s="181"/>
      <c r="E77" s="181"/>
      <c r="F77" s="181"/>
      <c r="G77" s="181"/>
      <c r="H77" s="181"/>
      <c r="I77" s="181"/>
      <c r="J77" s="181"/>
      <c r="K77" s="181"/>
      <c r="L77" s="193"/>
    </row>
    <row r="78" spans="1:12">
      <c r="A78" s="169">
        <f t="shared" si="6"/>
        <v>67</v>
      </c>
      <c r="B78" s="181" t="s">
        <v>2584</v>
      </c>
      <c r="C78" s="181"/>
      <c r="D78" s="181"/>
      <c r="E78" s="181"/>
      <c r="F78" s="181"/>
      <c r="G78" s="181"/>
      <c r="H78" s="181"/>
      <c r="I78" s="181"/>
      <c r="J78" s="181"/>
      <c r="K78" s="181"/>
      <c r="L78" s="193"/>
    </row>
    <row r="79" spans="1:12">
      <c r="A79" s="169">
        <f t="shared" si="6"/>
        <v>68</v>
      </c>
      <c r="B79" s="181" t="s">
        <v>2583</v>
      </c>
      <c r="C79" s="181"/>
      <c r="D79" s="181"/>
      <c r="E79" s="181"/>
      <c r="F79" s="181"/>
      <c r="G79" s="181"/>
      <c r="H79" s="181"/>
      <c r="I79" s="181"/>
      <c r="J79" s="181"/>
      <c r="K79" s="181"/>
      <c r="L79" s="193"/>
    </row>
    <row r="80" spans="1:12">
      <c r="A80" s="169">
        <f t="shared" si="6"/>
        <v>69</v>
      </c>
      <c r="B80" s="181" t="s">
        <v>473</v>
      </c>
      <c r="C80" s="181"/>
      <c r="D80" s="181"/>
      <c r="E80" s="181"/>
      <c r="F80" s="181"/>
      <c r="G80" s="181"/>
      <c r="H80" s="181"/>
      <c r="I80" s="181"/>
      <c r="J80" s="181"/>
      <c r="K80" s="181"/>
      <c r="L80" s="193"/>
    </row>
    <row r="81" spans="1:12">
      <c r="A81" s="169">
        <f t="shared" si="6"/>
        <v>70</v>
      </c>
      <c r="B81" s="181" t="s">
        <v>474</v>
      </c>
      <c r="C81" s="181"/>
      <c r="D81" s="181"/>
      <c r="E81" s="181"/>
      <c r="F81" s="181"/>
      <c r="G81" s="181"/>
      <c r="H81" s="181"/>
      <c r="I81" s="181"/>
      <c r="J81" s="181"/>
      <c r="K81" s="181"/>
      <c r="L81" s="193"/>
    </row>
    <row r="82" spans="1:12">
      <c r="A82" s="169">
        <f t="shared" si="6"/>
        <v>71</v>
      </c>
      <c r="B82" s="181" t="s">
        <v>475</v>
      </c>
      <c r="C82" s="181"/>
      <c r="D82" s="181"/>
      <c r="E82" s="181"/>
      <c r="F82" s="181"/>
      <c r="G82" s="181"/>
      <c r="H82" s="181"/>
      <c r="I82" s="181"/>
      <c r="J82" s="181"/>
      <c r="K82" s="181"/>
      <c r="L82" s="193"/>
    </row>
    <row r="83" spans="1:12">
      <c r="A83" s="169">
        <f t="shared" si="6"/>
        <v>72</v>
      </c>
      <c r="B83" s="181" t="s">
        <v>476</v>
      </c>
      <c r="C83" s="181"/>
      <c r="D83" s="181"/>
      <c r="E83" s="181"/>
      <c r="F83" s="181"/>
      <c r="G83" s="181"/>
      <c r="H83" s="181"/>
      <c r="I83" s="181"/>
      <c r="J83" s="181"/>
      <c r="K83" s="181"/>
      <c r="L83" s="193"/>
    </row>
    <row r="84" spans="1:12">
      <c r="A84" s="169">
        <f t="shared" si="6"/>
        <v>73</v>
      </c>
      <c r="B84" s="181" t="s">
        <v>477</v>
      </c>
      <c r="C84" s="181"/>
      <c r="D84" s="181"/>
      <c r="E84" s="181"/>
      <c r="F84" s="181"/>
      <c r="G84" s="181"/>
      <c r="H84" s="181"/>
      <c r="I84" s="181"/>
      <c r="J84" s="181"/>
      <c r="K84" s="181"/>
      <c r="L84" s="193"/>
    </row>
    <row r="85" spans="1:12">
      <c r="A85" s="169">
        <f t="shared" si="6"/>
        <v>74</v>
      </c>
      <c r="B85" s="181" t="s">
        <v>478</v>
      </c>
      <c r="C85" s="181"/>
      <c r="D85" s="181"/>
      <c r="E85" s="181"/>
      <c r="F85" s="181"/>
      <c r="G85" s="181"/>
      <c r="H85" s="181"/>
      <c r="I85" s="181"/>
      <c r="J85" s="181"/>
      <c r="K85" s="181"/>
      <c r="L85" s="193"/>
    </row>
    <row r="86" spans="1:12" ht="13.5" thickBot="1">
      <c r="A86" s="189">
        <f t="shared" si="6"/>
        <v>75</v>
      </c>
      <c r="B86" s="190" t="s">
        <v>479</v>
      </c>
      <c r="C86" s="190"/>
      <c r="D86" s="190"/>
      <c r="E86" s="190"/>
      <c r="F86" s="190"/>
      <c r="G86" s="190"/>
      <c r="H86" s="190"/>
      <c r="I86" s="190"/>
      <c r="J86" s="190"/>
      <c r="K86" s="190"/>
      <c r="L86" s="197"/>
    </row>
    <row r="87" spans="1:12">
      <c r="A87" s="461" t="str">
        <f>A1</f>
        <v>WAPA-UGP 2024 Rate Estimate Calculation</v>
      </c>
      <c r="B87" s="462"/>
      <c r="C87" s="113"/>
      <c r="D87" s="113"/>
      <c r="E87" s="113"/>
      <c r="F87" s="113"/>
      <c r="G87" s="113"/>
      <c r="H87" s="113"/>
      <c r="I87" s="113"/>
      <c r="J87" s="113"/>
      <c r="K87" s="113"/>
      <c r="L87" s="133"/>
    </row>
    <row r="88" spans="1:12">
      <c r="A88" s="169"/>
      <c r="B88" s="170"/>
      <c r="C88" s="170" t="s">
        <v>375</v>
      </c>
      <c r="D88" s="171"/>
      <c r="E88" s="170" t="s">
        <v>376</v>
      </c>
      <c r="F88" s="171"/>
      <c r="G88" s="170" t="s">
        <v>377</v>
      </c>
      <c r="H88" s="172"/>
      <c r="I88" s="170" t="s">
        <v>378</v>
      </c>
      <c r="J88" s="172"/>
      <c r="K88" s="170" t="s">
        <v>379</v>
      </c>
      <c r="L88" s="134"/>
    </row>
    <row r="89" spans="1:12" s="110" customFormat="1" ht="13.5" thickBot="1">
      <c r="A89" s="169" t="s">
        <v>380</v>
      </c>
      <c r="B89" s="173">
        <v>-1</v>
      </c>
      <c r="C89" s="174">
        <v>-2</v>
      </c>
      <c r="D89" s="175"/>
      <c r="E89" s="174">
        <v>-3</v>
      </c>
      <c r="F89" s="175"/>
      <c r="G89" s="173">
        <v>-4</v>
      </c>
      <c r="H89" s="176"/>
      <c r="I89" s="173">
        <v>-5</v>
      </c>
      <c r="J89" s="176"/>
      <c r="K89" s="173">
        <v>-6</v>
      </c>
      <c r="L89" s="177"/>
    </row>
    <row r="90" spans="1:12">
      <c r="A90" s="178">
        <f>A86+1</f>
        <v>76</v>
      </c>
      <c r="B90" s="179" t="s">
        <v>480</v>
      </c>
      <c r="C90" s="206"/>
      <c r="D90" s="206"/>
      <c r="E90" s="206"/>
      <c r="F90" s="206"/>
      <c r="G90" s="206"/>
      <c r="H90" s="207"/>
      <c r="I90" s="207"/>
      <c r="J90" s="207"/>
      <c r="K90" s="207"/>
      <c r="L90" s="198"/>
    </row>
    <row r="91" spans="1:12">
      <c r="A91" s="169">
        <f t="shared" ref="A91:A105" si="7">A90+1</f>
        <v>77</v>
      </c>
      <c r="B91" s="208"/>
      <c r="C91" s="208" t="s">
        <v>481</v>
      </c>
      <c r="D91" s="114"/>
      <c r="E91" s="208" t="s">
        <v>482</v>
      </c>
      <c r="F91" s="209"/>
      <c r="G91" s="208" t="s">
        <v>483</v>
      </c>
      <c r="H91" s="114"/>
      <c r="I91" s="208" t="s">
        <v>484</v>
      </c>
      <c r="J91" s="114"/>
      <c r="K91" s="208" t="s">
        <v>485</v>
      </c>
      <c r="L91" s="134"/>
    </row>
    <row r="92" spans="1:12">
      <c r="A92" s="169">
        <f>A91+1</f>
        <v>78</v>
      </c>
      <c r="B92" s="210" t="s">
        <v>486</v>
      </c>
      <c r="C92" s="521">
        <v>12304169.17</v>
      </c>
      <c r="D92" s="522"/>
      <c r="E92" s="521">
        <f>13332847</f>
        <v>13332847</v>
      </c>
      <c r="F92" s="114"/>
      <c r="G92" s="211">
        <v>0</v>
      </c>
      <c r="H92" s="114"/>
      <c r="I92" s="211">
        <v>0</v>
      </c>
      <c r="J92" s="114"/>
      <c r="K92" s="211">
        <f>SUM(C92:I92)</f>
        <v>25637016.170000002</v>
      </c>
      <c r="L92" s="134"/>
    </row>
    <row r="93" spans="1:12">
      <c r="A93" s="169">
        <f t="shared" si="7"/>
        <v>79</v>
      </c>
      <c r="B93" s="210" t="s">
        <v>487</v>
      </c>
      <c r="C93" s="521">
        <f>C92*C14</f>
        <v>11588613.746890143</v>
      </c>
      <c r="D93" s="522"/>
      <c r="E93" s="521">
        <f>E92*E14</f>
        <v>112236.24510360707</v>
      </c>
      <c r="F93" s="114"/>
      <c r="G93" s="211">
        <v>0</v>
      </c>
      <c r="H93" s="114"/>
      <c r="I93" s="211">
        <v>0</v>
      </c>
      <c r="J93" s="114"/>
      <c r="K93" s="211">
        <f>SUM(C93:I93)</f>
        <v>11700849.99199375</v>
      </c>
      <c r="L93" s="134"/>
    </row>
    <row r="94" spans="1:12">
      <c r="A94" s="169">
        <f t="shared" si="7"/>
        <v>80</v>
      </c>
      <c r="B94" s="210" t="s">
        <v>488</v>
      </c>
      <c r="C94" s="211">
        <f>C92*C13</f>
        <v>122479.53158171309</v>
      </c>
      <c r="D94" s="114"/>
      <c r="E94" s="211">
        <v>0</v>
      </c>
      <c r="F94" s="211"/>
      <c r="G94" s="211">
        <v>0</v>
      </c>
      <c r="H94" s="114"/>
      <c r="I94" s="114">
        <v>0</v>
      </c>
      <c r="J94" s="114"/>
      <c r="K94" s="211">
        <f>SUM(C94:G94)</f>
        <v>122479.53158171309</v>
      </c>
      <c r="L94" s="134"/>
    </row>
    <row r="95" spans="1:12">
      <c r="A95" s="169">
        <f>A94+1</f>
        <v>81</v>
      </c>
      <c r="B95" s="210" t="s">
        <v>489</v>
      </c>
      <c r="C95" s="211">
        <f>C92*C15</f>
        <v>132268.33246110025</v>
      </c>
      <c r="D95" s="114"/>
      <c r="E95" s="211">
        <v>0</v>
      </c>
      <c r="F95" s="211"/>
      <c r="G95" s="211">
        <v>0</v>
      </c>
      <c r="H95" s="114"/>
      <c r="I95" s="114">
        <v>0</v>
      </c>
      <c r="J95" s="114"/>
      <c r="K95" s="211">
        <f>SUM(C95:G95)</f>
        <v>132268.33246110025</v>
      </c>
      <c r="L95" s="134"/>
    </row>
    <row r="96" spans="1:12">
      <c r="A96" s="169">
        <f t="shared" si="7"/>
        <v>82</v>
      </c>
      <c r="B96" s="210" t="s">
        <v>490</v>
      </c>
      <c r="C96" s="211">
        <f>C92*C16</f>
        <v>38659.970758252224</v>
      </c>
      <c r="D96" s="114"/>
      <c r="E96" s="211">
        <v>0</v>
      </c>
      <c r="F96" s="211"/>
      <c r="G96" s="211">
        <v>0</v>
      </c>
      <c r="H96" s="114"/>
      <c r="I96" s="114">
        <v>0</v>
      </c>
      <c r="J96" s="114"/>
      <c r="K96" s="211">
        <f>SUM(C96:G96)</f>
        <v>38659.970758252224</v>
      </c>
      <c r="L96" s="134"/>
    </row>
    <row r="97" spans="1:12">
      <c r="A97" s="169">
        <f t="shared" si="7"/>
        <v>83</v>
      </c>
      <c r="B97" s="210" t="s">
        <v>491</v>
      </c>
      <c r="C97" s="211">
        <f>C92*C17</f>
        <v>117787.53243213517</v>
      </c>
      <c r="D97" s="114"/>
      <c r="E97" s="211">
        <v>0</v>
      </c>
      <c r="F97" s="211"/>
      <c r="G97" s="211">
        <v>0</v>
      </c>
      <c r="H97" s="114"/>
      <c r="I97" s="114">
        <v>0</v>
      </c>
      <c r="J97" s="114"/>
      <c r="K97" s="211">
        <f>SUM(C97:G97)</f>
        <v>117787.53243213517</v>
      </c>
      <c r="L97" s="134"/>
    </row>
    <row r="98" spans="1:12">
      <c r="A98" s="169">
        <f t="shared" si="7"/>
        <v>84</v>
      </c>
      <c r="B98" s="212" t="s">
        <v>492</v>
      </c>
      <c r="C98" s="211"/>
      <c r="D98" s="114"/>
      <c r="E98" s="211"/>
      <c r="F98" s="211"/>
      <c r="G98" s="211"/>
      <c r="H98" s="114"/>
      <c r="I98" s="114"/>
      <c r="J98" s="114"/>
      <c r="K98" s="211"/>
      <c r="L98" s="134"/>
    </row>
    <row r="99" spans="1:12">
      <c r="A99" s="169">
        <f t="shared" si="7"/>
        <v>85</v>
      </c>
      <c r="B99" s="212" t="s">
        <v>493</v>
      </c>
      <c r="C99" s="211"/>
      <c r="D99" s="114"/>
      <c r="E99" s="211"/>
      <c r="F99" s="211"/>
      <c r="G99" s="211"/>
      <c r="H99" s="114"/>
      <c r="I99" s="114"/>
      <c r="J99" s="114"/>
      <c r="K99" s="211"/>
      <c r="L99" s="134"/>
    </row>
    <row r="100" spans="1:12">
      <c r="A100" s="169">
        <f t="shared" si="7"/>
        <v>86</v>
      </c>
      <c r="B100" s="212" t="s">
        <v>494</v>
      </c>
      <c r="C100" s="211"/>
      <c r="D100" s="114"/>
      <c r="E100" s="211"/>
      <c r="F100" s="211"/>
      <c r="G100" s="211"/>
      <c r="H100" s="114"/>
      <c r="I100" s="114"/>
      <c r="J100" s="114"/>
      <c r="K100" s="211"/>
      <c r="L100" s="134"/>
    </row>
    <row r="101" spans="1:12">
      <c r="A101" s="169">
        <f t="shared" si="7"/>
        <v>87</v>
      </c>
      <c r="B101" s="212" t="s">
        <v>495</v>
      </c>
      <c r="C101" s="211"/>
      <c r="D101" s="114"/>
      <c r="E101" s="211"/>
      <c r="F101" s="211"/>
      <c r="G101" s="211"/>
      <c r="H101" s="114"/>
      <c r="I101" s="114"/>
      <c r="J101" s="114"/>
      <c r="K101" s="211"/>
      <c r="L101" s="134"/>
    </row>
    <row r="102" spans="1:12">
      <c r="A102" s="169">
        <f t="shared" si="7"/>
        <v>88</v>
      </c>
      <c r="B102" s="212" t="s">
        <v>496</v>
      </c>
      <c r="C102" s="211"/>
      <c r="D102" s="114"/>
      <c r="E102" s="211"/>
      <c r="F102" s="211"/>
      <c r="G102" s="211"/>
      <c r="H102" s="114"/>
      <c r="I102" s="114"/>
      <c r="J102" s="114"/>
      <c r="K102" s="211"/>
      <c r="L102" s="134"/>
    </row>
    <row r="103" spans="1:12">
      <c r="A103" s="169">
        <f t="shared" si="7"/>
        <v>89</v>
      </c>
      <c r="B103" s="212" t="s">
        <v>497</v>
      </c>
      <c r="C103" s="211"/>
      <c r="D103" s="114"/>
      <c r="E103" s="211"/>
      <c r="F103" s="211"/>
      <c r="G103" s="211"/>
      <c r="H103" s="114"/>
      <c r="I103" s="114"/>
      <c r="J103" s="114"/>
      <c r="K103" s="211"/>
      <c r="L103" s="134"/>
    </row>
    <row r="104" spans="1:12">
      <c r="A104" s="169">
        <f t="shared" si="7"/>
        <v>90</v>
      </c>
      <c r="B104" s="212" t="s">
        <v>496</v>
      </c>
      <c r="C104" s="211"/>
      <c r="D104" s="114"/>
      <c r="E104" s="211"/>
      <c r="F104" s="211"/>
      <c r="G104" s="211"/>
      <c r="H104" s="114"/>
      <c r="I104" s="114"/>
      <c r="J104" s="114"/>
      <c r="K104" s="211"/>
      <c r="L104" s="134"/>
    </row>
    <row r="105" spans="1:12" ht="13.5" thickBot="1">
      <c r="A105" s="189">
        <f t="shared" si="7"/>
        <v>91</v>
      </c>
      <c r="B105" s="213" t="s">
        <v>498</v>
      </c>
      <c r="C105" s="214"/>
      <c r="D105" s="132"/>
      <c r="E105" s="214"/>
      <c r="F105" s="214"/>
      <c r="G105" s="214"/>
      <c r="H105" s="132"/>
      <c r="I105" s="132"/>
      <c r="J105" s="132"/>
      <c r="K105" s="214"/>
      <c r="L105" s="191"/>
    </row>
    <row r="106" spans="1:12">
      <c r="A106" s="461" t="str">
        <f>A1</f>
        <v>WAPA-UGP 2024 Rate Estimate Calculation</v>
      </c>
      <c r="B106" s="462"/>
      <c r="C106" s="113"/>
      <c r="D106" s="113"/>
      <c r="E106" s="113"/>
      <c r="F106" s="113"/>
      <c r="G106" s="113"/>
      <c r="H106" s="113"/>
      <c r="I106" s="113"/>
      <c r="J106" s="113"/>
      <c r="K106" s="113"/>
      <c r="L106" s="133"/>
    </row>
    <row r="107" spans="1:12">
      <c r="A107" s="169"/>
      <c r="B107" s="170"/>
      <c r="C107" s="170" t="s">
        <v>375</v>
      </c>
      <c r="D107" s="171"/>
      <c r="E107" s="170" t="s">
        <v>376</v>
      </c>
      <c r="F107" s="171"/>
      <c r="G107" s="170" t="s">
        <v>377</v>
      </c>
      <c r="H107" s="172"/>
      <c r="I107" s="170" t="s">
        <v>378</v>
      </c>
      <c r="J107" s="172"/>
      <c r="K107" s="170" t="s">
        <v>379</v>
      </c>
      <c r="L107" s="134"/>
    </row>
    <row r="108" spans="1:12" s="110" customFormat="1" ht="13.5" thickBot="1">
      <c r="A108" s="169" t="s">
        <v>380</v>
      </c>
      <c r="B108" s="173">
        <v>-1</v>
      </c>
      <c r="C108" s="174">
        <v>-2</v>
      </c>
      <c r="D108" s="175"/>
      <c r="E108" s="174">
        <v>-3</v>
      </c>
      <c r="F108" s="175"/>
      <c r="G108" s="173">
        <v>-4</v>
      </c>
      <c r="H108" s="176"/>
      <c r="I108" s="173">
        <v>-5</v>
      </c>
      <c r="J108" s="176"/>
      <c r="K108" s="173">
        <v>-6</v>
      </c>
      <c r="L108" s="177"/>
    </row>
    <row r="109" spans="1:12">
      <c r="A109" s="178">
        <f>A105+1</f>
        <v>92</v>
      </c>
      <c r="B109" s="179" t="s">
        <v>499</v>
      </c>
      <c r="C109" s="206"/>
      <c r="D109" s="206"/>
      <c r="E109" s="206"/>
      <c r="F109" s="206"/>
      <c r="G109" s="206"/>
      <c r="H109" s="113"/>
      <c r="I109" s="113"/>
      <c r="J109" s="113"/>
      <c r="K109" s="113"/>
      <c r="L109" s="133"/>
    </row>
    <row r="110" spans="1:12">
      <c r="A110" s="169">
        <f>A109+1</f>
        <v>93</v>
      </c>
      <c r="B110" s="223"/>
      <c r="C110" s="215" t="s">
        <v>481</v>
      </c>
      <c r="D110" s="224"/>
      <c r="E110" s="215" t="s">
        <v>482</v>
      </c>
      <c r="F110" s="224"/>
      <c r="G110" s="225" t="s">
        <v>500</v>
      </c>
      <c r="H110" s="114"/>
      <c r="I110" s="225" t="s">
        <v>501</v>
      </c>
      <c r="J110" s="114"/>
      <c r="K110" s="114"/>
      <c r="L110" s="134"/>
    </row>
    <row r="111" spans="1:12">
      <c r="A111" s="169">
        <f t="shared" ref="A111:A125" si="8">A110+1</f>
        <v>94</v>
      </c>
      <c r="B111" s="208" t="s">
        <v>502</v>
      </c>
      <c r="C111" s="195">
        <v>90825508.560000002</v>
      </c>
      <c r="D111" s="114"/>
      <c r="E111" s="195">
        <f>45485837</f>
        <v>45485837</v>
      </c>
      <c r="F111" s="114"/>
      <c r="G111" s="195">
        <f>51502422</f>
        <v>51502422</v>
      </c>
      <c r="H111" s="114"/>
      <c r="I111" s="195">
        <f>46290246.03</f>
        <v>46290246.030000001</v>
      </c>
      <c r="J111" s="114"/>
      <c r="K111" s="195">
        <f>SUM(C111:I111)</f>
        <v>234104013.59</v>
      </c>
      <c r="L111" s="134"/>
    </row>
    <row r="112" spans="1:12">
      <c r="A112" s="169">
        <f t="shared" si="8"/>
        <v>95</v>
      </c>
      <c r="B112" s="215" t="s">
        <v>503</v>
      </c>
      <c r="C112" s="195"/>
      <c r="D112" s="114"/>
      <c r="E112" s="195"/>
      <c r="F112" s="114"/>
      <c r="G112" s="195"/>
      <c r="H112" s="114"/>
      <c r="I112" s="195"/>
      <c r="J112" s="114"/>
      <c r="K112" s="195"/>
      <c r="L112" s="134"/>
    </row>
    <row r="113" spans="1:12">
      <c r="A113" s="169">
        <f t="shared" si="8"/>
        <v>96</v>
      </c>
      <c r="B113" s="215" t="s">
        <v>504</v>
      </c>
      <c r="C113" s="195"/>
      <c r="D113" s="114"/>
      <c r="E113" s="195"/>
      <c r="F113" s="114"/>
      <c r="G113" s="195"/>
      <c r="H113" s="114"/>
      <c r="I113" s="195"/>
      <c r="J113" s="114"/>
      <c r="K113" s="195"/>
      <c r="L113" s="134"/>
    </row>
    <row r="114" spans="1:12">
      <c r="A114" s="169">
        <f>A113+1</f>
        <v>97</v>
      </c>
      <c r="B114" s="215" t="s">
        <v>505</v>
      </c>
      <c r="C114" s="644">
        <f>C92</f>
        <v>12304169.17</v>
      </c>
      <c r="D114" s="114"/>
      <c r="E114" s="195"/>
      <c r="F114" s="114"/>
      <c r="G114" s="195"/>
      <c r="H114" s="114"/>
      <c r="I114" s="195"/>
      <c r="J114" s="114"/>
      <c r="K114" s="195">
        <f>SUM(C114:I114)</f>
        <v>12304169.17</v>
      </c>
      <c r="L114" s="134"/>
    </row>
    <row r="115" spans="1:12">
      <c r="A115" s="169">
        <f t="shared" si="8"/>
        <v>98</v>
      </c>
      <c r="B115" s="215" t="s">
        <v>506</v>
      </c>
      <c r="C115" s="195"/>
      <c r="D115" s="114"/>
      <c r="E115" s="195"/>
      <c r="F115" s="114"/>
      <c r="G115" s="195"/>
      <c r="H115" s="114"/>
      <c r="I115" s="195"/>
      <c r="J115" s="114"/>
      <c r="K115" s="195"/>
      <c r="L115" s="134"/>
    </row>
    <row r="116" spans="1:12">
      <c r="A116" s="169">
        <f t="shared" si="8"/>
        <v>99</v>
      </c>
      <c r="B116" s="215" t="s">
        <v>507</v>
      </c>
      <c r="C116" s="195">
        <f>38360</f>
        <v>38360</v>
      </c>
      <c r="D116" s="114"/>
      <c r="E116" s="195"/>
      <c r="F116" s="114"/>
      <c r="G116" s="195"/>
      <c r="H116" s="114"/>
      <c r="I116" s="195"/>
      <c r="J116" s="114"/>
      <c r="K116" s="195">
        <f>SUM(C116:I116)</f>
        <v>38360</v>
      </c>
      <c r="L116" s="134"/>
    </row>
    <row r="117" spans="1:12">
      <c r="A117" s="169">
        <f t="shared" si="8"/>
        <v>100</v>
      </c>
      <c r="B117" s="215" t="s">
        <v>508</v>
      </c>
      <c r="C117" s="195"/>
      <c r="D117" s="114"/>
      <c r="E117" s="195"/>
      <c r="F117" s="114"/>
      <c r="G117" s="195"/>
      <c r="H117" s="114"/>
      <c r="I117" s="195"/>
      <c r="J117" s="114"/>
      <c r="K117" s="195"/>
      <c r="L117" s="134"/>
    </row>
    <row r="118" spans="1:12">
      <c r="A118" s="169">
        <f t="shared" si="8"/>
        <v>101</v>
      </c>
      <c r="B118" s="215" t="s">
        <v>509</v>
      </c>
      <c r="C118" s="195">
        <v>8245648</v>
      </c>
      <c r="D118" s="114"/>
      <c r="E118" s="195"/>
      <c r="F118" s="114"/>
      <c r="G118" s="195"/>
      <c r="H118" s="114"/>
      <c r="I118" s="195"/>
      <c r="J118" s="114"/>
      <c r="K118" s="195">
        <f>SUM(C118:I118)</f>
        <v>8245648</v>
      </c>
      <c r="L118" s="134"/>
    </row>
    <row r="119" spans="1:12">
      <c r="A119" s="169">
        <f t="shared" si="8"/>
        <v>102</v>
      </c>
      <c r="B119" s="215" t="s">
        <v>510</v>
      </c>
      <c r="C119" s="523"/>
      <c r="D119" s="522"/>
      <c r="E119" s="523"/>
      <c r="F119" s="522"/>
      <c r="G119" s="523"/>
      <c r="H119" s="522"/>
      <c r="I119" s="523"/>
      <c r="J119" s="114"/>
      <c r="K119" s="195"/>
      <c r="L119" s="134"/>
    </row>
    <row r="120" spans="1:12">
      <c r="A120" s="169">
        <f t="shared" ref="A120:A134" si="9">A119+1</f>
        <v>103</v>
      </c>
      <c r="B120" s="371" t="s">
        <v>511</v>
      </c>
      <c r="C120" s="372">
        <f>8593093.36+2406574.1</f>
        <v>10999667.459999999</v>
      </c>
      <c r="D120" s="373"/>
      <c r="E120" s="372"/>
      <c r="F120" s="373"/>
      <c r="G120" s="372"/>
      <c r="H120" s="373"/>
      <c r="I120" s="372"/>
      <c r="J120" s="373"/>
      <c r="K120" s="372">
        <f>SUM(C120:I120)</f>
        <v>10999667.459999999</v>
      </c>
      <c r="L120" s="134"/>
    </row>
    <row r="121" spans="1:12">
      <c r="A121" s="169">
        <f t="shared" si="8"/>
        <v>104</v>
      </c>
      <c r="B121" s="216" t="s">
        <v>512</v>
      </c>
      <c r="C121" s="217">
        <f>C111-C114-C116+C118</f>
        <v>86728627.390000001</v>
      </c>
      <c r="D121" s="114"/>
      <c r="E121" s="235">
        <v>46417099</v>
      </c>
      <c r="F121" s="114"/>
      <c r="G121" s="217">
        <f>G111</f>
        <v>51502422</v>
      </c>
      <c r="H121" s="114"/>
      <c r="I121" s="217">
        <f>I111</f>
        <v>46290246.030000001</v>
      </c>
      <c r="J121" s="114"/>
      <c r="K121" s="217">
        <f>K111-K113-K114-K115-K116+K118+K119</f>
        <v>230007132.42000002</v>
      </c>
      <c r="L121" s="134"/>
    </row>
    <row r="122" spans="1:12">
      <c r="A122" s="169">
        <f t="shared" si="8"/>
        <v>105</v>
      </c>
      <c r="B122" s="216" t="s">
        <v>513</v>
      </c>
      <c r="C122" s="217">
        <f>C121*C14</f>
        <v>81684878.493967175</v>
      </c>
      <c r="D122" s="114"/>
      <c r="E122" s="217">
        <f>E121*E14</f>
        <v>390740.31978034356</v>
      </c>
      <c r="F122" s="114"/>
      <c r="G122" s="217">
        <f>G121*G14</f>
        <v>3415043.2199342633</v>
      </c>
      <c r="H122" s="114"/>
      <c r="I122" s="217">
        <f>I121*I14</f>
        <v>0</v>
      </c>
      <c r="J122" s="114"/>
      <c r="K122" s="217">
        <f>SUM(C122:I122)</f>
        <v>85490662.033681795</v>
      </c>
      <c r="L122" s="134"/>
    </row>
    <row r="123" spans="1:12">
      <c r="A123" s="169">
        <f t="shared" si="8"/>
        <v>106</v>
      </c>
      <c r="B123" s="216" t="s">
        <v>514</v>
      </c>
      <c r="C123" s="217">
        <f>C121*C13</f>
        <v>863323.76535848074</v>
      </c>
      <c r="D123" s="114"/>
      <c r="E123" s="217">
        <v>0</v>
      </c>
      <c r="F123" s="114"/>
      <c r="G123" s="195">
        <f>G121*G13</f>
        <v>48087378.780065738</v>
      </c>
      <c r="H123" s="114"/>
      <c r="I123" s="195">
        <f>I121*I13</f>
        <v>46290246.030000001</v>
      </c>
      <c r="J123" s="114"/>
      <c r="K123" s="217">
        <f>SUM(C123:I123)</f>
        <v>95240948.575424224</v>
      </c>
      <c r="L123" s="134"/>
    </row>
    <row r="124" spans="1:12">
      <c r="A124" s="169">
        <f>A123+1</f>
        <v>107</v>
      </c>
      <c r="B124" s="216" t="s">
        <v>515</v>
      </c>
      <c r="C124" s="217">
        <f>C121*C16</f>
        <v>272503.2590559508</v>
      </c>
      <c r="D124" s="114"/>
      <c r="E124" s="217"/>
      <c r="F124" s="114"/>
      <c r="G124" s="195"/>
      <c r="H124" s="114"/>
      <c r="I124" s="195"/>
      <c r="J124" s="114"/>
      <c r="K124" s="217">
        <f>SUM(C124:I124)</f>
        <v>272503.2590559508</v>
      </c>
      <c r="L124" s="134"/>
    </row>
    <row r="125" spans="1:12">
      <c r="A125" s="169">
        <f t="shared" si="8"/>
        <v>108</v>
      </c>
      <c r="B125" s="216" t="s">
        <v>516</v>
      </c>
      <c r="C125" s="217">
        <f>C121*C17</f>
        <v>830251.1831844548</v>
      </c>
      <c r="D125" s="114"/>
      <c r="E125" s="217"/>
      <c r="F125" s="114"/>
      <c r="G125" s="195"/>
      <c r="H125" s="114"/>
      <c r="I125" s="195"/>
      <c r="J125" s="114"/>
      <c r="K125" s="217">
        <f>SUM(C125:I125)</f>
        <v>830251.1831844548</v>
      </c>
      <c r="L125" s="134"/>
    </row>
    <row r="126" spans="1:12">
      <c r="A126" s="169">
        <f t="shared" si="9"/>
        <v>109</v>
      </c>
      <c r="B126" s="195" t="s">
        <v>517</v>
      </c>
      <c r="C126" s="195"/>
      <c r="D126" s="195"/>
      <c r="E126" s="195"/>
      <c r="F126" s="195"/>
      <c r="G126" s="195"/>
      <c r="H126" s="114"/>
      <c r="I126" s="114"/>
      <c r="J126" s="114"/>
      <c r="K126" s="114"/>
      <c r="L126" s="134"/>
    </row>
    <row r="127" spans="1:12">
      <c r="A127" s="169">
        <f t="shared" si="9"/>
        <v>110</v>
      </c>
      <c r="B127" s="195" t="s">
        <v>518</v>
      </c>
      <c r="C127" s="195"/>
      <c r="D127" s="195"/>
      <c r="E127" s="195"/>
      <c r="F127" s="195"/>
      <c r="G127" s="195"/>
      <c r="H127" s="114"/>
      <c r="I127" s="114"/>
      <c r="J127" s="114"/>
      <c r="K127" s="114"/>
      <c r="L127" s="134"/>
    </row>
    <row r="128" spans="1:12">
      <c r="A128" s="169">
        <f t="shared" si="9"/>
        <v>111</v>
      </c>
      <c r="B128" s="195" t="s">
        <v>519</v>
      </c>
      <c r="C128" s="195"/>
      <c r="D128" s="195"/>
      <c r="E128" s="195"/>
      <c r="F128" s="195"/>
      <c r="G128" s="195"/>
      <c r="H128" s="114"/>
      <c r="I128" s="114"/>
      <c r="J128" s="114"/>
      <c r="K128" s="114"/>
      <c r="L128" s="134"/>
    </row>
    <row r="129" spans="1:12">
      <c r="A129" s="169">
        <f t="shared" si="9"/>
        <v>112</v>
      </c>
      <c r="B129" s="195" t="s">
        <v>520</v>
      </c>
      <c r="C129" s="195"/>
      <c r="D129" s="195"/>
      <c r="E129" s="195"/>
      <c r="F129" s="195"/>
      <c r="G129" s="195"/>
      <c r="H129" s="114"/>
      <c r="I129" s="114"/>
      <c r="J129" s="114"/>
      <c r="K129" s="114"/>
      <c r="L129" s="134"/>
    </row>
    <row r="130" spans="1:12">
      <c r="A130" s="169">
        <f t="shared" si="9"/>
        <v>113</v>
      </c>
      <c r="B130" s="195" t="s">
        <v>521</v>
      </c>
      <c r="C130" s="195"/>
      <c r="D130" s="195"/>
      <c r="E130" s="195"/>
      <c r="F130" s="195"/>
      <c r="G130" s="195"/>
      <c r="H130" s="114"/>
      <c r="I130" s="114"/>
      <c r="J130" s="114"/>
      <c r="K130" s="114"/>
      <c r="L130" s="134"/>
    </row>
    <row r="131" spans="1:12">
      <c r="A131" s="169">
        <f t="shared" si="9"/>
        <v>114</v>
      </c>
      <c r="B131" s="195" t="s">
        <v>522</v>
      </c>
      <c r="C131" s="195"/>
      <c r="D131" s="195"/>
      <c r="E131" s="195"/>
      <c r="F131" s="195"/>
      <c r="G131" s="195"/>
      <c r="H131" s="114"/>
      <c r="I131" s="114"/>
      <c r="J131" s="114"/>
      <c r="K131" s="114"/>
      <c r="L131" s="134"/>
    </row>
    <row r="132" spans="1:12">
      <c r="A132" s="169">
        <f t="shared" si="9"/>
        <v>115</v>
      </c>
      <c r="B132" s="195" t="s">
        <v>523</v>
      </c>
      <c r="C132" s="195"/>
      <c r="D132" s="195"/>
      <c r="E132" s="195"/>
      <c r="F132" s="195"/>
      <c r="G132" s="195"/>
      <c r="H132" s="114"/>
      <c r="I132" s="114"/>
      <c r="J132" s="114"/>
      <c r="K132" s="114"/>
      <c r="L132" s="134"/>
    </row>
    <row r="133" spans="1:12">
      <c r="A133" s="169">
        <f t="shared" si="9"/>
        <v>116</v>
      </c>
      <c r="B133" s="195" t="s">
        <v>524</v>
      </c>
      <c r="C133" s="195"/>
      <c r="D133" s="195"/>
      <c r="E133" s="195"/>
      <c r="F133" s="195"/>
      <c r="G133" s="195"/>
      <c r="H133" s="114"/>
      <c r="I133" s="114"/>
      <c r="J133" s="114"/>
      <c r="K133" s="114"/>
      <c r="L133" s="134"/>
    </row>
    <row r="134" spans="1:12" ht="13.5" thickBot="1">
      <c r="A134" s="189">
        <f t="shared" si="9"/>
        <v>117</v>
      </c>
      <c r="B134" s="196" t="s">
        <v>381</v>
      </c>
      <c r="C134" s="196"/>
      <c r="D134" s="196"/>
      <c r="E134" s="196"/>
      <c r="F134" s="196"/>
      <c r="G134" s="196"/>
      <c r="H134" s="132"/>
      <c r="I134" s="132"/>
      <c r="J134" s="132"/>
      <c r="K134" s="132"/>
      <c r="L134" s="191"/>
    </row>
    <row r="135" spans="1:12">
      <c r="C135" s="111"/>
      <c r="D135" s="111"/>
      <c r="E135" s="111"/>
      <c r="F135" s="111"/>
      <c r="G135" s="111"/>
    </row>
    <row r="136" spans="1:12">
      <c r="B136" s="111"/>
      <c r="C136" s="111"/>
      <c r="D136" s="111"/>
      <c r="E136" s="111"/>
      <c r="F136" s="111"/>
      <c r="G136" s="111"/>
    </row>
    <row r="137" spans="1:12">
      <c r="C137" s="111"/>
      <c r="D137" s="111"/>
      <c r="E137" s="111"/>
      <c r="F137" s="111"/>
      <c r="G137" s="111"/>
    </row>
    <row r="138" spans="1:12">
      <c r="B138" s="111"/>
      <c r="C138" s="111"/>
      <c r="D138" s="111"/>
      <c r="E138" s="111"/>
      <c r="F138" s="111"/>
      <c r="G138" s="111"/>
    </row>
  </sheetData>
  <hyperlinks>
    <hyperlink ref="K1" location="'Cover Sheets'!A16" display="(Back to Worksheet Links)" xr:uid="{00000000-0004-0000-0500-000000000000}"/>
  </hyperlinks>
  <pageMargins left="0.7" right="0.7" top="0.75" bottom="0.75" header="0.3" footer="0.3"/>
  <pageSetup scale="65" fitToHeight="0" orientation="landscape" r:id="rId1"/>
  <headerFooter>
    <oddFooter>&amp;R&amp;A</oddFooter>
  </headerFooter>
  <rowBreaks count="4" manualBreakCount="4">
    <brk id="40" max="16383" man="1"/>
    <brk id="60" max="16383" man="1"/>
    <brk id="86"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9"/>
  <sheetViews>
    <sheetView view="pageBreakPreview" zoomScale="70" zoomScaleNormal="100" zoomScaleSheetLayoutView="70" workbookViewId="0">
      <selection activeCell="P17" sqref="P17"/>
    </sheetView>
  </sheetViews>
  <sheetFormatPr defaultColWidth="13.453125" defaultRowHeight="14.5"/>
  <cols>
    <col min="1" max="1" width="9.54296875" style="30" customWidth="1"/>
    <col min="2" max="2" width="44.81640625" style="30" bestFit="1" customWidth="1"/>
    <col min="3" max="3" width="10.81640625" style="30" customWidth="1"/>
    <col min="4" max="4" width="16.54296875" style="30" customWidth="1"/>
    <col min="5" max="5" width="13.453125" style="30"/>
    <col min="6" max="6" width="13.54296875" style="30" bestFit="1" customWidth="1"/>
    <col min="7" max="9" width="13.453125" style="30"/>
    <col min="10" max="10" width="10.81640625" style="30" customWidth="1"/>
    <col min="11" max="12" width="13.54296875" style="30" bestFit="1" customWidth="1"/>
    <col min="13" max="13" width="13.453125" style="30"/>
    <col min="14" max="14" width="10.54296875" style="30" customWidth="1"/>
    <col min="15" max="15" width="10" style="30" customWidth="1"/>
    <col min="16" max="16" width="13.453125" style="30"/>
    <col min="17" max="17" width="22.453125" style="30" customWidth="1"/>
    <col min="18" max="16384" width="13.453125" style="30"/>
  </cols>
  <sheetData>
    <row r="1" spans="1:17">
      <c r="A1" s="906" t="str">
        <f>'Cover Sheets'!A10:B10</f>
        <v>WAPA-UGP 2024 Rate Estimate Calculation</v>
      </c>
      <c r="B1" s="907"/>
      <c r="C1" s="142"/>
      <c r="D1" s="409" t="s">
        <v>41</v>
      </c>
      <c r="E1" s="142"/>
      <c r="F1" s="142"/>
      <c r="G1" s="142"/>
      <c r="H1" s="142"/>
      <c r="I1" s="142"/>
      <c r="J1" s="142"/>
      <c r="K1" s="142"/>
      <c r="L1" s="142"/>
      <c r="M1" s="142"/>
      <c r="N1" s="142"/>
      <c r="O1" s="142"/>
      <c r="P1" s="143"/>
    </row>
    <row r="2" spans="1:17">
      <c r="A2" s="908" t="s">
        <v>525</v>
      </c>
      <c r="B2" s="909"/>
      <c r="C2" s="144"/>
      <c r="E2" s="144"/>
      <c r="F2" s="144"/>
      <c r="G2" s="144"/>
      <c r="H2" s="144"/>
      <c r="I2" s="144"/>
      <c r="J2" s="144"/>
      <c r="K2" s="144"/>
      <c r="L2" s="144"/>
      <c r="M2" s="144"/>
      <c r="N2" s="144"/>
      <c r="O2" s="144"/>
      <c r="P2" s="145"/>
    </row>
    <row r="3" spans="1:17">
      <c r="A3" s="908" t="str">
        <f>'Summary-ATRR'!A3</f>
        <v>12 Months Ending 09/30/2024 ESTIMATE</v>
      </c>
      <c r="B3" s="909"/>
      <c r="C3" s="144"/>
      <c r="D3" s="144"/>
      <c r="E3" s="144"/>
      <c r="F3" s="144"/>
      <c r="G3" s="144"/>
      <c r="H3" s="144"/>
      <c r="I3" s="144"/>
      <c r="J3" s="144"/>
      <c r="K3" s="144"/>
      <c r="L3" s="144"/>
      <c r="M3" s="144"/>
      <c r="N3" s="144"/>
      <c r="O3" s="144"/>
      <c r="P3" s="145"/>
    </row>
    <row r="4" spans="1:17" ht="52.5">
      <c r="A4" s="37"/>
      <c r="B4" s="116" t="s">
        <v>526</v>
      </c>
      <c r="C4" s="117" t="s">
        <v>527</v>
      </c>
      <c r="D4" s="116" t="s">
        <v>528</v>
      </c>
      <c r="E4" s="116" t="s">
        <v>529</v>
      </c>
      <c r="F4" s="116" t="s">
        <v>530</v>
      </c>
      <c r="G4" s="116" t="s">
        <v>531</v>
      </c>
      <c r="H4" s="116" t="s">
        <v>532</v>
      </c>
      <c r="I4" s="116" t="s">
        <v>533</v>
      </c>
      <c r="J4" s="116" t="s">
        <v>534</v>
      </c>
      <c r="K4" s="116" t="s">
        <v>535</v>
      </c>
      <c r="L4" s="116" t="s">
        <v>536</v>
      </c>
      <c r="M4" s="117" t="s">
        <v>537</v>
      </c>
      <c r="N4" s="117" t="s">
        <v>538</v>
      </c>
      <c r="O4" s="117" t="s">
        <v>539</v>
      </c>
      <c r="P4" s="118" t="s">
        <v>540</v>
      </c>
    </row>
    <row r="5" spans="1:17">
      <c r="A5" s="394" t="s">
        <v>304</v>
      </c>
      <c r="B5" s="292">
        <v>-1</v>
      </c>
      <c r="C5" s="292">
        <v>-2</v>
      </c>
      <c r="D5" s="292">
        <v>-3</v>
      </c>
      <c r="E5" s="292">
        <v>-4</v>
      </c>
      <c r="F5" s="292">
        <v>-5</v>
      </c>
      <c r="G5" s="292">
        <v>-6</v>
      </c>
      <c r="H5" s="292">
        <v>-7</v>
      </c>
      <c r="I5" s="292">
        <v>-8</v>
      </c>
      <c r="J5" s="292">
        <v>-9</v>
      </c>
      <c r="K5" s="292">
        <v>-10</v>
      </c>
      <c r="L5" s="292">
        <v>-11</v>
      </c>
      <c r="M5" s="292">
        <v>-12</v>
      </c>
      <c r="N5" s="292">
        <v>-13</v>
      </c>
      <c r="O5" s="292">
        <v>-14</v>
      </c>
      <c r="P5" s="395">
        <v>-15</v>
      </c>
      <c r="Q5" s="31"/>
    </row>
    <row r="6" spans="1:17">
      <c r="A6" s="146">
        <v>1</v>
      </c>
      <c r="B6" s="294" t="s">
        <v>541</v>
      </c>
      <c r="C6" s="296" t="s">
        <v>542</v>
      </c>
      <c r="D6" s="430">
        <f>'WS7-BPUFac'!G6</f>
        <v>51813</v>
      </c>
      <c r="E6" s="297">
        <f>D6/$D$17</f>
        <v>3.3726741861961891E-3</v>
      </c>
      <c r="F6" s="298">
        <f>'WS4-CostData'!$C$23*'WS5-BPUz'!E6</f>
        <v>27143.878103622741</v>
      </c>
      <c r="G6" s="430">
        <f>'WS4-CostData'!$C$125*'WS5-BPUz'!E6</f>
        <v>2800.1667335850543</v>
      </c>
      <c r="H6" s="430">
        <f>'WS4-CostData'!$C$50*'WS5-BPUz'!E6</f>
        <v>1046.4049363891925</v>
      </c>
      <c r="I6" s="430">
        <f>'WS4-CostData'!$C$97*'WS5-BPUz'!E6</f>
        <v>397.25897008960868</v>
      </c>
      <c r="J6" s="297">
        <f>'WS2-AllocFactor'!$F$25</f>
        <v>3.9423571574590852E-2</v>
      </c>
      <c r="K6" s="430">
        <f>D6-F6</f>
        <v>24669.121896377259</v>
      </c>
      <c r="L6" s="430">
        <f>J6*K6</f>
        <v>972.54489276413528</v>
      </c>
      <c r="M6" s="430">
        <f>L6+G6+I6+H6</f>
        <v>5216.3755328279913</v>
      </c>
      <c r="N6" s="430">
        <f>N17*E6</f>
        <v>-219.22382210275228</v>
      </c>
      <c r="O6" s="433">
        <f>$O$17*0.0071</f>
        <v>-509.74450000000002</v>
      </c>
      <c r="P6" s="434">
        <f t="shared" ref="P6:P14" si="0">M6+N6+O6</f>
        <v>4487.4072107252396</v>
      </c>
      <c r="Q6" s="385"/>
    </row>
    <row r="7" spans="1:17">
      <c r="A7" s="146">
        <f t="shared" ref="A7:A19" si="1">A6+1</f>
        <v>2</v>
      </c>
      <c r="B7" s="294" t="s">
        <v>543</v>
      </c>
      <c r="C7" s="296" t="s">
        <v>544</v>
      </c>
      <c r="D7" s="430">
        <f>'WS7-BPUFac'!G7</f>
        <v>2212759.1386000002</v>
      </c>
      <c r="E7" s="297">
        <f t="shared" ref="E7:E14" si="2">D7/$D$17</f>
        <v>0.14403558232539973</v>
      </c>
      <c r="F7" s="298">
        <f>'WS4-CostData'!$C$23*'WS5-BPUz'!E7</f>
        <v>1159223.8305219861</v>
      </c>
      <c r="G7" s="430">
        <f>'WS4-CostData'!$C$125*'WS5-BPUz'!E7</f>
        <v>119585.71264632508</v>
      </c>
      <c r="H7" s="430">
        <f>'WS4-CostData'!$C$50*'WS5-BPUz'!E7</f>
        <v>44688.438918250969</v>
      </c>
      <c r="I7" s="430">
        <f>'WS4-CostData'!$C$97*'WS5-BPUz'!E7</f>
        <v>16965.595824534495</v>
      </c>
      <c r="J7" s="297">
        <f>'WS2-AllocFactor'!$F$25</f>
        <v>3.9423571574590852E-2</v>
      </c>
      <c r="K7" s="430">
        <f t="shared" ref="K7:K14" si="3">D7-F7</f>
        <v>1053535.3080780141</v>
      </c>
      <c r="L7" s="430">
        <f t="shared" ref="L7:L14" si="4">J7*K7</f>
        <v>41534.124624372213</v>
      </c>
      <c r="M7" s="430">
        <f>L7+G7+I7+H7</f>
        <v>222773.87201348273</v>
      </c>
      <c r="N7" s="430">
        <f>N17*E7</f>
        <v>-9362.3128511509822</v>
      </c>
      <c r="O7" s="433">
        <f>$O$17*0.3015</f>
        <v>-21646.192500000001</v>
      </c>
      <c r="P7" s="434">
        <f t="shared" si="0"/>
        <v>191765.36666233174</v>
      </c>
      <c r="Q7" s="385"/>
    </row>
    <row r="8" spans="1:17">
      <c r="A8" s="146">
        <f t="shared" si="1"/>
        <v>3</v>
      </c>
      <c r="B8" s="294" t="s">
        <v>545</v>
      </c>
      <c r="C8" s="296" t="s">
        <v>544</v>
      </c>
      <c r="D8" s="430">
        <f>'WS7-BPUFac'!G8</f>
        <v>5073024.1400000006</v>
      </c>
      <c r="E8" s="297">
        <f t="shared" si="2"/>
        <v>0.33021939596101602</v>
      </c>
      <c r="F8" s="298">
        <f>'WS4-CostData'!$C$23*'WS5-BPUz'!E8</f>
        <v>2657664.077989995</v>
      </c>
      <c r="G8" s="430">
        <f>'WS4-CostData'!$C$125*'WS5-BPUz'!E8</f>
        <v>274165.04420708952</v>
      </c>
      <c r="H8" s="430">
        <f>'WS4-CostData'!$C$50*'WS5-BPUz'!E8</f>
        <v>102453.77612795125</v>
      </c>
      <c r="I8" s="430">
        <f>'WS4-CostData'!$C$97*'WS5-BPUz'!E8</f>
        <v>38895.72781147826</v>
      </c>
      <c r="J8" s="297">
        <f>'WS2-AllocFactor'!$F$25</f>
        <v>3.9423571574590852E-2</v>
      </c>
      <c r="K8" s="430">
        <f t="shared" si="3"/>
        <v>2415360.0620100056</v>
      </c>
      <c r="L8" s="430">
        <f t="shared" si="4"/>
        <v>95222.120283059659</v>
      </c>
      <c r="M8" s="430">
        <f>L8+G8+I8+H8</f>
        <v>510736.66842957865</v>
      </c>
      <c r="N8" s="430">
        <f>N17*E8</f>
        <v>-21464.26073746604</v>
      </c>
      <c r="O8" s="433">
        <f>$O$17*0.6913</f>
        <v>-49631.883500000004</v>
      </c>
      <c r="P8" s="434">
        <f t="shared" si="0"/>
        <v>439640.52419211261</v>
      </c>
      <c r="Q8" s="385"/>
    </row>
    <row r="9" spans="1:17">
      <c r="A9" s="146">
        <f t="shared" si="1"/>
        <v>4</v>
      </c>
      <c r="B9" s="294" t="s">
        <v>546</v>
      </c>
      <c r="C9" s="296" t="s">
        <v>544</v>
      </c>
      <c r="D9" s="430">
        <f>'WS7-BPUFac'!G9</f>
        <v>403</v>
      </c>
      <c r="E9" s="297">
        <f t="shared" si="2"/>
        <v>2.6232561269122886E-5</v>
      </c>
      <c r="F9" s="298">
        <f>'WS4-CostData'!$C$23*'WS5-BPUz'!E9</f>
        <v>211.12429073321297</v>
      </c>
      <c r="G9" s="430">
        <f>'WS4-CostData'!$C$125*'WS5-BPUz'!E9</f>
        <v>21.779615031647978</v>
      </c>
      <c r="H9" s="430">
        <f>'WS4-CostData'!$C$50*'WS5-BPUz'!E9</f>
        <v>8.1389070187953703</v>
      </c>
      <c r="I9" s="430">
        <f>'WS4-CostData'!$C$97*'WS5-BPUz'!E9</f>
        <v>3.0898686612647848</v>
      </c>
      <c r="J9" s="297">
        <f>'WS2-AllocFactor'!$F$25</f>
        <v>3.9423571574590852E-2</v>
      </c>
      <c r="K9" s="430">
        <f t="shared" si="3"/>
        <v>191.87570926678703</v>
      </c>
      <c r="L9" s="430">
        <f t="shared" si="4"/>
        <v>7.564425757704563</v>
      </c>
      <c r="M9" s="430">
        <f>L9+G9+I9+H9</f>
        <v>40.5728164694127</v>
      </c>
      <c r="N9" s="430">
        <f>N17*E9</f>
        <v>-1.7051164824929876</v>
      </c>
      <c r="O9" s="433">
        <f>$O$17*0.0001</f>
        <v>-7.1795</v>
      </c>
      <c r="P9" s="434">
        <f t="shared" si="0"/>
        <v>31.68819998691971</v>
      </c>
      <c r="Q9" s="385"/>
    </row>
    <row r="10" spans="1:17">
      <c r="A10" s="146">
        <f t="shared" si="1"/>
        <v>5</v>
      </c>
      <c r="B10" s="856" t="s">
        <v>2678</v>
      </c>
      <c r="C10" s="632" t="s">
        <v>542</v>
      </c>
      <c r="D10" s="430">
        <f>'WS7-BPUFac'!G10</f>
        <v>1233403</v>
      </c>
      <c r="E10" s="297">
        <f t="shared" si="2"/>
        <v>8.0286153268039645E-2</v>
      </c>
      <c r="F10" s="298">
        <f>'WS4-CostData'!$C$23*'WS5-BPUz'!E10</f>
        <v>646157.15524371492</v>
      </c>
      <c r="G10" s="430">
        <f>'WS4-CostData'!$C$125*'WS5-BPUz'!E10</f>
        <v>66657.673744118394</v>
      </c>
      <c r="H10" s="430">
        <f>'WS4-CostData'!$C$50*'WS5-BPUz'!E10</f>
        <v>24909.559140702895</v>
      </c>
      <c r="I10" s="430">
        <f>'WS4-CostData'!$C$97*'WS5-BPUz'!E10</f>
        <v>9456.7078819105936</v>
      </c>
      <c r="J10" s="297">
        <f>'WS2-AllocFactor'!$F$25</f>
        <v>3.9423571574590852E-2</v>
      </c>
      <c r="K10" s="430">
        <f t="shared" si="3"/>
        <v>587245.84475628508</v>
      </c>
      <c r="L10" s="430">
        <f t="shared" si="4"/>
        <v>23151.328592630474</v>
      </c>
      <c r="M10" s="430">
        <f t="shared" ref="M10:M14" si="5">L10+G10+I10+H10</f>
        <v>124175.26935936237</v>
      </c>
      <c r="N10" s="430">
        <f>N17*E10</f>
        <v>-5218.5999624225769</v>
      </c>
      <c r="O10" s="876"/>
      <c r="P10" s="434">
        <f t="shared" si="0"/>
        <v>118956.66939693979</v>
      </c>
    </row>
    <row r="11" spans="1:17">
      <c r="A11" s="146">
        <f t="shared" si="1"/>
        <v>6</v>
      </c>
      <c r="B11" s="856" t="s">
        <v>2679</v>
      </c>
      <c r="C11" s="296" t="s">
        <v>544</v>
      </c>
      <c r="D11" s="430">
        <f>'WS7-BPUFac'!G11</f>
        <v>1742000</v>
      </c>
      <c r="E11" s="297">
        <f t="shared" si="2"/>
        <v>0.11339236161491829</v>
      </c>
      <c r="F11" s="298">
        <f>'WS4-CostData'!$C$23*'WS5-BPUz'!E11</f>
        <v>912601.77284679166</v>
      </c>
      <c r="G11" s="430">
        <f>'WS4-CostData'!$C$125*'WS5-BPUz'!E11</f>
        <v>94144.14239486547</v>
      </c>
      <c r="H11" s="430">
        <f>'WS4-CostData'!$C$50*'WS5-BPUz'!E11</f>
        <v>35181.081952212247</v>
      </c>
      <c r="I11" s="430">
        <f>'WS4-CostData'!$C$97*'WS5-BPUz'!E11</f>
        <v>13356.206471273586</v>
      </c>
      <c r="J11" s="297">
        <f>'WS2-AllocFactor'!$F$25</f>
        <v>3.9423571574590852E-2</v>
      </c>
      <c r="K11" s="430">
        <f t="shared" si="3"/>
        <v>829398.22715320834</v>
      </c>
      <c r="L11" s="430">
        <f t="shared" si="4"/>
        <v>32697.84037201327</v>
      </c>
      <c r="M11" s="430">
        <f t="shared" si="5"/>
        <v>175379.27119036455</v>
      </c>
      <c r="N11" s="430">
        <f>N17*E11</f>
        <v>-7370.5035049696889</v>
      </c>
      <c r="O11" s="876"/>
      <c r="P11" s="434">
        <f t="shared" si="0"/>
        <v>168008.76768539485</v>
      </c>
    </row>
    <row r="12" spans="1:17">
      <c r="A12" s="146">
        <f t="shared" si="1"/>
        <v>7</v>
      </c>
      <c r="B12" s="856" t="s">
        <v>2680</v>
      </c>
      <c r="C12" s="296" t="s">
        <v>542</v>
      </c>
      <c r="D12" s="430">
        <f>'WS7-BPUFac'!G12</f>
        <v>1126810.6900000002</v>
      </c>
      <c r="E12" s="297">
        <f t="shared" si="2"/>
        <v>7.334771827326958E-2</v>
      </c>
      <c r="F12" s="298">
        <f>'WS4-CostData'!$C$23*'WS5-BPUz'!E12</f>
        <v>590315.40376390168</v>
      </c>
      <c r="G12" s="430">
        <f>'WS4-CostData'!$C$125*'WS5-BPUz'!E12</f>
        <v>60897.029880262126</v>
      </c>
      <c r="H12" s="430">
        <f>'WS4-CostData'!$C$50*'WS5-BPUz'!E12</f>
        <v>22756.842267232398</v>
      </c>
      <c r="I12" s="430">
        <f>'WS4-CostData'!$C$97*'WS5-BPUz'!E12</f>
        <v>8639.4467449358544</v>
      </c>
      <c r="J12" s="297">
        <f>'WS2-AllocFactor'!$F$25</f>
        <v>3.9423571574590852E-2</v>
      </c>
      <c r="K12" s="430">
        <f t="shared" si="3"/>
        <v>536495.2862360985</v>
      </c>
      <c r="L12" s="430">
        <f t="shared" si="4"/>
        <v>21150.560316359435</v>
      </c>
      <c r="M12" s="430">
        <f t="shared" si="5"/>
        <v>113443.8792087898</v>
      </c>
      <c r="N12" s="430">
        <f>N17*E12</f>
        <v>-4767.6016877625225</v>
      </c>
      <c r="O12" s="876"/>
      <c r="P12" s="434">
        <f t="shared" si="0"/>
        <v>108676.27752102728</v>
      </c>
    </row>
    <row r="13" spans="1:17">
      <c r="A13" s="146">
        <f t="shared" si="1"/>
        <v>8</v>
      </c>
      <c r="B13" s="856" t="s">
        <v>2681</v>
      </c>
      <c r="C13" s="632" t="s">
        <v>542</v>
      </c>
      <c r="D13" s="431">
        <f>'WS7-BPUFac'!G13</f>
        <v>668960.56200000003</v>
      </c>
      <c r="E13" s="297">
        <f t="shared" si="2"/>
        <v>4.3544786425041886E-2</v>
      </c>
      <c r="F13" s="298">
        <f>'WS4-CostData'!$C$23*'WS5-BPUz'!E13</f>
        <v>350456.13940630661</v>
      </c>
      <c r="G13" s="430">
        <f>'WS4-CostData'!$C$125*'WS5-BPUz'!E13</f>
        <v>36153.110450905413</v>
      </c>
      <c r="H13" s="430">
        <f>'WS4-CostData'!$C$50*'WS5-BPUz'!E13</f>
        <v>13510.193085258303</v>
      </c>
      <c r="I13" s="430">
        <f>'WS4-CostData'!$C$97*'WS5-BPUz'!E13</f>
        <v>5129.0329432900198</v>
      </c>
      <c r="J13" s="297">
        <f>'WS2-AllocFactor'!$F$25</f>
        <v>3.9423571574590852E-2</v>
      </c>
      <c r="K13" s="430">
        <f t="shared" si="3"/>
        <v>318504.42259369342</v>
      </c>
      <c r="L13" s="430">
        <f t="shared" si="4"/>
        <v>12556.581900946205</v>
      </c>
      <c r="M13" s="430">
        <f t="shared" si="5"/>
        <v>67348.918380399933</v>
      </c>
      <c r="N13" s="430">
        <f>N17*E13</f>
        <v>-2830.4111176277224</v>
      </c>
      <c r="O13" s="876"/>
      <c r="P13" s="434">
        <f t="shared" si="0"/>
        <v>64518.507262772211</v>
      </c>
    </row>
    <row r="14" spans="1:17">
      <c r="A14" s="146">
        <f t="shared" si="1"/>
        <v>9</v>
      </c>
      <c r="B14" s="856" t="s">
        <v>2682</v>
      </c>
      <c r="C14" s="296" t="s">
        <v>542</v>
      </c>
      <c r="D14" s="430">
        <f>'WS7-BPUFac'!G14</f>
        <v>3253413.2891000006</v>
      </c>
      <c r="E14" s="297">
        <f t="shared" si="2"/>
        <v>0.21177509538484959</v>
      </c>
      <c r="F14" s="298">
        <f>'WS4-CostData'!$C$23*'WS5-BPUz'!E14</f>
        <v>1704403.4072537154</v>
      </c>
      <c r="G14" s="430">
        <f>'WS4-CostData'!$C$125*'WS5-BPUz'!E14</f>
        <v>175826.52351227214</v>
      </c>
      <c r="H14" s="430">
        <f>'WS4-CostData'!$C$50*'WS5-BPUz'!E14</f>
        <v>65705.281026546232</v>
      </c>
      <c r="I14" s="430">
        <f>'WS4-CostData'!$C$97*'WS5-BPUz'!E14</f>
        <v>24944.465915961489</v>
      </c>
      <c r="J14" s="297">
        <f>'WS2-AllocFactor'!$F$25</f>
        <v>3.9423571574590852E-2</v>
      </c>
      <c r="K14" s="430">
        <f t="shared" si="3"/>
        <v>1549009.8818462852</v>
      </c>
      <c r="L14" s="430">
        <f t="shared" si="4"/>
        <v>61067.501946715543</v>
      </c>
      <c r="M14" s="430">
        <f t="shared" si="5"/>
        <v>327543.77240149537</v>
      </c>
      <c r="N14" s="430">
        <f>N17*E14</f>
        <v>-13765.381200015223</v>
      </c>
      <c r="O14" s="876"/>
      <c r="P14" s="434">
        <f t="shared" si="0"/>
        <v>313778.39120148018</v>
      </c>
    </row>
    <row r="15" spans="1:17">
      <c r="A15" s="146">
        <f t="shared" si="1"/>
        <v>10</v>
      </c>
      <c r="B15" s="295"/>
      <c r="C15" s="218"/>
      <c r="D15" s="334"/>
      <c r="E15" s="291"/>
      <c r="F15" s="218"/>
      <c r="G15" s="430"/>
      <c r="H15" s="334"/>
      <c r="I15" s="334"/>
      <c r="J15" s="291"/>
      <c r="K15" s="334"/>
      <c r="L15" s="334"/>
      <c r="M15" s="334"/>
      <c r="N15" s="334"/>
      <c r="O15" s="334"/>
      <c r="P15" s="435"/>
    </row>
    <row r="16" spans="1:17">
      <c r="A16" s="146">
        <f t="shared" si="1"/>
        <v>11</v>
      </c>
      <c r="B16" s="295"/>
      <c r="C16" s="218"/>
      <c r="D16" s="334"/>
      <c r="E16" s="291"/>
      <c r="F16" s="291"/>
      <c r="G16" s="334"/>
      <c r="H16" s="334"/>
      <c r="I16" s="334"/>
      <c r="J16" s="338"/>
      <c r="K16" s="334"/>
      <c r="L16" s="334"/>
      <c r="M16" s="334"/>
      <c r="N16" s="335"/>
      <c r="O16" s="335"/>
      <c r="P16" s="436"/>
    </row>
    <row r="17" spans="1:17" ht="15" thickBot="1">
      <c r="A17" s="146">
        <f t="shared" si="1"/>
        <v>12</v>
      </c>
      <c r="B17" s="398" t="s">
        <v>485</v>
      </c>
      <c r="C17" s="399"/>
      <c r="D17" s="432">
        <f>SUM(D6:D16)</f>
        <v>15362586.819700001</v>
      </c>
      <c r="E17" s="401">
        <v>1</v>
      </c>
      <c r="F17" s="400">
        <f>SUM(F6:F16)</f>
        <v>8048176.7894207668</v>
      </c>
      <c r="G17" s="432">
        <f>SUM(G6:G16)</f>
        <v>830251.18318445492</v>
      </c>
      <c r="H17" s="432">
        <f>SUM(H6:H16)</f>
        <v>310259.71636156226</v>
      </c>
      <c r="I17" s="432">
        <f>SUM(I6:I16)</f>
        <v>117787.53243213517</v>
      </c>
      <c r="J17" s="402"/>
      <c r="K17" s="432">
        <f>SUM(K6:K16)</f>
        <v>7314410.0302792341</v>
      </c>
      <c r="L17" s="432">
        <f>SUM(L6:L16)</f>
        <v>288360.16735461866</v>
      </c>
      <c r="M17" s="432">
        <f>SUM(M6:M16)</f>
        <v>1546658.599332771</v>
      </c>
      <c r="N17" s="432">
        <f>'WS3-RevCredits'!H23</f>
        <v>-65000</v>
      </c>
      <c r="O17" s="437">
        <f>'Summary-ATRR'!E21</f>
        <v>-71795</v>
      </c>
      <c r="P17" s="438">
        <f>SUM(P6:P16)</f>
        <v>1409863.5993327708</v>
      </c>
    </row>
    <row r="18" spans="1:17" ht="15" thickTop="1">
      <c r="A18" s="146">
        <f t="shared" si="1"/>
        <v>13</v>
      </c>
      <c r="B18" s="291" t="s">
        <v>2774</v>
      </c>
      <c r="C18" s="291"/>
      <c r="D18" s="299"/>
      <c r="E18" s="299"/>
      <c r="F18" s="299"/>
      <c r="G18" s="299"/>
      <c r="H18" s="299"/>
      <c r="I18" s="299"/>
      <c r="J18" s="299"/>
      <c r="K18" s="299"/>
      <c r="L18" s="299"/>
      <c r="M18" s="299"/>
      <c r="N18" s="299"/>
      <c r="O18" s="299"/>
      <c r="P18" s="364"/>
      <c r="Q18" s="384"/>
    </row>
    <row r="19" spans="1:17" ht="15" thickBot="1">
      <c r="A19" s="119">
        <f t="shared" si="1"/>
        <v>14</v>
      </c>
      <c r="B19" s="341" t="s">
        <v>2776</v>
      </c>
      <c r="C19" s="396"/>
      <c r="D19" s="396"/>
      <c r="E19" s="396"/>
      <c r="F19" s="396"/>
      <c r="G19" s="396"/>
      <c r="H19" s="396"/>
      <c r="I19" s="396"/>
      <c r="J19" s="396"/>
      <c r="K19" s="396"/>
      <c r="L19" s="396"/>
      <c r="M19" s="396"/>
      <c r="N19" s="396"/>
      <c r="O19" s="396"/>
      <c r="P19" s="397"/>
    </row>
  </sheetData>
  <mergeCells count="3">
    <mergeCell ref="A1:B1"/>
    <mergeCell ref="A2:B2"/>
    <mergeCell ref="A3:B3"/>
  </mergeCells>
  <hyperlinks>
    <hyperlink ref="D1" location="'Cover Sheets'!A16" display="(Back to Worksheet Links)" xr:uid="{00000000-0004-0000-0600-000000000000}"/>
  </hyperlinks>
  <pageMargins left="0.7" right="0.7" top="0.75" bottom="0.75" header="0.3" footer="0.3"/>
  <pageSetup scale="52"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8"/>
  <sheetViews>
    <sheetView view="pageBreakPreview" zoomScale="70" zoomScaleNormal="100" zoomScaleSheetLayoutView="70" workbookViewId="0">
      <selection activeCell="P16" sqref="P16"/>
    </sheetView>
  </sheetViews>
  <sheetFormatPr defaultColWidth="13.453125" defaultRowHeight="14.5"/>
  <cols>
    <col min="1" max="1" width="9.54296875" style="30" customWidth="1"/>
    <col min="2" max="2" width="44.81640625" style="30" bestFit="1" customWidth="1"/>
    <col min="3" max="3" width="9.54296875" style="30" customWidth="1"/>
    <col min="4" max="16" width="13.54296875" style="30" customWidth="1"/>
    <col min="17" max="16384" width="13.453125" style="30"/>
  </cols>
  <sheetData>
    <row r="1" spans="1:17">
      <c r="A1" s="742" t="str">
        <f>'Cover Sheets'!A10:B10</f>
        <v>WAPA-UGP 2024 Rate Estimate Calculation</v>
      </c>
      <c r="B1" s="141"/>
      <c r="C1" s="142"/>
      <c r="D1" s="409" t="s">
        <v>41</v>
      </c>
      <c r="E1" s="142"/>
      <c r="F1" s="142"/>
      <c r="G1" s="142"/>
      <c r="H1" s="142"/>
      <c r="I1" s="142"/>
      <c r="J1" s="142"/>
      <c r="K1" s="142"/>
      <c r="L1" s="142"/>
      <c r="M1" s="362"/>
      <c r="N1" s="362"/>
      <c r="O1" s="362"/>
      <c r="P1" s="363"/>
    </row>
    <row r="2" spans="1:17">
      <c r="A2" s="744" t="s">
        <v>547</v>
      </c>
      <c r="B2" s="289"/>
      <c r="C2" s="144"/>
      <c r="D2" s="299"/>
      <c r="E2" s="144"/>
      <c r="F2" s="144"/>
      <c r="G2" s="144"/>
      <c r="H2" s="144"/>
      <c r="I2" s="144"/>
      <c r="J2" s="144"/>
      <c r="K2" s="144"/>
      <c r="L2" s="144"/>
      <c r="M2" s="299"/>
      <c r="N2" s="299"/>
      <c r="O2" s="299"/>
      <c r="P2" s="364"/>
    </row>
    <row r="3" spans="1:17">
      <c r="A3" s="37" t="str">
        <f>'Summary-ATRR'!A3</f>
        <v>12 Months Ending 09/30/2024 ESTIMATE</v>
      </c>
      <c r="B3" s="144"/>
      <c r="C3" s="144"/>
      <c r="D3" s="144"/>
      <c r="E3" s="144"/>
      <c r="F3" s="144"/>
      <c r="G3" s="144"/>
      <c r="H3" s="144"/>
      <c r="I3" s="144"/>
      <c r="J3" s="144"/>
      <c r="K3" s="144"/>
      <c r="L3" s="144"/>
      <c r="M3" s="299"/>
      <c r="N3" s="299"/>
      <c r="O3" s="299"/>
      <c r="P3" s="364"/>
    </row>
    <row r="4" spans="1:17" ht="39.5">
      <c r="A4" s="37"/>
      <c r="B4" s="116" t="s">
        <v>526</v>
      </c>
      <c r="C4" s="117" t="s">
        <v>527</v>
      </c>
      <c r="D4" s="116" t="s">
        <v>548</v>
      </c>
      <c r="E4" s="116" t="s">
        <v>549</v>
      </c>
      <c r="F4" s="116" t="s">
        <v>550</v>
      </c>
      <c r="G4" s="116" t="s">
        <v>531</v>
      </c>
      <c r="H4" s="116" t="s">
        <v>532</v>
      </c>
      <c r="I4" s="116" t="s">
        <v>533</v>
      </c>
      <c r="J4" s="116" t="s">
        <v>534</v>
      </c>
      <c r="K4" s="116" t="s">
        <v>535</v>
      </c>
      <c r="L4" s="116" t="s">
        <v>536</v>
      </c>
      <c r="M4" s="117" t="s">
        <v>537</v>
      </c>
      <c r="N4" s="116" t="s">
        <v>551</v>
      </c>
      <c r="O4" s="116" t="s">
        <v>552</v>
      </c>
      <c r="P4" s="118" t="s">
        <v>540</v>
      </c>
    </row>
    <row r="5" spans="1:17">
      <c r="A5" s="394" t="s">
        <v>304</v>
      </c>
      <c r="B5" s="292">
        <v>-1</v>
      </c>
      <c r="C5" s="292">
        <v>-2</v>
      </c>
      <c r="D5" s="292">
        <v>-3</v>
      </c>
      <c r="E5" s="292">
        <v>-4</v>
      </c>
      <c r="F5" s="292">
        <v>-5</v>
      </c>
      <c r="G5" s="292">
        <v>-6</v>
      </c>
      <c r="H5" s="292">
        <v>-7</v>
      </c>
      <c r="I5" s="292">
        <v>-8</v>
      </c>
      <c r="J5" s="292">
        <v>-9</v>
      </c>
      <c r="K5" s="292">
        <v>-10</v>
      </c>
      <c r="L5" s="292">
        <v>-11</v>
      </c>
      <c r="M5" s="292">
        <v>-12</v>
      </c>
      <c r="N5" s="292">
        <v>-13</v>
      </c>
      <c r="O5" s="292">
        <v>-14</v>
      </c>
      <c r="P5" s="395">
        <v>-15</v>
      </c>
      <c r="Q5" s="31"/>
    </row>
    <row r="6" spans="1:17">
      <c r="A6" s="146">
        <v>1</v>
      </c>
      <c r="B6" s="294" t="s">
        <v>543</v>
      </c>
      <c r="C6" s="296" t="s">
        <v>544</v>
      </c>
      <c r="D6" s="430">
        <f>'WS7-BPUFac'!F7</f>
        <v>1089866.4414000001</v>
      </c>
      <c r="E6" s="500">
        <f>D6/$D$16</f>
        <v>0.21614576587386256</v>
      </c>
      <c r="F6" s="430">
        <f>'WS4-CostData'!$C$22*'WS6-BPUr'!E6</f>
        <v>570960.99115262006</v>
      </c>
      <c r="G6" s="430">
        <f>'WS4-CostData'!$C$124*'WS6-BPUr'!E6</f>
        <v>58900.425631772057</v>
      </c>
      <c r="H6" s="430">
        <f>'WS4-CostData'!$C$49*'WS6-BPUr'!E6</f>
        <v>22010.723646302718</v>
      </c>
      <c r="I6" s="430">
        <f>'WS4-CostData'!$C$96*'WS6-BPUr'!E6</f>
        <v>8356.1889882035575</v>
      </c>
      <c r="J6" s="500">
        <f>'WS2-AllocFactor'!$F$25</f>
        <v>3.9423571574590852E-2</v>
      </c>
      <c r="K6" s="430">
        <f t="shared" ref="K6" si="0">D6-F6</f>
        <v>518905.45024738007</v>
      </c>
      <c r="L6" s="430">
        <f t="shared" ref="L6" si="1">J6*K6</f>
        <v>20457.10615827288</v>
      </c>
      <c r="M6" s="430">
        <f t="shared" ref="M6" si="2">L6+H6+G6+I6</f>
        <v>109724.44442455121</v>
      </c>
      <c r="N6" s="430">
        <f>N16*E6</f>
        <v>-1621.0932440539691</v>
      </c>
      <c r="O6" s="433">
        <f>$O$16*1</f>
        <v>-22271</v>
      </c>
      <c r="P6" s="434">
        <f t="shared" ref="P6" si="3">M6+N6+O6</f>
        <v>85832.351180497237</v>
      </c>
      <c r="Q6" s="385"/>
    </row>
    <row r="7" spans="1:17">
      <c r="A7" s="146">
        <v>2</v>
      </c>
      <c r="B7" s="856" t="s">
        <v>2678</v>
      </c>
      <c r="C7" s="632" t="s">
        <v>542</v>
      </c>
      <c r="D7" s="439">
        <f>'WS7-BPUFac'!F10</f>
        <v>607497</v>
      </c>
      <c r="E7" s="500">
        <f t="shared" ref="E7:E11" si="4">D7/$D$16</f>
        <v>0.12048072987952618</v>
      </c>
      <c r="F7" s="430">
        <f>'WS4-CostData'!$C$22*'WS6-BPUr'!E7</f>
        <v>318256.50929914316</v>
      </c>
      <c r="G7" s="430">
        <f>'WS4-CostData'!$C$124*'WS6-BPUr'!E7</f>
        <v>32831.391545610553</v>
      </c>
      <c r="H7" s="430">
        <f>'WS4-CostData'!$C$49*'WS6-BPUr'!E7</f>
        <v>12268.887337958142</v>
      </c>
      <c r="I7" s="430">
        <f>'WS4-CostData'!$C$96*'WS6-BPUr'!E7</f>
        <v>4657.7814940753669</v>
      </c>
      <c r="J7" s="500">
        <f>'WS2-AllocFactor'!$F$25</f>
        <v>3.9423571574590852E-2</v>
      </c>
      <c r="K7" s="430">
        <f t="shared" ref="K7:K11" si="5">D7-F7</f>
        <v>289240.49070085684</v>
      </c>
      <c r="L7" s="430">
        <f t="shared" ref="L7:L11" si="6">J7*K7</f>
        <v>11402.893187415009</v>
      </c>
      <c r="M7" s="430">
        <f t="shared" ref="M7:M11" si="7">L7+H7+G7+I7</f>
        <v>61160.95356505907</v>
      </c>
      <c r="N7" s="430">
        <f>$N16*E7</f>
        <v>-903.60547409644641</v>
      </c>
      <c r="O7" s="876"/>
      <c r="P7" s="434">
        <f t="shared" ref="P7:P11" si="8">M7+N7+O7</f>
        <v>60257.348090962623</v>
      </c>
      <c r="Q7" s="385"/>
    </row>
    <row r="8" spans="1:17">
      <c r="A8" s="146">
        <f t="shared" ref="A8:A18" si="9">A7+1</f>
        <v>3</v>
      </c>
      <c r="B8" s="856" t="s">
        <v>2679</v>
      </c>
      <c r="C8" s="296" t="s">
        <v>544</v>
      </c>
      <c r="D8" s="430">
        <f>'WS7-BPUFac'!F11</f>
        <v>858000</v>
      </c>
      <c r="E8" s="500">
        <f t="shared" si="4"/>
        <v>0.17016127855221255</v>
      </c>
      <c r="F8" s="430">
        <f>'WS4-CostData'!$C$22*'WS6-BPUr'!E8</f>
        <v>449490.42543200188</v>
      </c>
      <c r="G8" s="430">
        <f>'WS4-CostData'!$C$124*'WS6-BPUr'!E8</f>
        <v>46369.502970605383</v>
      </c>
      <c r="H8" s="430">
        <f>'WS4-CostData'!$C$49*'WS6-BPUr'!E8</f>
        <v>17327.995588403046</v>
      </c>
      <c r="I8" s="430">
        <f>'WS4-CostData'!$C$96*'WS6-BPUr'!E8</f>
        <v>6578.4300530153487</v>
      </c>
      <c r="J8" s="500">
        <f>'WS2-AllocFactor'!$F$25</f>
        <v>3.9423571574590852E-2</v>
      </c>
      <c r="K8" s="430">
        <f t="shared" si="5"/>
        <v>408509.57456799812</v>
      </c>
      <c r="L8" s="430">
        <f t="shared" si="6"/>
        <v>16104.906451887133</v>
      </c>
      <c r="M8" s="430">
        <f t="shared" si="7"/>
        <v>86380.835063910927</v>
      </c>
      <c r="N8" s="430">
        <f>$N16*E8</f>
        <v>-1276.2095891415941</v>
      </c>
      <c r="O8" s="876"/>
      <c r="P8" s="434">
        <f t="shared" si="8"/>
        <v>85104.625474769331</v>
      </c>
    </row>
    <row r="9" spans="1:17">
      <c r="A9" s="146">
        <f t="shared" si="9"/>
        <v>4</v>
      </c>
      <c r="B9" s="856" t="s">
        <v>2680</v>
      </c>
      <c r="C9" s="296" t="s">
        <v>542</v>
      </c>
      <c r="D9" s="430">
        <f>'WS7-BPUFac'!F12</f>
        <v>554996.31000000006</v>
      </c>
      <c r="E9" s="500">
        <f t="shared" si="4"/>
        <v>0.11006862669156191</v>
      </c>
      <c r="F9" s="430">
        <f>'WS4-CostData'!$C$22*'WS6-BPUr'!E9</f>
        <v>290752.36304789188</v>
      </c>
      <c r="G9" s="430">
        <f>'WS4-CostData'!$C$124*'WS6-BPUr'!E9</f>
        <v>29994.059493263434</v>
      </c>
      <c r="H9" s="430">
        <f>'WS4-CostData'!$C$49*'WS6-BPUr'!E9</f>
        <v>11208.593952517449</v>
      </c>
      <c r="I9" s="430">
        <f>'WS4-CostData'!$C$96*'WS6-BPUr'!E9</f>
        <v>4255.2498892967633</v>
      </c>
      <c r="J9" s="500">
        <f>'WS2-AllocFactor'!$F$25</f>
        <v>3.9423571574590852E-2</v>
      </c>
      <c r="K9" s="430">
        <f t="shared" si="5"/>
        <v>264243.94695210818</v>
      </c>
      <c r="L9" s="430">
        <f t="shared" si="6"/>
        <v>10417.440155818826</v>
      </c>
      <c r="M9" s="430">
        <f t="shared" si="7"/>
        <v>55875.34349089647</v>
      </c>
      <c r="N9" s="430">
        <f>$N16*E9</f>
        <v>-825.51470018671432</v>
      </c>
      <c r="O9" s="876"/>
      <c r="P9" s="434">
        <f t="shared" si="8"/>
        <v>55049.828790709755</v>
      </c>
    </row>
    <row r="10" spans="1:17">
      <c r="A10" s="146">
        <f t="shared" si="9"/>
        <v>5</v>
      </c>
      <c r="B10" s="856" t="s">
        <v>2681</v>
      </c>
      <c r="C10" s="632" t="s">
        <v>542</v>
      </c>
      <c r="D10" s="430">
        <f>'WS7-BPUFac'!F13</f>
        <v>329488.038</v>
      </c>
      <c r="E10" s="500">
        <f t="shared" si="4"/>
        <v>6.5345111671025635E-2</v>
      </c>
      <c r="F10" s="430">
        <f>'WS4-CostData'!$C$22*'WS6-BPUr'!E10</f>
        <v>172612.72537922565</v>
      </c>
      <c r="G10" s="430">
        <f>'WS4-CostData'!$C$124*'WS6-BPUr'!E10</f>
        <v>17806.755893729533</v>
      </c>
      <c r="H10" s="430">
        <f>'WS4-CostData'!$C$49*'WS6-BPUr'!E10</f>
        <v>6654.2742061719991</v>
      </c>
      <c r="I10" s="430">
        <f>'WS4-CostData'!$C$96*'WS6-BPUr'!E10</f>
        <v>2526.2401063965772</v>
      </c>
      <c r="J10" s="500">
        <f>'WS2-AllocFactor'!$F$25</f>
        <v>3.9423571574590852E-2</v>
      </c>
      <c r="K10" s="430">
        <f t="shared" si="5"/>
        <v>156875.31262077435</v>
      </c>
      <c r="L10" s="430">
        <f t="shared" si="6"/>
        <v>6184.5851153914127</v>
      </c>
      <c r="M10" s="430">
        <f t="shared" si="7"/>
        <v>33171.855321689523</v>
      </c>
      <c r="N10" s="430">
        <f>$N16*E10</f>
        <v>-490.08833753269226</v>
      </c>
      <c r="O10" s="876"/>
      <c r="P10" s="434">
        <f t="shared" si="8"/>
        <v>32681.766984156831</v>
      </c>
    </row>
    <row r="11" spans="1:17">
      <c r="A11" s="146">
        <f t="shared" si="9"/>
        <v>6</v>
      </c>
      <c r="B11" s="856" t="s">
        <v>2682</v>
      </c>
      <c r="C11" s="296" t="s">
        <v>542</v>
      </c>
      <c r="D11" s="430">
        <f>'WS7-BPUFac'!F14</f>
        <v>1602427.4409000003</v>
      </c>
      <c r="E11" s="500">
        <f t="shared" si="4"/>
        <v>0.31779848733181126</v>
      </c>
      <c r="F11" s="430">
        <f>'WS4-CostData'!$C$22*'WS6-BPUr'!E11</f>
        <v>839482.27521451656</v>
      </c>
      <c r="G11" s="430">
        <f>'WS4-CostData'!$C$124*'WS6-BPUr'!E11</f>
        <v>86601.123520969864</v>
      </c>
      <c r="H11" s="430">
        <f>'WS4-CostData'!$C$49*'WS6-BPUr'!E11</f>
        <v>32362.302595164554</v>
      </c>
      <c r="I11" s="430">
        <f>'WS4-CostData'!$C$96*'WS6-BPUr'!E11</f>
        <v>12286.080227264614</v>
      </c>
      <c r="J11" s="500">
        <f>'WS2-AllocFactor'!$F$25</f>
        <v>3.9423571574590852E-2</v>
      </c>
      <c r="K11" s="430">
        <f t="shared" si="5"/>
        <v>762945.16568548372</v>
      </c>
      <c r="L11" s="430">
        <f t="shared" si="6"/>
        <v>30078.023346889742</v>
      </c>
      <c r="M11" s="430">
        <f t="shared" si="7"/>
        <v>161327.52969028876</v>
      </c>
      <c r="N11" s="430">
        <f>$N16*E11</f>
        <v>-2383.4886549885846</v>
      </c>
      <c r="O11" s="876"/>
      <c r="P11" s="434">
        <f t="shared" si="8"/>
        <v>158944.04103530018</v>
      </c>
    </row>
    <row r="12" spans="1:17">
      <c r="A12" s="146">
        <f t="shared" si="9"/>
        <v>7</v>
      </c>
      <c r="B12" s="293"/>
      <c r="C12" s="288"/>
      <c r="D12" s="431"/>
      <c r="E12" s="290"/>
      <c r="F12" s="431"/>
      <c r="G12" s="431"/>
      <c r="H12" s="431"/>
      <c r="I12" s="431"/>
      <c r="J12" s="290"/>
      <c r="K12" s="431"/>
      <c r="L12" s="431"/>
      <c r="M12" s="433"/>
      <c r="N12" s="433"/>
      <c r="O12" s="433"/>
      <c r="P12" s="440"/>
    </row>
    <row r="13" spans="1:17">
      <c r="A13" s="146">
        <f t="shared" si="9"/>
        <v>8</v>
      </c>
      <c r="B13" s="294"/>
      <c r="C13" s="287"/>
      <c r="D13" s="430"/>
      <c r="E13" s="152"/>
      <c r="F13" s="430"/>
      <c r="G13" s="430"/>
      <c r="H13" s="430"/>
      <c r="I13" s="430"/>
      <c r="J13" s="152"/>
      <c r="K13" s="430"/>
      <c r="L13" s="430"/>
      <c r="M13" s="433"/>
      <c r="N13" s="433"/>
      <c r="O13" s="433"/>
      <c r="P13" s="440"/>
    </row>
    <row r="14" spans="1:17">
      <c r="A14" s="146">
        <f t="shared" si="9"/>
        <v>9</v>
      </c>
      <c r="B14" s="295"/>
      <c r="C14" s="218"/>
      <c r="D14" s="334"/>
      <c r="E14" s="291"/>
      <c r="F14" s="334"/>
      <c r="G14" s="334"/>
      <c r="H14" s="334"/>
      <c r="I14" s="334"/>
      <c r="J14" s="291"/>
      <c r="K14" s="334"/>
      <c r="L14" s="334"/>
      <c r="M14" s="433"/>
      <c r="N14" s="433"/>
      <c r="O14" s="433"/>
      <c r="P14" s="440"/>
    </row>
    <row r="15" spans="1:17">
      <c r="A15" s="146">
        <f t="shared" si="9"/>
        <v>10</v>
      </c>
      <c r="B15" s="295"/>
      <c r="C15" s="218"/>
      <c r="D15" s="334"/>
      <c r="E15" s="291"/>
      <c r="F15" s="334"/>
      <c r="G15" s="334"/>
      <c r="H15" s="334"/>
      <c r="I15" s="334"/>
      <c r="J15" s="338"/>
      <c r="K15" s="334"/>
      <c r="L15" s="334"/>
      <c r="M15" s="433"/>
      <c r="N15" s="336"/>
      <c r="O15" s="336"/>
      <c r="P15" s="441"/>
    </row>
    <row r="16" spans="1:17" ht="15" thickBot="1">
      <c r="A16" s="146">
        <f t="shared" si="9"/>
        <v>11</v>
      </c>
      <c r="B16" s="398" t="s">
        <v>485</v>
      </c>
      <c r="C16" s="399"/>
      <c r="D16" s="432">
        <f>SUM(D6:D14)</f>
        <v>5042275.2302999999</v>
      </c>
      <c r="E16" s="401">
        <v>1</v>
      </c>
      <c r="F16" s="432">
        <f>SUM(F6:F14)</f>
        <v>2641555.289525399</v>
      </c>
      <c r="G16" s="432">
        <f>SUM(G6:G14)</f>
        <v>272503.25905595085</v>
      </c>
      <c r="H16" s="432">
        <f>SUM(H6:H14)</f>
        <v>101832.77732651791</v>
      </c>
      <c r="I16" s="432">
        <f>SUM(I6:I14)</f>
        <v>38659.970758252224</v>
      </c>
      <c r="J16" s="402"/>
      <c r="K16" s="432">
        <f>SUM(K6:K14)</f>
        <v>2400719.9407746014</v>
      </c>
      <c r="L16" s="432">
        <f>SUM(L6:L14)</f>
        <v>94644.954415674991</v>
      </c>
      <c r="M16" s="432">
        <f>SUM(M6:M14)</f>
        <v>507640.96155639592</v>
      </c>
      <c r="N16" s="432">
        <f>'WS3-RevCredits'!H26</f>
        <v>-7500</v>
      </c>
      <c r="O16" s="437">
        <f>'Summary-ATRR'!E22</f>
        <v>-22271</v>
      </c>
      <c r="P16" s="438">
        <f>SUM(P6:P14)</f>
        <v>477869.96155639598</v>
      </c>
      <c r="Q16" s="384"/>
    </row>
    <row r="17" spans="1:16" ht="15" thickTop="1">
      <c r="A17" s="146">
        <f t="shared" si="9"/>
        <v>12</v>
      </c>
      <c r="B17" s="291" t="s">
        <v>2773</v>
      </c>
      <c r="C17" s="291"/>
      <c r="D17" s="291"/>
      <c r="E17" s="299"/>
      <c r="F17" s="299"/>
      <c r="G17" s="299"/>
      <c r="H17" s="299"/>
      <c r="I17" s="299"/>
      <c r="J17" s="299"/>
      <c r="K17" s="299"/>
      <c r="L17" s="299"/>
      <c r="M17" s="299"/>
      <c r="N17" s="299"/>
      <c r="O17" s="299"/>
      <c r="P17" s="364"/>
    </row>
    <row r="18" spans="1:16" ht="15" thickBot="1">
      <c r="A18" s="119">
        <f t="shared" si="9"/>
        <v>13</v>
      </c>
      <c r="B18" s="341" t="s">
        <v>2775</v>
      </c>
      <c r="C18" s="396"/>
      <c r="D18" s="396"/>
      <c r="E18" s="396"/>
      <c r="F18" s="396"/>
      <c r="G18" s="396"/>
      <c r="H18" s="396"/>
      <c r="I18" s="396"/>
      <c r="J18" s="396"/>
      <c r="K18" s="396"/>
      <c r="L18" s="396"/>
      <c r="M18" s="396"/>
      <c r="N18" s="396"/>
      <c r="O18" s="396"/>
      <c r="P18" s="397"/>
    </row>
  </sheetData>
  <hyperlinks>
    <hyperlink ref="D1" location="'Cover Sheets'!A16" display="(Back to Worksheet Links)" xr:uid="{00000000-0004-0000-0700-000000000000}"/>
  </hyperlinks>
  <pageMargins left="0.7" right="0.7" top="0.75" bottom="0.75" header="0.3" footer="0.3"/>
  <pageSetup scale="5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607"/>
  <sheetViews>
    <sheetView view="pageBreakPreview" zoomScaleNormal="90" zoomScaleSheetLayoutView="100" zoomScalePageLayoutView="90" workbookViewId="0">
      <pane ySplit="5" topLeftCell="A500" activePane="bottomLeft" state="frozen"/>
      <selection pane="bottomLeft"/>
    </sheetView>
  </sheetViews>
  <sheetFormatPr defaultColWidth="9.453125" defaultRowHeight="13" outlineLevelRow="2"/>
  <cols>
    <col min="1" max="1" width="9.453125" style="9"/>
    <col min="2" max="2" width="9.453125" style="9" customWidth="1"/>
    <col min="3" max="3" width="8" style="15" bestFit="1" customWidth="1"/>
    <col min="4" max="4" width="35.453125" style="10" customWidth="1"/>
    <col min="5" max="5" width="17" style="11" bestFit="1" customWidth="1"/>
    <col min="6" max="6" width="14.453125" style="11" customWidth="1"/>
    <col min="7" max="7" width="13.81640625" style="11" bestFit="1" customWidth="1"/>
    <col min="8" max="8" width="12.54296875" style="11" customWidth="1"/>
    <col min="9" max="9" width="13.453125" style="11" customWidth="1"/>
    <col min="10" max="10" width="12.54296875" style="11" customWidth="1"/>
    <col min="11" max="11" width="13.81640625" style="12" bestFit="1" customWidth="1"/>
    <col min="12" max="12" width="22.1796875" style="15" customWidth="1"/>
    <col min="13" max="13" width="10.54296875" style="10" customWidth="1"/>
    <col min="14" max="14" width="12.453125" style="9" customWidth="1"/>
    <col min="15" max="15" width="12" style="9" customWidth="1"/>
    <col min="16" max="17" width="9.453125" style="10" customWidth="1"/>
    <col min="18" max="18" width="10" style="10" bestFit="1" customWidth="1"/>
    <col min="19" max="16384" width="9.453125" style="10"/>
  </cols>
  <sheetData>
    <row r="1" spans="1:15" s="3" customFormat="1" ht="14.5">
      <c r="A1" s="411" t="str">
        <f>'Cover Sheets'!A10:B10</f>
        <v>WAPA-UGP 2024 Rate Estimate Calculation</v>
      </c>
      <c r="B1" s="412"/>
      <c r="C1" s="413"/>
      <c r="D1" s="414"/>
      <c r="E1" s="415" t="s">
        <v>41</v>
      </c>
      <c r="F1" s="416"/>
      <c r="G1" s="416"/>
      <c r="H1" s="416"/>
      <c r="I1" s="416"/>
      <c r="J1" s="416"/>
      <c r="K1" s="417"/>
    </row>
    <row r="2" spans="1:15" s="3" customFormat="1">
      <c r="A2" s="418" t="s">
        <v>585</v>
      </c>
      <c r="B2" s="1"/>
      <c r="C2" s="2"/>
      <c r="F2" s="4"/>
      <c r="G2" s="4"/>
      <c r="H2" s="4"/>
      <c r="I2" s="4"/>
      <c r="J2" s="4"/>
      <c r="K2" s="419"/>
    </row>
    <row r="3" spans="1:15" s="5" customFormat="1">
      <c r="A3" s="418" t="str">
        <f>'Summary-ATRR'!A3</f>
        <v>12 Months Ending 09/30/2024 ESTIMATE</v>
      </c>
      <c r="B3" s="1"/>
      <c r="C3" s="3"/>
      <c r="E3" s="3"/>
      <c r="F3" s="4"/>
      <c r="G3" s="4"/>
      <c r="H3" s="4"/>
      <c r="I3" s="4"/>
      <c r="J3" s="4"/>
      <c r="K3" s="420"/>
      <c r="M3" s="3"/>
      <c r="N3" s="3"/>
      <c r="O3" s="3"/>
    </row>
    <row r="4" spans="1:15" s="9" customFormat="1">
      <c r="A4" s="421"/>
      <c r="B4" s="340"/>
      <c r="C4" s="551" t="s">
        <v>51</v>
      </c>
      <c r="D4" s="340">
        <v>-2</v>
      </c>
      <c r="E4" s="340">
        <v>-3</v>
      </c>
      <c r="F4" s="340">
        <v>-4</v>
      </c>
      <c r="G4" s="340">
        <v>-5</v>
      </c>
      <c r="H4" s="340">
        <v>-6</v>
      </c>
      <c r="I4" s="340">
        <v>-7</v>
      </c>
      <c r="J4" s="340">
        <v>-8</v>
      </c>
      <c r="K4" s="422">
        <v>-9</v>
      </c>
    </row>
    <row r="5" spans="1:15" s="3" customFormat="1" ht="54.75" customHeight="1">
      <c r="A5" s="423" t="s">
        <v>380</v>
      </c>
      <c r="C5" s="6" t="s">
        <v>554</v>
      </c>
      <c r="D5" s="7" t="s">
        <v>299</v>
      </c>
      <c r="E5" s="8" t="s">
        <v>555</v>
      </c>
      <c r="F5" s="8" t="s">
        <v>586</v>
      </c>
      <c r="G5" s="8" t="s">
        <v>587</v>
      </c>
      <c r="H5" s="8" t="s">
        <v>588</v>
      </c>
      <c r="I5" s="8" t="s">
        <v>589</v>
      </c>
      <c r="J5" s="8" t="s">
        <v>590</v>
      </c>
      <c r="K5" s="424" t="s">
        <v>2642</v>
      </c>
      <c r="L5" s="6"/>
      <c r="O5" s="6"/>
    </row>
    <row r="6" spans="1:15" ht="13.5" customHeight="1" outlineLevel="2">
      <c r="A6" s="421">
        <v>1</v>
      </c>
      <c r="B6" s="9" t="s">
        <v>542</v>
      </c>
      <c r="C6" s="10" t="s">
        <v>591</v>
      </c>
      <c r="D6" s="10" t="s">
        <v>592</v>
      </c>
      <c r="E6" s="11">
        <v>343710.28</v>
      </c>
      <c r="G6" s="11">
        <f>E6+F6</f>
        <v>343710.28</v>
      </c>
      <c r="H6" s="12">
        <v>0</v>
      </c>
      <c r="I6" s="12">
        <v>0</v>
      </c>
      <c r="J6" s="12"/>
      <c r="K6" s="844">
        <f>SUM(G6:J6)</f>
        <v>343710.28</v>
      </c>
      <c r="L6" s="10"/>
      <c r="M6" s="9"/>
      <c r="O6" s="13"/>
    </row>
    <row r="7" spans="1:15" outlineLevel="2">
      <c r="A7" s="421">
        <f t="shared" ref="A7:A70" si="0">A6+1</f>
        <v>2</v>
      </c>
      <c r="B7" s="9" t="s">
        <v>542</v>
      </c>
      <c r="C7" s="10" t="s">
        <v>593</v>
      </c>
      <c r="D7" s="10" t="s">
        <v>594</v>
      </c>
      <c r="E7" s="11">
        <v>96623.18</v>
      </c>
      <c r="G7" s="11">
        <f t="shared" ref="G7:G70" si="1">E7+F7</f>
        <v>96623.18</v>
      </c>
      <c r="H7" s="12">
        <v>0</v>
      </c>
      <c r="I7" s="12">
        <v>0</v>
      </c>
      <c r="J7" s="12"/>
      <c r="K7" s="844">
        <f t="shared" ref="K7:K70" si="2">SUM(G7:J7)</f>
        <v>96623.18</v>
      </c>
      <c r="L7" s="10"/>
      <c r="M7" s="9"/>
      <c r="O7" s="13"/>
    </row>
    <row r="8" spans="1:15" ht="12.75" customHeight="1" outlineLevel="2">
      <c r="A8" s="421">
        <f t="shared" si="0"/>
        <v>3</v>
      </c>
      <c r="B8" s="9" t="s">
        <v>542</v>
      </c>
      <c r="C8" s="10" t="s">
        <v>595</v>
      </c>
      <c r="D8" s="10" t="s">
        <v>596</v>
      </c>
      <c r="E8" s="11">
        <v>459778.46</v>
      </c>
      <c r="G8" s="11">
        <f t="shared" si="1"/>
        <v>459778.46</v>
      </c>
      <c r="H8" s="12">
        <v>0</v>
      </c>
      <c r="I8" s="12">
        <v>0</v>
      </c>
      <c r="J8" s="12"/>
      <c r="K8" s="844">
        <f t="shared" si="2"/>
        <v>459778.46</v>
      </c>
      <c r="L8" s="10"/>
      <c r="M8" s="9"/>
      <c r="O8" s="13"/>
    </row>
    <row r="9" spans="1:15" ht="13.5" customHeight="1" outlineLevel="2">
      <c r="A9" s="421">
        <f t="shared" si="0"/>
        <v>4</v>
      </c>
      <c r="B9" s="9" t="s">
        <v>542</v>
      </c>
      <c r="C9" s="14" t="s">
        <v>597</v>
      </c>
      <c r="D9" s="10" t="s">
        <v>598</v>
      </c>
      <c r="E9" s="11">
        <v>357312.09</v>
      </c>
      <c r="G9" s="11">
        <f t="shared" si="1"/>
        <v>357312.09</v>
      </c>
      <c r="H9" s="12">
        <v>0</v>
      </c>
      <c r="I9" s="12">
        <v>0</v>
      </c>
      <c r="J9" s="12"/>
      <c r="K9" s="844">
        <f t="shared" si="2"/>
        <v>357312.09</v>
      </c>
      <c r="L9" s="14"/>
      <c r="M9" s="9"/>
      <c r="O9" s="13"/>
    </row>
    <row r="10" spans="1:15" outlineLevel="2">
      <c r="A10" s="421">
        <f t="shared" si="0"/>
        <v>5</v>
      </c>
      <c r="B10" s="9" t="s">
        <v>542</v>
      </c>
      <c r="C10" s="15" t="s">
        <v>599</v>
      </c>
      <c r="D10" s="10" t="s">
        <v>600</v>
      </c>
      <c r="E10" s="11">
        <v>6362299.5499999998</v>
      </c>
      <c r="G10" s="11">
        <f t="shared" si="1"/>
        <v>6362299.5499999998</v>
      </c>
      <c r="H10" s="12">
        <v>0</v>
      </c>
      <c r="I10" s="12">
        <v>0</v>
      </c>
      <c r="J10" s="12"/>
      <c r="K10" s="844">
        <f t="shared" si="2"/>
        <v>6362299.5499999998</v>
      </c>
      <c r="M10" s="9"/>
      <c r="O10" s="13"/>
    </row>
    <row r="11" spans="1:15" outlineLevel="2">
      <c r="A11" s="421">
        <f t="shared" si="0"/>
        <v>6</v>
      </c>
      <c r="B11" s="9" t="s">
        <v>542</v>
      </c>
      <c r="C11" s="15" t="s">
        <v>601</v>
      </c>
      <c r="D11" s="10" t="s">
        <v>602</v>
      </c>
      <c r="E11" s="11">
        <v>9317119.5999999996</v>
      </c>
      <c r="F11" s="11">
        <v>2815879</v>
      </c>
      <c r="G11" s="11">
        <f t="shared" si="1"/>
        <v>12132998.6</v>
      </c>
      <c r="H11" s="12">
        <v>0</v>
      </c>
      <c r="I11" s="12">
        <v>0</v>
      </c>
      <c r="J11" s="12"/>
      <c r="K11" s="844">
        <f t="shared" si="2"/>
        <v>12132998.6</v>
      </c>
      <c r="M11" s="9"/>
    </row>
    <row r="12" spans="1:15" outlineLevel="2">
      <c r="A12" s="421">
        <f t="shared" si="0"/>
        <v>7</v>
      </c>
      <c r="B12" s="9" t="s">
        <v>542</v>
      </c>
      <c r="C12" s="15" t="s">
        <v>603</v>
      </c>
      <c r="D12" s="10" t="s">
        <v>604</v>
      </c>
      <c r="E12" s="11">
        <v>4229572.28</v>
      </c>
      <c r="G12" s="11">
        <f t="shared" si="1"/>
        <v>4229572.28</v>
      </c>
      <c r="H12" s="12">
        <v>0</v>
      </c>
      <c r="I12" s="12">
        <v>0</v>
      </c>
      <c r="J12" s="12"/>
      <c r="K12" s="844">
        <f t="shared" si="2"/>
        <v>4229572.28</v>
      </c>
      <c r="M12" s="9"/>
      <c r="O12" s="13"/>
    </row>
    <row r="13" spans="1:15" outlineLevel="2">
      <c r="A13" s="421">
        <f t="shared" si="0"/>
        <v>8</v>
      </c>
      <c r="B13" s="9" t="s">
        <v>542</v>
      </c>
      <c r="C13" s="15" t="s">
        <v>605</v>
      </c>
      <c r="D13" s="10" t="s">
        <v>606</v>
      </c>
      <c r="E13" s="11">
        <v>12795411.810000001</v>
      </c>
      <c r="G13" s="11">
        <f t="shared" si="1"/>
        <v>12795411.810000001</v>
      </c>
      <c r="H13" s="12">
        <v>0</v>
      </c>
      <c r="I13" s="12">
        <v>0</v>
      </c>
      <c r="J13" s="12"/>
      <c r="K13" s="844">
        <f t="shared" si="2"/>
        <v>12795411.810000001</v>
      </c>
      <c r="M13" s="9"/>
    </row>
    <row r="14" spans="1:15" outlineLevel="2">
      <c r="A14" s="421">
        <f t="shared" si="0"/>
        <v>9</v>
      </c>
      <c r="B14" s="9" t="s">
        <v>542</v>
      </c>
      <c r="C14" s="15" t="s">
        <v>607</v>
      </c>
      <c r="D14" s="10" t="s">
        <v>608</v>
      </c>
      <c r="E14" s="11">
        <v>2564428.87</v>
      </c>
      <c r="G14" s="11">
        <f t="shared" si="1"/>
        <v>2564428.87</v>
      </c>
      <c r="H14" s="12">
        <v>0</v>
      </c>
      <c r="I14" s="12">
        <v>0</v>
      </c>
      <c r="J14" s="12"/>
      <c r="K14" s="844">
        <f t="shared" si="2"/>
        <v>2564428.87</v>
      </c>
      <c r="M14" s="9"/>
      <c r="O14" s="13"/>
    </row>
    <row r="15" spans="1:15" outlineLevel="2">
      <c r="A15" s="421">
        <f t="shared" si="0"/>
        <v>10</v>
      </c>
      <c r="B15" s="9" t="s">
        <v>542</v>
      </c>
      <c r="C15" s="15" t="s">
        <v>609</v>
      </c>
      <c r="D15" s="10" t="s">
        <v>610</v>
      </c>
      <c r="E15" s="11">
        <v>1718240.27</v>
      </c>
      <c r="G15" s="11">
        <f t="shared" si="1"/>
        <v>1718240.27</v>
      </c>
      <c r="H15" s="12">
        <v>0</v>
      </c>
      <c r="I15" s="12">
        <v>0</v>
      </c>
      <c r="J15" s="12"/>
      <c r="K15" s="844">
        <f t="shared" si="2"/>
        <v>1718240.27</v>
      </c>
      <c r="M15" s="9"/>
      <c r="O15" s="13"/>
    </row>
    <row r="16" spans="1:15" outlineLevel="2">
      <c r="A16" s="421">
        <f t="shared" si="0"/>
        <v>11</v>
      </c>
      <c r="B16" s="9" t="s">
        <v>542</v>
      </c>
      <c r="C16" s="15" t="s">
        <v>611</v>
      </c>
      <c r="D16" s="10" t="s">
        <v>612</v>
      </c>
      <c r="E16" s="11">
        <v>3318557.94</v>
      </c>
      <c r="G16" s="11">
        <f t="shared" si="1"/>
        <v>3318557.94</v>
      </c>
      <c r="H16" s="12">
        <v>0</v>
      </c>
      <c r="I16" s="12">
        <v>0</v>
      </c>
      <c r="J16" s="12"/>
      <c r="K16" s="844">
        <f t="shared" si="2"/>
        <v>3318557.94</v>
      </c>
      <c r="M16" s="9"/>
      <c r="O16" s="13"/>
    </row>
    <row r="17" spans="1:15" outlineLevel="2">
      <c r="A17" s="421">
        <f t="shared" si="0"/>
        <v>12</v>
      </c>
      <c r="B17" s="9" t="s">
        <v>542</v>
      </c>
      <c r="C17" s="15" t="s">
        <v>613</v>
      </c>
      <c r="D17" s="10" t="s">
        <v>614</v>
      </c>
      <c r="E17" s="11">
        <v>3135515.27</v>
      </c>
      <c r="F17" s="11">
        <v>1352934</v>
      </c>
      <c r="G17" s="11">
        <f t="shared" si="1"/>
        <v>4488449.2699999996</v>
      </c>
      <c r="H17" s="12">
        <v>0</v>
      </c>
      <c r="I17" s="12">
        <v>0</v>
      </c>
      <c r="J17" s="12"/>
      <c r="K17" s="844">
        <f t="shared" si="2"/>
        <v>4488449.2699999996</v>
      </c>
      <c r="M17" s="9"/>
      <c r="O17" s="13"/>
    </row>
    <row r="18" spans="1:15" outlineLevel="2">
      <c r="A18" s="421">
        <f t="shared" si="0"/>
        <v>13</v>
      </c>
      <c r="B18" s="9" t="s">
        <v>542</v>
      </c>
      <c r="C18" s="15" t="s">
        <v>615</v>
      </c>
      <c r="D18" s="10" t="s">
        <v>616</v>
      </c>
      <c r="E18" s="11">
        <v>1259667.9099999999</v>
      </c>
      <c r="G18" s="11">
        <f t="shared" si="1"/>
        <v>1259667.9099999999</v>
      </c>
      <c r="H18" s="12">
        <v>0</v>
      </c>
      <c r="I18" s="12">
        <v>0</v>
      </c>
      <c r="J18" s="12"/>
      <c r="K18" s="844">
        <f t="shared" si="2"/>
        <v>1259667.9099999999</v>
      </c>
      <c r="M18" s="9"/>
      <c r="O18" s="13"/>
    </row>
    <row r="19" spans="1:15" outlineLevel="2">
      <c r="A19" s="421">
        <f t="shared" si="0"/>
        <v>14</v>
      </c>
      <c r="B19" s="9" t="s">
        <v>542</v>
      </c>
      <c r="C19" s="15" t="s">
        <v>617</v>
      </c>
      <c r="D19" s="10" t="s">
        <v>618</v>
      </c>
      <c r="E19" s="11">
        <f>17227021-3775575</f>
        <v>13451446</v>
      </c>
      <c r="G19" s="11">
        <f t="shared" si="1"/>
        <v>13451446</v>
      </c>
      <c r="H19" s="12">
        <v>0</v>
      </c>
      <c r="I19" s="12">
        <v>0</v>
      </c>
      <c r="J19" s="12"/>
      <c r="K19" s="844">
        <f t="shared" si="2"/>
        <v>13451446</v>
      </c>
      <c r="M19" s="9"/>
      <c r="O19" s="13"/>
    </row>
    <row r="20" spans="1:15" outlineLevel="2">
      <c r="A20" s="421">
        <f t="shared" si="0"/>
        <v>15</v>
      </c>
      <c r="B20" s="9" t="s">
        <v>542</v>
      </c>
      <c r="C20" s="15" t="s">
        <v>619</v>
      </c>
      <c r="D20" s="10" t="s">
        <v>620</v>
      </c>
      <c r="E20" s="11">
        <v>14513307.74</v>
      </c>
      <c r="G20" s="11">
        <f t="shared" si="1"/>
        <v>14513307.74</v>
      </c>
      <c r="H20" s="12">
        <v>0</v>
      </c>
      <c r="I20" s="12">
        <v>0</v>
      </c>
      <c r="J20" s="12"/>
      <c r="K20" s="844">
        <f t="shared" si="2"/>
        <v>14513307.74</v>
      </c>
      <c r="M20" s="9"/>
      <c r="O20" s="13"/>
    </row>
    <row r="21" spans="1:15" outlineLevel="2">
      <c r="A21" s="421">
        <f t="shared" si="0"/>
        <v>16</v>
      </c>
      <c r="B21" s="9" t="s">
        <v>542</v>
      </c>
      <c r="C21" s="15" t="s">
        <v>621</v>
      </c>
      <c r="D21" s="10" t="s">
        <v>622</v>
      </c>
      <c r="E21" s="11">
        <v>5768274.6500000004</v>
      </c>
      <c r="G21" s="11">
        <f t="shared" si="1"/>
        <v>5768274.6500000004</v>
      </c>
      <c r="H21" s="12">
        <v>0</v>
      </c>
      <c r="I21" s="12">
        <v>0</v>
      </c>
      <c r="J21" s="12"/>
      <c r="K21" s="844">
        <f t="shared" si="2"/>
        <v>5768274.6500000004</v>
      </c>
      <c r="M21" s="9"/>
      <c r="O21" s="13"/>
    </row>
    <row r="22" spans="1:15" outlineLevel="2">
      <c r="A22" s="421">
        <f t="shared" si="0"/>
        <v>17</v>
      </c>
      <c r="B22" s="9" t="s">
        <v>542</v>
      </c>
      <c r="C22" s="15" t="s">
        <v>623</v>
      </c>
      <c r="D22" s="10" t="s">
        <v>624</v>
      </c>
      <c r="E22" s="11">
        <v>6735889.54</v>
      </c>
      <c r="G22" s="11">
        <f t="shared" si="1"/>
        <v>6735889.54</v>
      </c>
      <c r="H22" s="12">
        <v>0</v>
      </c>
      <c r="I22" s="12">
        <v>0</v>
      </c>
      <c r="J22" s="12"/>
      <c r="K22" s="844">
        <f t="shared" si="2"/>
        <v>6735889.54</v>
      </c>
      <c r="M22" s="9"/>
      <c r="O22" s="13"/>
    </row>
    <row r="23" spans="1:15" outlineLevel="2">
      <c r="A23" s="421">
        <f t="shared" si="0"/>
        <v>18</v>
      </c>
      <c r="B23" s="9" t="s">
        <v>542</v>
      </c>
      <c r="C23" s="15" t="s">
        <v>625</v>
      </c>
      <c r="D23" s="10" t="s">
        <v>626</v>
      </c>
      <c r="E23" s="11">
        <v>1366481</v>
      </c>
      <c r="G23" s="11">
        <f t="shared" si="1"/>
        <v>1366481</v>
      </c>
      <c r="H23" s="12">
        <v>0</v>
      </c>
      <c r="I23" s="12">
        <v>0</v>
      </c>
      <c r="J23" s="12"/>
      <c r="K23" s="844">
        <f t="shared" si="2"/>
        <v>1366481</v>
      </c>
      <c r="M23" s="9"/>
      <c r="O23" s="13"/>
    </row>
    <row r="24" spans="1:15" outlineLevel="2">
      <c r="A24" s="421">
        <f t="shared" si="0"/>
        <v>19</v>
      </c>
      <c r="B24" s="9" t="s">
        <v>542</v>
      </c>
      <c r="C24" s="15" t="s">
        <v>627</v>
      </c>
      <c r="D24" s="10" t="s">
        <v>628</v>
      </c>
      <c r="E24" s="11">
        <v>2605678.14</v>
      </c>
      <c r="G24" s="11">
        <f t="shared" si="1"/>
        <v>2605678.14</v>
      </c>
      <c r="H24" s="12">
        <v>0</v>
      </c>
      <c r="I24" s="12">
        <v>0</v>
      </c>
      <c r="J24" s="12"/>
      <c r="K24" s="844">
        <f t="shared" si="2"/>
        <v>2605678.14</v>
      </c>
      <c r="M24" s="9"/>
      <c r="O24" s="13"/>
    </row>
    <row r="25" spans="1:15" outlineLevel="2">
      <c r="A25" s="421">
        <f t="shared" si="0"/>
        <v>20</v>
      </c>
      <c r="B25" s="9" t="s">
        <v>542</v>
      </c>
      <c r="C25" s="15" t="s">
        <v>629</v>
      </c>
      <c r="D25" s="10" t="s">
        <v>630</v>
      </c>
      <c r="E25" s="11">
        <v>553799.82999999996</v>
      </c>
      <c r="G25" s="11">
        <f t="shared" si="1"/>
        <v>553799.82999999996</v>
      </c>
      <c r="H25" s="12">
        <v>0</v>
      </c>
      <c r="I25" s="12">
        <v>0</v>
      </c>
      <c r="J25" s="12"/>
      <c r="K25" s="844">
        <f t="shared" si="2"/>
        <v>553799.82999999996</v>
      </c>
      <c r="M25" s="9"/>
      <c r="O25" s="13"/>
    </row>
    <row r="26" spans="1:15" outlineLevel="2">
      <c r="A26" s="421">
        <f t="shared" si="0"/>
        <v>21</v>
      </c>
      <c r="B26" s="9" t="s">
        <v>542</v>
      </c>
      <c r="C26" s="15" t="s">
        <v>631</v>
      </c>
      <c r="D26" s="10" t="s">
        <v>632</v>
      </c>
      <c r="E26" s="11">
        <v>3464063.5</v>
      </c>
      <c r="G26" s="11">
        <f t="shared" si="1"/>
        <v>3464063.5</v>
      </c>
      <c r="H26" s="12">
        <v>0</v>
      </c>
      <c r="I26" s="12">
        <v>0</v>
      </c>
      <c r="J26" s="12"/>
      <c r="K26" s="844">
        <f t="shared" si="2"/>
        <v>3464063.5</v>
      </c>
      <c r="M26" s="9"/>
      <c r="O26" s="13"/>
    </row>
    <row r="27" spans="1:15" outlineLevel="2">
      <c r="A27" s="421">
        <f t="shared" si="0"/>
        <v>22</v>
      </c>
      <c r="B27" s="9" t="s">
        <v>542</v>
      </c>
      <c r="C27" s="15" t="s">
        <v>633</v>
      </c>
      <c r="D27" s="10" t="s">
        <v>634</v>
      </c>
      <c r="E27" s="11">
        <v>918676</v>
      </c>
      <c r="G27" s="11">
        <f t="shared" si="1"/>
        <v>918676</v>
      </c>
      <c r="H27" s="12">
        <v>0</v>
      </c>
      <c r="I27" s="12">
        <v>0</v>
      </c>
      <c r="J27" s="12"/>
      <c r="K27" s="844">
        <f t="shared" si="2"/>
        <v>918676</v>
      </c>
      <c r="M27" s="9"/>
      <c r="O27" s="13"/>
    </row>
    <row r="28" spans="1:15" outlineLevel="2">
      <c r="A28" s="421">
        <f t="shared" si="0"/>
        <v>23</v>
      </c>
      <c r="B28" s="9" t="s">
        <v>542</v>
      </c>
      <c r="C28" s="15" t="s">
        <v>635</v>
      </c>
      <c r="D28" s="10" t="s">
        <v>2627</v>
      </c>
      <c r="E28" s="11">
        <v>1258899.68</v>
      </c>
      <c r="G28" s="11">
        <f t="shared" si="1"/>
        <v>1258899.68</v>
      </c>
      <c r="H28" s="12">
        <v>0</v>
      </c>
      <c r="I28" s="12">
        <v>0</v>
      </c>
      <c r="J28" s="12">
        <f>-'WS7-BPUFac'!D6</f>
        <v>-51813</v>
      </c>
      <c r="K28" s="844">
        <f>SUM(G28:J28)</f>
        <v>1207086.68</v>
      </c>
      <c r="M28" s="9"/>
      <c r="O28" s="13"/>
    </row>
    <row r="29" spans="1:15" outlineLevel="2">
      <c r="A29" s="421">
        <f t="shared" si="0"/>
        <v>24</v>
      </c>
      <c r="B29" s="9" t="s">
        <v>542</v>
      </c>
      <c r="C29" s="15" t="s">
        <v>637</v>
      </c>
      <c r="D29" s="10" t="s">
        <v>638</v>
      </c>
      <c r="E29" s="11">
        <v>20977730.73</v>
      </c>
      <c r="G29" s="11">
        <f t="shared" si="1"/>
        <v>20977730.73</v>
      </c>
      <c r="H29" s="12">
        <v>0</v>
      </c>
      <c r="I29" s="12">
        <v>0</v>
      </c>
      <c r="J29" s="12"/>
      <c r="K29" s="844">
        <f t="shared" si="2"/>
        <v>20977730.73</v>
      </c>
      <c r="M29" s="9"/>
      <c r="O29" s="13"/>
    </row>
    <row r="30" spans="1:15" outlineLevel="2">
      <c r="A30" s="421">
        <f t="shared" si="0"/>
        <v>25</v>
      </c>
      <c r="B30" s="9" t="s">
        <v>542</v>
      </c>
      <c r="C30" s="15" t="s">
        <v>639</v>
      </c>
      <c r="D30" s="10" t="s">
        <v>640</v>
      </c>
      <c r="E30" s="11">
        <v>9154518.6699999999</v>
      </c>
      <c r="G30" s="11">
        <f t="shared" si="1"/>
        <v>9154518.6699999999</v>
      </c>
      <c r="H30" s="12">
        <v>0</v>
      </c>
      <c r="I30" s="12">
        <v>0</v>
      </c>
      <c r="J30" s="12"/>
      <c r="K30" s="844">
        <f t="shared" si="2"/>
        <v>9154518.6699999999</v>
      </c>
      <c r="M30" s="9"/>
      <c r="O30" s="13"/>
    </row>
    <row r="31" spans="1:15" outlineLevel="2">
      <c r="A31" s="421">
        <f t="shared" si="0"/>
        <v>26</v>
      </c>
      <c r="B31" s="9" t="s">
        <v>542</v>
      </c>
      <c r="C31" s="15" t="s">
        <v>641</v>
      </c>
      <c r="D31" s="10" t="s">
        <v>642</v>
      </c>
      <c r="E31" s="11">
        <v>1872141.8</v>
      </c>
      <c r="G31" s="11">
        <f t="shared" si="1"/>
        <v>1872141.8</v>
      </c>
      <c r="H31" s="12">
        <v>0</v>
      </c>
      <c r="I31" s="12">
        <v>0</v>
      </c>
      <c r="J31" s="12"/>
      <c r="K31" s="844">
        <f t="shared" si="2"/>
        <v>1872141.8</v>
      </c>
      <c r="M31" s="9"/>
      <c r="O31" s="13"/>
    </row>
    <row r="32" spans="1:15" outlineLevel="2">
      <c r="A32" s="421">
        <f t="shared" si="0"/>
        <v>27</v>
      </c>
      <c r="B32" s="9" t="s">
        <v>542</v>
      </c>
      <c r="C32" s="15" t="s">
        <v>643</v>
      </c>
      <c r="D32" s="10" t="s">
        <v>644</v>
      </c>
      <c r="E32" s="11">
        <v>1981753.11</v>
      </c>
      <c r="F32" s="11">
        <v>1805279</v>
      </c>
      <c r="G32" s="11">
        <f t="shared" si="1"/>
        <v>3787032.1100000003</v>
      </c>
      <c r="H32" s="12">
        <v>0</v>
      </c>
      <c r="I32" s="12">
        <v>0</v>
      </c>
      <c r="J32" s="12"/>
      <c r="K32" s="844">
        <f t="shared" si="2"/>
        <v>3787032.1100000003</v>
      </c>
      <c r="M32" s="9"/>
      <c r="O32" s="13"/>
    </row>
    <row r="33" spans="1:15" outlineLevel="2">
      <c r="A33" s="421">
        <f t="shared" si="0"/>
        <v>28</v>
      </c>
      <c r="B33" s="9" t="s">
        <v>542</v>
      </c>
      <c r="C33" s="15" t="s">
        <v>645</v>
      </c>
      <c r="D33" s="10" t="s">
        <v>646</v>
      </c>
      <c r="E33" s="11">
        <v>771572.37</v>
      </c>
      <c r="G33" s="11">
        <f t="shared" si="1"/>
        <v>771572.37</v>
      </c>
      <c r="H33" s="12">
        <v>0</v>
      </c>
      <c r="I33" s="12">
        <v>0</v>
      </c>
      <c r="J33" s="12"/>
      <c r="K33" s="844">
        <f t="shared" si="2"/>
        <v>771572.37</v>
      </c>
      <c r="M33" s="9"/>
      <c r="O33" s="13"/>
    </row>
    <row r="34" spans="1:15" outlineLevel="2">
      <c r="A34" s="421">
        <f t="shared" si="0"/>
        <v>29</v>
      </c>
      <c r="B34" s="9" t="s">
        <v>542</v>
      </c>
      <c r="C34" s="15" t="s">
        <v>647</v>
      </c>
      <c r="D34" s="10" t="s">
        <v>648</v>
      </c>
      <c r="E34" s="11">
        <v>34387.89</v>
      </c>
      <c r="G34" s="11">
        <f t="shared" si="1"/>
        <v>34387.89</v>
      </c>
      <c r="H34" s="12">
        <v>0</v>
      </c>
      <c r="I34" s="12">
        <v>0</v>
      </c>
      <c r="J34" s="12"/>
      <c r="K34" s="844">
        <f t="shared" si="2"/>
        <v>34387.89</v>
      </c>
      <c r="M34" s="9"/>
      <c r="O34" s="13"/>
    </row>
    <row r="35" spans="1:15" outlineLevel="2">
      <c r="A35" s="421">
        <f t="shared" si="0"/>
        <v>30</v>
      </c>
      <c r="B35" s="9" t="s">
        <v>542</v>
      </c>
      <c r="C35" s="15" t="s">
        <v>649</v>
      </c>
      <c r="D35" s="10" t="s">
        <v>650</v>
      </c>
      <c r="E35" s="11">
        <v>2369098.0699999998</v>
      </c>
      <c r="G35" s="11">
        <f t="shared" si="1"/>
        <v>2369098.0699999998</v>
      </c>
      <c r="H35" s="12">
        <v>0</v>
      </c>
      <c r="I35" s="12">
        <v>0</v>
      </c>
      <c r="J35" s="12"/>
      <c r="K35" s="844">
        <f t="shared" si="2"/>
        <v>2369098.0699999998</v>
      </c>
      <c r="M35" s="9"/>
      <c r="O35" s="13"/>
    </row>
    <row r="36" spans="1:15" outlineLevel="2">
      <c r="A36" s="421">
        <f t="shared" si="0"/>
        <v>31</v>
      </c>
      <c r="B36" s="9" t="s">
        <v>542</v>
      </c>
      <c r="C36" s="15" t="s">
        <v>651</v>
      </c>
      <c r="D36" s="10" t="s">
        <v>2708</v>
      </c>
      <c r="E36" s="11">
        <v>8661075.9700000007</v>
      </c>
      <c r="F36" s="11">
        <v>1840900</v>
      </c>
      <c r="G36" s="11">
        <f t="shared" si="1"/>
        <v>10501975.970000001</v>
      </c>
      <c r="H36" s="12">
        <v>0</v>
      </c>
      <c r="I36" s="12">
        <v>0</v>
      </c>
      <c r="J36" s="12">
        <v>-1840900</v>
      </c>
      <c r="K36" s="844">
        <f t="shared" si="2"/>
        <v>8661075.9700000007</v>
      </c>
      <c r="M36" s="9"/>
      <c r="O36" s="13"/>
    </row>
    <row r="37" spans="1:15" outlineLevel="2">
      <c r="A37" s="421">
        <f t="shared" si="0"/>
        <v>32</v>
      </c>
      <c r="B37" s="9" t="s">
        <v>542</v>
      </c>
      <c r="C37" s="15" t="s">
        <v>653</v>
      </c>
      <c r="D37" s="10" t="s">
        <v>654</v>
      </c>
      <c r="E37" s="11">
        <v>183484.72</v>
      </c>
      <c r="G37" s="11">
        <f t="shared" si="1"/>
        <v>183484.72</v>
      </c>
      <c r="H37" s="12">
        <v>0</v>
      </c>
      <c r="I37" s="12">
        <v>0</v>
      </c>
      <c r="J37" s="12"/>
      <c r="K37" s="844">
        <f t="shared" si="2"/>
        <v>183484.72</v>
      </c>
      <c r="M37" s="9"/>
      <c r="O37" s="13"/>
    </row>
    <row r="38" spans="1:15" outlineLevel="2">
      <c r="A38" s="421">
        <f t="shared" si="0"/>
        <v>33</v>
      </c>
      <c r="B38" s="9" t="s">
        <v>542</v>
      </c>
      <c r="C38" s="15" t="s">
        <v>655</v>
      </c>
      <c r="D38" s="10" t="s">
        <v>656</v>
      </c>
      <c r="E38" s="11">
        <v>922097.72</v>
      </c>
      <c r="G38" s="11">
        <f>E38+F38</f>
        <v>922097.72</v>
      </c>
      <c r="H38" s="12">
        <v>0</v>
      </c>
      <c r="I38" s="12">
        <v>0</v>
      </c>
      <c r="J38" s="12"/>
      <c r="K38" s="844">
        <f t="shared" si="2"/>
        <v>922097.72</v>
      </c>
      <c r="M38" s="9"/>
      <c r="O38" s="13"/>
    </row>
    <row r="39" spans="1:15" outlineLevel="2">
      <c r="A39" s="421">
        <f t="shared" si="0"/>
        <v>34</v>
      </c>
      <c r="B39" s="9" t="s">
        <v>542</v>
      </c>
      <c r="C39" s="15" t="s">
        <v>657</v>
      </c>
      <c r="D39" s="10" t="s">
        <v>658</v>
      </c>
      <c r="E39" s="11">
        <v>4465037.05</v>
      </c>
      <c r="G39" s="11">
        <f t="shared" si="1"/>
        <v>4465037.05</v>
      </c>
      <c r="H39" s="12">
        <v>0</v>
      </c>
      <c r="I39" s="12">
        <v>0</v>
      </c>
      <c r="J39" s="12"/>
      <c r="K39" s="844">
        <f t="shared" si="2"/>
        <v>4465037.05</v>
      </c>
      <c r="M39" s="9"/>
      <c r="O39" s="13"/>
    </row>
    <row r="40" spans="1:15" outlineLevel="2">
      <c r="A40" s="421">
        <f t="shared" si="0"/>
        <v>35</v>
      </c>
      <c r="B40" s="9" t="s">
        <v>542</v>
      </c>
      <c r="C40" s="15" t="s">
        <v>659</v>
      </c>
      <c r="D40" s="10" t="s">
        <v>660</v>
      </c>
      <c r="E40" s="11">
        <v>200790.43</v>
      </c>
      <c r="G40" s="11">
        <f t="shared" si="1"/>
        <v>200790.43</v>
      </c>
      <c r="H40" s="12">
        <v>0</v>
      </c>
      <c r="I40" s="12">
        <v>0</v>
      </c>
      <c r="J40" s="12"/>
      <c r="K40" s="844">
        <f t="shared" si="2"/>
        <v>200790.43</v>
      </c>
      <c r="M40" s="9"/>
      <c r="O40" s="13"/>
    </row>
    <row r="41" spans="1:15" outlineLevel="2">
      <c r="A41" s="421">
        <f t="shared" si="0"/>
        <v>36</v>
      </c>
      <c r="B41" s="9" t="s">
        <v>542</v>
      </c>
      <c r="C41" s="15" t="s">
        <v>661</v>
      </c>
      <c r="D41" s="10" t="s">
        <v>662</v>
      </c>
      <c r="E41" s="11">
        <v>8301710.0999999996</v>
      </c>
      <c r="G41" s="11">
        <f t="shared" si="1"/>
        <v>8301710.0999999996</v>
      </c>
      <c r="H41" s="12">
        <v>0</v>
      </c>
      <c r="I41" s="12">
        <v>0</v>
      </c>
      <c r="J41" s="12"/>
      <c r="K41" s="844">
        <f t="shared" si="2"/>
        <v>8301710.0999999996</v>
      </c>
      <c r="M41" s="9"/>
      <c r="O41" s="13"/>
    </row>
    <row r="42" spans="1:15" outlineLevel="2">
      <c r="A42" s="421">
        <f t="shared" si="0"/>
        <v>37</v>
      </c>
      <c r="B42" s="9" t="s">
        <v>542</v>
      </c>
      <c r="C42" s="15" t="s">
        <v>663</v>
      </c>
      <c r="D42" s="10" t="s">
        <v>664</v>
      </c>
      <c r="E42" s="11">
        <v>28806330.280000001</v>
      </c>
      <c r="G42" s="11">
        <f t="shared" si="1"/>
        <v>28806330.280000001</v>
      </c>
      <c r="H42" s="12">
        <v>0</v>
      </c>
      <c r="I42" s="12">
        <v>0</v>
      </c>
      <c r="J42" s="12"/>
      <c r="K42" s="844">
        <f t="shared" si="2"/>
        <v>28806330.280000001</v>
      </c>
      <c r="M42" s="9"/>
      <c r="O42" s="13"/>
    </row>
    <row r="43" spans="1:15" outlineLevel="2">
      <c r="A43" s="421">
        <f t="shared" si="0"/>
        <v>38</v>
      </c>
      <c r="B43" s="9" t="s">
        <v>542</v>
      </c>
      <c r="C43" s="15" t="s">
        <v>665</v>
      </c>
      <c r="D43" s="10" t="s">
        <v>666</v>
      </c>
      <c r="E43" s="11">
        <v>157876.32</v>
      </c>
      <c r="G43" s="11">
        <f t="shared" si="1"/>
        <v>157876.32</v>
      </c>
      <c r="H43" s="12">
        <v>0</v>
      </c>
      <c r="I43" s="12">
        <v>0</v>
      </c>
      <c r="J43" s="12"/>
      <c r="K43" s="844">
        <f t="shared" si="2"/>
        <v>157876.32</v>
      </c>
      <c r="M43" s="9"/>
      <c r="O43" s="13"/>
    </row>
    <row r="44" spans="1:15" outlineLevel="2">
      <c r="A44" s="421">
        <f t="shared" si="0"/>
        <v>39</v>
      </c>
      <c r="B44" s="9" t="s">
        <v>542</v>
      </c>
      <c r="C44" s="15" t="s">
        <v>667</v>
      </c>
      <c r="D44" s="10" t="s">
        <v>668</v>
      </c>
      <c r="E44" s="11">
        <v>17813195.859999999</v>
      </c>
      <c r="G44" s="11">
        <f t="shared" si="1"/>
        <v>17813195.859999999</v>
      </c>
      <c r="H44" s="12">
        <v>0</v>
      </c>
      <c r="I44" s="12">
        <v>0</v>
      </c>
      <c r="J44" s="12"/>
      <c r="K44" s="844">
        <f t="shared" si="2"/>
        <v>17813195.859999999</v>
      </c>
      <c r="M44" s="9"/>
      <c r="O44" s="13"/>
    </row>
    <row r="45" spans="1:15" outlineLevel="2">
      <c r="A45" s="421">
        <f t="shared" si="0"/>
        <v>40</v>
      </c>
      <c r="B45" s="9" t="s">
        <v>542</v>
      </c>
      <c r="C45" s="15" t="s">
        <v>669</v>
      </c>
      <c r="D45" s="10" t="s">
        <v>670</v>
      </c>
      <c r="E45" s="11">
        <v>7554491.9000000004</v>
      </c>
      <c r="G45" s="11">
        <f t="shared" si="1"/>
        <v>7554491.9000000004</v>
      </c>
      <c r="H45" s="12">
        <v>0</v>
      </c>
      <c r="I45" s="12">
        <v>0</v>
      </c>
      <c r="J45" s="12"/>
      <c r="K45" s="844">
        <f t="shared" si="2"/>
        <v>7554491.9000000004</v>
      </c>
      <c r="M45" s="9"/>
      <c r="O45" s="13"/>
    </row>
    <row r="46" spans="1:15" outlineLevel="2">
      <c r="A46" s="421">
        <f t="shared" si="0"/>
        <v>41</v>
      </c>
      <c r="B46" s="9" t="s">
        <v>542</v>
      </c>
      <c r="C46" s="15" t="s">
        <v>671</v>
      </c>
      <c r="D46" s="10" t="s">
        <v>672</v>
      </c>
      <c r="E46" s="11">
        <v>7782247.0099999998</v>
      </c>
      <c r="G46" s="11">
        <f t="shared" si="1"/>
        <v>7782247.0099999998</v>
      </c>
      <c r="H46" s="12">
        <v>0</v>
      </c>
      <c r="I46" s="12">
        <v>0</v>
      </c>
      <c r="J46" s="12"/>
      <c r="K46" s="844">
        <f t="shared" si="2"/>
        <v>7782247.0099999998</v>
      </c>
      <c r="M46" s="9"/>
      <c r="O46" s="13"/>
    </row>
    <row r="47" spans="1:15" outlineLevel="2">
      <c r="A47" s="421">
        <f t="shared" si="0"/>
        <v>42</v>
      </c>
      <c r="B47" s="9" t="s">
        <v>542</v>
      </c>
      <c r="C47" s="15" t="s">
        <v>673</v>
      </c>
      <c r="D47" s="10" t="s">
        <v>674</v>
      </c>
      <c r="E47" s="11">
        <v>2319938.7200000002</v>
      </c>
      <c r="G47" s="11">
        <f t="shared" si="1"/>
        <v>2319938.7200000002</v>
      </c>
      <c r="H47" s="12">
        <v>0</v>
      </c>
      <c r="I47" s="12">
        <v>0</v>
      </c>
      <c r="J47" s="12"/>
      <c r="K47" s="844">
        <f t="shared" si="2"/>
        <v>2319938.7200000002</v>
      </c>
      <c r="M47" s="9"/>
      <c r="O47" s="13"/>
    </row>
    <row r="48" spans="1:15" outlineLevel="2">
      <c r="A48" s="421">
        <f t="shared" si="0"/>
        <v>43</v>
      </c>
      <c r="B48" s="9" t="s">
        <v>542</v>
      </c>
      <c r="C48" s="15" t="s">
        <v>675</v>
      </c>
      <c r="D48" s="10" t="s">
        <v>676</v>
      </c>
      <c r="E48" s="11">
        <v>777326.71</v>
      </c>
      <c r="G48" s="11">
        <f t="shared" si="1"/>
        <v>777326.71</v>
      </c>
      <c r="H48" s="12">
        <v>0</v>
      </c>
      <c r="I48" s="12">
        <v>0</v>
      </c>
      <c r="J48" s="12"/>
      <c r="K48" s="844">
        <f t="shared" si="2"/>
        <v>777326.71</v>
      </c>
      <c r="M48" s="9"/>
      <c r="O48" s="13"/>
    </row>
    <row r="49" spans="1:15" outlineLevel="2">
      <c r="A49" s="421">
        <f t="shared" si="0"/>
        <v>44</v>
      </c>
      <c r="B49" s="9" t="s">
        <v>542</v>
      </c>
      <c r="C49" s="15" t="s">
        <v>677</v>
      </c>
      <c r="D49" s="10" t="s">
        <v>678</v>
      </c>
      <c r="E49" s="11">
        <v>2269522.02</v>
      </c>
      <c r="G49" s="11">
        <f t="shared" si="1"/>
        <v>2269522.02</v>
      </c>
      <c r="H49" s="12">
        <v>0</v>
      </c>
      <c r="I49" s="12">
        <v>0</v>
      </c>
      <c r="J49" s="12"/>
      <c r="K49" s="844">
        <f t="shared" si="2"/>
        <v>2269522.02</v>
      </c>
      <c r="M49" s="9"/>
      <c r="O49" s="13"/>
    </row>
    <row r="50" spans="1:15" outlineLevel="2">
      <c r="A50" s="421">
        <f t="shared" si="0"/>
        <v>45</v>
      </c>
      <c r="B50" s="9" t="s">
        <v>542</v>
      </c>
      <c r="C50" s="15" t="s">
        <v>679</v>
      </c>
      <c r="D50" s="10" t="s">
        <v>680</v>
      </c>
      <c r="E50" s="11">
        <v>937082.17</v>
      </c>
      <c r="F50" s="11">
        <v>3053668</v>
      </c>
      <c r="G50" s="11">
        <f t="shared" si="1"/>
        <v>3990750.17</v>
      </c>
      <c r="H50" s="12">
        <v>0</v>
      </c>
      <c r="I50" s="12">
        <v>0</v>
      </c>
      <c r="J50" s="12"/>
      <c r="K50" s="844">
        <f t="shared" si="2"/>
        <v>3990750.17</v>
      </c>
      <c r="M50" s="9"/>
      <c r="O50" s="13"/>
    </row>
    <row r="51" spans="1:15" outlineLevel="2">
      <c r="A51" s="421">
        <f t="shared" si="0"/>
        <v>46</v>
      </c>
      <c r="B51" s="9" t="s">
        <v>542</v>
      </c>
      <c r="C51" s="15" t="s">
        <v>681</v>
      </c>
      <c r="D51" s="10" t="s">
        <v>682</v>
      </c>
      <c r="E51" s="11">
        <v>11919658.630000001</v>
      </c>
      <c r="G51" s="11">
        <f t="shared" si="1"/>
        <v>11919658.630000001</v>
      </c>
      <c r="H51" s="12">
        <v>0</v>
      </c>
      <c r="I51" s="12">
        <v>0</v>
      </c>
      <c r="J51" s="12"/>
      <c r="K51" s="844">
        <f t="shared" si="2"/>
        <v>11919658.630000001</v>
      </c>
      <c r="M51" s="9"/>
      <c r="O51" s="13"/>
    </row>
    <row r="52" spans="1:15" outlineLevel="2">
      <c r="A52" s="421">
        <f t="shared" si="0"/>
        <v>47</v>
      </c>
      <c r="B52" s="9" t="s">
        <v>542</v>
      </c>
      <c r="C52" s="15" t="s">
        <v>683</v>
      </c>
      <c r="D52" s="10" t="s">
        <v>684</v>
      </c>
      <c r="E52" s="11">
        <v>17840940.789999999</v>
      </c>
      <c r="G52" s="11">
        <f t="shared" si="1"/>
        <v>17840940.789999999</v>
      </c>
      <c r="H52" s="12">
        <v>0</v>
      </c>
      <c r="I52" s="12">
        <v>0</v>
      </c>
      <c r="J52" s="12"/>
      <c r="K52" s="844">
        <f t="shared" si="2"/>
        <v>17840940.789999999</v>
      </c>
      <c r="M52" s="9"/>
      <c r="O52" s="13"/>
    </row>
    <row r="53" spans="1:15" outlineLevel="2">
      <c r="A53" s="421">
        <f t="shared" si="0"/>
        <v>48</v>
      </c>
      <c r="B53" s="9" t="s">
        <v>542</v>
      </c>
      <c r="C53" s="15" t="s">
        <v>685</v>
      </c>
      <c r="D53" s="10" t="s">
        <v>686</v>
      </c>
      <c r="E53" s="11">
        <v>7747203.0899999999</v>
      </c>
      <c r="G53" s="11">
        <f t="shared" si="1"/>
        <v>7747203.0899999999</v>
      </c>
      <c r="H53" s="12">
        <v>0</v>
      </c>
      <c r="I53" s="12">
        <v>0</v>
      </c>
      <c r="J53" s="12"/>
      <c r="K53" s="844">
        <f t="shared" si="2"/>
        <v>7747203.0899999999</v>
      </c>
      <c r="M53" s="9"/>
      <c r="O53" s="13"/>
    </row>
    <row r="54" spans="1:15" outlineLevel="2">
      <c r="A54" s="421">
        <f t="shared" si="0"/>
        <v>49</v>
      </c>
      <c r="B54" s="9" t="s">
        <v>542</v>
      </c>
      <c r="C54" s="15" t="s">
        <v>687</v>
      </c>
      <c r="D54" s="10" t="s">
        <v>688</v>
      </c>
      <c r="E54" s="11">
        <v>10455917.060000001</v>
      </c>
      <c r="G54" s="11">
        <f t="shared" si="1"/>
        <v>10455917.060000001</v>
      </c>
      <c r="H54" s="12">
        <v>0</v>
      </c>
      <c r="I54" s="12">
        <v>0</v>
      </c>
      <c r="J54" s="12"/>
      <c r="K54" s="844">
        <f t="shared" si="2"/>
        <v>10455917.060000001</v>
      </c>
      <c r="M54" s="9"/>
      <c r="O54" s="13"/>
    </row>
    <row r="55" spans="1:15" outlineLevel="2">
      <c r="A55" s="421">
        <f t="shared" si="0"/>
        <v>50</v>
      </c>
      <c r="B55" s="9" t="s">
        <v>542</v>
      </c>
      <c r="C55" s="15" t="s">
        <v>689</v>
      </c>
      <c r="D55" s="10" t="s">
        <v>690</v>
      </c>
      <c r="E55" s="11">
        <v>10713977.23</v>
      </c>
      <c r="G55" s="11">
        <f t="shared" si="1"/>
        <v>10713977.23</v>
      </c>
      <c r="H55" s="12">
        <v>0</v>
      </c>
      <c r="I55" s="12">
        <v>0</v>
      </c>
      <c r="J55" s="12"/>
      <c r="K55" s="844">
        <f t="shared" si="2"/>
        <v>10713977.23</v>
      </c>
      <c r="M55" s="9"/>
      <c r="O55" s="13"/>
    </row>
    <row r="56" spans="1:15" outlineLevel="2">
      <c r="A56" s="421">
        <f t="shared" si="0"/>
        <v>51</v>
      </c>
      <c r="B56" s="9" t="s">
        <v>542</v>
      </c>
      <c r="C56" s="15" t="s">
        <v>691</v>
      </c>
      <c r="D56" s="10" t="s">
        <v>692</v>
      </c>
      <c r="E56" s="11">
        <v>5062687.71</v>
      </c>
      <c r="G56" s="11">
        <f t="shared" si="1"/>
        <v>5062687.71</v>
      </c>
      <c r="H56" s="12">
        <v>0</v>
      </c>
      <c r="I56" s="12">
        <v>0</v>
      </c>
      <c r="J56" s="12"/>
      <c r="K56" s="844">
        <f t="shared" si="2"/>
        <v>5062687.71</v>
      </c>
      <c r="M56" s="9"/>
      <c r="O56" s="13"/>
    </row>
    <row r="57" spans="1:15" outlineLevel="2">
      <c r="A57" s="421">
        <f t="shared" si="0"/>
        <v>52</v>
      </c>
      <c r="B57" s="9" t="s">
        <v>542</v>
      </c>
      <c r="C57" s="15" t="s">
        <v>693</v>
      </c>
      <c r="D57" s="10" t="s">
        <v>694</v>
      </c>
      <c r="E57" s="11">
        <v>1948078.5</v>
      </c>
      <c r="G57" s="11">
        <f t="shared" si="1"/>
        <v>1948078.5</v>
      </c>
      <c r="H57" s="12">
        <v>0</v>
      </c>
      <c r="I57" s="12">
        <v>0</v>
      </c>
      <c r="J57" s="12"/>
      <c r="K57" s="844">
        <f t="shared" si="2"/>
        <v>1948078.5</v>
      </c>
      <c r="M57" s="9"/>
      <c r="O57" s="13"/>
    </row>
    <row r="58" spans="1:15" outlineLevel="2">
      <c r="A58" s="421">
        <f t="shared" si="0"/>
        <v>53</v>
      </c>
      <c r="B58" s="9" t="s">
        <v>542</v>
      </c>
      <c r="C58" s="15" t="s">
        <v>695</v>
      </c>
      <c r="D58" s="10" t="s">
        <v>696</v>
      </c>
      <c r="E58" s="11">
        <v>1521173.69</v>
      </c>
      <c r="G58" s="11">
        <f t="shared" si="1"/>
        <v>1521173.69</v>
      </c>
      <c r="H58" s="12">
        <v>0</v>
      </c>
      <c r="I58" s="12">
        <v>0</v>
      </c>
      <c r="J58" s="12"/>
      <c r="K58" s="844">
        <f t="shared" si="2"/>
        <v>1521173.69</v>
      </c>
      <c r="M58" s="9"/>
      <c r="O58" s="13"/>
    </row>
    <row r="59" spans="1:15" outlineLevel="2">
      <c r="A59" s="421">
        <f t="shared" si="0"/>
        <v>54</v>
      </c>
      <c r="B59" s="9" t="s">
        <v>542</v>
      </c>
      <c r="C59" s="15" t="s">
        <v>697</v>
      </c>
      <c r="D59" s="10" t="s">
        <v>698</v>
      </c>
      <c r="E59" s="11">
        <v>455727</v>
      </c>
      <c r="G59" s="11">
        <f t="shared" si="1"/>
        <v>455727</v>
      </c>
      <c r="H59" s="12">
        <v>0</v>
      </c>
      <c r="I59" s="12">
        <v>0</v>
      </c>
      <c r="J59" s="12"/>
      <c r="K59" s="844">
        <f t="shared" si="2"/>
        <v>455727</v>
      </c>
      <c r="M59" s="9"/>
      <c r="O59" s="13"/>
    </row>
    <row r="60" spans="1:15" outlineLevel="2">
      <c r="A60" s="421">
        <f t="shared" si="0"/>
        <v>55</v>
      </c>
      <c r="B60" s="9" t="s">
        <v>542</v>
      </c>
      <c r="C60" s="15" t="s">
        <v>699</v>
      </c>
      <c r="D60" s="10" t="s">
        <v>700</v>
      </c>
      <c r="E60" s="11">
        <v>3361449.06</v>
      </c>
      <c r="G60" s="11">
        <f t="shared" si="1"/>
        <v>3361449.06</v>
      </c>
      <c r="H60" s="12">
        <v>0</v>
      </c>
      <c r="I60" s="12">
        <v>0</v>
      </c>
      <c r="J60" s="12"/>
      <c r="K60" s="844">
        <f t="shared" si="2"/>
        <v>3361449.06</v>
      </c>
      <c r="M60" s="9"/>
      <c r="O60" s="13"/>
    </row>
    <row r="61" spans="1:15" outlineLevel="2">
      <c r="A61" s="421">
        <f t="shared" si="0"/>
        <v>56</v>
      </c>
      <c r="B61" s="9" t="s">
        <v>542</v>
      </c>
      <c r="C61" s="15" t="s">
        <v>701</v>
      </c>
      <c r="D61" s="10" t="s">
        <v>702</v>
      </c>
      <c r="E61" s="11">
        <v>3279089.4</v>
      </c>
      <c r="G61" s="11">
        <f t="shared" si="1"/>
        <v>3279089.4</v>
      </c>
      <c r="H61" s="12">
        <v>0</v>
      </c>
      <c r="I61" s="12">
        <v>0</v>
      </c>
      <c r="J61" s="12"/>
      <c r="K61" s="844">
        <f t="shared" si="2"/>
        <v>3279089.4</v>
      </c>
      <c r="M61" s="9"/>
      <c r="O61" s="13"/>
    </row>
    <row r="62" spans="1:15" outlineLevel="2">
      <c r="A62" s="421">
        <f t="shared" si="0"/>
        <v>57</v>
      </c>
      <c r="B62" s="9" t="s">
        <v>542</v>
      </c>
      <c r="C62" s="15" t="s">
        <v>703</v>
      </c>
      <c r="D62" s="10" t="s">
        <v>704</v>
      </c>
      <c r="E62" s="11">
        <v>156778</v>
      </c>
      <c r="G62" s="11">
        <f>E62+F62</f>
        <v>156778</v>
      </c>
      <c r="H62" s="12">
        <v>0</v>
      </c>
      <c r="I62" s="12">
        <v>0</v>
      </c>
      <c r="J62" s="12"/>
      <c r="K62" s="844">
        <f t="shared" si="2"/>
        <v>156778</v>
      </c>
      <c r="M62" s="9"/>
      <c r="O62" s="13"/>
    </row>
    <row r="63" spans="1:15" outlineLevel="2">
      <c r="A63" s="421">
        <f t="shared" si="0"/>
        <v>58</v>
      </c>
      <c r="B63" s="9" t="s">
        <v>542</v>
      </c>
      <c r="C63" s="15" t="s">
        <v>705</v>
      </c>
      <c r="D63" s="10" t="s">
        <v>706</v>
      </c>
      <c r="E63" s="11">
        <v>12744944.75</v>
      </c>
      <c r="G63" s="11">
        <f t="shared" si="1"/>
        <v>12744944.75</v>
      </c>
      <c r="H63" s="12">
        <v>0</v>
      </c>
      <c r="I63" s="12">
        <v>0</v>
      </c>
      <c r="J63" s="12"/>
      <c r="K63" s="844">
        <f t="shared" si="2"/>
        <v>12744944.75</v>
      </c>
      <c r="M63" s="9"/>
      <c r="O63" s="13"/>
    </row>
    <row r="64" spans="1:15" outlineLevel="2">
      <c r="A64" s="421">
        <f t="shared" si="0"/>
        <v>59</v>
      </c>
      <c r="B64" s="9" t="s">
        <v>542</v>
      </c>
      <c r="C64" s="15" t="s">
        <v>707</v>
      </c>
      <c r="D64" s="10" t="s">
        <v>708</v>
      </c>
      <c r="E64" s="11">
        <v>10110752.16</v>
      </c>
      <c r="G64" s="11">
        <f t="shared" si="1"/>
        <v>10110752.16</v>
      </c>
      <c r="H64" s="12">
        <v>0</v>
      </c>
      <c r="I64" s="12">
        <v>0</v>
      </c>
      <c r="J64" s="12"/>
      <c r="K64" s="844">
        <f t="shared" si="2"/>
        <v>10110752.16</v>
      </c>
      <c r="M64" s="9"/>
      <c r="O64" s="13"/>
    </row>
    <row r="65" spans="1:15" outlineLevel="2">
      <c r="A65" s="421">
        <f t="shared" si="0"/>
        <v>60</v>
      </c>
      <c r="B65" s="9" t="s">
        <v>542</v>
      </c>
      <c r="C65" s="15" t="s">
        <v>709</v>
      </c>
      <c r="D65" s="10" t="s">
        <v>710</v>
      </c>
      <c r="E65" s="11">
        <v>1270645.42</v>
      </c>
      <c r="G65" s="11">
        <f t="shared" si="1"/>
        <v>1270645.42</v>
      </c>
      <c r="H65" s="12">
        <v>0</v>
      </c>
      <c r="I65" s="12">
        <v>0</v>
      </c>
      <c r="J65" s="12"/>
      <c r="K65" s="844">
        <f t="shared" si="2"/>
        <v>1270645.42</v>
      </c>
      <c r="M65" s="9"/>
      <c r="O65" s="13"/>
    </row>
    <row r="66" spans="1:15" outlineLevel="2">
      <c r="A66" s="421">
        <f t="shared" si="0"/>
        <v>61</v>
      </c>
      <c r="B66" s="9" t="s">
        <v>542</v>
      </c>
      <c r="C66" s="15" t="s">
        <v>711</v>
      </c>
      <c r="D66" s="10" t="s">
        <v>712</v>
      </c>
      <c r="E66" s="11">
        <v>3255847.1</v>
      </c>
      <c r="G66" s="11">
        <f t="shared" si="1"/>
        <v>3255847.1</v>
      </c>
      <c r="H66" s="12">
        <v>0</v>
      </c>
      <c r="I66" s="12">
        <v>0</v>
      </c>
      <c r="J66" s="12"/>
      <c r="K66" s="844">
        <f t="shared" si="2"/>
        <v>3255847.1</v>
      </c>
      <c r="M66" s="9"/>
      <c r="O66" s="13"/>
    </row>
    <row r="67" spans="1:15" outlineLevel="2">
      <c r="A67" s="421">
        <f t="shared" si="0"/>
        <v>62</v>
      </c>
      <c r="B67" s="9" t="s">
        <v>542</v>
      </c>
      <c r="C67" s="15" t="s">
        <v>713</v>
      </c>
      <c r="D67" s="10" t="s">
        <v>714</v>
      </c>
      <c r="E67" s="11">
        <v>8681331.6699999999</v>
      </c>
      <c r="G67" s="11">
        <f t="shared" si="1"/>
        <v>8681331.6699999999</v>
      </c>
      <c r="H67" s="12">
        <v>0</v>
      </c>
      <c r="I67" s="12">
        <v>0</v>
      </c>
      <c r="J67" s="12"/>
      <c r="K67" s="844">
        <f t="shared" si="2"/>
        <v>8681331.6699999999</v>
      </c>
      <c r="M67" s="9"/>
      <c r="O67" s="13"/>
    </row>
    <row r="68" spans="1:15" outlineLevel="2">
      <c r="A68" s="421">
        <f t="shared" si="0"/>
        <v>63</v>
      </c>
      <c r="B68" s="9" t="s">
        <v>542</v>
      </c>
      <c r="C68" s="15" t="s">
        <v>715</v>
      </c>
      <c r="D68" s="10" t="s">
        <v>716</v>
      </c>
      <c r="E68" s="11">
        <v>5561904.6399999997</v>
      </c>
      <c r="G68" s="11">
        <f t="shared" si="1"/>
        <v>5561904.6399999997</v>
      </c>
      <c r="H68" s="12">
        <v>0</v>
      </c>
      <c r="I68" s="12">
        <v>0</v>
      </c>
      <c r="J68" s="12"/>
      <c r="K68" s="844">
        <f t="shared" si="2"/>
        <v>5561904.6399999997</v>
      </c>
      <c r="M68" s="9"/>
      <c r="O68" s="13"/>
    </row>
    <row r="69" spans="1:15" outlineLevel="2">
      <c r="A69" s="421">
        <f t="shared" si="0"/>
        <v>64</v>
      </c>
      <c r="B69" s="9" t="s">
        <v>542</v>
      </c>
      <c r="C69" s="15" t="s">
        <v>717</v>
      </c>
      <c r="D69" s="10" t="s">
        <v>718</v>
      </c>
      <c r="E69" s="11">
        <v>6016436.0499999998</v>
      </c>
      <c r="G69" s="11">
        <f t="shared" si="1"/>
        <v>6016436.0499999998</v>
      </c>
      <c r="H69" s="12">
        <v>0</v>
      </c>
      <c r="I69" s="12">
        <v>0</v>
      </c>
      <c r="J69" s="12"/>
      <c r="K69" s="844">
        <f t="shared" si="2"/>
        <v>6016436.0499999998</v>
      </c>
      <c r="M69" s="9"/>
      <c r="O69" s="13"/>
    </row>
    <row r="70" spans="1:15" outlineLevel="2">
      <c r="A70" s="421">
        <f t="shared" si="0"/>
        <v>65</v>
      </c>
      <c r="B70" s="9" t="s">
        <v>542</v>
      </c>
      <c r="C70" s="15" t="s">
        <v>719</v>
      </c>
      <c r="D70" s="10" t="s">
        <v>720</v>
      </c>
      <c r="E70" s="11">
        <v>11263708.41</v>
      </c>
      <c r="G70" s="11">
        <f t="shared" si="1"/>
        <v>11263708.41</v>
      </c>
      <c r="H70" s="12">
        <v>0</v>
      </c>
      <c r="I70" s="12">
        <v>0</v>
      </c>
      <c r="J70" s="12"/>
      <c r="K70" s="844">
        <f t="shared" si="2"/>
        <v>11263708.41</v>
      </c>
      <c r="M70" s="9"/>
      <c r="O70" s="13"/>
    </row>
    <row r="71" spans="1:15" outlineLevel="2">
      <c r="A71" s="421">
        <f t="shared" ref="A71:A134" si="3">A70+1</f>
        <v>66</v>
      </c>
      <c r="B71" s="9" t="s">
        <v>542</v>
      </c>
      <c r="C71" s="15" t="s">
        <v>721</v>
      </c>
      <c r="D71" s="10" t="s">
        <v>722</v>
      </c>
      <c r="E71" s="11">
        <v>617622.68000000005</v>
      </c>
      <c r="G71" s="11">
        <f t="shared" ref="G71:G77" si="4">E71+F71</f>
        <v>617622.68000000005</v>
      </c>
      <c r="H71" s="12">
        <v>0</v>
      </c>
      <c r="I71" s="12">
        <v>0</v>
      </c>
      <c r="J71" s="12"/>
      <c r="K71" s="844">
        <f t="shared" ref="K71:K123" si="5">SUM(G71:J71)</f>
        <v>617622.68000000005</v>
      </c>
      <c r="M71" s="9"/>
      <c r="O71" s="13"/>
    </row>
    <row r="72" spans="1:15" outlineLevel="2">
      <c r="A72" s="421">
        <f t="shared" si="3"/>
        <v>67</v>
      </c>
      <c r="B72" s="9" t="s">
        <v>542</v>
      </c>
      <c r="C72" s="15" t="s">
        <v>723</v>
      </c>
      <c r="D72" s="10" t="s">
        <v>724</v>
      </c>
      <c r="E72" s="11">
        <v>6319621.6699999999</v>
      </c>
      <c r="G72" s="11">
        <f t="shared" si="4"/>
        <v>6319621.6699999999</v>
      </c>
      <c r="H72" s="12">
        <v>0</v>
      </c>
      <c r="I72" s="12">
        <v>0</v>
      </c>
      <c r="J72" s="12"/>
      <c r="K72" s="844">
        <f t="shared" si="5"/>
        <v>6319621.6699999999</v>
      </c>
      <c r="M72" s="9"/>
      <c r="O72" s="13"/>
    </row>
    <row r="73" spans="1:15" outlineLevel="2">
      <c r="A73" s="421">
        <f t="shared" si="3"/>
        <v>68</v>
      </c>
      <c r="B73" s="9" t="s">
        <v>542</v>
      </c>
      <c r="C73" s="15" t="s">
        <v>725</v>
      </c>
      <c r="D73" s="10" t="s">
        <v>726</v>
      </c>
      <c r="E73" s="11">
        <v>1189519.96</v>
      </c>
      <c r="G73" s="11">
        <f t="shared" si="4"/>
        <v>1189519.96</v>
      </c>
      <c r="H73" s="12">
        <v>0</v>
      </c>
      <c r="I73" s="12">
        <v>0</v>
      </c>
      <c r="J73" s="12"/>
      <c r="K73" s="844">
        <f t="shared" si="5"/>
        <v>1189519.96</v>
      </c>
      <c r="M73" s="9"/>
      <c r="O73" s="13"/>
    </row>
    <row r="74" spans="1:15" outlineLevel="2">
      <c r="A74" s="421">
        <f t="shared" si="3"/>
        <v>69</v>
      </c>
      <c r="B74" s="9" t="s">
        <v>542</v>
      </c>
      <c r="C74" s="15" t="s">
        <v>727</v>
      </c>
      <c r="D74" s="10" t="s">
        <v>728</v>
      </c>
      <c r="E74" s="11">
        <v>4941648.6100000003</v>
      </c>
      <c r="G74" s="11">
        <f t="shared" si="4"/>
        <v>4941648.6100000003</v>
      </c>
      <c r="H74" s="12">
        <v>0</v>
      </c>
      <c r="I74" s="12">
        <v>0</v>
      </c>
      <c r="J74" s="12"/>
      <c r="K74" s="844">
        <f t="shared" si="5"/>
        <v>4941648.6100000003</v>
      </c>
      <c r="M74" s="9"/>
      <c r="O74" s="13"/>
    </row>
    <row r="75" spans="1:15" outlineLevel="2">
      <c r="A75" s="421">
        <f t="shared" si="3"/>
        <v>70</v>
      </c>
      <c r="B75" s="9" t="s">
        <v>542</v>
      </c>
      <c r="C75" s="15" t="s">
        <v>729</v>
      </c>
      <c r="D75" s="10" t="s">
        <v>730</v>
      </c>
      <c r="E75" s="11">
        <v>3155849.87</v>
      </c>
      <c r="G75" s="11">
        <f t="shared" si="4"/>
        <v>3155849.87</v>
      </c>
      <c r="H75" s="12">
        <v>0</v>
      </c>
      <c r="I75" s="12">
        <v>0</v>
      </c>
      <c r="J75" s="12"/>
      <c r="K75" s="844">
        <f t="shared" si="5"/>
        <v>3155849.87</v>
      </c>
      <c r="M75" s="9"/>
      <c r="O75" s="13"/>
    </row>
    <row r="76" spans="1:15" outlineLevel="2">
      <c r="A76" s="421">
        <f t="shared" si="3"/>
        <v>71</v>
      </c>
      <c r="B76" s="9" t="s">
        <v>542</v>
      </c>
      <c r="C76" s="15" t="s">
        <v>731</v>
      </c>
      <c r="D76" s="10" t="s">
        <v>732</v>
      </c>
      <c r="E76" s="11">
        <v>28856299.199999999</v>
      </c>
      <c r="G76" s="11">
        <f t="shared" si="4"/>
        <v>28856299.199999999</v>
      </c>
      <c r="H76" s="12">
        <v>0</v>
      </c>
      <c r="I76" s="12">
        <v>0</v>
      </c>
      <c r="J76" s="12"/>
      <c r="K76" s="844">
        <f>SUM(G76:J76)</f>
        <v>28856299.199999999</v>
      </c>
      <c r="M76" s="9"/>
      <c r="O76" s="13"/>
    </row>
    <row r="77" spans="1:15" outlineLevel="2">
      <c r="A77" s="421">
        <f t="shared" si="3"/>
        <v>72</v>
      </c>
      <c r="B77" s="9" t="s">
        <v>542</v>
      </c>
      <c r="C77" s="15" t="s">
        <v>733</v>
      </c>
      <c r="D77" s="10" t="s">
        <v>802</v>
      </c>
      <c r="E77" s="11">
        <v>1055414.43</v>
      </c>
      <c r="G77" s="11">
        <f t="shared" si="4"/>
        <v>1055414.43</v>
      </c>
      <c r="H77" s="12">
        <v>0</v>
      </c>
      <c r="I77" s="12">
        <v>0</v>
      </c>
      <c r="J77" s="12"/>
      <c r="K77" s="844">
        <f>SUM(G77:J77)</f>
        <v>1055414.43</v>
      </c>
      <c r="M77" s="9"/>
      <c r="O77" s="13"/>
    </row>
    <row r="78" spans="1:15" outlineLevel="2">
      <c r="A78" s="421">
        <f t="shared" si="3"/>
        <v>73</v>
      </c>
      <c r="B78" s="9" t="s">
        <v>542</v>
      </c>
      <c r="C78" s="15" t="s">
        <v>735</v>
      </c>
      <c r="D78" s="10" t="s">
        <v>736</v>
      </c>
      <c r="E78" s="11">
        <v>0</v>
      </c>
      <c r="F78" s="11">
        <v>4978524</v>
      </c>
      <c r="G78" s="11">
        <f t="shared" ref="G78:G84" si="6">E78+F78</f>
        <v>4978524</v>
      </c>
      <c r="H78" s="12">
        <v>0</v>
      </c>
      <c r="I78" s="12">
        <v>0</v>
      </c>
      <c r="J78" s="12"/>
      <c r="K78" s="844">
        <f>SUM(G78:J78)</f>
        <v>4978524</v>
      </c>
      <c r="M78" s="9"/>
      <c r="O78" s="13"/>
    </row>
    <row r="79" spans="1:15" outlineLevel="2">
      <c r="A79" s="421">
        <f t="shared" si="3"/>
        <v>74</v>
      </c>
      <c r="B79" s="9" t="s">
        <v>542</v>
      </c>
      <c r="C79" s="15" t="s">
        <v>737</v>
      </c>
      <c r="D79" s="10" t="s">
        <v>738</v>
      </c>
      <c r="E79" s="11">
        <v>619323.74</v>
      </c>
      <c r="G79" s="11">
        <f t="shared" si="6"/>
        <v>619323.74</v>
      </c>
      <c r="H79" s="552">
        <v>0</v>
      </c>
      <c r="I79" s="552">
        <v>0</v>
      </c>
      <c r="K79" s="844">
        <f>SUM(G79:J79)</f>
        <v>619323.74</v>
      </c>
      <c r="L79" s="10"/>
      <c r="M79" s="9"/>
      <c r="O79" s="13"/>
    </row>
    <row r="80" spans="1:15" outlineLevel="2">
      <c r="A80" s="421">
        <f t="shared" si="3"/>
        <v>75</v>
      </c>
      <c r="B80" s="9" t="s">
        <v>542</v>
      </c>
      <c r="C80" s="15" t="s">
        <v>739</v>
      </c>
      <c r="D80" s="10" t="s">
        <v>740</v>
      </c>
      <c r="E80" s="11">
        <v>8987641.8000000007</v>
      </c>
      <c r="G80" s="11">
        <f t="shared" si="6"/>
        <v>8987641.8000000007</v>
      </c>
      <c r="H80" s="12">
        <v>0</v>
      </c>
      <c r="I80" s="12">
        <v>0</v>
      </c>
      <c r="J80" s="12"/>
      <c r="K80" s="844">
        <f t="shared" si="5"/>
        <v>8987641.8000000007</v>
      </c>
      <c r="M80" s="9"/>
      <c r="O80" s="13"/>
    </row>
    <row r="81" spans="1:15" outlineLevel="2">
      <c r="A81" s="421">
        <f t="shared" si="3"/>
        <v>76</v>
      </c>
      <c r="B81" s="9" t="s">
        <v>542</v>
      </c>
      <c r="C81" s="15" t="s">
        <v>741</v>
      </c>
      <c r="D81" s="10" t="s">
        <v>742</v>
      </c>
      <c r="E81" s="11">
        <v>6257785.9800000004</v>
      </c>
      <c r="G81" s="11">
        <f t="shared" si="6"/>
        <v>6257785.9800000004</v>
      </c>
      <c r="H81" s="12">
        <v>0</v>
      </c>
      <c r="I81" s="12">
        <v>0</v>
      </c>
      <c r="J81" s="12"/>
      <c r="K81" s="844">
        <f t="shared" si="5"/>
        <v>6257785.9800000004</v>
      </c>
      <c r="M81" s="9"/>
      <c r="O81" s="13"/>
    </row>
    <row r="82" spans="1:15" outlineLevel="2">
      <c r="A82" s="421">
        <f t="shared" si="3"/>
        <v>77</v>
      </c>
      <c r="B82" s="9" t="s">
        <v>542</v>
      </c>
      <c r="C82" s="15" t="s">
        <v>743</v>
      </c>
      <c r="D82" s="10" t="s">
        <v>744</v>
      </c>
      <c r="E82" s="11">
        <v>1089083.24</v>
      </c>
      <c r="G82" s="11">
        <f t="shared" si="6"/>
        <v>1089083.24</v>
      </c>
      <c r="H82" s="12">
        <v>0</v>
      </c>
      <c r="I82" s="12">
        <v>0</v>
      </c>
      <c r="J82" s="12"/>
      <c r="K82" s="844">
        <f t="shared" si="5"/>
        <v>1089083.24</v>
      </c>
      <c r="M82" s="9"/>
      <c r="O82" s="13"/>
    </row>
    <row r="83" spans="1:15" outlineLevel="2">
      <c r="A83" s="421">
        <f t="shared" si="3"/>
        <v>78</v>
      </c>
      <c r="B83" s="9" t="s">
        <v>542</v>
      </c>
      <c r="C83" s="15" t="s">
        <v>745</v>
      </c>
      <c r="D83" s="10" t="s">
        <v>746</v>
      </c>
      <c r="E83" s="11">
        <v>1816903.7</v>
      </c>
      <c r="G83" s="11">
        <f t="shared" si="6"/>
        <v>1816903.7</v>
      </c>
      <c r="H83" s="12">
        <v>0</v>
      </c>
      <c r="I83" s="12">
        <v>0</v>
      </c>
      <c r="J83" s="12"/>
      <c r="K83" s="844">
        <f t="shared" si="5"/>
        <v>1816903.7</v>
      </c>
      <c r="M83" s="9"/>
      <c r="O83" s="13"/>
    </row>
    <row r="84" spans="1:15" outlineLevel="2">
      <c r="A84" s="421">
        <f t="shared" si="3"/>
        <v>79</v>
      </c>
      <c r="B84" s="9" t="s">
        <v>542</v>
      </c>
      <c r="C84" s="15" t="s">
        <v>747</v>
      </c>
      <c r="D84" s="10" t="s">
        <v>748</v>
      </c>
      <c r="E84" s="11">
        <v>2349422.98</v>
      </c>
      <c r="G84" s="11">
        <f t="shared" si="6"/>
        <v>2349422.98</v>
      </c>
      <c r="H84" s="12">
        <v>0</v>
      </c>
      <c r="I84" s="12">
        <v>0</v>
      </c>
      <c r="J84" s="12"/>
      <c r="K84" s="844">
        <f t="shared" si="5"/>
        <v>2349422.98</v>
      </c>
      <c r="M84" s="9"/>
      <c r="O84" s="13"/>
    </row>
    <row r="85" spans="1:15" outlineLevel="2">
      <c r="A85" s="421">
        <f t="shared" si="3"/>
        <v>80</v>
      </c>
      <c r="B85" s="9" t="s">
        <v>542</v>
      </c>
      <c r="C85" s="15" t="s">
        <v>749</v>
      </c>
      <c r="D85" s="10" t="s">
        <v>750</v>
      </c>
      <c r="E85" s="11">
        <v>6346264.54</v>
      </c>
      <c r="G85" s="11">
        <f t="shared" ref="G85:G106" si="7">E85+F85</f>
        <v>6346264.54</v>
      </c>
      <c r="H85" s="12">
        <v>0</v>
      </c>
      <c r="I85" s="12">
        <v>0</v>
      </c>
      <c r="J85" s="12"/>
      <c r="K85" s="844">
        <f t="shared" si="5"/>
        <v>6346264.54</v>
      </c>
      <c r="M85" s="9"/>
      <c r="O85" s="13"/>
    </row>
    <row r="86" spans="1:15" outlineLevel="2">
      <c r="A86" s="421">
        <f t="shared" si="3"/>
        <v>81</v>
      </c>
      <c r="B86" s="9" t="s">
        <v>542</v>
      </c>
      <c r="C86" s="15" t="s">
        <v>751</v>
      </c>
      <c r="D86" s="10" t="s">
        <v>752</v>
      </c>
      <c r="E86" s="11">
        <v>11220164.279999999</v>
      </c>
      <c r="G86" s="11">
        <f t="shared" si="7"/>
        <v>11220164.279999999</v>
      </c>
      <c r="H86" s="12">
        <v>0</v>
      </c>
      <c r="I86" s="12">
        <v>0</v>
      </c>
      <c r="J86" s="12"/>
      <c r="K86" s="844">
        <f t="shared" si="5"/>
        <v>11220164.279999999</v>
      </c>
      <c r="M86" s="9"/>
      <c r="O86" s="13"/>
    </row>
    <row r="87" spans="1:15" outlineLevel="2">
      <c r="A87" s="421">
        <f t="shared" si="3"/>
        <v>82</v>
      </c>
      <c r="B87" s="9" t="s">
        <v>542</v>
      </c>
      <c r="C87" s="15" t="s">
        <v>753</v>
      </c>
      <c r="D87" s="10" t="s">
        <v>754</v>
      </c>
      <c r="E87" s="11">
        <v>3750704.04</v>
      </c>
      <c r="G87" s="11">
        <f t="shared" si="7"/>
        <v>3750704.04</v>
      </c>
      <c r="H87" s="12">
        <v>0</v>
      </c>
      <c r="I87" s="12">
        <v>0</v>
      </c>
      <c r="J87" s="12"/>
      <c r="K87" s="844">
        <f t="shared" si="5"/>
        <v>3750704.04</v>
      </c>
      <c r="M87" s="9"/>
      <c r="O87" s="13"/>
    </row>
    <row r="88" spans="1:15" outlineLevel="2">
      <c r="A88" s="421">
        <f t="shared" si="3"/>
        <v>83</v>
      </c>
      <c r="B88" s="9" t="s">
        <v>542</v>
      </c>
      <c r="C88" s="15" t="s">
        <v>755</v>
      </c>
      <c r="D88" s="10" t="s">
        <v>756</v>
      </c>
      <c r="E88" s="11">
        <v>3215519.2</v>
      </c>
      <c r="G88" s="11">
        <f t="shared" si="7"/>
        <v>3215519.2</v>
      </c>
      <c r="H88" s="12">
        <v>0</v>
      </c>
      <c r="I88" s="12">
        <v>0</v>
      </c>
      <c r="J88" s="12"/>
      <c r="K88" s="844">
        <f t="shared" si="5"/>
        <v>3215519.2</v>
      </c>
      <c r="M88" s="9"/>
      <c r="O88" s="13"/>
    </row>
    <row r="89" spans="1:15" outlineLevel="2">
      <c r="A89" s="421">
        <f t="shared" si="3"/>
        <v>84</v>
      </c>
      <c r="B89" s="9" t="s">
        <v>542</v>
      </c>
      <c r="C89" s="15" t="s">
        <v>757</v>
      </c>
      <c r="D89" s="10" t="s">
        <v>758</v>
      </c>
      <c r="E89" s="11">
        <v>1132485.8600000001</v>
      </c>
      <c r="G89" s="11">
        <f t="shared" si="7"/>
        <v>1132485.8600000001</v>
      </c>
      <c r="H89" s="12">
        <v>0</v>
      </c>
      <c r="I89" s="12">
        <v>0</v>
      </c>
      <c r="J89" s="12"/>
      <c r="K89" s="844">
        <f t="shared" si="5"/>
        <v>1132485.8600000001</v>
      </c>
      <c r="M89" s="9"/>
      <c r="O89" s="13"/>
    </row>
    <row r="90" spans="1:15" outlineLevel="2">
      <c r="A90" s="421">
        <f t="shared" si="3"/>
        <v>85</v>
      </c>
      <c r="B90" s="9" t="s">
        <v>542</v>
      </c>
      <c r="C90" s="15" t="s">
        <v>759</v>
      </c>
      <c r="D90" s="10" t="s">
        <v>760</v>
      </c>
      <c r="E90" s="11">
        <v>309991</v>
      </c>
      <c r="G90" s="11">
        <f t="shared" si="7"/>
        <v>309991</v>
      </c>
      <c r="H90" s="12">
        <v>0</v>
      </c>
      <c r="I90" s="12">
        <v>0</v>
      </c>
      <c r="J90" s="12"/>
      <c r="K90" s="844">
        <f t="shared" si="5"/>
        <v>309991</v>
      </c>
      <c r="M90" s="9"/>
      <c r="O90" s="13"/>
    </row>
    <row r="91" spans="1:15" outlineLevel="2">
      <c r="A91" s="421">
        <f t="shared" si="3"/>
        <v>86</v>
      </c>
      <c r="B91" s="9" t="s">
        <v>542</v>
      </c>
      <c r="C91" s="15" t="s">
        <v>761</v>
      </c>
      <c r="D91" s="10" t="s">
        <v>762</v>
      </c>
      <c r="E91" s="11">
        <v>2651859.84</v>
      </c>
      <c r="G91" s="11">
        <f t="shared" si="7"/>
        <v>2651859.84</v>
      </c>
      <c r="H91" s="12">
        <v>0</v>
      </c>
      <c r="I91" s="12">
        <v>0</v>
      </c>
      <c r="J91" s="12"/>
      <c r="K91" s="844">
        <f t="shared" si="5"/>
        <v>2651859.84</v>
      </c>
      <c r="M91" s="9"/>
      <c r="O91" s="13"/>
    </row>
    <row r="92" spans="1:15" ht="13.5" customHeight="1" outlineLevel="2">
      <c r="A92" s="421">
        <f t="shared" si="3"/>
        <v>87</v>
      </c>
      <c r="B92" s="9" t="s">
        <v>542</v>
      </c>
      <c r="C92" s="15" t="s">
        <v>763</v>
      </c>
      <c r="D92" s="10" t="s">
        <v>764</v>
      </c>
      <c r="E92" s="11">
        <v>3973415.92</v>
      </c>
      <c r="G92" s="11">
        <f t="shared" si="7"/>
        <v>3973415.92</v>
      </c>
      <c r="H92" s="12">
        <v>0</v>
      </c>
      <c r="I92" s="12">
        <v>0</v>
      </c>
      <c r="J92" s="12"/>
      <c r="K92" s="844">
        <f t="shared" si="5"/>
        <v>3973415.92</v>
      </c>
      <c r="M92" s="9"/>
      <c r="O92" s="13"/>
    </row>
    <row r="93" spans="1:15" outlineLevel="2">
      <c r="A93" s="421">
        <f t="shared" si="3"/>
        <v>88</v>
      </c>
      <c r="B93" s="9" t="s">
        <v>542</v>
      </c>
      <c r="C93" s="15" t="s">
        <v>765</v>
      </c>
      <c r="D93" s="10" t="s">
        <v>766</v>
      </c>
      <c r="E93" s="11">
        <v>5563295.5999999996</v>
      </c>
      <c r="G93" s="11">
        <f t="shared" si="7"/>
        <v>5563295.5999999996</v>
      </c>
      <c r="H93" s="12">
        <v>0</v>
      </c>
      <c r="I93" s="12">
        <v>0</v>
      </c>
      <c r="J93" s="12"/>
      <c r="K93" s="844">
        <f t="shared" si="5"/>
        <v>5563295.5999999996</v>
      </c>
      <c r="M93" s="9"/>
      <c r="O93" s="13"/>
    </row>
    <row r="94" spans="1:15" outlineLevel="2">
      <c r="A94" s="421">
        <f t="shared" si="3"/>
        <v>89</v>
      </c>
      <c r="B94" s="9" t="s">
        <v>542</v>
      </c>
      <c r="C94" s="15" t="s">
        <v>767</v>
      </c>
      <c r="D94" s="10" t="s">
        <v>2709</v>
      </c>
      <c r="E94" s="11">
        <v>5949647.5099999998</v>
      </c>
      <c r="F94" s="11">
        <v>7536096</v>
      </c>
      <c r="G94" s="11">
        <f t="shared" si="7"/>
        <v>13485743.51</v>
      </c>
      <c r="H94" s="12">
        <v>0</v>
      </c>
      <c r="I94" s="12">
        <v>0</v>
      </c>
      <c r="J94" s="12">
        <v>-7536096</v>
      </c>
      <c r="K94" s="844">
        <f t="shared" si="5"/>
        <v>5949647.5099999998</v>
      </c>
      <c r="M94" s="9"/>
      <c r="O94" s="13"/>
    </row>
    <row r="95" spans="1:15" outlineLevel="2">
      <c r="A95" s="421">
        <f t="shared" si="3"/>
        <v>90</v>
      </c>
      <c r="B95" s="9" t="s">
        <v>542</v>
      </c>
      <c r="C95" s="15" t="s">
        <v>769</v>
      </c>
      <c r="D95" s="10" t="s">
        <v>770</v>
      </c>
      <c r="E95" s="11">
        <v>1967901.35</v>
      </c>
      <c r="G95" s="11">
        <f t="shared" si="7"/>
        <v>1967901.35</v>
      </c>
      <c r="H95" s="12">
        <v>0</v>
      </c>
      <c r="I95" s="12">
        <v>0</v>
      </c>
      <c r="J95" s="12"/>
      <c r="K95" s="844">
        <f t="shared" si="5"/>
        <v>1967901.35</v>
      </c>
      <c r="M95" s="9"/>
      <c r="O95" s="13"/>
    </row>
    <row r="96" spans="1:15" outlineLevel="2">
      <c r="A96" s="421">
        <f t="shared" si="3"/>
        <v>91</v>
      </c>
      <c r="B96" s="9" t="s">
        <v>542</v>
      </c>
      <c r="C96" s="15" t="s">
        <v>771</v>
      </c>
      <c r="D96" s="10" t="s">
        <v>772</v>
      </c>
      <c r="E96" s="11">
        <v>6683770.3600000003</v>
      </c>
      <c r="G96" s="11">
        <f t="shared" si="7"/>
        <v>6683770.3600000003</v>
      </c>
      <c r="H96" s="12">
        <v>0</v>
      </c>
      <c r="I96" s="12">
        <v>0</v>
      </c>
      <c r="J96" s="12"/>
      <c r="K96" s="844">
        <f t="shared" si="5"/>
        <v>6683770.3600000003</v>
      </c>
      <c r="M96" s="9"/>
      <c r="O96" s="13"/>
    </row>
    <row r="97" spans="1:15" outlineLevel="2">
      <c r="A97" s="421">
        <f t="shared" si="3"/>
        <v>92</v>
      </c>
      <c r="B97" s="9" t="s">
        <v>542</v>
      </c>
      <c r="C97" s="15" t="s">
        <v>773</v>
      </c>
      <c r="D97" s="10" t="s">
        <v>774</v>
      </c>
      <c r="E97" s="11">
        <v>388816.19</v>
      </c>
      <c r="G97" s="11">
        <f t="shared" si="7"/>
        <v>388816.19</v>
      </c>
      <c r="H97" s="12">
        <v>0</v>
      </c>
      <c r="I97" s="12">
        <v>0</v>
      </c>
      <c r="J97" s="12"/>
      <c r="K97" s="844">
        <f t="shared" si="5"/>
        <v>388816.19</v>
      </c>
      <c r="M97" s="9"/>
      <c r="O97" s="13"/>
    </row>
    <row r="98" spans="1:15" outlineLevel="2">
      <c r="A98" s="421">
        <f t="shared" si="3"/>
        <v>93</v>
      </c>
      <c r="B98" s="9" t="s">
        <v>542</v>
      </c>
      <c r="C98" s="15" t="s">
        <v>775</v>
      </c>
      <c r="D98" s="10" t="s">
        <v>776</v>
      </c>
      <c r="E98" s="11">
        <v>2488318.48</v>
      </c>
      <c r="G98" s="11">
        <f t="shared" si="7"/>
        <v>2488318.48</v>
      </c>
      <c r="H98" s="12">
        <v>0</v>
      </c>
      <c r="I98" s="12">
        <v>0</v>
      </c>
      <c r="J98" s="12"/>
      <c r="K98" s="844">
        <f>SUM(G98:J98)</f>
        <v>2488318.48</v>
      </c>
      <c r="M98" s="9"/>
      <c r="O98" s="13"/>
    </row>
    <row r="99" spans="1:15" outlineLevel="2">
      <c r="A99" s="421">
        <f t="shared" si="3"/>
        <v>94</v>
      </c>
      <c r="B99" s="9" t="s">
        <v>542</v>
      </c>
      <c r="C99" s="15" t="s">
        <v>2585</v>
      </c>
      <c r="D99" s="10" t="s">
        <v>2586</v>
      </c>
      <c r="E99" s="11">
        <v>2038920.25</v>
      </c>
      <c r="G99" s="11">
        <f t="shared" si="7"/>
        <v>2038920.25</v>
      </c>
      <c r="H99" s="12">
        <v>0</v>
      </c>
      <c r="I99" s="12">
        <v>0</v>
      </c>
      <c r="J99" s="12"/>
      <c r="K99" s="844">
        <f>SUM(G99:J99)</f>
        <v>2038920.25</v>
      </c>
      <c r="M99" s="9"/>
      <c r="O99" s="13"/>
    </row>
    <row r="100" spans="1:15" outlineLevel="2">
      <c r="A100" s="421">
        <f t="shared" si="3"/>
        <v>95</v>
      </c>
      <c r="B100" s="9" t="s">
        <v>542</v>
      </c>
      <c r="C100" s="15" t="s">
        <v>777</v>
      </c>
      <c r="D100" s="10" t="s">
        <v>778</v>
      </c>
      <c r="E100" s="11">
        <v>2140435.5299999998</v>
      </c>
      <c r="G100" s="11">
        <f t="shared" si="7"/>
        <v>2140435.5299999998</v>
      </c>
      <c r="H100" s="12">
        <v>0</v>
      </c>
      <c r="I100" s="12">
        <v>0</v>
      </c>
      <c r="J100" s="12"/>
      <c r="K100" s="844">
        <f t="shared" si="5"/>
        <v>2140435.5299999998</v>
      </c>
      <c r="M100" s="9"/>
      <c r="O100" s="13"/>
    </row>
    <row r="101" spans="1:15" outlineLevel="2">
      <c r="A101" s="421">
        <f t="shared" si="3"/>
        <v>96</v>
      </c>
      <c r="B101" s="9" t="s">
        <v>542</v>
      </c>
      <c r="C101" s="15" t="s">
        <v>779</v>
      </c>
      <c r="D101" s="10" t="s">
        <v>780</v>
      </c>
      <c r="E101" s="11">
        <v>9269194.1600000001</v>
      </c>
      <c r="G101" s="11">
        <f t="shared" si="7"/>
        <v>9269194.1600000001</v>
      </c>
      <c r="H101" s="12">
        <v>0</v>
      </c>
      <c r="I101" s="12">
        <v>0</v>
      </c>
      <c r="J101" s="12"/>
      <c r="K101" s="844">
        <f t="shared" si="5"/>
        <v>9269194.1600000001</v>
      </c>
      <c r="M101" s="9"/>
      <c r="O101" s="13"/>
    </row>
    <row r="102" spans="1:15" outlineLevel="2">
      <c r="A102" s="421">
        <f t="shared" si="3"/>
        <v>97</v>
      </c>
      <c r="B102" s="9" t="s">
        <v>542</v>
      </c>
      <c r="C102" s="15" t="s">
        <v>781</v>
      </c>
      <c r="D102" s="10" t="s">
        <v>782</v>
      </c>
      <c r="E102" s="11">
        <v>52063.76</v>
      </c>
      <c r="G102" s="11">
        <f t="shared" si="7"/>
        <v>52063.76</v>
      </c>
      <c r="H102" s="12">
        <v>0</v>
      </c>
      <c r="I102" s="12">
        <v>0</v>
      </c>
      <c r="J102" s="12"/>
      <c r="K102" s="844">
        <f t="shared" si="5"/>
        <v>52063.76</v>
      </c>
      <c r="M102" s="9"/>
      <c r="O102" s="13"/>
    </row>
    <row r="103" spans="1:15" outlineLevel="2">
      <c r="A103" s="421">
        <f t="shared" si="3"/>
        <v>98</v>
      </c>
      <c r="B103" s="9" t="s">
        <v>542</v>
      </c>
      <c r="C103" s="15" t="s">
        <v>783</v>
      </c>
      <c r="D103" s="10" t="s">
        <v>784</v>
      </c>
      <c r="E103" s="11">
        <v>757811.5</v>
      </c>
      <c r="G103" s="11">
        <f t="shared" si="7"/>
        <v>757811.5</v>
      </c>
      <c r="H103" s="12">
        <v>0</v>
      </c>
      <c r="I103" s="12">
        <v>0</v>
      </c>
      <c r="J103" s="12"/>
      <c r="K103" s="844">
        <f t="shared" si="5"/>
        <v>757811.5</v>
      </c>
      <c r="M103" s="9"/>
      <c r="O103" s="13"/>
    </row>
    <row r="104" spans="1:15" outlineLevel="2">
      <c r="A104" s="421">
        <f t="shared" si="3"/>
        <v>99</v>
      </c>
      <c r="B104" s="9" t="s">
        <v>542</v>
      </c>
      <c r="C104" s="15" t="s">
        <v>785</v>
      </c>
      <c r="D104" s="10" t="s">
        <v>786</v>
      </c>
      <c r="E104" s="11">
        <v>2235654.88</v>
      </c>
      <c r="G104" s="11">
        <f t="shared" si="7"/>
        <v>2235654.88</v>
      </c>
      <c r="H104" s="12">
        <v>0</v>
      </c>
      <c r="I104" s="12">
        <v>0</v>
      </c>
      <c r="J104" s="12"/>
      <c r="K104" s="844">
        <f t="shared" si="5"/>
        <v>2235654.88</v>
      </c>
      <c r="M104" s="9"/>
      <c r="O104" s="13"/>
    </row>
    <row r="105" spans="1:15" outlineLevel="2">
      <c r="A105" s="421">
        <f t="shared" si="3"/>
        <v>100</v>
      </c>
      <c r="B105" s="9" t="s">
        <v>542</v>
      </c>
      <c r="C105" s="15" t="s">
        <v>787</v>
      </c>
      <c r="D105" s="10" t="s">
        <v>788</v>
      </c>
      <c r="E105" s="11">
        <v>576089.67000000004</v>
      </c>
      <c r="G105" s="11">
        <f t="shared" si="7"/>
        <v>576089.67000000004</v>
      </c>
      <c r="H105" s="12">
        <v>-576090</v>
      </c>
      <c r="I105" s="12">
        <v>0</v>
      </c>
      <c r="J105" s="12"/>
      <c r="K105" s="844">
        <f t="shared" si="5"/>
        <v>-0.32999999995809048</v>
      </c>
      <c r="M105" s="9"/>
      <c r="O105" s="13"/>
    </row>
    <row r="106" spans="1:15" outlineLevel="2">
      <c r="A106" s="421">
        <f t="shared" si="3"/>
        <v>101</v>
      </c>
      <c r="B106" s="9" t="s">
        <v>542</v>
      </c>
      <c r="C106" s="15" t="s">
        <v>789</v>
      </c>
      <c r="D106" s="10" t="s">
        <v>790</v>
      </c>
      <c r="E106" s="11">
        <v>15738203.529999999</v>
      </c>
      <c r="G106" s="11">
        <f t="shared" si="7"/>
        <v>15738203.529999999</v>
      </c>
      <c r="H106" s="12">
        <v>0</v>
      </c>
      <c r="I106" s="12">
        <v>0</v>
      </c>
      <c r="J106" s="12"/>
      <c r="K106" s="844">
        <f t="shared" si="5"/>
        <v>15738203.529999999</v>
      </c>
      <c r="M106" s="9"/>
      <c r="O106" s="13"/>
    </row>
    <row r="107" spans="1:15" outlineLevel="2">
      <c r="A107" s="421">
        <f t="shared" si="3"/>
        <v>102</v>
      </c>
      <c r="B107" s="9" t="s">
        <v>542</v>
      </c>
      <c r="C107" s="15" t="s">
        <v>791</v>
      </c>
      <c r="D107" s="10" t="s">
        <v>792</v>
      </c>
      <c r="E107" s="11">
        <v>1938352.95</v>
      </c>
      <c r="G107" s="11">
        <f>E107+F107</f>
        <v>1938352.95</v>
      </c>
      <c r="H107" s="12">
        <v>0</v>
      </c>
      <c r="I107" s="12">
        <v>0</v>
      </c>
      <c r="J107" s="12"/>
      <c r="K107" s="844">
        <f t="shared" si="5"/>
        <v>1938352.95</v>
      </c>
      <c r="M107" s="9"/>
      <c r="O107" s="13"/>
    </row>
    <row r="108" spans="1:15" outlineLevel="2">
      <c r="A108" s="421">
        <f t="shared" si="3"/>
        <v>103</v>
      </c>
      <c r="B108" s="9" t="s">
        <v>542</v>
      </c>
      <c r="C108" s="15" t="s">
        <v>793</v>
      </c>
      <c r="D108" s="10" t="s">
        <v>794</v>
      </c>
      <c r="E108" s="11">
        <v>3217192.17</v>
      </c>
      <c r="G108" s="11">
        <f t="shared" ref="G108:G123" si="8">E108+F108</f>
        <v>3217192.17</v>
      </c>
      <c r="H108" s="12">
        <v>0</v>
      </c>
      <c r="I108" s="12">
        <v>0</v>
      </c>
      <c r="J108" s="12"/>
      <c r="K108" s="844">
        <f t="shared" si="5"/>
        <v>3217192.17</v>
      </c>
      <c r="M108" s="9"/>
      <c r="O108" s="13"/>
    </row>
    <row r="109" spans="1:15" outlineLevel="2">
      <c r="A109" s="421">
        <f t="shared" si="3"/>
        <v>104</v>
      </c>
      <c r="B109" s="9" t="s">
        <v>542</v>
      </c>
      <c r="C109" s="15" t="s">
        <v>795</v>
      </c>
      <c r="D109" s="10" t="s">
        <v>796</v>
      </c>
      <c r="E109" s="11">
        <v>277896.62</v>
      </c>
      <c r="G109" s="11">
        <f t="shared" si="8"/>
        <v>277896.62</v>
      </c>
      <c r="H109" s="12">
        <v>0</v>
      </c>
      <c r="I109" s="12">
        <v>0</v>
      </c>
      <c r="J109" s="12"/>
      <c r="K109" s="844">
        <f t="shared" si="5"/>
        <v>277896.62</v>
      </c>
      <c r="M109" s="9"/>
    </row>
    <row r="110" spans="1:15" outlineLevel="2">
      <c r="A110" s="421">
        <f t="shared" si="3"/>
        <v>105</v>
      </c>
      <c r="B110" s="9" t="s">
        <v>542</v>
      </c>
      <c r="C110" s="15" t="s">
        <v>797</v>
      </c>
      <c r="D110" s="10" t="s">
        <v>798</v>
      </c>
      <c r="E110" s="11">
        <v>6743203.0499999998</v>
      </c>
      <c r="G110" s="11">
        <f t="shared" si="8"/>
        <v>6743203.0499999998</v>
      </c>
      <c r="H110" s="12">
        <v>0</v>
      </c>
      <c r="I110" s="12">
        <v>0</v>
      </c>
      <c r="J110" s="12"/>
      <c r="K110" s="844">
        <f t="shared" si="5"/>
        <v>6743203.0499999998</v>
      </c>
      <c r="M110" s="9"/>
      <c r="O110" s="13"/>
    </row>
    <row r="111" spans="1:15" outlineLevel="2">
      <c r="A111" s="421">
        <f t="shared" si="3"/>
        <v>106</v>
      </c>
      <c r="B111" s="9" t="s">
        <v>542</v>
      </c>
      <c r="C111" s="15" t="s">
        <v>799</v>
      </c>
      <c r="D111" s="10" t="s">
        <v>800</v>
      </c>
      <c r="E111" s="11">
        <v>1084857.5</v>
      </c>
      <c r="G111" s="11">
        <f t="shared" si="8"/>
        <v>1084857.5</v>
      </c>
      <c r="H111" s="12">
        <v>0</v>
      </c>
      <c r="I111" s="12">
        <v>0</v>
      </c>
      <c r="J111" s="12"/>
      <c r="K111" s="844">
        <f t="shared" si="5"/>
        <v>1084857.5</v>
      </c>
    </row>
    <row r="112" spans="1:15" outlineLevel="2">
      <c r="A112" s="421">
        <f t="shared" si="3"/>
        <v>107</v>
      </c>
      <c r="B112" s="9" t="s">
        <v>542</v>
      </c>
      <c r="C112" s="15" t="s">
        <v>801</v>
      </c>
      <c r="D112" s="10" t="s">
        <v>802</v>
      </c>
      <c r="E112" s="11">
        <v>3485236.01</v>
      </c>
      <c r="G112" s="11">
        <f t="shared" si="8"/>
        <v>3485236.01</v>
      </c>
      <c r="H112" s="12">
        <v>0</v>
      </c>
      <c r="I112" s="12">
        <v>0</v>
      </c>
      <c r="J112" s="12"/>
      <c r="K112" s="844">
        <f t="shared" si="5"/>
        <v>3485236.01</v>
      </c>
      <c r="M112" s="9"/>
      <c r="O112" s="13"/>
    </row>
    <row r="113" spans="1:15" outlineLevel="2">
      <c r="A113" s="421">
        <f t="shared" si="3"/>
        <v>108</v>
      </c>
      <c r="B113" s="9" t="s">
        <v>542</v>
      </c>
      <c r="C113" s="15" t="s">
        <v>803</v>
      </c>
      <c r="D113" s="10" t="s">
        <v>804</v>
      </c>
      <c r="E113" s="11">
        <v>2418956.92</v>
      </c>
      <c r="G113" s="11">
        <f t="shared" si="8"/>
        <v>2418956.92</v>
      </c>
      <c r="H113" s="12">
        <v>0</v>
      </c>
      <c r="I113" s="12">
        <v>0</v>
      </c>
      <c r="J113" s="12"/>
      <c r="K113" s="844">
        <f t="shared" si="5"/>
        <v>2418956.92</v>
      </c>
      <c r="M113" s="9"/>
      <c r="O113" s="13"/>
    </row>
    <row r="114" spans="1:15" outlineLevel="2">
      <c r="A114" s="421">
        <f t="shared" si="3"/>
        <v>109</v>
      </c>
      <c r="B114" s="9" t="s">
        <v>542</v>
      </c>
      <c r="C114" s="15" t="s">
        <v>805</v>
      </c>
      <c r="D114" s="10" t="s">
        <v>806</v>
      </c>
      <c r="E114" s="11">
        <v>5110115.21</v>
      </c>
      <c r="F114" s="11">
        <v>5616043</v>
      </c>
      <c r="G114" s="11">
        <f t="shared" si="8"/>
        <v>10726158.210000001</v>
      </c>
      <c r="H114" s="12">
        <v>0</v>
      </c>
      <c r="I114" s="12">
        <v>0</v>
      </c>
      <c r="J114" s="12"/>
      <c r="K114" s="844">
        <f t="shared" si="5"/>
        <v>10726158.210000001</v>
      </c>
      <c r="M114" s="9"/>
      <c r="O114" s="13"/>
    </row>
    <row r="115" spans="1:15" outlineLevel="2">
      <c r="A115" s="421">
        <f t="shared" si="3"/>
        <v>110</v>
      </c>
      <c r="B115" s="9" t="s">
        <v>542</v>
      </c>
      <c r="C115" s="15" t="s">
        <v>807</v>
      </c>
      <c r="D115" s="10" t="s">
        <v>808</v>
      </c>
      <c r="E115" s="11">
        <v>312931.03999999998</v>
      </c>
      <c r="G115" s="11">
        <f t="shared" si="8"/>
        <v>312931.03999999998</v>
      </c>
      <c r="H115" s="12">
        <v>0</v>
      </c>
      <c r="I115" s="12">
        <v>0</v>
      </c>
      <c r="J115" s="12"/>
      <c r="K115" s="844">
        <f t="shared" si="5"/>
        <v>312931.03999999998</v>
      </c>
      <c r="M115" s="9"/>
      <c r="O115" s="13"/>
    </row>
    <row r="116" spans="1:15" outlineLevel="2">
      <c r="A116" s="421">
        <f t="shared" si="3"/>
        <v>111</v>
      </c>
      <c r="B116" s="9" t="s">
        <v>542</v>
      </c>
      <c r="C116" s="15" t="s">
        <v>2650</v>
      </c>
      <c r="D116" s="10" t="s">
        <v>2651</v>
      </c>
      <c r="E116" s="11">
        <v>120025.83</v>
      </c>
      <c r="G116" s="11">
        <f t="shared" si="8"/>
        <v>120025.83</v>
      </c>
      <c r="H116" s="12"/>
      <c r="I116" s="12"/>
      <c r="J116" s="12"/>
      <c r="K116" s="844">
        <f t="shared" si="5"/>
        <v>120025.83</v>
      </c>
      <c r="M116" s="9"/>
      <c r="O116" s="13"/>
    </row>
    <row r="117" spans="1:15" outlineLevel="2">
      <c r="A117" s="421">
        <f t="shared" si="3"/>
        <v>112</v>
      </c>
      <c r="B117" s="9" t="s">
        <v>542</v>
      </c>
      <c r="C117" s="15" t="s">
        <v>809</v>
      </c>
      <c r="D117" s="10" t="s">
        <v>810</v>
      </c>
      <c r="E117" s="11">
        <v>7488153.7300000004</v>
      </c>
      <c r="G117" s="11">
        <f t="shared" si="8"/>
        <v>7488153.7300000004</v>
      </c>
      <c r="H117" s="12">
        <v>0</v>
      </c>
      <c r="I117" s="12">
        <v>0</v>
      </c>
      <c r="J117" s="12"/>
      <c r="K117" s="844">
        <f t="shared" si="5"/>
        <v>7488153.7300000004</v>
      </c>
      <c r="M117" s="9"/>
      <c r="O117" s="13"/>
    </row>
    <row r="118" spans="1:15" outlineLevel="2">
      <c r="A118" s="421">
        <f t="shared" si="3"/>
        <v>113</v>
      </c>
      <c r="B118" s="9" t="s">
        <v>542</v>
      </c>
      <c r="C118" s="15" t="s">
        <v>811</v>
      </c>
      <c r="D118" s="10" t="s">
        <v>812</v>
      </c>
      <c r="E118" s="11">
        <v>26924889.420000002</v>
      </c>
      <c r="G118" s="11">
        <f t="shared" si="8"/>
        <v>26924889.420000002</v>
      </c>
      <c r="H118" s="12">
        <v>0</v>
      </c>
      <c r="I118" s="12">
        <v>0</v>
      </c>
      <c r="J118" s="12"/>
      <c r="K118" s="844">
        <f t="shared" si="5"/>
        <v>26924889.420000002</v>
      </c>
      <c r="M118" s="9"/>
      <c r="O118" s="13"/>
    </row>
    <row r="119" spans="1:15" outlineLevel="2">
      <c r="A119" s="421">
        <f t="shared" si="3"/>
        <v>114</v>
      </c>
      <c r="B119" s="9" t="s">
        <v>542</v>
      </c>
      <c r="C119" s="15" t="s">
        <v>617</v>
      </c>
      <c r="D119" s="10" t="s">
        <v>813</v>
      </c>
      <c r="E119" s="11">
        <v>349954</v>
      </c>
      <c r="G119" s="11">
        <f t="shared" si="8"/>
        <v>349954</v>
      </c>
      <c r="H119" s="12">
        <v>0</v>
      </c>
      <c r="I119" s="12">
        <v>0</v>
      </c>
      <c r="J119" s="12"/>
      <c r="K119" s="844">
        <f t="shared" si="5"/>
        <v>349954</v>
      </c>
      <c r="M119" s="9"/>
      <c r="O119" s="13"/>
    </row>
    <row r="120" spans="1:15" outlineLevel="2">
      <c r="A120" s="421">
        <f t="shared" si="3"/>
        <v>115</v>
      </c>
      <c r="B120" s="9" t="s">
        <v>542</v>
      </c>
      <c r="C120" s="15" t="s">
        <v>814</v>
      </c>
      <c r="D120" s="10" t="s">
        <v>815</v>
      </c>
      <c r="E120" s="11">
        <v>17627867.68</v>
      </c>
      <c r="G120" s="11">
        <f t="shared" si="8"/>
        <v>17627867.68</v>
      </c>
      <c r="H120" s="12">
        <v>0</v>
      </c>
      <c r="I120" s="12">
        <v>0</v>
      </c>
      <c r="J120" s="12"/>
      <c r="K120" s="844">
        <f t="shared" si="5"/>
        <v>17627867.68</v>
      </c>
      <c r="M120" s="9"/>
      <c r="O120" s="13"/>
    </row>
    <row r="121" spans="1:15" outlineLevel="2">
      <c r="A121" s="421">
        <f t="shared" si="3"/>
        <v>116</v>
      </c>
      <c r="B121" s="9" t="s">
        <v>542</v>
      </c>
      <c r="C121" s="15" t="s">
        <v>816</v>
      </c>
      <c r="D121" s="10" t="s">
        <v>817</v>
      </c>
      <c r="E121" s="11">
        <v>11035513.970000001</v>
      </c>
      <c r="G121" s="11">
        <f t="shared" si="8"/>
        <v>11035513.970000001</v>
      </c>
      <c r="H121" s="12">
        <v>0</v>
      </c>
      <c r="I121" s="12">
        <v>0</v>
      </c>
      <c r="J121" s="12"/>
      <c r="K121" s="844">
        <f t="shared" si="5"/>
        <v>11035513.970000001</v>
      </c>
      <c r="M121" s="9"/>
      <c r="O121" s="13"/>
    </row>
    <row r="122" spans="1:15" outlineLevel="2">
      <c r="A122" s="421">
        <f t="shared" si="3"/>
        <v>117</v>
      </c>
      <c r="B122" s="9" t="s">
        <v>542</v>
      </c>
      <c r="C122" s="15" t="s">
        <v>818</v>
      </c>
      <c r="D122" s="10" t="s">
        <v>819</v>
      </c>
      <c r="E122" s="11">
        <v>4629315.97</v>
      </c>
      <c r="G122" s="11">
        <f t="shared" si="8"/>
        <v>4629315.97</v>
      </c>
      <c r="H122" s="12">
        <v>0</v>
      </c>
      <c r="I122" s="12">
        <v>0</v>
      </c>
      <c r="J122" s="12"/>
      <c r="K122" s="844">
        <f t="shared" si="5"/>
        <v>4629315.97</v>
      </c>
      <c r="M122" s="9"/>
      <c r="O122" s="13"/>
    </row>
    <row r="123" spans="1:15" outlineLevel="2">
      <c r="A123" s="421">
        <f t="shared" si="3"/>
        <v>118</v>
      </c>
      <c r="B123" s="9" t="s">
        <v>542</v>
      </c>
      <c r="C123" s="15" t="s">
        <v>820</v>
      </c>
      <c r="D123" s="10" t="s">
        <v>821</v>
      </c>
      <c r="E123" s="11">
        <v>4270496.96</v>
      </c>
      <c r="G123" s="11">
        <f t="shared" si="8"/>
        <v>4270496.96</v>
      </c>
      <c r="H123" s="12">
        <v>0</v>
      </c>
      <c r="I123" s="12">
        <v>0</v>
      </c>
      <c r="J123" s="12"/>
      <c r="K123" s="844">
        <f t="shared" si="5"/>
        <v>4270496.96</v>
      </c>
      <c r="M123" s="9"/>
      <c r="O123" s="13"/>
    </row>
    <row r="124" spans="1:15" s="5" customFormat="1" ht="13.5" outlineLevel="1" thickBot="1">
      <c r="A124" s="421">
        <f t="shared" si="3"/>
        <v>119</v>
      </c>
      <c r="B124" s="16" t="s">
        <v>822</v>
      </c>
      <c r="C124" s="17"/>
      <c r="D124" s="18" t="s">
        <v>823</v>
      </c>
      <c r="E124" s="19">
        <f>SUBTOTAL(9,E6:E123)</f>
        <v>611018037.91000021</v>
      </c>
      <c r="F124" s="19">
        <f>SUBTOTAL(9,F6:F123)</f>
        <v>28999323</v>
      </c>
      <c r="G124" s="19">
        <f>SUBTOTAL(9,G6:G123)</f>
        <v>640017360.91000021</v>
      </c>
      <c r="H124" s="19">
        <f>SUBTOTAL(9,H6:H123)</f>
        <v>-576090</v>
      </c>
      <c r="I124" s="19">
        <f>SUBTOTAL(9,I6:I123)</f>
        <v>0</v>
      </c>
      <c r="J124" s="19"/>
      <c r="K124" s="845">
        <f>SUBTOTAL(9,K6:K123)</f>
        <v>630012461.91000021</v>
      </c>
      <c r="L124" s="20"/>
      <c r="M124" s="3"/>
      <c r="N124" s="3"/>
      <c r="O124" s="6"/>
    </row>
    <row r="125" spans="1:15" ht="13.5" outlineLevel="2" thickTop="1">
      <c r="A125" s="421">
        <f t="shared" si="3"/>
        <v>120</v>
      </c>
      <c r="B125" s="9" t="s">
        <v>544</v>
      </c>
      <c r="C125" s="15" t="s">
        <v>824</v>
      </c>
      <c r="D125" s="10" t="s">
        <v>825</v>
      </c>
      <c r="E125" s="11">
        <v>6259.21</v>
      </c>
      <c r="G125" s="11">
        <f>E125+F125</f>
        <v>6259.21</v>
      </c>
      <c r="H125" s="11">
        <v>0</v>
      </c>
      <c r="I125" s="11">
        <v>0</v>
      </c>
      <c r="K125" s="844">
        <f>SUM(G125:J125)</f>
        <v>6259.21</v>
      </c>
      <c r="M125" s="9"/>
      <c r="O125" s="13"/>
    </row>
    <row r="126" spans="1:15" outlineLevel="2">
      <c r="A126" s="421">
        <f t="shared" si="3"/>
        <v>121</v>
      </c>
      <c r="B126" s="9" t="s">
        <v>544</v>
      </c>
      <c r="C126" s="15" t="s">
        <v>2652</v>
      </c>
      <c r="D126" s="10" t="s">
        <v>2653</v>
      </c>
      <c r="E126" s="11">
        <v>12377.42</v>
      </c>
      <c r="G126" s="11">
        <f>E126+F126</f>
        <v>12377.42</v>
      </c>
      <c r="K126" s="844">
        <f t="shared" ref="K126:K128" si="9">SUM(G126:J126)</f>
        <v>12377.42</v>
      </c>
      <c r="M126" s="9"/>
      <c r="O126" s="13"/>
    </row>
    <row r="127" spans="1:15" outlineLevel="2">
      <c r="A127" s="421">
        <f t="shared" si="3"/>
        <v>122</v>
      </c>
      <c r="B127" s="9" t="s">
        <v>544</v>
      </c>
      <c r="C127" s="15" t="s">
        <v>826</v>
      </c>
      <c r="D127" s="1" t="s">
        <v>827</v>
      </c>
      <c r="E127" s="11">
        <v>5795383.96</v>
      </c>
      <c r="G127" s="11">
        <f t="shared" ref="G127" si="10">E127+F127</f>
        <v>5795383.96</v>
      </c>
      <c r="H127" s="11">
        <v>0</v>
      </c>
      <c r="I127" s="11">
        <v>0</v>
      </c>
      <c r="K127" s="844">
        <f t="shared" si="9"/>
        <v>5795383.96</v>
      </c>
      <c r="M127" s="9"/>
      <c r="O127" s="13"/>
    </row>
    <row r="128" spans="1:15" outlineLevel="2">
      <c r="A128" s="421">
        <f t="shared" si="3"/>
        <v>123</v>
      </c>
      <c r="B128" s="9" t="s">
        <v>544</v>
      </c>
      <c r="C128" s="15" t="s">
        <v>828</v>
      </c>
      <c r="D128" s="10" t="s">
        <v>829</v>
      </c>
      <c r="E128" s="11">
        <v>2318295.1</v>
      </c>
      <c r="G128" s="11">
        <f t="shared" ref="G128:G190" si="11">E128+F128</f>
        <v>2318295.1</v>
      </c>
      <c r="H128" s="11">
        <v>-800024</v>
      </c>
      <c r="I128" s="11">
        <v>0</v>
      </c>
      <c r="K128" s="844">
        <f t="shared" si="9"/>
        <v>1518271.1</v>
      </c>
      <c r="M128" s="9"/>
      <c r="O128" s="13"/>
    </row>
    <row r="129" spans="1:15" outlineLevel="2">
      <c r="A129" s="421">
        <f t="shared" si="3"/>
        <v>124</v>
      </c>
      <c r="B129" s="9" t="s">
        <v>544</v>
      </c>
      <c r="C129" s="15" t="s">
        <v>830</v>
      </c>
      <c r="D129" s="10" t="s">
        <v>831</v>
      </c>
      <c r="E129" s="11">
        <v>63325.31</v>
      </c>
      <c r="G129" s="11">
        <f t="shared" si="11"/>
        <v>63325.31</v>
      </c>
      <c r="H129" s="11">
        <v>0</v>
      </c>
      <c r="I129" s="11">
        <v>0</v>
      </c>
      <c r="K129" s="844">
        <f t="shared" ref="K129:K190" si="12">SUM(G129:J129)</f>
        <v>63325.31</v>
      </c>
      <c r="M129" s="9"/>
    </row>
    <row r="130" spans="1:15" outlineLevel="2">
      <c r="A130" s="421">
        <f t="shared" si="3"/>
        <v>125</v>
      </c>
      <c r="B130" s="9" t="s">
        <v>544</v>
      </c>
      <c r="C130" s="15" t="s">
        <v>832</v>
      </c>
      <c r="D130" s="10" t="s">
        <v>833</v>
      </c>
      <c r="E130" s="11">
        <v>35004.78</v>
      </c>
      <c r="G130" s="11">
        <f t="shared" si="11"/>
        <v>35004.78</v>
      </c>
      <c r="H130" s="11">
        <v>-35005</v>
      </c>
      <c r="I130" s="11">
        <v>0</v>
      </c>
      <c r="K130" s="844">
        <f t="shared" si="12"/>
        <v>-0.22000000000116415</v>
      </c>
      <c r="M130" s="9"/>
    </row>
    <row r="131" spans="1:15" outlineLevel="2">
      <c r="A131" s="421">
        <f t="shared" si="3"/>
        <v>126</v>
      </c>
      <c r="B131" s="9" t="s">
        <v>544</v>
      </c>
      <c r="C131" s="15" t="s">
        <v>834</v>
      </c>
      <c r="D131" s="10" t="s">
        <v>835</v>
      </c>
      <c r="E131" s="11">
        <v>2931082.34</v>
      </c>
      <c r="G131" s="11">
        <f t="shared" si="11"/>
        <v>2931082.34</v>
      </c>
      <c r="H131" s="11">
        <v>-124344</v>
      </c>
      <c r="I131" s="11">
        <v>0</v>
      </c>
      <c r="K131" s="844">
        <f t="shared" si="12"/>
        <v>2806738.34</v>
      </c>
      <c r="M131" s="9"/>
    </row>
    <row r="132" spans="1:15" outlineLevel="2">
      <c r="A132" s="421">
        <f t="shared" si="3"/>
        <v>127</v>
      </c>
      <c r="B132" s="9" t="s">
        <v>544</v>
      </c>
      <c r="C132" s="15" t="s">
        <v>836</v>
      </c>
      <c r="D132" s="10" t="s">
        <v>837</v>
      </c>
      <c r="E132" s="11">
        <v>279691.27</v>
      </c>
      <c r="G132" s="11">
        <f t="shared" si="11"/>
        <v>279691.27</v>
      </c>
      <c r="H132" s="11">
        <v>0</v>
      </c>
      <c r="I132" s="11">
        <v>0</v>
      </c>
      <c r="K132" s="844">
        <f t="shared" si="12"/>
        <v>279691.27</v>
      </c>
      <c r="M132" s="9"/>
    </row>
    <row r="133" spans="1:15" outlineLevel="2">
      <c r="A133" s="421">
        <f t="shared" si="3"/>
        <v>128</v>
      </c>
      <c r="B133" s="9" t="s">
        <v>544</v>
      </c>
      <c r="C133" s="15" t="s">
        <v>838</v>
      </c>
      <c r="D133" s="10" t="s">
        <v>839</v>
      </c>
      <c r="E133" s="11">
        <v>298521.89</v>
      </c>
      <c r="G133" s="11">
        <f t="shared" si="11"/>
        <v>298521.89</v>
      </c>
      <c r="H133" s="11">
        <v>0</v>
      </c>
      <c r="I133" s="11">
        <v>0</v>
      </c>
      <c r="K133" s="844">
        <f>SUM(G133:J133)</f>
        <v>298521.89</v>
      </c>
      <c r="M133" s="9"/>
      <c r="O133" s="13"/>
    </row>
    <row r="134" spans="1:15" outlineLevel="2">
      <c r="A134" s="421">
        <f t="shared" si="3"/>
        <v>129</v>
      </c>
      <c r="B134" s="9" t="s">
        <v>544</v>
      </c>
      <c r="C134" s="15" t="s">
        <v>840</v>
      </c>
      <c r="D134" s="10" t="s">
        <v>841</v>
      </c>
      <c r="E134" s="11">
        <v>13926842.76</v>
      </c>
      <c r="G134" s="11">
        <f t="shared" si="11"/>
        <v>13926842.76</v>
      </c>
      <c r="H134" s="11">
        <v>-109224</v>
      </c>
      <c r="I134" s="11">
        <v>0</v>
      </c>
      <c r="K134" s="844">
        <f t="shared" si="12"/>
        <v>13817618.76</v>
      </c>
      <c r="L134" s="10"/>
      <c r="M134" s="9"/>
      <c r="O134" s="13"/>
    </row>
    <row r="135" spans="1:15" outlineLevel="2">
      <c r="A135" s="421">
        <f t="shared" ref="A135:A198" si="13">A134+1</f>
        <v>130</v>
      </c>
      <c r="B135" s="9" t="s">
        <v>544</v>
      </c>
      <c r="C135" s="15" t="s">
        <v>842</v>
      </c>
      <c r="D135" s="10" t="s">
        <v>843</v>
      </c>
      <c r="E135" s="11">
        <v>4733509.87</v>
      </c>
      <c r="G135" s="11">
        <f t="shared" si="11"/>
        <v>4733509.87</v>
      </c>
      <c r="H135" s="11">
        <v>-231321</v>
      </c>
      <c r="I135" s="11">
        <v>0</v>
      </c>
      <c r="K135" s="844">
        <f t="shared" si="12"/>
        <v>4502188.87</v>
      </c>
      <c r="L135" s="10"/>
      <c r="M135" s="9"/>
      <c r="O135" s="13"/>
    </row>
    <row r="136" spans="1:15" outlineLevel="2">
      <c r="A136" s="421">
        <f t="shared" si="13"/>
        <v>131</v>
      </c>
      <c r="B136" s="9" t="s">
        <v>544</v>
      </c>
      <c r="C136" s="15" t="s">
        <v>844</v>
      </c>
      <c r="D136" s="10" t="s">
        <v>845</v>
      </c>
      <c r="E136" s="11">
        <v>495306.08</v>
      </c>
      <c r="G136" s="11">
        <f t="shared" si="11"/>
        <v>495306.08</v>
      </c>
      <c r="H136" s="11">
        <v>-441103.97</v>
      </c>
      <c r="I136" s="11">
        <v>0</v>
      </c>
      <c r="K136" s="844">
        <f t="shared" si="12"/>
        <v>54202.110000000044</v>
      </c>
      <c r="L136" s="10"/>
      <c r="M136" s="9"/>
      <c r="O136" s="13"/>
    </row>
    <row r="137" spans="1:15" outlineLevel="2">
      <c r="A137" s="421">
        <f t="shared" si="13"/>
        <v>132</v>
      </c>
      <c r="B137" s="9" t="s">
        <v>544</v>
      </c>
      <c r="C137" s="15" t="s">
        <v>846</v>
      </c>
      <c r="D137" s="10" t="s">
        <v>2710</v>
      </c>
      <c r="E137" s="11">
        <v>18573657.699999999</v>
      </c>
      <c r="F137" s="11">
        <v>2600000</v>
      </c>
      <c r="G137" s="11">
        <f t="shared" si="11"/>
        <v>21173657.699999999</v>
      </c>
      <c r="H137" s="11">
        <v>-200648</v>
      </c>
      <c r="J137" s="11">
        <v>-2600000</v>
      </c>
      <c r="K137" s="844">
        <f t="shared" si="12"/>
        <v>18373009.699999999</v>
      </c>
      <c r="L137" s="10"/>
      <c r="M137" s="9"/>
      <c r="O137" s="13"/>
    </row>
    <row r="138" spans="1:15" outlineLevel="2">
      <c r="A138" s="421">
        <f t="shared" si="13"/>
        <v>133</v>
      </c>
      <c r="B138" s="9" t="s">
        <v>544</v>
      </c>
      <c r="C138" s="15" t="s">
        <v>847</v>
      </c>
      <c r="D138" s="10" t="s">
        <v>848</v>
      </c>
      <c r="E138" s="11">
        <v>37821.46</v>
      </c>
      <c r="G138" s="11">
        <f t="shared" si="11"/>
        <v>37821.46</v>
      </c>
      <c r="H138" s="11">
        <v>0</v>
      </c>
      <c r="I138" s="11">
        <v>0</v>
      </c>
      <c r="K138" s="844">
        <f t="shared" si="12"/>
        <v>37821.46</v>
      </c>
      <c r="M138" s="9"/>
      <c r="O138" s="13"/>
    </row>
    <row r="139" spans="1:15" outlineLevel="2">
      <c r="A139" s="421">
        <f t="shared" si="13"/>
        <v>134</v>
      </c>
      <c r="B139" s="9" t="s">
        <v>544</v>
      </c>
      <c r="C139" s="15" t="s">
        <v>849</v>
      </c>
      <c r="D139" s="10" t="s">
        <v>850</v>
      </c>
      <c r="E139" s="11">
        <v>3077347.65</v>
      </c>
      <c r="G139" s="11">
        <f t="shared" si="11"/>
        <v>3077347.65</v>
      </c>
      <c r="H139" s="11">
        <v>-630455</v>
      </c>
      <c r="I139" s="11">
        <v>0</v>
      </c>
      <c r="K139" s="844">
        <f t="shared" si="12"/>
        <v>2446892.65</v>
      </c>
      <c r="L139" s="10"/>
      <c r="M139" s="9"/>
      <c r="O139" s="13"/>
    </row>
    <row r="140" spans="1:15" outlineLevel="2">
      <c r="A140" s="421">
        <f t="shared" si="13"/>
        <v>135</v>
      </c>
      <c r="B140" s="9" t="s">
        <v>544</v>
      </c>
      <c r="C140" s="15" t="s">
        <v>851</v>
      </c>
      <c r="D140" s="10" t="s">
        <v>852</v>
      </c>
      <c r="E140" s="11">
        <v>3496396.41</v>
      </c>
      <c r="G140" s="11">
        <f t="shared" si="11"/>
        <v>3496396.41</v>
      </c>
      <c r="H140" s="11">
        <v>-1310501.02</v>
      </c>
      <c r="I140" s="11">
        <v>0</v>
      </c>
      <c r="K140" s="844">
        <f>SUM(G140:J140)</f>
        <v>2185895.39</v>
      </c>
      <c r="L140" s="10"/>
      <c r="M140" s="9"/>
      <c r="O140" s="13"/>
    </row>
    <row r="141" spans="1:15" outlineLevel="2">
      <c r="A141" s="421">
        <f t="shared" si="13"/>
        <v>136</v>
      </c>
      <c r="B141" s="9" t="s">
        <v>544</v>
      </c>
      <c r="C141" s="15" t="s">
        <v>853</v>
      </c>
      <c r="D141" s="10" t="s">
        <v>854</v>
      </c>
      <c r="E141" s="11">
        <v>14164196.390000001</v>
      </c>
      <c r="G141" s="11">
        <f t="shared" si="11"/>
        <v>14164196.390000001</v>
      </c>
      <c r="H141" s="11">
        <v>0</v>
      </c>
      <c r="I141" s="11">
        <v>0</v>
      </c>
      <c r="K141" s="844">
        <f t="shared" si="12"/>
        <v>14164196.390000001</v>
      </c>
      <c r="M141" s="9"/>
      <c r="O141" s="13"/>
    </row>
    <row r="142" spans="1:15" outlineLevel="2">
      <c r="A142" s="421">
        <f t="shared" si="13"/>
        <v>137</v>
      </c>
      <c r="B142" s="9" t="s">
        <v>544</v>
      </c>
      <c r="C142" s="15" t="s">
        <v>855</v>
      </c>
      <c r="D142" s="10" t="s">
        <v>856</v>
      </c>
      <c r="E142" s="11">
        <v>4765825.66</v>
      </c>
      <c r="G142" s="11">
        <f t="shared" si="11"/>
        <v>4765825.66</v>
      </c>
      <c r="H142" s="11">
        <v>0</v>
      </c>
      <c r="I142" s="11">
        <v>0</v>
      </c>
      <c r="K142" s="844">
        <f t="shared" si="12"/>
        <v>4765825.66</v>
      </c>
      <c r="M142" s="9"/>
      <c r="O142" s="13"/>
    </row>
    <row r="143" spans="1:15" outlineLevel="2">
      <c r="A143" s="421">
        <f t="shared" si="13"/>
        <v>138</v>
      </c>
      <c r="B143" s="9" t="s">
        <v>544</v>
      </c>
      <c r="C143" s="15" t="s">
        <v>857</v>
      </c>
      <c r="D143" s="10" t="s">
        <v>858</v>
      </c>
      <c r="E143" s="11">
        <v>83038.7</v>
      </c>
      <c r="G143" s="11">
        <f t="shared" si="11"/>
        <v>83038.7</v>
      </c>
      <c r="H143" s="11">
        <v>0</v>
      </c>
      <c r="I143" s="11">
        <v>0</v>
      </c>
      <c r="K143" s="844">
        <f t="shared" si="12"/>
        <v>83038.7</v>
      </c>
      <c r="M143" s="9"/>
      <c r="O143" s="13"/>
    </row>
    <row r="144" spans="1:15" outlineLevel="2">
      <c r="A144" s="421">
        <f t="shared" si="13"/>
        <v>139</v>
      </c>
      <c r="B144" s="9" t="s">
        <v>544</v>
      </c>
      <c r="C144" s="15" t="s">
        <v>859</v>
      </c>
      <c r="D144" s="10" t="s">
        <v>860</v>
      </c>
      <c r="E144" s="11">
        <v>2841162.78</v>
      </c>
      <c r="G144" s="11">
        <f t="shared" si="11"/>
        <v>2841162.78</v>
      </c>
      <c r="H144" s="11">
        <v>0</v>
      </c>
      <c r="I144" s="11">
        <v>0</v>
      </c>
      <c r="K144" s="844">
        <f t="shared" si="12"/>
        <v>2841162.78</v>
      </c>
      <c r="M144" s="9"/>
      <c r="O144" s="13"/>
    </row>
    <row r="145" spans="1:15" outlineLevel="2">
      <c r="A145" s="421">
        <f t="shared" si="13"/>
        <v>140</v>
      </c>
      <c r="B145" s="9" t="s">
        <v>544</v>
      </c>
      <c r="C145" s="15" t="s">
        <v>861</v>
      </c>
      <c r="D145" s="10" t="s">
        <v>862</v>
      </c>
      <c r="E145" s="11">
        <v>3879363.63</v>
      </c>
      <c r="G145" s="11">
        <f t="shared" si="11"/>
        <v>3879363.63</v>
      </c>
      <c r="H145" s="11">
        <v>-1007873</v>
      </c>
      <c r="I145" s="11">
        <v>0</v>
      </c>
      <c r="K145" s="844">
        <f t="shared" si="12"/>
        <v>2871490.63</v>
      </c>
      <c r="L145" s="10"/>
      <c r="M145" s="9"/>
      <c r="O145" s="13"/>
    </row>
    <row r="146" spans="1:15" outlineLevel="2">
      <c r="A146" s="421">
        <f t="shared" si="13"/>
        <v>141</v>
      </c>
      <c r="B146" s="9" t="s">
        <v>544</v>
      </c>
      <c r="C146" s="15" t="s">
        <v>863</v>
      </c>
      <c r="D146" s="10" t="s">
        <v>864</v>
      </c>
      <c r="E146" s="11">
        <v>1401476.59</v>
      </c>
      <c r="G146" s="11">
        <f t="shared" si="11"/>
        <v>1401476.59</v>
      </c>
      <c r="H146" s="11">
        <v>0</v>
      </c>
      <c r="I146" s="11">
        <v>0</v>
      </c>
      <c r="K146" s="844">
        <f t="shared" si="12"/>
        <v>1401476.59</v>
      </c>
      <c r="L146" s="10"/>
      <c r="M146" s="9"/>
      <c r="O146" s="13"/>
    </row>
    <row r="147" spans="1:15" outlineLevel="2">
      <c r="A147" s="421">
        <f t="shared" si="13"/>
        <v>142</v>
      </c>
      <c r="B147" s="9" t="s">
        <v>544</v>
      </c>
      <c r="C147" s="15" t="s">
        <v>865</v>
      </c>
      <c r="D147" s="10" t="s">
        <v>866</v>
      </c>
      <c r="E147" s="11">
        <v>8543589.6099999994</v>
      </c>
      <c r="G147" s="11">
        <f t="shared" si="11"/>
        <v>8543589.6099999994</v>
      </c>
      <c r="H147" s="11">
        <v>-2065347.24</v>
      </c>
      <c r="I147" s="11">
        <v>0</v>
      </c>
      <c r="K147" s="844">
        <f>SUM(G147:J147)</f>
        <v>6478242.3699999992</v>
      </c>
      <c r="L147" s="10"/>
      <c r="M147" s="9"/>
      <c r="O147" s="13"/>
    </row>
    <row r="148" spans="1:15" outlineLevel="2">
      <c r="A148" s="421">
        <f t="shared" si="13"/>
        <v>143</v>
      </c>
      <c r="B148" s="9" t="s">
        <v>544</v>
      </c>
      <c r="C148" s="15" t="s">
        <v>867</v>
      </c>
      <c r="D148" s="10" t="s">
        <v>868</v>
      </c>
      <c r="E148" s="11">
        <v>5362774.57</v>
      </c>
      <c r="G148" s="11">
        <f t="shared" si="11"/>
        <v>5362774.57</v>
      </c>
      <c r="H148" s="11">
        <v>-151625.18</v>
      </c>
      <c r="I148" s="11">
        <v>0</v>
      </c>
      <c r="K148" s="844">
        <f t="shared" si="12"/>
        <v>5211149.3900000006</v>
      </c>
      <c r="L148" s="10"/>
      <c r="M148" s="9"/>
      <c r="O148" s="13"/>
    </row>
    <row r="149" spans="1:15" outlineLevel="2">
      <c r="A149" s="421">
        <f t="shared" si="13"/>
        <v>144</v>
      </c>
      <c r="B149" s="9" t="s">
        <v>544</v>
      </c>
      <c r="C149" s="15" t="s">
        <v>869</v>
      </c>
      <c r="D149" s="10" t="s">
        <v>870</v>
      </c>
      <c r="E149" s="11">
        <v>8521706.6199999992</v>
      </c>
      <c r="G149" s="11">
        <f t="shared" si="11"/>
        <v>8521706.6199999992</v>
      </c>
      <c r="H149" s="11">
        <v>0</v>
      </c>
      <c r="I149" s="11">
        <v>0</v>
      </c>
      <c r="K149" s="844">
        <f t="shared" si="12"/>
        <v>8521706.6199999992</v>
      </c>
      <c r="M149" s="9"/>
      <c r="O149" s="13"/>
    </row>
    <row r="150" spans="1:15" outlineLevel="2">
      <c r="A150" s="421">
        <f t="shared" si="13"/>
        <v>145</v>
      </c>
      <c r="B150" s="9" t="s">
        <v>544</v>
      </c>
      <c r="C150" s="15" t="s">
        <v>871</v>
      </c>
      <c r="D150" s="10" t="s">
        <v>872</v>
      </c>
      <c r="E150" s="11">
        <v>13977733.67</v>
      </c>
      <c r="G150" s="11">
        <f t="shared" si="11"/>
        <v>13977733.67</v>
      </c>
      <c r="H150" s="11">
        <v>0</v>
      </c>
      <c r="I150" s="11">
        <v>0</v>
      </c>
      <c r="K150" s="844">
        <f t="shared" si="12"/>
        <v>13977733.67</v>
      </c>
      <c r="M150" s="9"/>
      <c r="O150" s="13"/>
    </row>
    <row r="151" spans="1:15" outlineLevel="2">
      <c r="A151" s="421">
        <f t="shared" si="13"/>
        <v>146</v>
      </c>
      <c r="B151" s="9" t="s">
        <v>544</v>
      </c>
      <c r="C151" s="15" t="s">
        <v>873</v>
      </c>
      <c r="D151" s="10" t="s">
        <v>874</v>
      </c>
      <c r="E151" s="11">
        <v>2390851.2200000002</v>
      </c>
      <c r="G151" s="11">
        <f t="shared" si="11"/>
        <v>2390851.2200000002</v>
      </c>
      <c r="H151" s="11">
        <v>0</v>
      </c>
      <c r="I151" s="11">
        <v>0</v>
      </c>
      <c r="K151" s="844">
        <f t="shared" si="12"/>
        <v>2390851.2200000002</v>
      </c>
      <c r="M151" s="9"/>
      <c r="O151" s="13"/>
    </row>
    <row r="152" spans="1:15" outlineLevel="2">
      <c r="A152" s="421">
        <f t="shared" si="13"/>
        <v>147</v>
      </c>
      <c r="B152" s="9" t="s">
        <v>544</v>
      </c>
      <c r="C152" s="15" t="s">
        <v>875</v>
      </c>
      <c r="D152" s="10" t="s">
        <v>876</v>
      </c>
      <c r="E152" s="11">
        <v>4865006.68</v>
      </c>
      <c r="G152" s="11">
        <f t="shared" si="11"/>
        <v>4865006.68</v>
      </c>
      <c r="H152" s="11">
        <v>-346142</v>
      </c>
      <c r="I152" s="11">
        <v>0</v>
      </c>
      <c r="K152" s="844">
        <f>SUM(G152:J152)</f>
        <v>4518864.68</v>
      </c>
      <c r="L152" s="10"/>
      <c r="M152" s="9"/>
      <c r="O152" s="13"/>
    </row>
    <row r="153" spans="1:15" outlineLevel="2">
      <c r="A153" s="421">
        <f t="shared" si="13"/>
        <v>148</v>
      </c>
      <c r="B153" s="9" t="s">
        <v>544</v>
      </c>
      <c r="C153" s="15" t="s">
        <v>877</v>
      </c>
      <c r="D153" s="10" t="s">
        <v>878</v>
      </c>
      <c r="E153" s="11">
        <v>1567242.25</v>
      </c>
      <c r="G153" s="11">
        <f t="shared" si="11"/>
        <v>1567242.25</v>
      </c>
      <c r="H153" s="11">
        <v>-1567242.25</v>
      </c>
      <c r="I153" s="11">
        <v>0</v>
      </c>
      <c r="K153" s="844">
        <f t="shared" si="12"/>
        <v>0</v>
      </c>
      <c r="L153" s="10"/>
      <c r="M153" s="9"/>
      <c r="O153" s="13"/>
    </row>
    <row r="154" spans="1:15" outlineLevel="2">
      <c r="A154" s="421">
        <f t="shared" si="13"/>
        <v>149</v>
      </c>
      <c r="B154" s="9" t="s">
        <v>544</v>
      </c>
      <c r="C154" s="15" t="s">
        <v>879</v>
      </c>
      <c r="D154" s="10" t="s">
        <v>880</v>
      </c>
      <c r="E154" s="11">
        <v>10803792.949999999</v>
      </c>
      <c r="G154" s="11">
        <f t="shared" si="11"/>
        <v>10803792.949999999</v>
      </c>
      <c r="H154" s="11">
        <v>-2305</v>
      </c>
      <c r="I154" s="11">
        <v>0</v>
      </c>
      <c r="K154" s="844">
        <f t="shared" si="12"/>
        <v>10801487.949999999</v>
      </c>
      <c r="L154" s="10"/>
      <c r="M154" s="9"/>
      <c r="O154" s="13"/>
    </row>
    <row r="155" spans="1:15" outlineLevel="2">
      <c r="A155" s="421">
        <f t="shared" si="13"/>
        <v>150</v>
      </c>
      <c r="B155" s="9" t="s">
        <v>544</v>
      </c>
      <c r="C155" s="15" t="s">
        <v>881</v>
      </c>
      <c r="D155" s="10" t="s">
        <v>882</v>
      </c>
      <c r="E155" s="11">
        <v>848872.14</v>
      </c>
      <c r="G155" s="11">
        <f t="shared" si="11"/>
        <v>848872.14</v>
      </c>
      <c r="H155" s="11">
        <v>-109673</v>
      </c>
      <c r="K155" s="844">
        <f t="shared" si="12"/>
        <v>739199.14</v>
      </c>
      <c r="L155" s="10"/>
      <c r="M155" s="9"/>
      <c r="O155" s="13"/>
    </row>
    <row r="156" spans="1:15" outlineLevel="2">
      <c r="A156" s="421">
        <f t="shared" si="13"/>
        <v>151</v>
      </c>
      <c r="B156" s="9" t="s">
        <v>544</v>
      </c>
      <c r="C156" s="15" t="s">
        <v>883</v>
      </c>
      <c r="D156" s="10" t="s">
        <v>884</v>
      </c>
      <c r="E156" s="11">
        <v>16272742.529999999</v>
      </c>
      <c r="G156" s="11">
        <f t="shared" si="11"/>
        <v>16272742.529999999</v>
      </c>
      <c r="H156" s="11">
        <v>-183385</v>
      </c>
      <c r="I156" s="11">
        <v>0</v>
      </c>
      <c r="K156" s="844">
        <f t="shared" si="12"/>
        <v>16089357.529999999</v>
      </c>
      <c r="L156" s="10"/>
      <c r="M156" s="9"/>
      <c r="O156" s="13"/>
    </row>
    <row r="157" spans="1:15" outlineLevel="2">
      <c r="A157" s="421">
        <f t="shared" si="13"/>
        <v>152</v>
      </c>
      <c r="B157" s="9" t="s">
        <v>544</v>
      </c>
      <c r="C157" s="15" t="s">
        <v>885</v>
      </c>
      <c r="D157" s="10" t="s">
        <v>886</v>
      </c>
      <c r="E157" s="11">
        <v>1657438.26</v>
      </c>
      <c r="G157" s="11">
        <f t="shared" si="11"/>
        <v>1657438.26</v>
      </c>
      <c r="H157" s="11">
        <v>-1657438</v>
      </c>
      <c r="I157" s="11">
        <v>0</v>
      </c>
      <c r="K157" s="844">
        <f t="shared" si="12"/>
        <v>0.26000000000931323</v>
      </c>
      <c r="L157" s="10"/>
      <c r="M157" s="9"/>
      <c r="O157" s="13"/>
    </row>
    <row r="158" spans="1:15" outlineLevel="2">
      <c r="A158" s="421">
        <f t="shared" si="13"/>
        <v>153</v>
      </c>
      <c r="B158" s="9" t="s">
        <v>544</v>
      </c>
      <c r="C158" s="15" t="s">
        <v>887</v>
      </c>
      <c r="D158" s="10" t="s">
        <v>888</v>
      </c>
      <c r="E158" s="11">
        <v>14635855</v>
      </c>
      <c r="G158" s="11">
        <f t="shared" si="11"/>
        <v>14635855</v>
      </c>
      <c r="H158" s="11">
        <v>-97895.45</v>
      </c>
      <c r="I158" s="11">
        <v>0</v>
      </c>
      <c r="K158" s="844">
        <f t="shared" si="12"/>
        <v>14537959.550000001</v>
      </c>
      <c r="L158" s="10"/>
      <c r="M158" s="9"/>
      <c r="O158" s="13"/>
    </row>
    <row r="159" spans="1:15" outlineLevel="2">
      <c r="A159" s="421">
        <f t="shared" si="13"/>
        <v>154</v>
      </c>
      <c r="B159" s="9" t="s">
        <v>544</v>
      </c>
      <c r="C159" s="15" t="s">
        <v>889</v>
      </c>
      <c r="D159" s="10" t="s">
        <v>890</v>
      </c>
      <c r="E159" s="11">
        <v>101980.34</v>
      </c>
      <c r="G159" s="11">
        <f t="shared" si="11"/>
        <v>101980.34</v>
      </c>
      <c r="H159" s="11">
        <v>0</v>
      </c>
      <c r="I159" s="11">
        <v>0</v>
      </c>
      <c r="K159" s="844">
        <f>SUM(G159:J159)</f>
        <v>101980.34</v>
      </c>
      <c r="L159" s="10"/>
      <c r="M159" s="9"/>
      <c r="O159" s="13"/>
    </row>
    <row r="160" spans="1:15" outlineLevel="2">
      <c r="A160" s="421">
        <f t="shared" si="13"/>
        <v>155</v>
      </c>
      <c r="B160" s="9" t="s">
        <v>544</v>
      </c>
      <c r="C160" s="15" t="s">
        <v>891</v>
      </c>
      <c r="D160" s="10" t="s">
        <v>892</v>
      </c>
      <c r="E160" s="11">
        <v>49112.160000000003</v>
      </c>
      <c r="G160" s="11">
        <f t="shared" si="11"/>
        <v>49112.160000000003</v>
      </c>
      <c r="H160" s="11">
        <v>0</v>
      </c>
      <c r="I160" s="11">
        <v>0</v>
      </c>
      <c r="K160" s="844">
        <f t="shared" si="12"/>
        <v>49112.160000000003</v>
      </c>
      <c r="L160" s="10"/>
      <c r="M160" s="9"/>
      <c r="O160" s="13"/>
    </row>
    <row r="161" spans="1:15" outlineLevel="2">
      <c r="A161" s="421">
        <f t="shared" si="13"/>
        <v>156</v>
      </c>
      <c r="B161" s="9" t="s">
        <v>544</v>
      </c>
      <c r="C161" s="15" t="s">
        <v>893</v>
      </c>
      <c r="D161" s="10" t="s">
        <v>894</v>
      </c>
      <c r="E161" s="11">
        <v>88696.06</v>
      </c>
      <c r="G161" s="11">
        <f>E161+F161</f>
        <v>88696.06</v>
      </c>
      <c r="H161" s="11">
        <v>0</v>
      </c>
      <c r="I161" s="11">
        <v>0</v>
      </c>
      <c r="K161" s="844">
        <f>SUM(G161:J161)</f>
        <v>88696.06</v>
      </c>
      <c r="L161" s="10"/>
      <c r="M161" s="9"/>
      <c r="O161" s="13"/>
    </row>
    <row r="162" spans="1:15" outlineLevel="2">
      <c r="A162" s="421">
        <f t="shared" si="13"/>
        <v>157</v>
      </c>
      <c r="B162" s="9" t="s">
        <v>544</v>
      </c>
      <c r="C162" s="15" t="s">
        <v>895</v>
      </c>
      <c r="D162" s="10" t="s">
        <v>896</v>
      </c>
      <c r="E162" s="11">
        <v>2149403.61</v>
      </c>
      <c r="G162" s="11">
        <f t="shared" si="11"/>
        <v>2149403.61</v>
      </c>
      <c r="H162" s="11">
        <v>-1211250</v>
      </c>
      <c r="I162" s="11">
        <v>0</v>
      </c>
      <c r="K162" s="844">
        <f t="shared" si="12"/>
        <v>938153.60999999987</v>
      </c>
      <c r="L162" s="10"/>
      <c r="M162" s="9"/>
      <c r="O162" s="13"/>
    </row>
    <row r="163" spans="1:15" outlineLevel="2">
      <c r="A163" s="421">
        <f t="shared" si="13"/>
        <v>158</v>
      </c>
      <c r="B163" s="9" t="s">
        <v>544</v>
      </c>
      <c r="C163" s="15" t="s">
        <v>897</v>
      </c>
      <c r="D163" s="10" t="s">
        <v>898</v>
      </c>
      <c r="E163" s="11">
        <v>6811985.8099999996</v>
      </c>
      <c r="G163" s="11">
        <f t="shared" si="11"/>
        <v>6811985.8099999996</v>
      </c>
      <c r="H163" s="11">
        <v>-1197122</v>
      </c>
      <c r="I163" s="11">
        <v>0</v>
      </c>
      <c r="K163" s="844">
        <f t="shared" si="12"/>
        <v>5614863.8099999996</v>
      </c>
      <c r="L163" s="10"/>
      <c r="M163" s="9"/>
      <c r="O163" s="13"/>
    </row>
    <row r="164" spans="1:15" outlineLevel="2">
      <c r="A164" s="421">
        <f t="shared" si="13"/>
        <v>159</v>
      </c>
      <c r="B164" s="9" t="s">
        <v>544</v>
      </c>
      <c r="C164" s="15" t="s">
        <v>899</v>
      </c>
      <c r="D164" s="10" t="s">
        <v>900</v>
      </c>
      <c r="E164" s="11">
        <v>2101778.7999999998</v>
      </c>
      <c r="G164" s="11">
        <f t="shared" si="11"/>
        <v>2101778.7999999998</v>
      </c>
      <c r="H164" s="11">
        <v>-17147</v>
      </c>
      <c r="I164" s="11">
        <v>0</v>
      </c>
      <c r="K164" s="844">
        <f t="shared" si="12"/>
        <v>2084631.7999999998</v>
      </c>
      <c r="L164" s="10"/>
      <c r="M164" s="9"/>
      <c r="O164" s="13"/>
    </row>
    <row r="165" spans="1:15" outlineLevel="2">
      <c r="A165" s="421">
        <f t="shared" si="13"/>
        <v>160</v>
      </c>
      <c r="B165" s="9" t="s">
        <v>544</v>
      </c>
      <c r="C165" s="15" t="s">
        <v>901</v>
      </c>
      <c r="D165" s="10" t="s">
        <v>902</v>
      </c>
      <c r="E165" s="11">
        <v>579.42999999999995</v>
      </c>
      <c r="G165" s="11">
        <f t="shared" si="11"/>
        <v>579.42999999999995</v>
      </c>
      <c r="H165" s="11">
        <v>-579</v>
      </c>
      <c r="I165" s="11">
        <v>0</v>
      </c>
      <c r="K165" s="844">
        <f t="shared" si="12"/>
        <v>0.42999999999994998</v>
      </c>
      <c r="L165" s="10"/>
      <c r="M165" s="9"/>
      <c r="O165" s="13"/>
    </row>
    <row r="166" spans="1:15" outlineLevel="2">
      <c r="A166" s="421">
        <f t="shared" si="13"/>
        <v>161</v>
      </c>
      <c r="B166" s="9" t="s">
        <v>544</v>
      </c>
      <c r="C166" s="15" t="s">
        <v>903</v>
      </c>
      <c r="D166" s="10" t="s">
        <v>904</v>
      </c>
      <c r="E166" s="11">
        <v>3507128.62</v>
      </c>
      <c r="G166" s="11">
        <f t="shared" si="11"/>
        <v>3507128.62</v>
      </c>
      <c r="H166" s="11">
        <v>-41652</v>
      </c>
      <c r="I166" s="11">
        <v>0</v>
      </c>
      <c r="K166" s="844">
        <f t="shared" si="12"/>
        <v>3465476.62</v>
      </c>
      <c r="L166" s="10"/>
      <c r="M166" s="9"/>
      <c r="O166" s="13"/>
    </row>
    <row r="167" spans="1:15" outlineLevel="2">
      <c r="A167" s="421">
        <f t="shared" si="13"/>
        <v>162</v>
      </c>
      <c r="B167" s="9" t="s">
        <v>544</v>
      </c>
      <c r="C167" s="15" t="s">
        <v>905</v>
      </c>
      <c r="D167" s="10" t="s">
        <v>906</v>
      </c>
      <c r="E167" s="11">
        <v>749767.78</v>
      </c>
      <c r="G167" s="11">
        <f t="shared" si="11"/>
        <v>749767.78</v>
      </c>
      <c r="H167" s="11">
        <v>-494847</v>
      </c>
      <c r="I167" s="11">
        <v>0</v>
      </c>
      <c r="K167" s="844">
        <f t="shared" si="12"/>
        <v>254920.78000000003</v>
      </c>
      <c r="M167" s="9"/>
      <c r="O167" s="13"/>
    </row>
    <row r="168" spans="1:15" outlineLevel="2">
      <c r="A168" s="421">
        <f t="shared" si="13"/>
        <v>163</v>
      </c>
      <c r="B168" s="9" t="s">
        <v>544</v>
      </c>
      <c r="C168" s="15" t="s">
        <v>907</v>
      </c>
      <c r="D168" s="10" t="s">
        <v>908</v>
      </c>
      <c r="E168" s="11">
        <v>5508482</v>
      </c>
      <c r="G168" s="11">
        <f t="shared" si="11"/>
        <v>5508482</v>
      </c>
      <c r="H168" s="11">
        <v>-164229</v>
      </c>
      <c r="I168" s="11">
        <v>0</v>
      </c>
      <c r="K168" s="844">
        <f>SUM(G168:J168)</f>
        <v>5344253</v>
      </c>
      <c r="L168" s="10"/>
      <c r="M168" s="9"/>
      <c r="O168" s="13"/>
    </row>
    <row r="169" spans="1:15" outlineLevel="2">
      <c r="A169" s="421">
        <f t="shared" si="13"/>
        <v>164</v>
      </c>
      <c r="B169" s="9" t="s">
        <v>544</v>
      </c>
      <c r="C169" s="15" t="s">
        <v>909</v>
      </c>
      <c r="D169" s="10" t="s">
        <v>910</v>
      </c>
      <c r="E169" s="11">
        <v>4296872.84</v>
      </c>
      <c r="G169" s="11">
        <f t="shared" si="11"/>
        <v>4296872.84</v>
      </c>
      <c r="H169" s="11">
        <v>0</v>
      </c>
      <c r="I169" s="11">
        <v>0</v>
      </c>
      <c r="K169" s="844">
        <f t="shared" si="12"/>
        <v>4296872.84</v>
      </c>
      <c r="L169" s="10"/>
      <c r="M169" s="9"/>
      <c r="O169" s="13"/>
    </row>
    <row r="170" spans="1:15" ht="12.75" customHeight="1" outlineLevel="2">
      <c r="A170" s="421">
        <f t="shared" si="13"/>
        <v>165</v>
      </c>
      <c r="B170" s="9" t="s">
        <v>544</v>
      </c>
      <c r="C170" s="15" t="s">
        <v>911</v>
      </c>
      <c r="D170" s="10" t="s">
        <v>912</v>
      </c>
      <c r="E170" s="11">
        <v>1235034.1000000001</v>
      </c>
      <c r="G170" s="11">
        <f t="shared" si="11"/>
        <v>1235034.1000000001</v>
      </c>
      <c r="H170" s="11">
        <v>-586376.6</v>
      </c>
      <c r="I170" s="11">
        <v>0</v>
      </c>
      <c r="K170" s="844">
        <f t="shared" si="12"/>
        <v>648657.50000000012</v>
      </c>
      <c r="L170" s="10"/>
      <c r="M170" s="9"/>
      <c r="O170" s="13"/>
    </row>
    <row r="171" spans="1:15" outlineLevel="2">
      <c r="A171" s="421">
        <f t="shared" si="13"/>
        <v>166</v>
      </c>
      <c r="B171" s="9" t="s">
        <v>544</v>
      </c>
      <c r="C171" s="15" t="s">
        <v>913</v>
      </c>
      <c r="D171" s="10" t="s">
        <v>914</v>
      </c>
      <c r="E171" s="11">
        <v>27447906.109999999</v>
      </c>
      <c r="G171" s="11">
        <f t="shared" si="11"/>
        <v>27447906.109999999</v>
      </c>
      <c r="H171" s="11">
        <v>0</v>
      </c>
      <c r="I171" s="11">
        <v>0</v>
      </c>
      <c r="K171" s="844">
        <f t="shared" si="12"/>
        <v>27447906.109999999</v>
      </c>
      <c r="L171" s="10"/>
      <c r="M171" s="9"/>
      <c r="O171" s="13"/>
    </row>
    <row r="172" spans="1:15" outlineLevel="2">
      <c r="A172" s="421">
        <f t="shared" si="13"/>
        <v>167</v>
      </c>
      <c r="B172" s="9" t="s">
        <v>544</v>
      </c>
      <c r="C172" s="15" t="s">
        <v>915</v>
      </c>
      <c r="D172" s="10" t="s">
        <v>916</v>
      </c>
      <c r="E172" s="11">
        <v>4485547.91</v>
      </c>
      <c r="G172" s="11">
        <f t="shared" si="11"/>
        <v>4485547.91</v>
      </c>
      <c r="H172" s="11">
        <v>-40435</v>
      </c>
      <c r="I172" s="11">
        <v>0</v>
      </c>
      <c r="K172" s="844">
        <f t="shared" si="12"/>
        <v>4445112.91</v>
      </c>
      <c r="L172" s="10"/>
      <c r="M172" s="9"/>
      <c r="O172" s="13"/>
    </row>
    <row r="173" spans="1:15" outlineLevel="2">
      <c r="A173" s="421">
        <f t="shared" si="13"/>
        <v>168</v>
      </c>
      <c r="B173" s="9" t="s">
        <v>544</v>
      </c>
      <c r="C173" s="15" t="s">
        <v>917</v>
      </c>
      <c r="D173" s="10" t="s">
        <v>918</v>
      </c>
      <c r="E173" s="11">
        <v>7486470.7199999997</v>
      </c>
      <c r="G173" s="11">
        <f t="shared" si="11"/>
        <v>7486470.7199999997</v>
      </c>
      <c r="H173" s="11">
        <v>-1303371.45</v>
      </c>
      <c r="I173" s="11">
        <v>0</v>
      </c>
      <c r="K173" s="844">
        <f>SUM(G173:J173)</f>
        <v>6183099.2699999996</v>
      </c>
      <c r="L173" s="10"/>
      <c r="M173" s="9"/>
      <c r="O173" s="13"/>
    </row>
    <row r="174" spans="1:15" outlineLevel="2">
      <c r="A174" s="421">
        <f t="shared" si="13"/>
        <v>169</v>
      </c>
      <c r="B174" s="9" t="s">
        <v>544</v>
      </c>
      <c r="C174" s="15" t="s">
        <v>919</v>
      </c>
      <c r="D174" s="10" t="s">
        <v>920</v>
      </c>
      <c r="E174" s="11">
        <v>253710.27</v>
      </c>
      <c r="G174" s="11">
        <f t="shared" si="11"/>
        <v>253710.27</v>
      </c>
      <c r="H174" s="11">
        <v>0</v>
      </c>
      <c r="I174" s="11">
        <v>0</v>
      </c>
      <c r="K174" s="844">
        <f t="shared" si="12"/>
        <v>253710.27</v>
      </c>
      <c r="L174" s="10"/>
      <c r="M174" s="9"/>
      <c r="O174" s="13"/>
    </row>
    <row r="175" spans="1:15" outlineLevel="2">
      <c r="A175" s="421">
        <f t="shared" si="13"/>
        <v>170</v>
      </c>
      <c r="B175" s="9" t="s">
        <v>544</v>
      </c>
      <c r="C175" s="15" t="s">
        <v>921</v>
      </c>
      <c r="D175" s="10" t="s">
        <v>922</v>
      </c>
      <c r="E175" s="11">
        <v>13833713.08</v>
      </c>
      <c r="G175" s="11">
        <f t="shared" si="11"/>
        <v>13833713.08</v>
      </c>
      <c r="H175" s="11">
        <v>0</v>
      </c>
      <c r="I175" s="11">
        <v>0</v>
      </c>
      <c r="K175" s="844">
        <f t="shared" si="12"/>
        <v>13833713.08</v>
      </c>
      <c r="M175" s="9"/>
      <c r="O175" s="13"/>
    </row>
    <row r="176" spans="1:15" outlineLevel="2">
      <c r="A176" s="421">
        <f t="shared" si="13"/>
        <v>171</v>
      </c>
      <c r="B176" s="9" t="s">
        <v>544</v>
      </c>
      <c r="C176" s="15" t="s">
        <v>923</v>
      </c>
      <c r="D176" s="10" t="s">
        <v>924</v>
      </c>
      <c r="E176" s="11">
        <v>17456296.390000001</v>
      </c>
      <c r="F176" s="11">
        <v>1671352</v>
      </c>
      <c r="G176" s="11">
        <f t="shared" si="11"/>
        <v>19127648.390000001</v>
      </c>
      <c r="H176" s="11">
        <v>-163144</v>
      </c>
      <c r="I176" s="11">
        <v>0</v>
      </c>
      <c r="K176" s="844">
        <f t="shared" si="12"/>
        <v>18964504.390000001</v>
      </c>
      <c r="L176" s="10"/>
      <c r="M176" s="9"/>
      <c r="O176" s="13"/>
    </row>
    <row r="177" spans="1:15" outlineLevel="2">
      <c r="A177" s="421">
        <f t="shared" si="13"/>
        <v>172</v>
      </c>
      <c r="B177" s="9" t="s">
        <v>544</v>
      </c>
      <c r="C177" s="15" t="s">
        <v>925</v>
      </c>
      <c r="D177" s="10" t="s">
        <v>926</v>
      </c>
      <c r="E177" s="11">
        <v>1725310.24</v>
      </c>
      <c r="G177" s="11">
        <f t="shared" si="11"/>
        <v>1725310.24</v>
      </c>
      <c r="H177" s="11">
        <v>0</v>
      </c>
      <c r="I177" s="11">
        <v>0</v>
      </c>
      <c r="K177" s="844">
        <f t="shared" si="12"/>
        <v>1725310.24</v>
      </c>
      <c r="M177" s="9"/>
      <c r="O177" s="13"/>
    </row>
    <row r="178" spans="1:15" outlineLevel="2">
      <c r="A178" s="421">
        <f t="shared" si="13"/>
        <v>173</v>
      </c>
      <c r="B178" s="9" t="s">
        <v>544</v>
      </c>
      <c r="C178" s="15" t="s">
        <v>927</v>
      </c>
      <c r="D178" s="10" t="s">
        <v>928</v>
      </c>
      <c r="E178" s="11">
        <v>14306726.75</v>
      </c>
      <c r="G178" s="11">
        <f t="shared" si="11"/>
        <v>14306726.75</v>
      </c>
      <c r="H178" s="11">
        <v>0</v>
      </c>
      <c r="I178" s="11">
        <v>0</v>
      </c>
      <c r="K178" s="844">
        <f t="shared" si="12"/>
        <v>14306726.75</v>
      </c>
      <c r="M178" s="9"/>
      <c r="O178" s="13"/>
    </row>
    <row r="179" spans="1:15" outlineLevel="2">
      <c r="A179" s="421">
        <f t="shared" si="13"/>
        <v>174</v>
      </c>
      <c r="B179" s="9" t="s">
        <v>544</v>
      </c>
      <c r="C179" s="15" t="s">
        <v>929</v>
      </c>
      <c r="D179" s="10" t="s">
        <v>930</v>
      </c>
      <c r="E179" s="11">
        <v>19014781.940000001</v>
      </c>
      <c r="G179" s="11">
        <f>E179+F179</f>
        <v>19014781.940000001</v>
      </c>
      <c r="H179" s="11">
        <v>0</v>
      </c>
      <c r="I179" s="11">
        <v>0</v>
      </c>
      <c r="K179" s="844">
        <f t="shared" si="12"/>
        <v>19014781.940000001</v>
      </c>
      <c r="M179" s="9"/>
      <c r="O179" s="13"/>
    </row>
    <row r="180" spans="1:15" outlineLevel="2">
      <c r="A180" s="421">
        <f t="shared" si="13"/>
        <v>175</v>
      </c>
      <c r="B180" s="9" t="s">
        <v>544</v>
      </c>
      <c r="C180" s="15" t="s">
        <v>931</v>
      </c>
      <c r="D180" s="10" t="s">
        <v>932</v>
      </c>
      <c r="E180" s="11">
        <v>269023.35999999999</v>
      </c>
      <c r="G180" s="11">
        <f t="shared" si="11"/>
        <v>269023.35999999999</v>
      </c>
      <c r="H180" s="11">
        <v>0</v>
      </c>
      <c r="I180" s="11">
        <v>0</v>
      </c>
      <c r="K180" s="844">
        <f>SUM(G180:J180)</f>
        <v>269023.35999999999</v>
      </c>
      <c r="M180" s="9"/>
      <c r="O180" s="13"/>
    </row>
    <row r="181" spans="1:15" ht="12.75" customHeight="1" outlineLevel="2">
      <c r="A181" s="421">
        <f t="shared" si="13"/>
        <v>176</v>
      </c>
      <c r="B181" s="9" t="s">
        <v>544</v>
      </c>
      <c r="C181" s="15" t="s">
        <v>933</v>
      </c>
      <c r="D181" s="10" t="s">
        <v>934</v>
      </c>
      <c r="E181" s="11">
        <v>23973749.350000001</v>
      </c>
      <c r="G181" s="11">
        <f t="shared" si="11"/>
        <v>23973749.350000001</v>
      </c>
      <c r="H181" s="11">
        <v>-1922930</v>
      </c>
      <c r="I181" s="11">
        <v>0</v>
      </c>
      <c r="K181" s="844">
        <f t="shared" si="12"/>
        <v>22050819.350000001</v>
      </c>
      <c r="L181" s="10"/>
      <c r="M181" s="9"/>
      <c r="O181" s="13"/>
    </row>
    <row r="182" spans="1:15" outlineLevel="2">
      <c r="A182" s="421">
        <f t="shared" si="13"/>
        <v>177</v>
      </c>
      <c r="B182" s="9" t="s">
        <v>544</v>
      </c>
      <c r="C182" s="15" t="s">
        <v>935</v>
      </c>
      <c r="D182" s="10" t="s">
        <v>936</v>
      </c>
      <c r="E182" s="11">
        <v>8470403.9499999993</v>
      </c>
      <c r="G182" s="11">
        <f t="shared" si="11"/>
        <v>8470403.9499999993</v>
      </c>
      <c r="H182" s="11">
        <v>0</v>
      </c>
      <c r="I182" s="11">
        <v>0</v>
      </c>
      <c r="K182" s="844">
        <f t="shared" si="12"/>
        <v>8470403.9499999993</v>
      </c>
      <c r="M182" s="9"/>
      <c r="O182" s="13"/>
    </row>
    <row r="183" spans="1:15" outlineLevel="2">
      <c r="A183" s="421">
        <f t="shared" si="13"/>
        <v>178</v>
      </c>
      <c r="B183" s="9" t="s">
        <v>544</v>
      </c>
      <c r="C183" s="15" t="s">
        <v>937</v>
      </c>
      <c r="D183" s="10" t="s">
        <v>938</v>
      </c>
      <c r="E183" s="11">
        <v>1517924.97</v>
      </c>
      <c r="F183" s="11">
        <v>6216663</v>
      </c>
      <c r="G183" s="11">
        <f t="shared" si="11"/>
        <v>7734587.9699999997</v>
      </c>
      <c r="H183" s="11">
        <v>-43752</v>
      </c>
      <c r="I183" s="11">
        <v>0</v>
      </c>
      <c r="K183" s="844">
        <f t="shared" si="12"/>
        <v>7690835.9699999997</v>
      </c>
      <c r="L183" s="10"/>
      <c r="M183" s="9"/>
      <c r="O183" s="13"/>
    </row>
    <row r="184" spans="1:15" outlineLevel="2">
      <c r="A184" s="421">
        <f t="shared" si="13"/>
        <v>179</v>
      </c>
      <c r="B184" s="9" t="s">
        <v>544</v>
      </c>
      <c r="C184" s="15" t="s">
        <v>939</v>
      </c>
      <c r="D184" s="10" t="s">
        <v>940</v>
      </c>
      <c r="E184" s="11">
        <v>6180010.5999999996</v>
      </c>
      <c r="G184" s="11">
        <f t="shared" si="11"/>
        <v>6180010.5999999996</v>
      </c>
      <c r="H184" s="11">
        <v>-326877</v>
      </c>
      <c r="I184" s="11">
        <v>0</v>
      </c>
      <c r="K184" s="844">
        <f t="shared" si="12"/>
        <v>5853133.5999999996</v>
      </c>
      <c r="L184" s="10"/>
      <c r="M184" s="9"/>
      <c r="O184" s="13"/>
    </row>
    <row r="185" spans="1:15" outlineLevel="2">
      <c r="A185" s="421">
        <f t="shared" si="13"/>
        <v>180</v>
      </c>
      <c r="B185" s="9" t="s">
        <v>544</v>
      </c>
      <c r="C185" s="15" t="s">
        <v>941</v>
      </c>
      <c r="D185" s="10" t="s">
        <v>942</v>
      </c>
      <c r="E185" s="11">
        <v>8552324.4600000009</v>
      </c>
      <c r="G185" s="11">
        <f t="shared" si="11"/>
        <v>8552324.4600000009</v>
      </c>
      <c r="H185" s="11">
        <v>0</v>
      </c>
      <c r="I185" s="11">
        <v>0</v>
      </c>
      <c r="K185" s="844">
        <f>SUM(G185:J185)</f>
        <v>8552324.4600000009</v>
      </c>
      <c r="L185" s="10"/>
      <c r="M185" s="9"/>
      <c r="O185" s="13"/>
    </row>
    <row r="186" spans="1:15" outlineLevel="2">
      <c r="A186" s="421">
        <f t="shared" si="13"/>
        <v>181</v>
      </c>
      <c r="B186" s="9" t="s">
        <v>544</v>
      </c>
      <c r="C186" s="15" t="s">
        <v>943</v>
      </c>
      <c r="D186" s="10" t="s">
        <v>944</v>
      </c>
      <c r="E186" s="11">
        <f>82518.71+16015.17</f>
        <v>98533.88</v>
      </c>
      <c r="G186" s="11">
        <f t="shared" si="11"/>
        <v>98533.88</v>
      </c>
      <c r="H186" s="11">
        <v>0</v>
      </c>
      <c r="I186" s="11">
        <v>0</v>
      </c>
      <c r="K186" s="844">
        <f t="shared" si="12"/>
        <v>98533.88</v>
      </c>
      <c r="L186" s="10"/>
      <c r="M186" s="9"/>
      <c r="O186" s="13"/>
    </row>
    <row r="187" spans="1:15" outlineLevel="2">
      <c r="A187" s="421">
        <f t="shared" si="13"/>
        <v>182</v>
      </c>
      <c r="B187" s="9" t="s">
        <v>544</v>
      </c>
      <c r="C187" s="15" t="s">
        <v>945</v>
      </c>
      <c r="D187" s="10" t="s">
        <v>946</v>
      </c>
      <c r="E187" s="11">
        <v>12268218.32</v>
      </c>
      <c r="G187" s="11">
        <f t="shared" si="11"/>
        <v>12268218.32</v>
      </c>
      <c r="H187" s="11">
        <v>-62475</v>
      </c>
      <c r="I187" s="11">
        <v>0</v>
      </c>
      <c r="K187" s="844">
        <f t="shared" si="12"/>
        <v>12205743.32</v>
      </c>
      <c r="L187" s="10"/>
      <c r="M187" s="9"/>
      <c r="O187" s="13"/>
    </row>
    <row r="188" spans="1:15" outlineLevel="2">
      <c r="A188" s="421">
        <f t="shared" si="13"/>
        <v>183</v>
      </c>
      <c r="B188" s="9" t="s">
        <v>544</v>
      </c>
      <c r="C188" s="15" t="s">
        <v>947</v>
      </c>
      <c r="D188" s="10" t="s">
        <v>948</v>
      </c>
      <c r="E188" s="11">
        <v>6872237.8399999999</v>
      </c>
      <c r="G188" s="11">
        <f t="shared" si="11"/>
        <v>6872237.8399999999</v>
      </c>
      <c r="H188" s="11">
        <v>-59777.35</v>
      </c>
      <c r="I188" s="11">
        <v>0</v>
      </c>
      <c r="K188" s="844">
        <f t="shared" si="12"/>
        <v>6812460.4900000002</v>
      </c>
      <c r="L188" s="10"/>
      <c r="M188" s="9"/>
      <c r="O188" s="13"/>
    </row>
    <row r="189" spans="1:15" outlineLevel="2">
      <c r="A189" s="421">
        <f t="shared" si="13"/>
        <v>184</v>
      </c>
      <c r="B189" s="9" t="s">
        <v>544</v>
      </c>
      <c r="C189" s="15" t="s">
        <v>949</v>
      </c>
      <c r="D189" s="10" t="s">
        <v>950</v>
      </c>
      <c r="E189" s="11">
        <v>10832.21</v>
      </c>
      <c r="G189" s="11">
        <f t="shared" si="11"/>
        <v>10832.21</v>
      </c>
      <c r="H189" s="11">
        <v>0</v>
      </c>
      <c r="I189" s="11">
        <v>0</v>
      </c>
      <c r="K189" s="844">
        <f t="shared" si="12"/>
        <v>10832.21</v>
      </c>
      <c r="L189" s="10"/>
      <c r="M189" s="9"/>
      <c r="O189" s="13"/>
    </row>
    <row r="190" spans="1:15" outlineLevel="2">
      <c r="A190" s="421">
        <f t="shared" si="13"/>
        <v>185</v>
      </c>
      <c r="B190" s="9" t="s">
        <v>544</v>
      </c>
      <c r="C190" s="15" t="s">
        <v>951</v>
      </c>
      <c r="D190" s="10" t="s">
        <v>952</v>
      </c>
      <c r="E190" s="11">
        <v>3937936.1</v>
      </c>
      <c r="G190" s="11">
        <f t="shared" si="11"/>
        <v>3937936.1</v>
      </c>
      <c r="H190" s="11">
        <v>-143716</v>
      </c>
      <c r="I190" s="11">
        <v>0</v>
      </c>
      <c r="K190" s="844">
        <f t="shared" si="12"/>
        <v>3794220.1</v>
      </c>
      <c r="L190" s="10"/>
      <c r="M190" s="9"/>
      <c r="O190" s="13"/>
    </row>
    <row r="191" spans="1:15" outlineLevel="2">
      <c r="A191" s="421">
        <f t="shared" si="13"/>
        <v>186</v>
      </c>
      <c r="B191" s="9" t="s">
        <v>544</v>
      </c>
      <c r="C191" s="15" t="s">
        <v>953</v>
      </c>
      <c r="D191" s="10" t="s">
        <v>954</v>
      </c>
      <c r="E191" s="11">
        <v>12929079.859999999</v>
      </c>
      <c r="G191" s="11">
        <f t="shared" ref="G191:G196" si="14">E191+F191</f>
        <v>12929079.859999999</v>
      </c>
      <c r="H191" s="11">
        <v>-786535.83</v>
      </c>
      <c r="I191" s="11">
        <v>0</v>
      </c>
      <c r="K191" s="844">
        <f>SUM(G191:J191)</f>
        <v>12142544.029999999</v>
      </c>
      <c r="L191" s="10"/>
      <c r="M191" s="9"/>
      <c r="O191" s="13"/>
    </row>
    <row r="192" spans="1:15" outlineLevel="2">
      <c r="A192" s="421">
        <f t="shared" si="13"/>
        <v>187</v>
      </c>
      <c r="B192" s="9" t="s">
        <v>544</v>
      </c>
      <c r="C192" s="15" t="s">
        <v>955</v>
      </c>
      <c r="D192" s="10" t="s">
        <v>956</v>
      </c>
      <c r="E192" s="11">
        <v>25958918.93</v>
      </c>
      <c r="G192" s="11">
        <f t="shared" si="14"/>
        <v>25958918.93</v>
      </c>
      <c r="H192" s="11">
        <v>-3366858.99</v>
      </c>
      <c r="I192" s="11">
        <v>0</v>
      </c>
      <c r="K192" s="844">
        <f>SUM(G192:J192)</f>
        <v>22592059.939999998</v>
      </c>
      <c r="L192" s="10"/>
      <c r="M192" s="9"/>
      <c r="O192" s="13"/>
    </row>
    <row r="193" spans="1:15" outlineLevel="2">
      <c r="A193" s="421">
        <f t="shared" si="13"/>
        <v>188</v>
      </c>
      <c r="B193" s="9" t="s">
        <v>544</v>
      </c>
      <c r="C193" s="15" t="s">
        <v>957</v>
      </c>
      <c r="D193" s="10" t="s">
        <v>958</v>
      </c>
      <c r="E193" s="11">
        <v>7092854.1799999997</v>
      </c>
      <c r="G193" s="11">
        <f t="shared" si="14"/>
        <v>7092854.1799999997</v>
      </c>
      <c r="H193" s="11">
        <v>-1181101.42</v>
      </c>
      <c r="I193" s="11">
        <v>0</v>
      </c>
      <c r="K193" s="844">
        <f t="shared" ref="K193:K196" si="15">SUM(G193:J193)</f>
        <v>5911752.7599999998</v>
      </c>
      <c r="L193" s="10"/>
      <c r="M193" s="9"/>
      <c r="O193" s="13"/>
    </row>
    <row r="194" spans="1:15" outlineLevel="2">
      <c r="A194" s="421">
        <f t="shared" si="13"/>
        <v>189</v>
      </c>
      <c r="B194" s="9" t="s">
        <v>544</v>
      </c>
      <c r="C194" s="15" t="s">
        <v>959</v>
      </c>
      <c r="D194" s="10" t="s">
        <v>960</v>
      </c>
      <c r="E194" s="11">
        <v>3972264.11</v>
      </c>
      <c r="G194" s="11">
        <f t="shared" si="14"/>
        <v>3972264.11</v>
      </c>
      <c r="H194" s="11">
        <v>-1591198</v>
      </c>
      <c r="I194" s="11">
        <v>0</v>
      </c>
      <c r="K194" s="844">
        <f>SUM(G194:J194)</f>
        <v>2381066.11</v>
      </c>
      <c r="L194" s="10"/>
      <c r="M194" s="9"/>
      <c r="O194" s="13"/>
    </row>
    <row r="195" spans="1:15" outlineLevel="2">
      <c r="A195" s="421">
        <f t="shared" si="13"/>
        <v>190</v>
      </c>
      <c r="B195" s="9" t="s">
        <v>544</v>
      </c>
      <c r="C195" s="15" t="s">
        <v>961</v>
      </c>
      <c r="D195" s="10" t="s">
        <v>962</v>
      </c>
      <c r="E195" s="11">
        <v>4045847.17</v>
      </c>
      <c r="G195" s="11">
        <f t="shared" si="14"/>
        <v>4045847.17</v>
      </c>
      <c r="H195" s="11">
        <v>-158722</v>
      </c>
      <c r="I195" s="11">
        <v>0</v>
      </c>
      <c r="K195" s="844">
        <f t="shared" si="15"/>
        <v>3887125.17</v>
      </c>
      <c r="L195" s="10"/>
      <c r="M195" s="9"/>
      <c r="O195" s="13"/>
    </row>
    <row r="196" spans="1:15" outlineLevel="2">
      <c r="A196" s="421">
        <f t="shared" si="13"/>
        <v>191</v>
      </c>
      <c r="B196" s="9" t="s">
        <v>544</v>
      </c>
      <c r="C196" s="15" t="s">
        <v>963</v>
      </c>
      <c r="D196" s="10" t="s">
        <v>964</v>
      </c>
      <c r="E196" s="11">
        <v>11108747.65</v>
      </c>
      <c r="G196" s="11">
        <f t="shared" si="14"/>
        <v>11108747.65</v>
      </c>
      <c r="H196" s="11">
        <v>0</v>
      </c>
      <c r="I196" s="11">
        <v>0</v>
      </c>
      <c r="K196" s="844">
        <f t="shared" si="15"/>
        <v>11108747.65</v>
      </c>
      <c r="L196" s="10"/>
      <c r="M196" s="9"/>
      <c r="O196" s="13"/>
    </row>
    <row r="197" spans="1:15" outlineLevel="2">
      <c r="A197" s="421">
        <f t="shared" si="13"/>
        <v>192</v>
      </c>
      <c r="B197" s="9" t="s">
        <v>544</v>
      </c>
      <c r="C197" s="15" t="s">
        <v>965</v>
      </c>
      <c r="D197" s="10" t="s">
        <v>966</v>
      </c>
      <c r="E197" s="11">
        <v>29969.23</v>
      </c>
      <c r="G197" s="11">
        <f>E197+F197</f>
        <v>29969.23</v>
      </c>
      <c r="H197" s="11">
        <v>0</v>
      </c>
      <c r="I197" s="11">
        <v>0</v>
      </c>
      <c r="K197" s="844">
        <f t="shared" ref="K197:K203" si="16">SUM(G197:J197)</f>
        <v>29969.23</v>
      </c>
      <c r="L197" s="10"/>
      <c r="M197" s="9"/>
      <c r="O197" s="13"/>
    </row>
    <row r="198" spans="1:15" outlineLevel="2">
      <c r="A198" s="421">
        <f t="shared" si="13"/>
        <v>193</v>
      </c>
      <c r="B198" s="9" t="s">
        <v>544</v>
      </c>
      <c r="C198" s="15" t="s">
        <v>967</v>
      </c>
      <c r="D198" s="10" t="s">
        <v>968</v>
      </c>
      <c r="E198" s="11">
        <v>340848.27</v>
      </c>
      <c r="G198" s="11">
        <f t="shared" ref="G198:G217" si="17">E198+F198</f>
        <v>340848.27</v>
      </c>
      <c r="H198" s="11">
        <v>0</v>
      </c>
      <c r="I198" s="11">
        <v>0</v>
      </c>
      <c r="K198" s="844">
        <f t="shared" si="16"/>
        <v>340848.27</v>
      </c>
      <c r="L198" s="10"/>
      <c r="M198" s="9"/>
      <c r="O198" s="13"/>
    </row>
    <row r="199" spans="1:15" outlineLevel="2">
      <c r="A199" s="421">
        <f t="shared" ref="A199:A263" si="18">A198+1</f>
        <v>194</v>
      </c>
      <c r="B199" s="9" t="s">
        <v>544</v>
      </c>
      <c r="C199" s="15" t="s">
        <v>969</v>
      </c>
      <c r="D199" s="10" t="s">
        <v>970</v>
      </c>
      <c r="E199" s="11">
        <v>19476</v>
      </c>
      <c r="G199" s="11">
        <f t="shared" si="17"/>
        <v>19476</v>
      </c>
      <c r="H199" s="11">
        <v>0</v>
      </c>
      <c r="I199" s="11">
        <v>0</v>
      </c>
      <c r="K199" s="844">
        <f t="shared" si="16"/>
        <v>19476</v>
      </c>
      <c r="M199" s="9"/>
      <c r="O199" s="13"/>
    </row>
    <row r="200" spans="1:15" outlineLevel="2">
      <c r="A200" s="421">
        <f t="shared" si="18"/>
        <v>195</v>
      </c>
      <c r="B200" s="9" t="s">
        <v>544</v>
      </c>
      <c r="C200" s="15" t="s">
        <v>971</v>
      </c>
      <c r="D200" s="10" t="s">
        <v>972</v>
      </c>
      <c r="E200" s="11">
        <v>6503752.1500000004</v>
      </c>
      <c r="G200" s="11">
        <f t="shared" si="17"/>
        <v>6503752.1500000004</v>
      </c>
      <c r="H200" s="11">
        <v>-836290</v>
      </c>
      <c r="I200" s="11">
        <v>0</v>
      </c>
      <c r="K200" s="844">
        <f t="shared" si="16"/>
        <v>5667462.1500000004</v>
      </c>
      <c r="L200" s="10"/>
      <c r="M200" s="9"/>
      <c r="O200" s="13"/>
    </row>
    <row r="201" spans="1:15" outlineLevel="2">
      <c r="A201" s="421">
        <f t="shared" si="18"/>
        <v>196</v>
      </c>
      <c r="B201" s="9" t="s">
        <v>544</v>
      </c>
      <c r="C201" s="15" t="s">
        <v>973</v>
      </c>
      <c r="D201" s="10" t="s">
        <v>974</v>
      </c>
      <c r="E201" s="11">
        <v>7612599.4900000002</v>
      </c>
      <c r="F201" s="11">
        <v>2127113</v>
      </c>
      <c r="G201" s="11">
        <f t="shared" si="17"/>
        <v>9739712.4900000002</v>
      </c>
      <c r="H201" s="11">
        <v>-343742</v>
      </c>
      <c r="I201" s="11">
        <v>0</v>
      </c>
      <c r="K201" s="844">
        <f t="shared" si="16"/>
        <v>9395970.4900000002</v>
      </c>
      <c r="L201" s="10"/>
      <c r="M201" s="9"/>
      <c r="O201" s="13"/>
    </row>
    <row r="202" spans="1:15" outlineLevel="2">
      <c r="A202" s="421">
        <f t="shared" si="18"/>
        <v>197</v>
      </c>
      <c r="B202" s="9" t="s">
        <v>544</v>
      </c>
      <c r="C202" s="15" t="s">
        <v>975</v>
      </c>
      <c r="D202" s="10" t="s">
        <v>976</v>
      </c>
      <c r="E202" s="11">
        <v>1329825.83</v>
      </c>
      <c r="G202" s="11">
        <f t="shared" si="17"/>
        <v>1329825.83</v>
      </c>
      <c r="H202" s="11">
        <v>-154097</v>
      </c>
      <c r="I202" s="11">
        <v>0</v>
      </c>
      <c r="K202" s="844">
        <f t="shared" si="16"/>
        <v>1175728.83</v>
      </c>
      <c r="M202" s="9"/>
      <c r="O202" s="13"/>
    </row>
    <row r="203" spans="1:15" outlineLevel="2">
      <c r="A203" s="421">
        <f t="shared" si="18"/>
        <v>198</v>
      </c>
      <c r="B203" s="9" t="s">
        <v>544</v>
      </c>
      <c r="C203" s="15" t="s">
        <v>977</v>
      </c>
      <c r="D203" s="10" t="s">
        <v>978</v>
      </c>
      <c r="E203" s="11">
        <v>7904070.5800000001</v>
      </c>
      <c r="G203" s="11">
        <f t="shared" si="17"/>
        <v>7904070.5800000001</v>
      </c>
      <c r="H203" s="11">
        <v>0</v>
      </c>
      <c r="I203" s="11">
        <v>0</v>
      </c>
      <c r="K203" s="844">
        <f t="shared" si="16"/>
        <v>7904070.5800000001</v>
      </c>
      <c r="M203" s="9"/>
      <c r="O203" s="13"/>
    </row>
    <row r="204" spans="1:15" outlineLevel="2">
      <c r="A204" s="421">
        <f t="shared" si="18"/>
        <v>199</v>
      </c>
      <c r="B204" s="9" t="s">
        <v>544</v>
      </c>
      <c r="C204" s="15" t="s">
        <v>979</v>
      </c>
      <c r="D204" s="10" t="s">
        <v>980</v>
      </c>
      <c r="E204" s="11">
        <v>1895701.8</v>
      </c>
      <c r="G204" s="11">
        <f t="shared" si="17"/>
        <v>1895701.8</v>
      </c>
      <c r="H204" s="11">
        <v>0</v>
      </c>
      <c r="I204" s="11">
        <v>0</v>
      </c>
      <c r="K204" s="844">
        <f t="shared" ref="K204:K211" si="19">SUM(G204:J204)</f>
        <v>1895701.8</v>
      </c>
      <c r="M204" s="9"/>
      <c r="O204" s="13"/>
    </row>
    <row r="205" spans="1:15" outlineLevel="2">
      <c r="A205" s="421">
        <f t="shared" si="18"/>
        <v>200</v>
      </c>
      <c r="B205" s="9" t="s">
        <v>544</v>
      </c>
      <c r="C205" s="15" t="s">
        <v>981</v>
      </c>
      <c r="D205" s="10" t="s">
        <v>982</v>
      </c>
      <c r="E205" s="11">
        <f>305417.9+896681.51</f>
        <v>1202099.4100000001</v>
      </c>
      <c r="G205" s="11">
        <f t="shared" si="17"/>
        <v>1202099.4100000001</v>
      </c>
      <c r="H205" s="11">
        <v>0</v>
      </c>
      <c r="I205" s="11">
        <v>0</v>
      </c>
      <c r="K205" s="844">
        <f t="shared" si="19"/>
        <v>1202099.4100000001</v>
      </c>
      <c r="M205" s="9"/>
      <c r="O205" s="13"/>
    </row>
    <row r="206" spans="1:15" outlineLevel="2">
      <c r="A206" s="421">
        <f t="shared" si="18"/>
        <v>201</v>
      </c>
      <c r="B206" s="9" t="s">
        <v>544</v>
      </c>
      <c r="C206" s="15" t="s">
        <v>983</v>
      </c>
      <c r="D206" s="10" t="s">
        <v>984</v>
      </c>
      <c r="E206" s="11">
        <v>5351152.01</v>
      </c>
      <c r="G206" s="11">
        <f t="shared" si="17"/>
        <v>5351152.01</v>
      </c>
      <c r="H206" s="11">
        <v>0</v>
      </c>
      <c r="I206" s="11">
        <v>0</v>
      </c>
      <c r="K206" s="844">
        <f t="shared" si="19"/>
        <v>5351152.01</v>
      </c>
      <c r="M206" s="9"/>
      <c r="O206" s="13"/>
    </row>
    <row r="207" spans="1:15" outlineLevel="2">
      <c r="A207" s="421">
        <f t="shared" si="18"/>
        <v>202</v>
      </c>
      <c r="B207" s="9" t="s">
        <v>544</v>
      </c>
      <c r="C207" s="15" t="s">
        <v>985</v>
      </c>
      <c r="D207" s="10" t="s">
        <v>986</v>
      </c>
      <c r="E207" s="11">
        <v>3531440.82</v>
      </c>
      <c r="G207" s="11">
        <f t="shared" si="17"/>
        <v>3531440.82</v>
      </c>
      <c r="H207" s="11">
        <v>-586992</v>
      </c>
      <c r="I207" s="11">
        <v>0</v>
      </c>
      <c r="K207" s="844">
        <f t="shared" si="19"/>
        <v>2944448.82</v>
      </c>
      <c r="L207" s="10"/>
      <c r="M207" s="9"/>
      <c r="O207" s="13"/>
    </row>
    <row r="208" spans="1:15" outlineLevel="2">
      <c r="A208" s="421">
        <f t="shared" si="18"/>
        <v>203</v>
      </c>
      <c r="B208" s="9" t="s">
        <v>544</v>
      </c>
      <c r="C208" s="15" t="s">
        <v>987</v>
      </c>
      <c r="D208" s="10" t="s">
        <v>988</v>
      </c>
      <c r="E208" s="11">
        <v>7937659.71</v>
      </c>
      <c r="G208" s="11">
        <f t="shared" si="17"/>
        <v>7937659.71</v>
      </c>
      <c r="H208" s="11">
        <v>-1095435</v>
      </c>
      <c r="I208" s="11">
        <v>0</v>
      </c>
      <c r="K208" s="844">
        <f t="shared" si="19"/>
        <v>6842224.71</v>
      </c>
      <c r="M208" s="9"/>
      <c r="O208" s="13"/>
    </row>
    <row r="209" spans="1:15" outlineLevel="2">
      <c r="A209" s="421">
        <f t="shared" si="18"/>
        <v>204</v>
      </c>
      <c r="B209" s="9" t="s">
        <v>544</v>
      </c>
      <c r="C209" s="15" t="s">
        <v>989</v>
      </c>
      <c r="D209" s="10" t="s">
        <v>990</v>
      </c>
      <c r="E209" s="11">
        <v>5418695.9500000002</v>
      </c>
      <c r="G209" s="11">
        <f t="shared" si="17"/>
        <v>5418695.9500000002</v>
      </c>
      <c r="H209" s="11">
        <v>-195317.53</v>
      </c>
      <c r="I209" s="11">
        <v>0</v>
      </c>
      <c r="K209" s="844">
        <f t="shared" si="19"/>
        <v>5223378.42</v>
      </c>
      <c r="L209" s="10"/>
      <c r="M209" s="9"/>
      <c r="O209" s="13"/>
    </row>
    <row r="210" spans="1:15" outlineLevel="2">
      <c r="A210" s="421">
        <f t="shared" si="18"/>
        <v>205</v>
      </c>
      <c r="B210" s="9" t="s">
        <v>544</v>
      </c>
      <c r="C210" s="15" t="s">
        <v>60</v>
      </c>
      <c r="D210" s="10" t="s">
        <v>991</v>
      </c>
      <c r="E210" s="11">
        <v>72367.83</v>
      </c>
      <c r="G210" s="11">
        <f t="shared" si="17"/>
        <v>72367.83</v>
      </c>
      <c r="H210" s="11">
        <v>-72368</v>
      </c>
      <c r="I210" s="11">
        <v>0</v>
      </c>
      <c r="K210" s="844">
        <f>SUM(G210:J210)</f>
        <v>-0.16999999999825377</v>
      </c>
      <c r="L210" s="10"/>
      <c r="M210" s="9"/>
      <c r="O210" s="13"/>
    </row>
    <row r="211" spans="1:15" outlineLevel="2">
      <c r="A211" s="421">
        <f t="shared" si="18"/>
        <v>206</v>
      </c>
      <c r="B211" s="9" t="s">
        <v>544</v>
      </c>
      <c r="C211" s="15" t="s">
        <v>992</v>
      </c>
      <c r="D211" s="10" t="s">
        <v>993</v>
      </c>
      <c r="E211" s="11">
        <v>1944816.97</v>
      </c>
      <c r="G211" s="11">
        <f t="shared" si="17"/>
        <v>1944816.97</v>
      </c>
      <c r="H211" s="11">
        <v>-33744</v>
      </c>
      <c r="I211" s="11">
        <v>0</v>
      </c>
      <c r="K211" s="844">
        <f t="shared" si="19"/>
        <v>1911072.97</v>
      </c>
      <c r="L211" s="10"/>
      <c r="M211" s="9"/>
      <c r="O211" s="13"/>
    </row>
    <row r="212" spans="1:15" ht="13.5" customHeight="1" outlineLevel="2">
      <c r="A212" s="421">
        <f t="shared" si="18"/>
        <v>207</v>
      </c>
      <c r="B212" s="9" t="s">
        <v>544</v>
      </c>
      <c r="C212" s="15" t="s">
        <v>994</v>
      </c>
      <c r="D212" s="10" t="s">
        <v>995</v>
      </c>
      <c r="E212" s="11">
        <v>18362016.690000001</v>
      </c>
      <c r="G212" s="11">
        <f t="shared" si="17"/>
        <v>18362016.690000001</v>
      </c>
      <c r="H212" s="11">
        <v>0</v>
      </c>
      <c r="I212" s="11">
        <v>0</v>
      </c>
      <c r="K212" s="844">
        <f>SUM(G212:J212)</f>
        <v>18362016.690000001</v>
      </c>
      <c r="M212" s="9"/>
      <c r="O212" s="13"/>
    </row>
    <row r="213" spans="1:15" outlineLevel="2">
      <c r="A213" s="421">
        <f t="shared" si="18"/>
        <v>208</v>
      </c>
      <c r="B213" s="9" t="s">
        <v>544</v>
      </c>
      <c r="C213" s="15" t="s">
        <v>996</v>
      </c>
      <c r="D213" s="10" t="s">
        <v>997</v>
      </c>
      <c r="E213" s="11">
        <v>4160417.51</v>
      </c>
      <c r="G213" s="11">
        <f t="shared" si="17"/>
        <v>4160417.51</v>
      </c>
      <c r="H213" s="11">
        <v>-287497</v>
      </c>
      <c r="I213" s="11">
        <v>0</v>
      </c>
      <c r="K213" s="844">
        <f t="shared" ref="K213:K223" si="20">SUM(G213:J213)</f>
        <v>3872920.51</v>
      </c>
      <c r="L213" s="10"/>
      <c r="M213" s="9"/>
      <c r="O213" s="13"/>
    </row>
    <row r="214" spans="1:15" outlineLevel="2">
      <c r="A214" s="421">
        <f t="shared" si="18"/>
        <v>209</v>
      </c>
      <c r="B214" s="647" t="s">
        <v>544</v>
      </c>
      <c r="C214" s="648" t="s">
        <v>2707</v>
      </c>
      <c r="D214" s="649" t="s">
        <v>2706</v>
      </c>
      <c r="E214" s="11">
        <v>0</v>
      </c>
      <c r="G214" s="11">
        <f t="shared" si="17"/>
        <v>0</v>
      </c>
      <c r="K214" s="846">
        <f t="shared" si="20"/>
        <v>0</v>
      </c>
      <c r="L214" s="10"/>
      <c r="M214" s="9"/>
      <c r="O214" s="13"/>
    </row>
    <row r="215" spans="1:15" outlineLevel="2">
      <c r="A215" s="421">
        <f t="shared" si="18"/>
        <v>210</v>
      </c>
      <c r="B215" s="9" t="s">
        <v>544</v>
      </c>
      <c r="C215" s="15" t="s">
        <v>998</v>
      </c>
      <c r="D215" s="10" t="s">
        <v>999</v>
      </c>
      <c r="E215" s="11">
        <v>3770311.45</v>
      </c>
      <c r="G215" s="11">
        <f t="shared" si="17"/>
        <v>3770311.45</v>
      </c>
      <c r="H215" s="11">
        <v>-71356</v>
      </c>
      <c r="I215" s="11">
        <v>0</v>
      </c>
      <c r="K215" s="844">
        <f t="shared" si="20"/>
        <v>3698955.45</v>
      </c>
      <c r="L215" s="10"/>
      <c r="M215" s="9"/>
      <c r="O215" s="13"/>
    </row>
    <row r="216" spans="1:15" outlineLevel="2">
      <c r="A216" s="421">
        <f t="shared" si="18"/>
        <v>211</v>
      </c>
      <c r="B216" s="9" t="s">
        <v>544</v>
      </c>
      <c r="C216" s="15" t="s">
        <v>1000</v>
      </c>
      <c r="D216" s="10" t="s">
        <v>1001</v>
      </c>
      <c r="E216" s="11">
        <v>180660.37</v>
      </c>
      <c r="G216" s="11">
        <f t="shared" si="17"/>
        <v>180660.37</v>
      </c>
      <c r="H216" s="11">
        <v>0</v>
      </c>
      <c r="I216" s="11">
        <v>0</v>
      </c>
      <c r="K216" s="844">
        <f t="shared" si="20"/>
        <v>180660.37</v>
      </c>
      <c r="L216" s="10"/>
      <c r="M216" s="9"/>
      <c r="O216" s="13"/>
    </row>
    <row r="217" spans="1:15" outlineLevel="2">
      <c r="A217" s="421">
        <f t="shared" si="18"/>
        <v>212</v>
      </c>
      <c r="B217" s="9" t="s">
        <v>544</v>
      </c>
      <c r="C217" s="15" t="s">
        <v>1002</v>
      </c>
      <c r="D217" s="10" t="s">
        <v>1003</v>
      </c>
      <c r="E217" s="11">
        <v>890606.75</v>
      </c>
      <c r="G217" s="11">
        <f t="shared" si="17"/>
        <v>890606.75</v>
      </c>
      <c r="H217" s="11">
        <v>-108485</v>
      </c>
      <c r="I217" s="11">
        <v>0</v>
      </c>
      <c r="K217" s="844">
        <f t="shared" si="20"/>
        <v>782121.75</v>
      </c>
      <c r="L217" s="10"/>
      <c r="M217" s="9"/>
      <c r="O217" s="13"/>
    </row>
    <row r="218" spans="1:15" outlineLevel="2">
      <c r="A218" s="421">
        <f t="shared" si="18"/>
        <v>213</v>
      </c>
      <c r="B218" s="9" t="s">
        <v>544</v>
      </c>
      <c r="C218" s="15" t="s">
        <v>1004</v>
      </c>
      <c r="D218" s="10" t="s">
        <v>1005</v>
      </c>
      <c r="E218" s="11">
        <v>2034591.81</v>
      </c>
      <c r="G218" s="11">
        <f>E218+F218</f>
        <v>2034591.81</v>
      </c>
      <c r="H218" s="11">
        <v>-209290</v>
      </c>
      <c r="I218" s="11">
        <v>0</v>
      </c>
      <c r="K218" s="844">
        <f t="shared" si="20"/>
        <v>1825301.81</v>
      </c>
      <c r="L218" s="10"/>
      <c r="M218" s="9"/>
      <c r="O218" s="13"/>
    </row>
    <row r="219" spans="1:15" outlineLevel="2">
      <c r="A219" s="421">
        <f t="shared" si="18"/>
        <v>214</v>
      </c>
      <c r="B219" s="9" t="s">
        <v>544</v>
      </c>
      <c r="C219" s="15" t="s">
        <v>1006</v>
      </c>
      <c r="D219" s="10" t="s">
        <v>1007</v>
      </c>
      <c r="E219" s="11">
        <v>4220540.96</v>
      </c>
      <c r="G219" s="11">
        <f t="shared" ref="G219:G237" si="21">E219+F219</f>
        <v>4220540.96</v>
      </c>
      <c r="H219" s="11">
        <v>-699890</v>
      </c>
      <c r="I219" s="11">
        <v>0</v>
      </c>
      <c r="K219" s="844">
        <f t="shared" si="20"/>
        <v>3520650.96</v>
      </c>
      <c r="L219" s="10"/>
      <c r="M219" s="9"/>
      <c r="O219" s="13"/>
    </row>
    <row r="220" spans="1:15" outlineLevel="2">
      <c r="A220" s="421">
        <f t="shared" si="18"/>
        <v>215</v>
      </c>
      <c r="B220" s="9" t="s">
        <v>544</v>
      </c>
      <c r="C220" s="15" t="s">
        <v>1008</v>
      </c>
      <c r="D220" s="10" t="s">
        <v>1009</v>
      </c>
      <c r="E220" s="11">
        <v>992414.68</v>
      </c>
      <c r="G220" s="11">
        <f t="shared" si="21"/>
        <v>992414.68</v>
      </c>
      <c r="H220" s="11">
        <v>-160601.15</v>
      </c>
      <c r="I220" s="11">
        <v>0</v>
      </c>
      <c r="K220" s="844">
        <f>SUM(G220:J220)</f>
        <v>831813.53</v>
      </c>
      <c r="L220" s="10"/>
      <c r="M220" s="9"/>
      <c r="O220" s="13"/>
    </row>
    <row r="221" spans="1:15" outlineLevel="2">
      <c r="A221" s="421">
        <f t="shared" si="18"/>
        <v>216</v>
      </c>
      <c r="B221" s="9" t="s">
        <v>544</v>
      </c>
      <c r="C221" s="15" t="s">
        <v>1010</v>
      </c>
      <c r="D221" s="10" t="s">
        <v>1011</v>
      </c>
      <c r="E221" s="11">
        <v>250628.78</v>
      </c>
      <c r="G221" s="11">
        <f t="shared" si="21"/>
        <v>250628.78</v>
      </c>
      <c r="H221" s="11">
        <v>-250629</v>
      </c>
      <c r="I221" s="11">
        <v>0</v>
      </c>
      <c r="K221" s="844">
        <f t="shared" si="20"/>
        <v>-0.22000000000116415</v>
      </c>
      <c r="L221" s="10"/>
      <c r="M221" s="9"/>
      <c r="O221" s="13"/>
    </row>
    <row r="222" spans="1:15" outlineLevel="2">
      <c r="A222" s="421">
        <f t="shared" si="18"/>
        <v>217</v>
      </c>
      <c r="B222" s="9" t="s">
        <v>544</v>
      </c>
      <c r="C222" s="15" t="s">
        <v>1012</v>
      </c>
      <c r="D222" s="10" t="s">
        <v>1013</v>
      </c>
      <c r="E222" s="11">
        <f>5739050.59</f>
        <v>5739050.5899999999</v>
      </c>
      <c r="G222" s="11">
        <f t="shared" si="21"/>
        <v>5739050.5899999999</v>
      </c>
      <c r="H222" s="11">
        <v>-630014.97</v>
      </c>
      <c r="I222" s="11">
        <v>0</v>
      </c>
      <c r="K222" s="844">
        <f t="shared" si="20"/>
        <v>5109035.62</v>
      </c>
      <c r="L222" s="10"/>
      <c r="M222" s="9"/>
      <c r="O222" s="13"/>
    </row>
    <row r="223" spans="1:15" outlineLevel="2">
      <c r="A223" s="421">
        <f t="shared" si="18"/>
        <v>218</v>
      </c>
      <c r="B223" s="9" t="s">
        <v>544</v>
      </c>
      <c r="C223" s="15" t="s">
        <v>1014</v>
      </c>
      <c r="D223" s="10" t="s">
        <v>1015</v>
      </c>
      <c r="E223" s="11">
        <v>1733527.61</v>
      </c>
      <c r="G223" s="11">
        <f t="shared" si="21"/>
        <v>1733527.61</v>
      </c>
      <c r="H223" s="11">
        <v>-1733528</v>
      </c>
      <c r="I223" s="11">
        <v>0</v>
      </c>
      <c r="K223" s="844">
        <f t="shared" si="20"/>
        <v>-0.38999999989755452</v>
      </c>
      <c r="M223" s="9"/>
      <c r="O223" s="13"/>
    </row>
    <row r="224" spans="1:15" outlineLevel="2">
      <c r="A224" s="421">
        <f t="shared" si="18"/>
        <v>219</v>
      </c>
      <c r="B224" s="9" t="s">
        <v>544</v>
      </c>
      <c r="C224" s="15" t="s">
        <v>558</v>
      </c>
      <c r="D224" s="10" t="s">
        <v>1016</v>
      </c>
      <c r="E224" s="11">
        <v>8375650.7999999998</v>
      </c>
      <c r="G224" s="11">
        <f t="shared" si="21"/>
        <v>8375650.7999999998</v>
      </c>
      <c r="H224" s="11">
        <v>0</v>
      </c>
      <c r="I224" s="11">
        <v>0</v>
      </c>
      <c r="J224" s="11">
        <v>-8375651</v>
      </c>
      <c r="K224" s="844">
        <f>SUM(G224:J224)</f>
        <v>-0.20000000018626451</v>
      </c>
      <c r="M224" s="9"/>
      <c r="O224" s="13"/>
    </row>
    <row r="225" spans="1:15" outlineLevel="2">
      <c r="A225" s="421">
        <f t="shared" si="18"/>
        <v>220</v>
      </c>
      <c r="B225" s="9" t="s">
        <v>544</v>
      </c>
      <c r="C225" s="15" t="s">
        <v>1017</v>
      </c>
      <c r="D225" s="10" t="s">
        <v>1018</v>
      </c>
      <c r="E225" s="11">
        <v>623512.97</v>
      </c>
      <c r="G225" s="11">
        <f t="shared" si="21"/>
        <v>623512.97</v>
      </c>
      <c r="H225" s="11">
        <v>0</v>
      </c>
      <c r="I225" s="11">
        <v>0</v>
      </c>
      <c r="K225" s="844">
        <f>SUM(G225:J225)</f>
        <v>623512.97</v>
      </c>
      <c r="M225" s="9"/>
      <c r="O225" s="13"/>
    </row>
    <row r="226" spans="1:15" outlineLevel="2">
      <c r="A226" s="421">
        <f t="shared" si="18"/>
        <v>221</v>
      </c>
      <c r="B226" s="9" t="s">
        <v>544</v>
      </c>
      <c r="C226" s="15" t="s">
        <v>1019</v>
      </c>
      <c r="D226" s="10" t="s">
        <v>1020</v>
      </c>
      <c r="E226" s="11">
        <v>3439426.98</v>
      </c>
      <c r="G226" s="11">
        <f t="shared" si="21"/>
        <v>3439426.98</v>
      </c>
      <c r="H226" s="11">
        <v>-1380449</v>
      </c>
      <c r="I226" s="11">
        <v>0</v>
      </c>
      <c r="K226" s="844">
        <f t="shared" ref="K226:K269" si="22">SUM(G226:J226)</f>
        <v>2058977.98</v>
      </c>
      <c r="L226" s="10"/>
      <c r="M226" s="9"/>
      <c r="O226" s="13"/>
    </row>
    <row r="227" spans="1:15" outlineLevel="2">
      <c r="A227" s="421">
        <f t="shared" si="18"/>
        <v>222</v>
      </c>
      <c r="B227" s="9" t="s">
        <v>544</v>
      </c>
      <c r="C227" s="15" t="s">
        <v>1021</v>
      </c>
      <c r="D227" s="10" t="s">
        <v>1022</v>
      </c>
      <c r="E227" s="11">
        <v>8746430.1500000004</v>
      </c>
      <c r="G227" s="11">
        <f t="shared" si="21"/>
        <v>8746430.1500000004</v>
      </c>
      <c r="H227" s="11">
        <v>-1538024.12</v>
      </c>
      <c r="I227" s="11">
        <v>0</v>
      </c>
      <c r="K227" s="844">
        <f t="shared" si="22"/>
        <v>7208406.0300000003</v>
      </c>
      <c r="L227" s="10"/>
      <c r="M227" s="9"/>
      <c r="O227" s="13"/>
    </row>
    <row r="228" spans="1:15" outlineLevel="2">
      <c r="A228" s="421">
        <f t="shared" si="18"/>
        <v>223</v>
      </c>
      <c r="B228" s="9" t="s">
        <v>544</v>
      </c>
      <c r="C228" s="15" t="s">
        <v>1023</v>
      </c>
      <c r="D228" s="10" t="s">
        <v>1024</v>
      </c>
      <c r="E228" s="11">
        <v>74402.89</v>
      </c>
      <c r="G228" s="11">
        <f t="shared" si="21"/>
        <v>74402.89</v>
      </c>
      <c r="H228" s="11">
        <v>0</v>
      </c>
      <c r="I228" s="11">
        <v>0</v>
      </c>
      <c r="K228" s="844">
        <f t="shared" si="22"/>
        <v>74402.89</v>
      </c>
      <c r="M228" s="9"/>
      <c r="O228" s="13"/>
    </row>
    <row r="229" spans="1:15" outlineLevel="2">
      <c r="A229" s="421">
        <f t="shared" si="18"/>
        <v>224</v>
      </c>
      <c r="B229" s="9" t="s">
        <v>544</v>
      </c>
      <c r="C229" s="15" t="s">
        <v>1025</v>
      </c>
      <c r="D229" s="10" t="s">
        <v>1026</v>
      </c>
      <c r="E229" s="11">
        <v>4043804.21</v>
      </c>
      <c r="G229" s="11">
        <f t="shared" si="21"/>
        <v>4043804.21</v>
      </c>
      <c r="H229" s="11">
        <v>-4043804.41</v>
      </c>
      <c r="I229" s="11">
        <v>0</v>
      </c>
      <c r="K229" s="844">
        <f t="shared" si="22"/>
        <v>-0.20000000018626451</v>
      </c>
      <c r="L229" s="10"/>
      <c r="M229" s="9"/>
      <c r="O229" s="13"/>
    </row>
    <row r="230" spans="1:15" outlineLevel="2">
      <c r="A230" s="421">
        <f t="shared" si="18"/>
        <v>225</v>
      </c>
      <c r="B230" s="9" t="s">
        <v>544</v>
      </c>
      <c r="C230" s="15" t="s">
        <v>1027</v>
      </c>
      <c r="D230" s="10" t="s">
        <v>1028</v>
      </c>
      <c r="E230" s="11">
        <v>5664918.3300000001</v>
      </c>
      <c r="G230" s="11">
        <f t="shared" si="21"/>
        <v>5664918.3300000001</v>
      </c>
      <c r="H230" s="11">
        <v>-169696</v>
      </c>
      <c r="I230" s="11">
        <v>0</v>
      </c>
      <c r="K230" s="844">
        <f t="shared" si="22"/>
        <v>5495222.3300000001</v>
      </c>
      <c r="L230" s="10"/>
      <c r="M230" s="9"/>
      <c r="O230" s="13"/>
    </row>
    <row r="231" spans="1:15" outlineLevel="2">
      <c r="A231" s="421">
        <f t="shared" si="18"/>
        <v>226</v>
      </c>
      <c r="B231" s="9" t="s">
        <v>544</v>
      </c>
      <c r="C231" s="15" t="s">
        <v>1029</v>
      </c>
      <c r="D231" s="10" t="s">
        <v>1030</v>
      </c>
      <c r="E231" s="11">
        <v>22102.23</v>
      </c>
      <c r="G231" s="11">
        <f t="shared" si="21"/>
        <v>22102.23</v>
      </c>
      <c r="H231" s="11">
        <v>0</v>
      </c>
      <c r="I231" s="11">
        <v>0</v>
      </c>
      <c r="K231" s="844">
        <f t="shared" si="22"/>
        <v>22102.23</v>
      </c>
      <c r="L231" s="10"/>
      <c r="M231" s="9"/>
      <c r="O231" s="13"/>
    </row>
    <row r="232" spans="1:15" outlineLevel="2">
      <c r="A232" s="421">
        <f t="shared" si="18"/>
        <v>227</v>
      </c>
      <c r="B232" s="9" t="s">
        <v>544</v>
      </c>
      <c r="C232" s="15" t="s">
        <v>1031</v>
      </c>
      <c r="D232" s="10" t="s">
        <v>1032</v>
      </c>
      <c r="E232" s="11">
        <v>12976455.49</v>
      </c>
      <c r="F232" s="11">
        <v>4737319</v>
      </c>
      <c r="G232" s="11">
        <f t="shared" si="21"/>
        <v>17713774.490000002</v>
      </c>
      <c r="H232" s="11">
        <v>0</v>
      </c>
      <c r="I232" s="11">
        <v>0</v>
      </c>
      <c r="K232" s="844">
        <f>SUM(G232:J232)</f>
        <v>17713774.490000002</v>
      </c>
      <c r="M232" s="9"/>
      <c r="O232" s="13"/>
    </row>
    <row r="233" spans="1:15" outlineLevel="2">
      <c r="A233" s="421">
        <f t="shared" si="18"/>
        <v>228</v>
      </c>
      <c r="B233" s="9" t="s">
        <v>544</v>
      </c>
      <c r="C233" s="15" t="s">
        <v>1033</v>
      </c>
      <c r="D233" s="10" t="s">
        <v>1034</v>
      </c>
      <c r="E233" s="11">
        <v>15965764.93</v>
      </c>
      <c r="G233" s="11">
        <f t="shared" si="21"/>
        <v>15965764.93</v>
      </c>
      <c r="H233" s="11">
        <v>0</v>
      </c>
      <c r="I233" s="11">
        <v>0</v>
      </c>
      <c r="K233" s="844">
        <f t="shared" si="22"/>
        <v>15965764.93</v>
      </c>
      <c r="M233" s="9"/>
      <c r="O233" s="13"/>
    </row>
    <row r="234" spans="1:15" outlineLevel="2">
      <c r="A234" s="421">
        <f t="shared" si="18"/>
        <v>229</v>
      </c>
      <c r="B234" s="9" t="s">
        <v>544</v>
      </c>
      <c r="C234" s="15" t="s">
        <v>1035</v>
      </c>
      <c r="D234" s="10" t="s">
        <v>1036</v>
      </c>
      <c r="E234" s="11">
        <v>14869649.91</v>
      </c>
      <c r="G234" s="11">
        <f t="shared" si="21"/>
        <v>14869649.91</v>
      </c>
      <c r="H234" s="11">
        <v>-516513</v>
      </c>
      <c r="I234" s="11">
        <v>0</v>
      </c>
      <c r="K234" s="844">
        <f t="shared" si="22"/>
        <v>14353136.91</v>
      </c>
      <c r="L234" s="10"/>
      <c r="M234" s="9"/>
      <c r="O234" s="13"/>
    </row>
    <row r="235" spans="1:15" outlineLevel="2">
      <c r="A235" s="421">
        <f t="shared" si="18"/>
        <v>230</v>
      </c>
      <c r="B235" s="9" t="s">
        <v>544</v>
      </c>
      <c r="C235" s="15" t="s">
        <v>1037</v>
      </c>
      <c r="D235" s="10" t="s">
        <v>1038</v>
      </c>
      <c r="E235" s="11">
        <v>8022741.1900000004</v>
      </c>
      <c r="G235" s="11">
        <f t="shared" si="21"/>
        <v>8022741.1900000004</v>
      </c>
      <c r="H235" s="11">
        <v>-254683.47</v>
      </c>
      <c r="I235" s="11">
        <v>0</v>
      </c>
      <c r="K235" s="844">
        <f t="shared" si="22"/>
        <v>7768057.7200000007</v>
      </c>
      <c r="M235" s="9"/>
      <c r="O235" s="13"/>
    </row>
    <row r="236" spans="1:15" outlineLevel="2">
      <c r="A236" s="421">
        <f t="shared" si="18"/>
        <v>231</v>
      </c>
      <c r="B236" s="9" t="s">
        <v>544</v>
      </c>
      <c r="C236" s="15" t="s">
        <v>1039</v>
      </c>
      <c r="D236" s="10" t="s">
        <v>1040</v>
      </c>
      <c r="E236" s="11">
        <v>49735.05</v>
      </c>
      <c r="G236" s="11">
        <f t="shared" si="21"/>
        <v>49735.05</v>
      </c>
      <c r="H236" s="11">
        <v>0</v>
      </c>
      <c r="I236" s="11">
        <v>0</v>
      </c>
      <c r="K236" s="844">
        <f t="shared" si="22"/>
        <v>49735.05</v>
      </c>
      <c r="M236" s="9"/>
      <c r="O236" s="13"/>
    </row>
    <row r="237" spans="1:15" outlineLevel="2">
      <c r="A237" s="421">
        <f t="shared" si="18"/>
        <v>232</v>
      </c>
      <c r="B237" s="9" t="s">
        <v>544</v>
      </c>
      <c r="C237" s="15" t="s">
        <v>1041</v>
      </c>
      <c r="D237" s="10" t="s">
        <v>1042</v>
      </c>
      <c r="E237" s="11">
        <v>93606.07</v>
      </c>
      <c r="G237" s="11">
        <f t="shared" si="21"/>
        <v>93606.07</v>
      </c>
      <c r="H237" s="11">
        <v>0</v>
      </c>
      <c r="I237" s="11">
        <v>0</v>
      </c>
      <c r="K237" s="844">
        <f t="shared" si="22"/>
        <v>93606.07</v>
      </c>
      <c r="M237" s="9"/>
      <c r="O237" s="13"/>
    </row>
    <row r="238" spans="1:15" outlineLevel="2">
      <c r="A238" s="421">
        <f t="shared" si="18"/>
        <v>233</v>
      </c>
      <c r="B238" s="9" t="s">
        <v>544</v>
      </c>
      <c r="C238" s="15" t="s">
        <v>1043</v>
      </c>
      <c r="D238" s="10" t="s">
        <v>1044</v>
      </c>
      <c r="E238" s="11">
        <v>21125.51</v>
      </c>
      <c r="G238" s="11">
        <f>E238+F238</f>
        <v>21125.51</v>
      </c>
      <c r="H238" s="11">
        <v>0</v>
      </c>
      <c r="I238" s="11">
        <v>0</v>
      </c>
      <c r="K238" s="844">
        <f>SUM(G238:J238)</f>
        <v>21125.51</v>
      </c>
      <c r="M238" s="9"/>
      <c r="O238" s="13"/>
    </row>
    <row r="239" spans="1:15" outlineLevel="2">
      <c r="A239" s="421">
        <f t="shared" si="18"/>
        <v>234</v>
      </c>
      <c r="B239" s="9" t="s">
        <v>544</v>
      </c>
      <c r="C239" s="15" t="s">
        <v>1045</v>
      </c>
      <c r="D239" s="10" t="s">
        <v>1046</v>
      </c>
      <c r="E239" s="11">
        <v>3393720.65</v>
      </c>
      <c r="G239" s="11">
        <f>E239+F239</f>
        <v>3393720.65</v>
      </c>
      <c r="H239" s="11">
        <v>-334512.53999999998</v>
      </c>
      <c r="I239" s="11">
        <v>0</v>
      </c>
      <c r="K239" s="844">
        <f t="shared" si="22"/>
        <v>3059208.11</v>
      </c>
      <c r="M239" s="9"/>
      <c r="O239" s="13"/>
    </row>
    <row r="240" spans="1:15" outlineLevel="2">
      <c r="A240" s="421">
        <f t="shared" si="18"/>
        <v>235</v>
      </c>
      <c r="B240" s="9" t="s">
        <v>544</v>
      </c>
      <c r="C240" s="15" t="s">
        <v>1047</v>
      </c>
      <c r="D240" s="10" t="s">
        <v>1048</v>
      </c>
      <c r="E240" s="11">
        <v>638488.78</v>
      </c>
      <c r="G240" s="11">
        <f t="shared" ref="G240:G256" si="23">E240+F240</f>
        <v>638488.78</v>
      </c>
      <c r="H240" s="11">
        <v>-103121</v>
      </c>
      <c r="I240" s="11">
        <v>0</v>
      </c>
      <c r="K240" s="844">
        <f>SUM(G240:J240)</f>
        <v>535367.78</v>
      </c>
      <c r="M240" s="9"/>
      <c r="O240" s="13"/>
    </row>
    <row r="241" spans="1:15" outlineLevel="2">
      <c r="A241" s="421">
        <f t="shared" si="18"/>
        <v>236</v>
      </c>
      <c r="B241" s="9" t="s">
        <v>544</v>
      </c>
      <c r="C241" s="15" t="s">
        <v>1049</v>
      </c>
      <c r="D241" s="10" t="s">
        <v>1050</v>
      </c>
      <c r="E241" s="11">
        <v>166305.57999999999</v>
      </c>
      <c r="G241" s="11">
        <f t="shared" si="23"/>
        <v>166305.57999999999</v>
      </c>
      <c r="H241" s="11">
        <v>0</v>
      </c>
      <c r="I241" s="11">
        <v>0</v>
      </c>
      <c r="K241" s="844">
        <f t="shared" si="22"/>
        <v>166305.57999999999</v>
      </c>
      <c r="M241" s="9"/>
      <c r="O241" s="13"/>
    </row>
    <row r="242" spans="1:15" outlineLevel="2">
      <c r="A242" s="421">
        <f t="shared" si="18"/>
        <v>237</v>
      </c>
      <c r="B242" s="9" t="s">
        <v>544</v>
      </c>
      <c r="C242" s="15" t="s">
        <v>1051</v>
      </c>
      <c r="D242" s="10" t="s">
        <v>1052</v>
      </c>
      <c r="E242" s="11">
        <v>5243015</v>
      </c>
      <c r="G242" s="11">
        <f t="shared" si="23"/>
        <v>5243015</v>
      </c>
      <c r="H242" s="11">
        <v>0</v>
      </c>
      <c r="I242" s="11">
        <v>0</v>
      </c>
      <c r="K242" s="844">
        <f t="shared" si="22"/>
        <v>5243015</v>
      </c>
      <c r="M242" s="9"/>
      <c r="O242" s="13"/>
    </row>
    <row r="243" spans="1:15" outlineLevel="2">
      <c r="A243" s="421">
        <f t="shared" si="18"/>
        <v>238</v>
      </c>
      <c r="B243" s="9" t="s">
        <v>544</v>
      </c>
      <c r="C243" s="15" t="s">
        <v>1053</v>
      </c>
      <c r="D243" s="10" t="s">
        <v>1054</v>
      </c>
      <c r="E243" s="11">
        <v>937620.96</v>
      </c>
      <c r="G243" s="11">
        <f t="shared" si="23"/>
        <v>937620.96</v>
      </c>
      <c r="H243" s="11">
        <v>-125594</v>
      </c>
      <c r="I243" s="11">
        <v>0</v>
      </c>
      <c r="K243" s="844">
        <f t="shared" si="22"/>
        <v>812026.96</v>
      </c>
      <c r="L243" s="10"/>
      <c r="M243" s="9"/>
      <c r="O243" s="13"/>
    </row>
    <row r="244" spans="1:15" outlineLevel="2">
      <c r="A244" s="421">
        <f t="shared" si="18"/>
        <v>239</v>
      </c>
      <c r="B244" s="9" t="s">
        <v>544</v>
      </c>
      <c r="C244" s="15" t="s">
        <v>1055</v>
      </c>
      <c r="D244" s="10" t="s">
        <v>1056</v>
      </c>
      <c r="E244" s="11">
        <v>12816176.859999999</v>
      </c>
      <c r="G244" s="11">
        <f t="shared" si="23"/>
        <v>12816176.859999999</v>
      </c>
      <c r="H244" s="11">
        <v>0</v>
      </c>
      <c r="I244" s="11">
        <v>0</v>
      </c>
      <c r="K244" s="844">
        <f>SUM(G244:J244)</f>
        <v>12816176.859999999</v>
      </c>
      <c r="M244" s="9"/>
      <c r="O244" s="13"/>
    </row>
    <row r="245" spans="1:15" outlineLevel="2">
      <c r="A245" s="421">
        <f t="shared" si="18"/>
        <v>240</v>
      </c>
      <c r="B245" s="9" t="s">
        <v>544</v>
      </c>
      <c r="C245" s="15" t="s">
        <v>1057</v>
      </c>
      <c r="D245" s="10" t="s">
        <v>1058</v>
      </c>
      <c r="E245" s="11">
        <v>12228699.77</v>
      </c>
      <c r="G245" s="11">
        <f>E245+F245</f>
        <v>12228699.77</v>
      </c>
      <c r="H245" s="11">
        <v>0</v>
      </c>
      <c r="I245" s="11">
        <v>0</v>
      </c>
      <c r="K245" s="844">
        <f t="shared" si="22"/>
        <v>12228699.77</v>
      </c>
      <c r="M245" s="9"/>
      <c r="O245" s="13"/>
    </row>
    <row r="246" spans="1:15" outlineLevel="2">
      <c r="A246" s="421">
        <f t="shared" si="18"/>
        <v>241</v>
      </c>
      <c r="B246" s="9" t="s">
        <v>544</v>
      </c>
      <c r="C246" s="15" t="s">
        <v>1059</v>
      </c>
      <c r="D246" s="10" t="s">
        <v>1060</v>
      </c>
      <c r="E246" s="11">
        <v>6935917.9800000004</v>
      </c>
      <c r="G246" s="11">
        <f t="shared" si="23"/>
        <v>6935917.9800000004</v>
      </c>
      <c r="H246" s="11">
        <v>-176541</v>
      </c>
      <c r="I246" s="11">
        <v>0</v>
      </c>
      <c r="K246" s="844">
        <f t="shared" si="22"/>
        <v>6759376.9800000004</v>
      </c>
      <c r="L246" s="10"/>
      <c r="M246" s="9"/>
      <c r="O246" s="13"/>
    </row>
    <row r="247" spans="1:15" outlineLevel="2">
      <c r="A247" s="421">
        <f t="shared" si="18"/>
        <v>242</v>
      </c>
      <c r="B247" s="9" t="s">
        <v>544</v>
      </c>
      <c r="C247" s="15" t="s">
        <v>1061</v>
      </c>
      <c r="D247" s="10" t="s">
        <v>1062</v>
      </c>
      <c r="E247" s="11">
        <v>50120.56</v>
      </c>
      <c r="G247" s="11">
        <f t="shared" si="23"/>
        <v>50120.56</v>
      </c>
      <c r="H247" s="11">
        <v>0</v>
      </c>
      <c r="I247" s="11">
        <v>0</v>
      </c>
      <c r="K247" s="844">
        <f t="shared" si="22"/>
        <v>50120.56</v>
      </c>
      <c r="M247" s="9"/>
      <c r="O247" s="13"/>
    </row>
    <row r="248" spans="1:15" outlineLevel="2">
      <c r="A248" s="421">
        <f t="shared" si="18"/>
        <v>243</v>
      </c>
      <c r="B248" s="9" t="s">
        <v>544</v>
      </c>
      <c r="C248" s="15" t="s">
        <v>1063</v>
      </c>
      <c r="D248" s="10" t="s">
        <v>1064</v>
      </c>
      <c r="E248" s="11">
        <v>232375.26</v>
      </c>
      <c r="G248" s="11">
        <f t="shared" si="23"/>
        <v>232375.26</v>
      </c>
      <c r="H248" s="11">
        <v>0</v>
      </c>
      <c r="I248" s="11">
        <v>0</v>
      </c>
      <c r="K248" s="844">
        <f t="shared" si="22"/>
        <v>232375.26</v>
      </c>
      <c r="M248" s="9"/>
      <c r="O248" s="13"/>
    </row>
    <row r="249" spans="1:15" outlineLevel="2">
      <c r="A249" s="421">
        <f t="shared" si="18"/>
        <v>244</v>
      </c>
      <c r="B249" s="9" t="s">
        <v>544</v>
      </c>
      <c r="C249" s="15" t="s">
        <v>1065</v>
      </c>
      <c r="D249" s="10" t="s">
        <v>1066</v>
      </c>
      <c r="E249" s="11">
        <v>3220641.33</v>
      </c>
      <c r="G249" s="11">
        <f t="shared" si="23"/>
        <v>3220641.33</v>
      </c>
      <c r="H249" s="11">
        <v>0</v>
      </c>
      <c r="I249" s="11">
        <v>0</v>
      </c>
      <c r="K249" s="844">
        <f t="shared" si="22"/>
        <v>3220641.33</v>
      </c>
      <c r="M249" s="9"/>
      <c r="O249" s="13"/>
    </row>
    <row r="250" spans="1:15" outlineLevel="2">
      <c r="A250" s="421">
        <f t="shared" si="18"/>
        <v>245</v>
      </c>
      <c r="B250" s="9" t="s">
        <v>544</v>
      </c>
      <c r="C250" s="15" t="s">
        <v>1067</v>
      </c>
      <c r="D250" s="10" t="s">
        <v>1068</v>
      </c>
      <c r="E250" s="11">
        <v>1645870.56</v>
      </c>
      <c r="G250" s="11">
        <f t="shared" si="23"/>
        <v>1645870.56</v>
      </c>
      <c r="H250" s="11">
        <v>-654299</v>
      </c>
      <c r="I250" s="11">
        <v>0</v>
      </c>
      <c r="K250" s="844">
        <f t="shared" si="22"/>
        <v>991571.56</v>
      </c>
      <c r="L250" s="10"/>
      <c r="M250" s="9"/>
      <c r="O250" s="13"/>
    </row>
    <row r="251" spans="1:15" outlineLevel="2">
      <c r="A251" s="421">
        <f t="shared" si="18"/>
        <v>246</v>
      </c>
      <c r="B251" s="9" t="s">
        <v>544</v>
      </c>
      <c r="C251" s="15" t="s">
        <v>1070</v>
      </c>
      <c r="D251" s="10" t="s">
        <v>1071</v>
      </c>
      <c r="E251" s="11">
        <v>3453847.29</v>
      </c>
      <c r="G251" s="11">
        <f t="shared" si="23"/>
        <v>3453847.29</v>
      </c>
      <c r="H251" s="11">
        <v>-45362</v>
      </c>
      <c r="I251" s="11">
        <v>0</v>
      </c>
      <c r="K251" s="844">
        <f>SUM(G251:J251)</f>
        <v>3408485.29</v>
      </c>
      <c r="L251" s="10"/>
      <c r="M251" s="9"/>
      <c r="O251" s="13"/>
    </row>
    <row r="252" spans="1:15" outlineLevel="2">
      <c r="A252" s="421">
        <f t="shared" si="18"/>
        <v>247</v>
      </c>
      <c r="B252" s="9" t="s">
        <v>544</v>
      </c>
      <c r="C252" s="15" t="s">
        <v>1072</v>
      </c>
      <c r="D252" s="10" t="s">
        <v>1073</v>
      </c>
      <c r="E252" s="11">
        <v>2244714.9900000002</v>
      </c>
      <c r="G252" s="11">
        <f t="shared" si="23"/>
        <v>2244714.9900000002</v>
      </c>
      <c r="H252" s="11">
        <v>-942415</v>
      </c>
      <c r="I252" s="11">
        <v>0</v>
      </c>
      <c r="K252" s="844">
        <f t="shared" si="22"/>
        <v>1302299.9900000002</v>
      </c>
      <c r="L252" s="10"/>
      <c r="M252" s="9"/>
      <c r="O252" s="13"/>
    </row>
    <row r="253" spans="1:15" outlineLevel="2">
      <c r="A253" s="421">
        <f t="shared" si="18"/>
        <v>248</v>
      </c>
      <c r="B253" s="9" t="s">
        <v>544</v>
      </c>
      <c r="C253" s="15" t="s">
        <v>1074</v>
      </c>
      <c r="D253" s="10" t="s">
        <v>1075</v>
      </c>
      <c r="E253" s="11">
        <v>3223562.77</v>
      </c>
      <c r="G253" s="11">
        <f t="shared" si="23"/>
        <v>3223562.77</v>
      </c>
      <c r="H253" s="11">
        <v>0</v>
      </c>
      <c r="I253" s="11">
        <v>0</v>
      </c>
      <c r="K253" s="844">
        <f t="shared" si="22"/>
        <v>3223562.77</v>
      </c>
      <c r="M253" s="9"/>
      <c r="O253" s="13"/>
    </row>
    <row r="254" spans="1:15" outlineLevel="2">
      <c r="A254" s="421">
        <f t="shared" si="18"/>
        <v>249</v>
      </c>
      <c r="B254" s="9" t="s">
        <v>544</v>
      </c>
      <c r="C254" s="15" t="s">
        <v>1076</v>
      </c>
      <c r="D254" s="10" t="s">
        <v>1077</v>
      </c>
      <c r="E254" s="11">
        <v>11778774.810000001</v>
      </c>
      <c r="G254" s="11">
        <f t="shared" si="23"/>
        <v>11778774.810000001</v>
      </c>
      <c r="H254" s="11">
        <v>0</v>
      </c>
      <c r="I254" s="11">
        <v>0</v>
      </c>
      <c r="K254" s="844">
        <f t="shared" si="22"/>
        <v>11778774.810000001</v>
      </c>
      <c r="M254" s="9"/>
      <c r="O254" s="13"/>
    </row>
    <row r="255" spans="1:15" outlineLevel="2">
      <c r="A255" s="421">
        <f t="shared" si="18"/>
        <v>250</v>
      </c>
      <c r="B255" s="9" t="s">
        <v>544</v>
      </c>
      <c r="C255" s="15" t="s">
        <v>1078</v>
      </c>
      <c r="D255" s="10" t="s">
        <v>1079</v>
      </c>
      <c r="E255" s="11">
        <v>18723156.710000001</v>
      </c>
      <c r="G255" s="11">
        <f t="shared" si="23"/>
        <v>18723156.710000001</v>
      </c>
      <c r="H255" s="11">
        <v>0</v>
      </c>
      <c r="I255" s="11">
        <v>0</v>
      </c>
      <c r="K255" s="844">
        <f t="shared" si="22"/>
        <v>18723156.710000001</v>
      </c>
      <c r="L255" s="10"/>
      <c r="M255" s="9"/>
      <c r="O255" s="13"/>
    </row>
    <row r="256" spans="1:15" outlineLevel="2">
      <c r="A256" s="421">
        <f t="shared" si="18"/>
        <v>251</v>
      </c>
      <c r="B256" s="9" t="s">
        <v>544</v>
      </c>
      <c r="C256" s="15" t="s">
        <v>1080</v>
      </c>
      <c r="D256" s="10" t="s">
        <v>1081</v>
      </c>
      <c r="E256" s="11">
        <v>7600293.54</v>
      </c>
      <c r="G256" s="11">
        <f t="shared" si="23"/>
        <v>7600293.54</v>
      </c>
      <c r="H256" s="11">
        <v>-108365</v>
      </c>
      <c r="I256" s="11">
        <v>0</v>
      </c>
      <c r="K256" s="844">
        <f t="shared" si="22"/>
        <v>7491928.54</v>
      </c>
      <c r="L256" s="10"/>
      <c r="M256" s="9"/>
      <c r="O256" s="13"/>
    </row>
    <row r="257" spans="1:15" outlineLevel="2">
      <c r="A257" s="421">
        <f t="shared" si="18"/>
        <v>252</v>
      </c>
      <c r="B257" s="9" t="s">
        <v>544</v>
      </c>
      <c r="C257" s="15" t="s">
        <v>1082</v>
      </c>
      <c r="D257" s="10" t="s">
        <v>1083</v>
      </c>
      <c r="E257" s="11">
        <v>5141440.25</v>
      </c>
      <c r="G257" s="11">
        <f>E257+F257</f>
        <v>5141440.25</v>
      </c>
      <c r="H257" s="11">
        <v>-181849</v>
      </c>
      <c r="I257" s="11">
        <v>0</v>
      </c>
      <c r="K257" s="844">
        <f>SUM(G257:J257)</f>
        <v>4959591.25</v>
      </c>
      <c r="L257" s="10"/>
      <c r="M257" s="9"/>
      <c r="O257" s="13"/>
    </row>
    <row r="258" spans="1:15" outlineLevel="2">
      <c r="A258" s="421">
        <f t="shared" si="18"/>
        <v>253</v>
      </c>
      <c r="B258" s="9" t="s">
        <v>544</v>
      </c>
      <c r="C258" s="15" t="s">
        <v>1084</v>
      </c>
      <c r="D258" s="10" t="s">
        <v>1085</v>
      </c>
      <c r="E258" s="11">
        <v>40859.629999999997</v>
      </c>
      <c r="G258" s="11">
        <f t="shared" ref="G258:G269" si="24">E258+F258</f>
        <v>40859.629999999997</v>
      </c>
      <c r="H258" s="11">
        <v>0</v>
      </c>
      <c r="I258" s="11">
        <v>0</v>
      </c>
      <c r="K258" s="844">
        <f t="shared" si="22"/>
        <v>40859.629999999997</v>
      </c>
      <c r="M258" s="9"/>
      <c r="O258" s="13"/>
    </row>
    <row r="259" spans="1:15" outlineLevel="2">
      <c r="A259" s="421">
        <f t="shared" si="18"/>
        <v>254</v>
      </c>
      <c r="B259" s="9" t="s">
        <v>544</v>
      </c>
      <c r="C259" s="15" t="s">
        <v>1086</v>
      </c>
      <c r="D259" s="10" t="s">
        <v>1087</v>
      </c>
      <c r="E259" s="11">
        <v>109910.18</v>
      </c>
      <c r="G259" s="11">
        <f t="shared" si="24"/>
        <v>109910.18</v>
      </c>
      <c r="H259" s="11">
        <v>-54083</v>
      </c>
      <c r="I259" s="11">
        <v>0</v>
      </c>
      <c r="K259" s="844">
        <f t="shared" si="22"/>
        <v>55827.179999999993</v>
      </c>
      <c r="L259" s="10"/>
      <c r="M259" s="9"/>
      <c r="O259" s="13"/>
    </row>
    <row r="260" spans="1:15" outlineLevel="2">
      <c r="A260" s="421">
        <f t="shared" si="18"/>
        <v>255</v>
      </c>
      <c r="B260" s="9" t="s">
        <v>544</v>
      </c>
      <c r="C260" s="15" t="s">
        <v>1088</v>
      </c>
      <c r="D260" s="10" t="s">
        <v>1089</v>
      </c>
      <c r="E260" s="11">
        <v>11088274.43</v>
      </c>
      <c r="G260" s="11">
        <f t="shared" si="24"/>
        <v>11088274.43</v>
      </c>
      <c r="H260" s="11">
        <v>0</v>
      </c>
      <c r="I260" s="11">
        <v>0</v>
      </c>
      <c r="K260" s="844">
        <f t="shared" si="22"/>
        <v>11088274.43</v>
      </c>
      <c r="M260" s="9"/>
      <c r="O260" s="13"/>
    </row>
    <row r="261" spans="1:15" outlineLevel="2">
      <c r="A261" s="421">
        <f t="shared" si="18"/>
        <v>256</v>
      </c>
      <c r="B261" s="9" t="s">
        <v>544</v>
      </c>
      <c r="C261" s="15" t="s">
        <v>1090</v>
      </c>
      <c r="D261" s="10" t="s">
        <v>1091</v>
      </c>
      <c r="E261" s="11">
        <v>849186.01</v>
      </c>
      <c r="G261" s="11">
        <f t="shared" si="24"/>
        <v>849186.01</v>
      </c>
      <c r="H261" s="11">
        <v>-250593</v>
      </c>
      <c r="I261" s="11">
        <v>0</v>
      </c>
      <c r="K261" s="844">
        <f t="shared" si="22"/>
        <v>598593.01</v>
      </c>
      <c r="L261" s="10"/>
      <c r="M261" s="9"/>
      <c r="O261" s="13"/>
    </row>
    <row r="262" spans="1:15" outlineLevel="2">
      <c r="A262" s="421">
        <f t="shared" si="18"/>
        <v>257</v>
      </c>
      <c r="B262" s="9" t="s">
        <v>544</v>
      </c>
      <c r="C262" s="15" t="s">
        <v>1092</v>
      </c>
      <c r="D262" s="10" t="s">
        <v>1093</v>
      </c>
      <c r="E262" s="11">
        <v>15594604.08</v>
      </c>
      <c r="G262" s="11">
        <f t="shared" si="24"/>
        <v>15594604.08</v>
      </c>
      <c r="H262" s="11">
        <v>0</v>
      </c>
      <c r="I262" s="11">
        <v>0</v>
      </c>
      <c r="K262" s="844">
        <f t="shared" si="22"/>
        <v>15594604.08</v>
      </c>
      <c r="M262" s="9"/>
      <c r="O262" s="13"/>
    </row>
    <row r="263" spans="1:15" outlineLevel="2">
      <c r="A263" s="421">
        <f t="shared" si="18"/>
        <v>258</v>
      </c>
      <c r="B263" s="9" t="s">
        <v>544</v>
      </c>
      <c r="C263" s="15" t="s">
        <v>561</v>
      </c>
      <c r="D263" s="10" t="s">
        <v>2711</v>
      </c>
      <c r="E263" s="11">
        <v>8198986.5800000001</v>
      </c>
      <c r="G263" s="11">
        <f t="shared" si="24"/>
        <v>8198986.5800000001</v>
      </c>
      <c r="H263" s="11">
        <v>-97320</v>
      </c>
      <c r="I263" s="11">
        <v>0</v>
      </c>
      <c r="J263" s="11">
        <v>-403</v>
      </c>
      <c r="K263" s="844">
        <f t="shared" si="22"/>
        <v>8101263.5800000001</v>
      </c>
      <c r="M263" s="9"/>
      <c r="O263" s="13"/>
    </row>
    <row r="264" spans="1:15" outlineLevel="2">
      <c r="A264" s="421">
        <f t="shared" ref="A264:A327" si="25">A263+1</f>
        <v>259</v>
      </c>
      <c r="B264" s="9" t="s">
        <v>544</v>
      </c>
      <c r="C264" s="15" t="s">
        <v>1094</v>
      </c>
      <c r="D264" s="10" t="s">
        <v>1095</v>
      </c>
      <c r="E264" s="11">
        <v>3289729.45</v>
      </c>
      <c r="G264" s="11">
        <f t="shared" si="24"/>
        <v>3289729.45</v>
      </c>
      <c r="H264" s="11">
        <v>-243116.9</v>
      </c>
      <c r="I264" s="11">
        <v>0</v>
      </c>
      <c r="K264" s="844">
        <f>SUM(G264:J264)</f>
        <v>3046612.5500000003</v>
      </c>
      <c r="L264" s="10"/>
      <c r="M264" s="9"/>
      <c r="O264" s="13"/>
    </row>
    <row r="265" spans="1:15" outlineLevel="2">
      <c r="A265" s="421">
        <f t="shared" si="25"/>
        <v>260</v>
      </c>
      <c r="B265" s="9" t="s">
        <v>544</v>
      </c>
      <c r="C265" s="15" t="s">
        <v>1096</v>
      </c>
      <c r="D265" s="10" t="s">
        <v>1097</v>
      </c>
      <c r="E265" s="11">
        <v>183222.22</v>
      </c>
      <c r="G265" s="11">
        <f t="shared" si="24"/>
        <v>183222.22</v>
      </c>
      <c r="H265" s="11">
        <v>0</v>
      </c>
      <c r="I265" s="11">
        <v>0</v>
      </c>
      <c r="K265" s="844">
        <f t="shared" si="22"/>
        <v>183222.22</v>
      </c>
      <c r="L265" s="10"/>
      <c r="M265" s="9"/>
      <c r="O265" s="13"/>
    </row>
    <row r="266" spans="1:15" outlineLevel="2">
      <c r="A266" s="421">
        <f t="shared" si="25"/>
        <v>261</v>
      </c>
      <c r="B266" s="9" t="s">
        <v>544</v>
      </c>
      <c r="C266" s="15" t="s">
        <v>1098</v>
      </c>
      <c r="D266" s="10" t="s">
        <v>1099</v>
      </c>
      <c r="E266" s="11">
        <v>7289287.3099999996</v>
      </c>
      <c r="G266" s="11">
        <f t="shared" si="24"/>
        <v>7289287.3099999996</v>
      </c>
      <c r="H266" s="11">
        <v>-1346899</v>
      </c>
      <c r="I266" s="11">
        <v>0</v>
      </c>
      <c r="K266" s="844">
        <f t="shared" si="22"/>
        <v>5942388.3099999996</v>
      </c>
      <c r="L266" s="10"/>
      <c r="M266" s="9"/>
      <c r="O266" s="13"/>
    </row>
    <row r="267" spans="1:15" outlineLevel="2">
      <c r="A267" s="421">
        <f t="shared" si="25"/>
        <v>262</v>
      </c>
      <c r="B267" s="9" t="s">
        <v>544</v>
      </c>
      <c r="C267" s="15" t="s">
        <v>1100</v>
      </c>
      <c r="D267" s="10" t="s">
        <v>1101</v>
      </c>
      <c r="E267" s="11">
        <v>2775992.03</v>
      </c>
      <c r="G267" s="11">
        <f t="shared" si="24"/>
        <v>2775992.03</v>
      </c>
      <c r="H267" s="11">
        <v>-1579680</v>
      </c>
      <c r="I267" s="11">
        <v>0</v>
      </c>
      <c r="K267" s="844">
        <f>SUM(G267:J267)</f>
        <v>1196312.0299999998</v>
      </c>
      <c r="L267" s="10"/>
      <c r="M267" s="9"/>
      <c r="O267" s="13"/>
    </row>
    <row r="268" spans="1:15" outlineLevel="2">
      <c r="A268" s="421">
        <f t="shared" si="25"/>
        <v>263</v>
      </c>
      <c r="B268" s="9" t="s">
        <v>544</v>
      </c>
      <c r="C268" s="15" t="s">
        <v>1102</v>
      </c>
      <c r="D268" s="10" t="s">
        <v>1103</v>
      </c>
      <c r="E268" s="11">
        <v>76395.83</v>
      </c>
      <c r="G268" s="11">
        <f t="shared" si="24"/>
        <v>76395.83</v>
      </c>
      <c r="H268" s="11">
        <v>0</v>
      </c>
      <c r="I268" s="11">
        <v>0</v>
      </c>
      <c r="K268" s="844">
        <f t="shared" si="22"/>
        <v>76395.83</v>
      </c>
      <c r="L268" s="10"/>
      <c r="M268" s="9"/>
      <c r="O268" s="13"/>
    </row>
    <row r="269" spans="1:15" outlineLevel="2">
      <c r="A269" s="421">
        <f t="shared" si="25"/>
        <v>264</v>
      </c>
      <c r="B269" s="9" t="s">
        <v>544</v>
      </c>
      <c r="C269" s="15" t="s">
        <v>1104</v>
      </c>
      <c r="D269" s="10" t="s">
        <v>1105</v>
      </c>
      <c r="E269" s="11">
        <v>2935</v>
      </c>
      <c r="G269" s="11">
        <f t="shared" si="24"/>
        <v>2935</v>
      </c>
      <c r="H269" s="11">
        <v>0</v>
      </c>
      <c r="I269" s="11">
        <v>0</v>
      </c>
      <c r="K269" s="844">
        <f t="shared" si="22"/>
        <v>2935</v>
      </c>
      <c r="L269" s="10"/>
      <c r="M269" s="9"/>
      <c r="O269" s="13"/>
    </row>
    <row r="270" spans="1:15" s="5" customFormat="1" ht="13.5" outlineLevel="1" thickBot="1">
      <c r="A270" s="421">
        <f t="shared" si="25"/>
        <v>265</v>
      </c>
      <c r="B270" s="16" t="s">
        <v>1106</v>
      </c>
      <c r="C270" s="17"/>
      <c r="D270" s="18" t="s">
        <v>1107</v>
      </c>
      <c r="E270" s="19">
        <f t="shared" ref="E270:K270" si="26">SUBTOTAL(9,E125:E269)</f>
        <v>768126380.71999991</v>
      </c>
      <c r="F270" s="19">
        <f t="shared" si="26"/>
        <v>17352447</v>
      </c>
      <c r="G270" s="19">
        <f t="shared" si="26"/>
        <v>785478827.71999991</v>
      </c>
      <c r="H270" s="19">
        <f t="shared" si="26"/>
        <v>-47551845.839999989</v>
      </c>
      <c r="I270" s="19">
        <f t="shared" si="26"/>
        <v>0</v>
      </c>
      <c r="J270" s="19">
        <f t="shared" si="26"/>
        <v>-10976054</v>
      </c>
      <c r="K270" s="845">
        <f t="shared" si="26"/>
        <v>726950927.87999976</v>
      </c>
      <c r="L270" s="20"/>
      <c r="M270" s="3"/>
      <c r="N270" s="3"/>
      <c r="O270" s="6"/>
    </row>
    <row r="271" spans="1:15" ht="13.5" outlineLevel="2" thickTop="1">
      <c r="A271" s="421">
        <f t="shared" si="25"/>
        <v>266</v>
      </c>
      <c r="B271" s="9" t="s">
        <v>141</v>
      </c>
      <c r="C271" s="15" t="s">
        <v>1108</v>
      </c>
      <c r="D271" s="10" t="s">
        <v>1109</v>
      </c>
      <c r="E271" s="11">
        <v>3488667.41</v>
      </c>
      <c r="G271" s="11">
        <f>E271+F271</f>
        <v>3488667.41</v>
      </c>
      <c r="H271" s="11">
        <v>0</v>
      </c>
      <c r="I271" s="11">
        <v>0</v>
      </c>
      <c r="K271" s="844">
        <f>SUM(G271:J271)</f>
        <v>3488667.41</v>
      </c>
      <c r="M271" s="9"/>
      <c r="O271" s="13"/>
    </row>
    <row r="272" spans="1:15" outlineLevel="2">
      <c r="A272" s="421">
        <f t="shared" si="25"/>
        <v>267</v>
      </c>
      <c r="B272" s="9" t="s">
        <v>141</v>
      </c>
      <c r="C272" s="15" t="s">
        <v>1110</v>
      </c>
      <c r="D272" s="10" t="s">
        <v>1111</v>
      </c>
      <c r="E272" s="11">
        <v>9888330.5099999998</v>
      </c>
      <c r="F272" s="11">
        <v>3503000</v>
      </c>
      <c r="G272" s="11">
        <f t="shared" ref="G272:G290" si="27">E272+F272</f>
        <v>13391330.51</v>
      </c>
      <c r="H272" s="11">
        <v>0</v>
      </c>
      <c r="I272" s="11">
        <v>0</v>
      </c>
      <c r="K272" s="844">
        <f t="shared" ref="K272:K290" si="28">SUM(G272:J272)</f>
        <v>13391330.51</v>
      </c>
      <c r="M272" s="9"/>
      <c r="O272" s="13"/>
    </row>
    <row r="273" spans="1:15" outlineLevel="2">
      <c r="A273" s="421">
        <f t="shared" si="25"/>
        <v>268</v>
      </c>
      <c r="B273" s="9" t="s">
        <v>141</v>
      </c>
      <c r="C273" s="15" t="s">
        <v>1112</v>
      </c>
      <c r="D273" s="10" t="s">
        <v>1113</v>
      </c>
      <c r="E273" s="11">
        <v>6853288.5700000003</v>
      </c>
      <c r="G273" s="11">
        <f t="shared" si="27"/>
        <v>6853288.5700000003</v>
      </c>
      <c r="H273" s="11">
        <v>0</v>
      </c>
      <c r="I273" s="11">
        <v>0</v>
      </c>
      <c r="K273" s="844">
        <f t="shared" si="28"/>
        <v>6853288.5700000003</v>
      </c>
      <c r="M273" s="9"/>
      <c r="O273" s="13"/>
    </row>
    <row r="274" spans="1:15" outlineLevel="2">
      <c r="A274" s="421">
        <f t="shared" si="25"/>
        <v>269</v>
      </c>
      <c r="B274" s="9" t="s">
        <v>141</v>
      </c>
      <c r="C274" s="15" t="s">
        <v>1114</v>
      </c>
      <c r="D274" s="10" t="s">
        <v>1115</v>
      </c>
      <c r="E274" s="11">
        <v>3852063.84</v>
      </c>
      <c r="G274" s="11">
        <f t="shared" si="27"/>
        <v>3852063.84</v>
      </c>
      <c r="H274" s="11">
        <v>0</v>
      </c>
      <c r="I274" s="11">
        <v>0</v>
      </c>
      <c r="K274" s="844">
        <f t="shared" si="28"/>
        <v>3852063.84</v>
      </c>
      <c r="M274" s="9"/>
      <c r="O274" s="13"/>
    </row>
    <row r="275" spans="1:15" outlineLevel="2">
      <c r="A275" s="421">
        <f t="shared" si="25"/>
        <v>270</v>
      </c>
      <c r="B275" s="9" t="s">
        <v>141</v>
      </c>
      <c r="C275" s="15" t="s">
        <v>1116</v>
      </c>
      <c r="D275" s="10" t="s">
        <v>1117</v>
      </c>
      <c r="E275" s="11">
        <v>2203120.67</v>
      </c>
      <c r="G275" s="11">
        <f t="shared" si="27"/>
        <v>2203120.67</v>
      </c>
      <c r="H275" s="11">
        <v>0</v>
      </c>
      <c r="I275" s="11">
        <v>0</v>
      </c>
      <c r="K275" s="844">
        <f t="shared" si="28"/>
        <v>2203120.67</v>
      </c>
      <c r="M275" s="9"/>
      <c r="O275" s="13"/>
    </row>
    <row r="276" spans="1:15" outlineLevel="2">
      <c r="A276" s="421">
        <f t="shared" si="25"/>
        <v>271</v>
      </c>
      <c r="B276" s="9" t="s">
        <v>141</v>
      </c>
      <c r="C276" s="15" t="s">
        <v>1118</v>
      </c>
      <c r="D276" s="10" t="s">
        <v>1119</v>
      </c>
      <c r="E276" s="11">
        <v>584445.11</v>
      </c>
      <c r="G276" s="11">
        <f t="shared" si="27"/>
        <v>584445.11</v>
      </c>
      <c r="H276" s="11">
        <v>0</v>
      </c>
      <c r="I276" s="11">
        <v>0</v>
      </c>
      <c r="K276" s="844">
        <f t="shared" si="28"/>
        <v>584445.11</v>
      </c>
      <c r="M276" s="9"/>
      <c r="O276" s="13"/>
    </row>
    <row r="277" spans="1:15" outlineLevel="2">
      <c r="A277" s="421">
        <f t="shared" si="25"/>
        <v>272</v>
      </c>
      <c r="B277" s="9" t="s">
        <v>141</v>
      </c>
      <c r="C277" s="15" t="s">
        <v>1120</v>
      </c>
      <c r="D277" s="10" t="s">
        <v>1121</v>
      </c>
      <c r="E277" s="11">
        <v>8407258.6799999997</v>
      </c>
      <c r="G277" s="11">
        <f t="shared" si="27"/>
        <v>8407258.6799999997</v>
      </c>
      <c r="H277" s="11">
        <v>0</v>
      </c>
      <c r="I277" s="11">
        <v>0</v>
      </c>
      <c r="K277" s="844">
        <f t="shared" si="28"/>
        <v>8407258.6799999997</v>
      </c>
      <c r="M277" s="9"/>
      <c r="O277" s="13"/>
    </row>
    <row r="278" spans="1:15" outlineLevel="2">
      <c r="A278" s="421">
        <f t="shared" si="25"/>
        <v>273</v>
      </c>
      <c r="B278" s="9" t="s">
        <v>141</v>
      </c>
      <c r="C278" s="15" t="s">
        <v>1122</v>
      </c>
      <c r="D278" s="10" t="s">
        <v>1123</v>
      </c>
      <c r="E278" s="11">
        <v>2209622.59</v>
      </c>
      <c r="G278" s="11">
        <f t="shared" si="27"/>
        <v>2209622.59</v>
      </c>
      <c r="H278" s="11">
        <v>0</v>
      </c>
      <c r="I278" s="11">
        <v>0</v>
      </c>
      <c r="K278" s="844">
        <f t="shared" si="28"/>
        <v>2209622.59</v>
      </c>
      <c r="M278" s="9"/>
      <c r="O278" s="13"/>
    </row>
    <row r="279" spans="1:15" outlineLevel="2">
      <c r="A279" s="421">
        <f t="shared" si="25"/>
        <v>274</v>
      </c>
      <c r="B279" s="9" t="s">
        <v>141</v>
      </c>
      <c r="C279" s="15" t="s">
        <v>1124</v>
      </c>
      <c r="D279" s="10" t="s">
        <v>1125</v>
      </c>
      <c r="E279" s="11">
        <v>493999.14</v>
      </c>
      <c r="G279" s="11">
        <f t="shared" si="27"/>
        <v>493999.14</v>
      </c>
      <c r="H279" s="11">
        <v>0</v>
      </c>
      <c r="I279" s="11">
        <v>0</v>
      </c>
      <c r="K279" s="844">
        <f t="shared" si="28"/>
        <v>493999.14</v>
      </c>
      <c r="M279" s="9"/>
      <c r="O279" s="13"/>
    </row>
    <row r="280" spans="1:15" outlineLevel="2">
      <c r="A280" s="421">
        <f t="shared" si="25"/>
        <v>275</v>
      </c>
      <c r="B280" s="9" t="s">
        <v>141</v>
      </c>
      <c r="C280" s="15" t="s">
        <v>1126</v>
      </c>
      <c r="D280" s="10" t="s">
        <v>1127</v>
      </c>
      <c r="E280" s="11">
        <v>3084643.82</v>
      </c>
      <c r="G280" s="11">
        <f t="shared" si="27"/>
        <v>3084643.82</v>
      </c>
      <c r="H280" s="11">
        <v>0</v>
      </c>
      <c r="I280" s="11">
        <v>0</v>
      </c>
      <c r="K280" s="844">
        <f t="shared" si="28"/>
        <v>3084643.82</v>
      </c>
      <c r="M280" s="9"/>
      <c r="O280" s="13"/>
    </row>
    <row r="281" spans="1:15" outlineLevel="2">
      <c r="A281" s="421">
        <f t="shared" si="25"/>
        <v>276</v>
      </c>
      <c r="B281" s="9" t="s">
        <v>141</v>
      </c>
      <c r="C281" s="15" t="s">
        <v>1128</v>
      </c>
      <c r="D281" s="10" t="s">
        <v>1129</v>
      </c>
      <c r="E281" s="11">
        <v>3874657.35</v>
      </c>
      <c r="G281" s="11">
        <f t="shared" si="27"/>
        <v>3874657.35</v>
      </c>
      <c r="H281" s="11">
        <v>0</v>
      </c>
      <c r="I281" s="11">
        <v>0</v>
      </c>
      <c r="K281" s="844">
        <f t="shared" si="28"/>
        <v>3874657.35</v>
      </c>
      <c r="M281" s="9"/>
      <c r="O281" s="13"/>
    </row>
    <row r="282" spans="1:15" outlineLevel="2">
      <c r="A282" s="421">
        <f t="shared" si="25"/>
        <v>277</v>
      </c>
      <c r="B282" s="9" t="s">
        <v>141</v>
      </c>
      <c r="C282" s="15" t="s">
        <v>1130</v>
      </c>
      <c r="D282" s="10" t="s">
        <v>1131</v>
      </c>
      <c r="E282" s="11">
        <v>1025254.07</v>
      </c>
      <c r="G282" s="11">
        <f t="shared" si="27"/>
        <v>1025254.07</v>
      </c>
      <c r="H282" s="11">
        <v>0</v>
      </c>
      <c r="I282" s="11">
        <v>0</v>
      </c>
      <c r="K282" s="844">
        <f t="shared" si="28"/>
        <v>1025254.07</v>
      </c>
      <c r="M282" s="9"/>
      <c r="O282" s="13"/>
    </row>
    <row r="283" spans="1:15" outlineLevel="2">
      <c r="A283" s="421">
        <f t="shared" si="25"/>
        <v>278</v>
      </c>
      <c r="B283" s="9" t="s">
        <v>141</v>
      </c>
      <c r="C283" s="15" t="s">
        <v>1132</v>
      </c>
      <c r="D283" s="10" t="s">
        <v>1133</v>
      </c>
      <c r="E283" s="11">
        <v>96884.41</v>
      </c>
      <c r="G283" s="11">
        <f t="shared" si="27"/>
        <v>96884.41</v>
      </c>
      <c r="H283" s="11">
        <v>0</v>
      </c>
      <c r="I283" s="11">
        <v>0</v>
      </c>
      <c r="K283" s="844">
        <f t="shared" si="28"/>
        <v>96884.41</v>
      </c>
      <c r="M283" s="9"/>
      <c r="O283" s="13"/>
    </row>
    <row r="284" spans="1:15" outlineLevel="2">
      <c r="A284" s="421">
        <f t="shared" si="25"/>
        <v>279</v>
      </c>
      <c r="B284" s="9" t="s">
        <v>141</v>
      </c>
      <c r="C284" s="15" t="s">
        <v>1134</v>
      </c>
      <c r="D284" s="10" t="s">
        <v>1135</v>
      </c>
      <c r="E284" s="11">
        <v>1699741.47</v>
      </c>
      <c r="G284" s="11">
        <f t="shared" si="27"/>
        <v>1699741.47</v>
      </c>
      <c r="H284" s="11">
        <v>0</v>
      </c>
      <c r="I284" s="11">
        <v>0</v>
      </c>
      <c r="K284" s="844">
        <f t="shared" si="28"/>
        <v>1699741.47</v>
      </c>
      <c r="M284" s="9"/>
      <c r="O284" s="13"/>
    </row>
    <row r="285" spans="1:15" outlineLevel="2">
      <c r="A285" s="421">
        <f t="shared" si="25"/>
        <v>280</v>
      </c>
      <c r="B285" s="9" t="s">
        <v>141</v>
      </c>
      <c r="C285" s="15" t="s">
        <v>1136</v>
      </c>
      <c r="D285" s="10" t="s">
        <v>1137</v>
      </c>
      <c r="E285" s="11">
        <v>1051383.4099999999</v>
      </c>
      <c r="G285" s="11">
        <f>E285+F285</f>
        <v>1051383.4099999999</v>
      </c>
      <c r="H285" s="11">
        <v>0</v>
      </c>
      <c r="I285" s="11">
        <v>0</v>
      </c>
      <c r="K285" s="844">
        <f t="shared" si="28"/>
        <v>1051383.4099999999</v>
      </c>
      <c r="M285" s="9"/>
      <c r="O285" s="13"/>
    </row>
    <row r="286" spans="1:15" outlineLevel="2">
      <c r="A286" s="421">
        <f t="shared" si="25"/>
        <v>281</v>
      </c>
      <c r="B286" s="9" t="s">
        <v>141</v>
      </c>
      <c r="C286" s="15" t="s">
        <v>1138</v>
      </c>
      <c r="D286" s="10" t="s">
        <v>1139</v>
      </c>
      <c r="E286" s="11">
        <v>2221966.7200000002</v>
      </c>
      <c r="G286" s="11">
        <f t="shared" si="27"/>
        <v>2221966.7200000002</v>
      </c>
      <c r="H286" s="11">
        <v>0</v>
      </c>
      <c r="I286" s="11">
        <v>0</v>
      </c>
      <c r="K286" s="844">
        <f t="shared" si="28"/>
        <v>2221966.7200000002</v>
      </c>
      <c r="M286" s="9"/>
      <c r="O286" s="13"/>
    </row>
    <row r="287" spans="1:15" outlineLevel="2">
      <c r="A287" s="421">
        <f t="shared" si="25"/>
        <v>282</v>
      </c>
      <c r="B287" s="9" t="s">
        <v>141</v>
      </c>
      <c r="C287" s="15" t="s">
        <v>2587</v>
      </c>
      <c r="D287" s="10" t="s">
        <v>2588</v>
      </c>
      <c r="E287" s="11">
        <v>1285818.92</v>
      </c>
      <c r="G287" s="11">
        <f t="shared" si="27"/>
        <v>1285818.92</v>
      </c>
      <c r="H287" s="11">
        <v>0</v>
      </c>
      <c r="I287" s="11">
        <v>0</v>
      </c>
      <c r="K287" s="844">
        <f t="shared" si="28"/>
        <v>1285818.92</v>
      </c>
      <c r="M287" s="9"/>
      <c r="O287" s="13"/>
    </row>
    <row r="288" spans="1:15" ht="12.75" customHeight="1" outlineLevel="2">
      <c r="A288" s="421">
        <f t="shared" si="25"/>
        <v>283</v>
      </c>
      <c r="B288" s="9" t="s">
        <v>141</v>
      </c>
      <c r="C288" s="464" t="s">
        <v>1140</v>
      </c>
      <c r="D288" s="10" t="s">
        <v>1141</v>
      </c>
      <c r="E288" s="11">
        <v>7115527.4800000004</v>
      </c>
      <c r="G288" s="11">
        <f t="shared" si="27"/>
        <v>7115527.4800000004</v>
      </c>
      <c r="H288" s="11">
        <v>0</v>
      </c>
      <c r="I288" s="11">
        <v>0</v>
      </c>
      <c r="K288" s="844">
        <f t="shared" si="28"/>
        <v>7115527.4800000004</v>
      </c>
      <c r="L288" s="10"/>
      <c r="M288" s="9"/>
      <c r="O288" s="13"/>
    </row>
    <row r="289" spans="1:15" outlineLevel="2">
      <c r="A289" s="421">
        <f t="shared" si="25"/>
        <v>284</v>
      </c>
      <c r="B289" s="9" t="s">
        <v>141</v>
      </c>
      <c r="C289" s="15" t="s">
        <v>1142</v>
      </c>
      <c r="D289" s="10" t="s">
        <v>1143</v>
      </c>
      <c r="E289" s="11">
        <v>239919.86</v>
      </c>
      <c r="F289" s="11">
        <v>4248000</v>
      </c>
      <c r="G289" s="11">
        <f t="shared" si="27"/>
        <v>4487919.8600000003</v>
      </c>
      <c r="H289" s="11">
        <v>0</v>
      </c>
      <c r="I289" s="11">
        <v>0</v>
      </c>
      <c r="K289" s="844">
        <f t="shared" si="28"/>
        <v>4487919.8600000003</v>
      </c>
      <c r="L289" s="464"/>
      <c r="M289" s="9"/>
    </row>
    <row r="290" spans="1:15" outlineLevel="2">
      <c r="A290" s="421">
        <f t="shared" si="25"/>
        <v>285</v>
      </c>
      <c r="B290" s="9" t="s">
        <v>141</v>
      </c>
      <c r="C290" s="15" t="s">
        <v>1144</v>
      </c>
      <c r="D290" s="10" t="s">
        <v>1145</v>
      </c>
      <c r="E290" s="11">
        <v>7452150.5499999998</v>
      </c>
      <c r="G290" s="11">
        <f t="shared" si="27"/>
        <v>7452150.5499999998</v>
      </c>
      <c r="H290" s="11">
        <v>0</v>
      </c>
      <c r="I290" s="11">
        <v>0</v>
      </c>
      <c r="K290" s="844">
        <f t="shared" si="28"/>
        <v>7452150.5499999998</v>
      </c>
      <c r="M290" s="9"/>
      <c r="O290" s="13"/>
    </row>
    <row r="291" spans="1:15" s="5" customFormat="1" ht="13.5" outlineLevel="1" thickBot="1">
      <c r="A291" s="421">
        <f t="shared" si="25"/>
        <v>286</v>
      </c>
      <c r="B291" s="16" t="s">
        <v>1146</v>
      </c>
      <c r="C291" s="17"/>
      <c r="D291" s="18" t="s">
        <v>1147</v>
      </c>
      <c r="E291" s="19">
        <f>SUBTOTAL(9,E271:E290)</f>
        <v>67128744.579999983</v>
      </c>
      <c r="F291" s="19">
        <f>SUBTOTAL(9,F271:F290)</f>
        <v>7751000</v>
      </c>
      <c r="G291" s="19">
        <f>SUBTOTAL(9,G271:G290)</f>
        <v>74879744.579999983</v>
      </c>
      <c r="H291" s="19">
        <f>SUBTOTAL(9,H271:H290)</f>
        <v>0</v>
      </c>
      <c r="I291" s="19">
        <f>SUBTOTAL(9,I271:I290)</f>
        <v>0</v>
      </c>
      <c r="J291" s="19"/>
      <c r="K291" s="845">
        <f>SUBTOTAL(9,K271:K290)</f>
        <v>74879744.579999983</v>
      </c>
      <c r="L291" s="20"/>
      <c r="M291" s="3"/>
      <c r="N291" s="3"/>
      <c r="O291" s="6"/>
    </row>
    <row r="292" spans="1:15" ht="13.5" outlineLevel="2" thickTop="1">
      <c r="A292" s="421">
        <f t="shared" si="25"/>
        <v>287</v>
      </c>
      <c r="B292" s="9" t="s">
        <v>1148</v>
      </c>
      <c r="C292" s="15" t="s">
        <v>1149</v>
      </c>
      <c r="D292" s="1" t="s">
        <v>1150</v>
      </c>
      <c r="E292" s="11">
        <v>6174391.4699999997</v>
      </c>
      <c r="G292" s="11">
        <f>E292+F292</f>
        <v>6174391.4699999997</v>
      </c>
      <c r="H292" s="11">
        <v>0</v>
      </c>
      <c r="I292" s="11">
        <f>'WS13-SSCDFac'!H7</f>
        <v>0</v>
      </c>
      <c r="J292" s="11">
        <v>0</v>
      </c>
      <c r="K292" s="844">
        <f>SUM(G292:J292)</f>
        <v>6174391.4699999997</v>
      </c>
      <c r="L292" s="910" t="s">
        <v>1151</v>
      </c>
      <c r="M292" s="9"/>
    </row>
    <row r="293" spans="1:15" ht="12.75" customHeight="1" outlineLevel="2">
      <c r="A293" s="421">
        <f t="shared" si="25"/>
        <v>288</v>
      </c>
      <c r="B293" s="9" t="s">
        <v>1148</v>
      </c>
      <c r="C293" s="15" t="s">
        <v>1152</v>
      </c>
      <c r="D293" s="10" t="s">
        <v>1153</v>
      </c>
      <c r="E293" s="11">
        <v>1785957.71</v>
      </c>
      <c r="G293" s="11">
        <f>E293+F293</f>
        <v>1785957.71</v>
      </c>
      <c r="H293" s="11">
        <v>0</v>
      </c>
      <c r="I293" s="11">
        <v>-287460</v>
      </c>
      <c r="J293" s="11">
        <v>0</v>
      </c>
      <c r="K293" s="844">
        <f>SUM(G293:J293)</f>
        <v>1498497.71</v>
      </c>
      <c r="L293" s="911"/>
      <c r="M293" s="9"/>
      <c r="O293" s="13"/>
    </row>
    <row r="294" spans="1:15" outlineLevel="2">
      <c r="A294" s="421">
        <f t="shared" si="25"/>
        <v>289</v>
      </c>
      <c r="B294" s="9" t="s">
        <v>1148</v>
      </c>
      <c r="C294" s="15" t="s">
        <v>1154</v>
      </c>
      <c r="D294" s="10" t="s">
        <v>1155</v>
      </c>
      <c r="E294" s="11">
        <v>11977195.15</v>
      </c>
      <c r="F294" s="11">
        <v>2661454</v>
      </c>
      <c r="G294" s="11">
        <f>E294+F294</f>
        <v>14638649.15</v>
      </c>
      <c r="H294" s="11">
        <v>0</v>
      </c>
      <c r="I294" s="11">
        <v>-1285587.29</v>
      </c>
      <c r="J294" s="11">
        <v>0</v>
      </c>
      <c r="K294" s="844">
        <f>SUM(G294:J294)</f>
        <v>13353061.859999999</v>
      </c>
      <c r="L294" s="911"/>
      <c r="M294" s="9"/>
      <c r="O294" s="13"/>
    </row>
    <row r="295" spans="1:15" s="5" customFormat="1" ht="13.5" outlineLevel="1" thickBot="1">
      <c r="A295" s="421">
        <f t="shared" si="25"/>
        <v>290</v>
      </c>
      <c r="B295" s="16" t="s">
        <v>1156</v>
      </c>
      <c r="C295" s="17"/>
      <c r="D295" s="18" t="s">
        <v>1157</v>
      </c>
      <c r="E295" s="19">
        <f t="shared" ref="E295:J295" si="29">SUBTOTAL(9,E292:E294)</f>
        <v>19937544.329999998</v>
      </c>
      <c r="F295" s="19">
        <f>SUBTOTAL(9,F292:F294)</f>
        <v>2661454</v>
      </c>
      <c r="G295" s="19">
        <f t="shared" si="29"/>
        <v>22598998.329999998</v>
      </c>
      <c r="H295" s="19">
        <f t="shared" si="29"/>
        <v>0</v>
      </c>
      <c r="I295" s="19">
        <f t="shared" si="29"/>
        <v>-1573047.29</v>
      </c>
      <c r="J295" s="19">
        <f t="shared" si="29"/>
        <v>0</v>
      </c>
      <c r="K295" s="845">
        <f>SUBTOTAL(9,K292:K294)</f>
        <v>21025951.039999999</v>
      </c>
      <c r="L295" s="21"/>
      <c r="M295" s="3"/>
      <c r="N295" s="3"/>
      <c r="O295" s="6"/>
    </row>
    <row r="296" spans="1:15" ht="13.5" outlineLevel="2" thickTop="1">
      <c r="A296" s="421">
        <f t="shared" si="25"/>
        <v>291</v>
      </c>
      <c r="B296" s="9" t="s">
        <v>1158</v>
      </c>
      <c r="C296" s="15" t="s">
        <v>1159</v>
      </c>
      <c r="D296" s="10" t="s">
        <v>1160</v>
      </c>
      <c r="E296" s="11">
        <v>69740.75</v>
      </c>
      <c r="G296" s="11">
        <f>E296+F296</f>
        <v>69740.75</v>
      </c>
      <c r="H296" s="11">
        <v>0</v>
      </c>
      <c r="I296" s="11">
        <v>0</v>
      </c>
      <c r="K296" s="844">
        <f>SUM(G296:J296)</f>
        <v>69740.75</v>
      </c>
      <c r="M296" s="9"/>
      <c r="O296" s="13"/>
    </row>
    <row r="297" spans="1:15" outlineLevel="2">
      <c r="A297" s="421">
        <f t="shared" si="25"/>
        <v>292</v>
      </c>
      <c r="B297" s="9" t="s">
        <v>1158</v>
      </c>
      <c r="C297" s="15" t="s">
        <v>1162</v>
      </c>
      <c r="D297" s="10" t="s">
        <v>1163</v>
      </c>
      <c r="E297" s="11">
        <v>218492.84</v>
      </c>
      <c r="G297" s="11">
        <f t="shared" ref="G297:G308" si="30">E297+F297</f>
        <v>218492.84</v>
      </c>
      <c r="H297" s="11">
        <v>0</v>
      </c>
      <c r="I297" s="11">
        <v>0</v>
      </c>
      <c r="K297" s="844">
        <f t="shared" ref="K297:K308" si="31">SUM(G297:J297)</f>
        <v>218492.84</v>
      </c>
      <c r="M297" s="9"/>
      <c r="O297" s="13"/>
    </row>
    <row r="298" spans="1:15" outlineLevel="2">
      <c r="A298" s="421">
        <f t="shared" si="25"/>
        <v>293</v>
      </c>
      <c r="B298" s="9" t="s">
        <v>1158</v>
      </c>
      <c r="C298" s="15" t="s">
        <v>1164</v>
      </c>
      <c r="D298" s="10" t="s">
        <v>1165</v>
      </c>
      <c r="E298" s="11">
        <v>814665.16</v>
      </c>
      <c r="G298" s="11">
        <f t="shared" si="30"/>
        <v>814665.16</v>
      </c>
      <c r="H298" s="11">
        <v>0</v>
      </c>
      <c r="I298" s="11">
        <v>0</v>
      </c>
      <c r="K298" s="844">
        <f t="shared" si="31"/>
        <v>814665.16</v>
      </c>
      <c r="M298" s="9"/>
      <c r="O298" s="13"/>
    </row>
    <row r="299" spans="1:15" outlineLevel="2">
      <c r="A299" s="421">
        <f t="shared" si="25"/>
        <v>294</v>
      </c>
      <c r="B299" s="9" t="s">
        <v>1158</v>
      </c>
      <c r="C299" s="15" t="s">
        <v>1166</v>
      </c>
      <c r="D299" s="10" t="s">
        <v>1167</v>
      </c>
      <c r="E299" s="11">
        <f>519632.09+6569.16</f>
        <v>526201.25</v>
      </c>
      <c r="G299" s="11">
        <f t="shared" si="30"/>
        <v>526201.25</v>
      </c>
      <c r="H299" s="11">
        <v>0</v>
      </c>
      <c r="I299" s="11">
        <v>0</v>
      </c>
      <c r="K299" s="844">
        <f t="shared" si="31"/>
        <v>526201.25</v>
      </c>
      <c r="M299" s="9"/>
      <c r="O299" s="13"/>
    </row>
    <row r="300" spans="1:15" outlineLevel="2">
      <c r="A300" s="421">
        <f t="shared" si="25"/>
        <v>295</v>
      </c>
      <c r="B300" s="9" t="s">
        <v>1158</v>
      </c>
      <c r="C300" s="15" t="s">
        <v>1168</v>
      </c>
      <c r="D300" s="10" t="s">
        <v>1169</v>
      </c>
      <c r="E300" s="11">
        <v>170278</v>
      </c>
      <c r="G300" s="11">
        <f t="shared" si="30"/>
        <v>170278</v>
      </c>
      <c r="H300" s="11">
        <v>0</v>
      </c>
      <c r="I300" s="11">
        <v>0</v>
      </c>
      <c r="K300" s="844">
        <f t="shared" si="31"/>
        <v>170278</v>
      </c>
      <c r="M300" s="9"/>
      <c r="O300" s="13"/>
    </row>
    <row r="301" spans="1:15" outlineLevel="2">
      <c r="A301" s="421">
        <f t="shared" si="25"/>
        <v>296</v>
      </c>
      <c r="B301" s="9" t="s">
        <v>1158</v>
      </c>
      <c r="C301" s="15" t="s">
        <v>1170</v>
      </c>
      <c r="D301" s="10" t="s">
        <v>1171</v>
      </c>
      <c r="E301" s="11">
        <v>35070.980000000003</v>
      </c>
      <c r="G301" s="11">
        <f t="shared" si="30"/>
        <v>35070.980000000003</v>
      </c>
      <c r="H301" s="11">
        <v>0</v>
      </c>
      <c r="I301" s="11">
        <v>0</v>
      </c>
      <c r="K301" s="844">
        <f t="shared" si="31"/>
        <v>35070.980000000003</v>
      </c>
      <c r="M301" s="9"/>
      <c r="O301" s="13"/>
    </row>
    <row r="302" spans="1:15" outlineLevel="2">
      <c r="A302" s="421">
        <f t="shared" si="25"/>
        <v>297</v>
      </c>
      <c r="B302" s="9" t="s">
        <v>1158</v>
      </c>
      <c r="C302" s="15" t="s">
        <v>1172</v>
      </c>
      <c r="D302" s="10" t="s">
        <v>1173</v>
      </c>
      <c r="E302" s="11">
        <v>163694.91</v>
      </c>
      <c r="G302" s="11">
        <f t="shared" si="30"/>
        <v>163694.91</v>
      </c>
      <c r="H302" s="11">
        <v>0</v>
      </c>
      <c r="I302" s="11">
        <v>0</v>
      </c>
      <c r="K302" s="844">
        <f t="shared" si="31"/>
        <v>163694.91</v>
      </c>
      <c r="M302" s="9"/>
      <c r="O302" s="13"/>
    </row>
    <row r="303" spans="1:15" outlineLevel="2">
      <c r="A303" s="421">
        <f t="shared" si="25"/>
        <v>298</v>
      </c>
      <c r="B303" s="9" t="s">
        <v>1158</v>
      </c>
      <c r="C303" s="15" t="s">
        <v>1174</v>
      </c>
      <c r="D303" s="10" t="s">
        <v>1175</v>
      </c>
      <c r="E303" s="11">
        <v>19074.86</v>
      </c>
      <c r="G303" s="11">
        <f t="shared" si="30"/>
        <v>19074.86</v>
      </c>
      <c r="H303" s="11">
        <v>0</v>
      </c>
      <c r="I303" s="11">
        <v>0</v>
      </c>
      <c r="K303" s="844">
        <f t="shared" si="31"/>
        <v>19074.86</v>
      </c>
      <c r="M303" s="9"/>
      <c r="O303" s="13"/>
    </row>
    <row r="304" spans="1:15" outlineLevel="2">
      <c r="A304" s="421">
        <f t="shared" si="25"/>
        <v>299</v>
      </c>
      <c r="B304" s="9" t="s">
        <v>1158</v>
      </c>
      <c r="C304" s="15" t="s">
        <v>1176</v>
      </c>
      <c r="D304" s="10" t="s">
        <v>1177</v>
      </c>
      <c r="E304" s="11">
        <v>127143.62</v>
      </c>
      <c r="G304" s="11">
        <f t="shared" si="30"/>
        <v>127143.62</v>
      </c>
      <c r="H304" s="11">
        <v>0</v>
      </c>
      <c r="I304" s="11">
        <v>0</v>
      </c>
      <c r="K304" s="844">
        <f t="shared" si="31"/>
        <v>127143.62</v>
      </c>
      <c r="M304" s="9"/>
      <c r="O304" s="13"/>
    </row>
    <row r="305" spans="1:15" outlineLevel="2">
      <c r="A305" s="421">
        <f t="shared" si="25"/>
        <v>300</v>
      </c>
      <c r="B305" s="9" t="s">
        <v>1158</v>
      </c>
      <c r="C305" s="15" t="s">
        <v>1178</v>
      </c>
      <c r="D305" s="10" t="s">
        <v>1179</v>
      </c>
      <c r="E305" s="11">
        <v>404166.08</v>
      </c>
      <c r="G305" s="11">
        <f t="shared" si="30"/>
        <v>404166.08</v>
      </c>
      <c r="H305" s="11">
        <v>0</v>
      </c>
      <c r="I305" s="11">
        <v>0</v>
      </c>
      <c r="K305" s="844">
        <f t="shared" si="31"/>
        <v>404166.08</v>
      </c>
      <c r="M305" s="9"/>
      <c r="O305" s="13"/>
    </row>
    <row r="306" spans="1:15" outlineLevel="2">
      <c r="A306" s="421">
        <f t="shared" si="25"/>
        <v>301</v>
      </c>
      <c r="B306" s="9" t="s">
        <v>1158</v>
      </c>
      <c r="C306" s="15" t="s">
        <v>1180</v>
      </c>
      <c r="D306" s="10" t="s">
        <v>1181</v>
      </c>
      <c r="E306" s="11">
        <v>1474766.3</v>
      </c>
      <c r="G306" s="11">
        <f t="shared" si="30"/>
        <v>1474766.3</v>
      </c>
      <c r="H306" s="11">
        <v>-1474766</v>
      </c>
      <c r="K306" s="844">
        <f t="shared" si="31"/>
        <v>0.30000000004656613</v>
      </c>
      <c r="M306" s="9"/>
      <c r="O306" s="13"/>
    </row>
    <row r="307" spans="1:15" outlineLevel="2">
      <c r="A307" s="421">
        <f t="shared" si="25"/>
        <v>302</v>
      </c>
      <c r="B307" s="9" t="s">
        <v>1158</v>
      </c>
      <c r="C307" s="15" t="s">
        <v>1182</v>
      </c>
      <c r="D307" s="10" t="s">
        <v>1183</v>
      </c>
      <c r="E307" s="11">
        <v>192498.02</v>
      </c>
      <c r="G307" s="11">
        <f t="shared" si="30"/>
        <v>192498.02</v>
      </c>
      <c r="H307" s="11">
        <v>-192498.02</v>
      </c>
      <c r="I307" s="11">
        <v>0</v>
      </c>
      <c r="K307" s="844">
        <f t="shared" si="31"/>
        <v>0</v>
      </c>
      <c r="M307" s="9"/>
      <c r="O307" s="13"/>
    </row>
    <row r="308" spans="1:15" outlineLevel="2">
      <c r="A308" s="421">
        <f t="shared" si="25"/>
        <v>303</v>
      </c>
      <c r="B308" s="9" t="s">
        <v>1158</v>
      </c>
      <c r="C308" s="15" t="s">
        <v>1184</v>
      </c>
      <c r="D308" s="10" t="s">
        <v>1185</v>
      </c>
      <c r="E308" s="11">
        <v>71118</v>
      </c>
      <c r="G308" s="11">
        <f t="shared" si="30"/>
        <v>71118</v>
      </c>
      <c r="H308" s="11">
        <v>0</v>
      </c>
      <c r="I308" s="11">
        <v>0</v>
      </c>
      <c r="K308" s="844">
        <f t="shared" si="31"/>
        <v>71118</v>
      </c>
      <c r="M308" s="9"/>
      <c r="O308" s="13"/>
    </row>
    <row r="309" spans="1:15" outlineLevel="2">
      <c r="A309" s="421">
        <f t="shared" si="25"/>
        <v>304</v>
      </c>
      <c r="B309" s="9" t="s">
        <v>1158</v>
      </c>
      <c r="C309" s="15" t="s">
        <v>1186</v>
      </c>
      <c r="D309" s="10" t="s">
        <v>1187</v>
      </c>
      <c r="E309" s="11">
        <v>179327.81</v>
      </c>
      <c r="G309" s="11">
        <f>E309+F309</f>
        <v>179327.81</v>
      </c>
      <c r="H309" s="11">
        <v>0</v>
      </c>
      <c r="I309" s="11">
        <v>0</v>
      </c>
      <c r="K309" s="844">
        <f>SUM(G309:J309)</f>
        <v>179327.81</v>
      </c>
      <c r="M309" s="9"/>
      <c r="O309" s="13"/>
    </row>
    <row r="310" spans="1:15" s="5" customFormat="1" ht="13.5" outlineLevel="1" thickBot="1">
      <c r="A310" s="421">
        <f t="shared" si="25"/>
        <v>305</v>
      </c>
      <c r="B310" s="16" t="s">
        <v>1188</v>
      </c>
      <c r="C310" s="17"/>
      <c r="D310" s="18" t="s">
        <v>1189</v>
      </c>
      <c r="E310" s="19">
        <f>SUBTOTAL(9,E296:E309)</f>
        <v>4466238.5799999991</v>
      </c>
      <c r="F310" s="19">
        <f>SUBTOTAL(9,F296:F309)</f>
        <v>0</v>
      </c>
      <c r="G310" s="19">
        <f>SUBTOTAL(9,G296:G309)</f>
        <v>4466238.5799999991</v>
      </c>
      <c r="H310" s="19">
        <f>SUBTOTAL(9,H296:H309)</f>
        <v>-1667264.02</v>
      </c>
      <c r="I310" s="19">
        <f>SUBTOTAL(9,I296:I309)</f>
        <v>0</v>
      </c>
      <c r="J310" s="19"/>
      <c r="K310" s="845">
        <f>SUBTOTAL(9,K296:K309)</f>
        <v>2798974.56</v>
      </c>
      <c r="L310" s="20"/>
      <c r="M310" s="3"/>
      <c r="N310" s="3"/>
      <c r="O310" s="6"/>
    </row>
    <row r="311" spans="1:15" ht="13.5" outlineLevel="2" thickTop="1">
      <c r="A311" s="421">
        <f t="shared" si="25"/>
        <v>306</v>
      </c>
      <c r="B311" s="9" t="s">
        <v>1190</v>
      </c>
      <c r="C311" s="15" t="s">
        <v>1191</v>
      </c>
      <c r="D311" s="10" t="s">
        <v>1192</v>
      </c>
      <c r="E311" s="11">
        <v>81944</v>
      </c>
      <c r="G311" s="11">
        <f>E311+F311</f>
        <v>81944</v>
      </c>
      <c r="H311" s="11">
        <v>0</v>
      </c>
      <c r="I311" s="11">
        <v>-81944</v>
      </c>
      <c r="K311" s="844">
        <f>SUM(G311:J311)</f>
        <v>0</v>
      </c>
      <c r="L311" s="10"/>
      <c r="M311" s="9"/>
      <c r="O311" s="13"/>
    </row>
    <row r="312" spans="1:15" outlineLevel="2">
      <c r="A312" s="421">
        <f t="shared" si="25"/>
        <v>307</v>
      </c>
      <c r="B312" s="9" t="s">
        <v>1190</v>
      </c>
      <c r="C312" s="15" t="s">
        <v>1193</v>
      </c>
      <c r="D312" s="10" t="s">
        <v>1194</v>
      </c>
      <c r="E312" s="11">
        <v>64611.39</v>
      </c>
      <c r="G312" s="11">
        <f>E312+F312</f>
        <v>64611.39</v>
      </c>
      <c r="H312" s="11">
        <v>0</v>
      </c>
      <c r="I312" s="11">
        <v>-64611</v>
      </c>
      <c r="K312" s="844">
        <f>SUM(G312:J312)</f>
        <v>0.38999999999941792</v>
      </c>
      <c r="M312" s="9"/>
      <c r="O312" s="13"/>
    </row>
    <row r="313" spans="1:15" outlineLevel="2">
      <c r="A313" s="421">
        <f t="shared" si="25"/>
        <v>308</v>
      </c>
      <c r="B313" s="9" t="s">
        <v>1190</v>
      </c>
      <c r="C313" s="15" t="s">
        <v>1195</v>
      </c>
      <c r="D313" s="10" t="s">
        <v>1196</v>
      </c>
      <c r="E313" s="11">
        <v>922163.82</v>
      </c>
      <c r="G313" s="11">
        <f>E313+F313</f>
        <v>922163.82</v>
      </c>
      <c r="H313" s="11">
        <v>0</v>
      </c>
      <c r="I313" s="11">
        <v>0</v>
      </c>
      <c r="K313" s="844">
        <f>SUM(G313:J313)</f>
        <v>922163.82</v>
      </c>
      <c r="M313" s="9"/>
      <c r="O313" s="13"/>
    </row>
    <row r="314" spans="1:15" outlineLevel="2">
      <c r="A314" s="421">
        <f t="shared" si="25"/>
        <v>309</v>
      </c>
      <c r="B314" s="9" t="s">
        <v>1190</v>
      </c>
      <c r="C314" s="15" t="s">
        <v>1197</v>
      </c>
      <c r="D314" s="10" t="s">
        <v>1198</v>
      </c>
      <c r="E314" s="11">
        <v>690735.13</v>
      </c>
      <c r="G314" s="11">
        <f>E314+F314</f>
        <v>690735.13</v>
      </c>
      <c r="H314" s="11">
        <v>0</v>
      </c>
      <c r="I314" s="11">
        <v>0</v>
      </c>
      <c r="K314" s="844">
        <f>SUM(G314:J314)</f>
        <v>690735.13</v>
      </c>
      <c r="M314" s="9"/>
      <c r="O314" s="13"/>
    </row>
    <row r="315" spans="1:15" s="5" customFormat="1" ht="13.5" outlineLevel="1" thickBot="1">
      <c r="A315" s="421">
        <f t="shared" si="25"/>
        <v>310</v>
      </c>
      <c r="B315" s="16" t="s">
        <v>1199</v>
      </c>
      <c r="C315" s="17"/>
      <c r="D315" s="18" t="s">
        <v>1200</v>
      </c>
      <c r="E315" s="19">
        <f>SUBTOTAL(9,E311:E314)</f>
        <v>1759454.3399999999</v>
      </c>
      <c r="F315" s="19">
        <f>SUBTOTAL(9,F311:F314)</f>
        <v>0</v>
      </c>
      <c r="G315" s="19">
        <f>SUBTOTAL(9,G311:G314)</f>
        <v>1759454.3399999999</v>
      </c>
      <c r="H315" s="19">
        <f>SUBTOTAL(9,H311:H314)</f>
        <v>0</v>
      </c>
      <c r="I315" s="19">
        <f>SUBTOTAL(9,I311:I314)</f>
        <v>-146555</v>
      </c>
      <c r="J315" s="19"/>
      <c r="K315" s="845">
        <f>SUBTOTAL(9,K311:K314)</f>
        <v>1612899.3399999999</v>
      </c>
      <c r="L315" s="20"/>
      <c r="M315" s="3"/>
      <c r="N315" s="3"/>
      <c r="O315" s="6"/>
    </row>
    <row r="316" spans="1:15" ht="13.5" outlineLevel="2" thickTop="1">
      <c r="A316" s="421">
        <f t="shared" si="25"/>
        <v>311</v>
      </c>
      <c r="B316" s="9" t="s">
        <v>1201</v>
      </c>
      <c r="C316" s="15" t="s">
        <v>1202</v>
      </c>
      <c r="D316" s="10" t="s">
        <v>1203</v>
      </c>
      <c r="E316" s="11">
        <v>58085.85</v>
      </c>
      <c r="G316" s="11">
        <f>E316+F316</f>
        <v>58085.85</v>
      </c>
      <c r="H316" s="11">
        <v>0</v>
      </c>
      <c r="I316" s="11">
        <f>-(G316*$L$319)</f>
        <v>-18558.429075</v>
      </c>
      <c r="K316" s="844">
        <f>SUM(G316:J316)</f>
        <v>39527.420924999999</v>
      </c>
      <c r="L316" s="910" t="s">
        <v>1204</v>
      </c>
    </row>
    <row r="317" spans="1:15" outlineLevel="2">
      <c r="A317" s="421">
        <f t="shared" si="25"/>
        <v>312</v>
      </c>
      <c r="B317" s="9" t="s">
        <v>1201</v>
      </c>
      <c r="C317" s="15" t="s">
        <v>1205</v>
      </c>
      <c r="D317" s="10" t="s">
        <v>1206</v>
      </c>
      <c r="E317" s="11">
        <v>278672.56</v>
      </c>
      <c r="G317" s="11">
        <f t="shared" ref="G317:G387" si="32">E317+F317</f>
        <v>278672.56</v>
      </c>
      <c r="H317" s="11">
        <v>0</v>
      </c>
      <c r="I317" s="11">
        <f>-(G317*$L$319)</f>
        <v>-89035.882920000004</v>
      </c>
      <c r="K317" s="844">
        <f t="shared" ref="K317:K327" si="33">SUM(G317:J317)</f>
        <v>189636.67707999999</v>
      </c>
      <c r="L317" s="911"/>
    </row>
    <row r="318" spans="1:15" outlineLevel="2">
      <c r="A318" s="421">
        <f t="shared" si="25"/>
        <v>313</v>
      </c>
      <c r="B318" s="9" t="s">
        <v>1201</v>
      </c>
      <c r="C318" s="15" t="s">
        <v>1207</v>
      </c>
      <c r="D318" s="10" t="s">
        <v>1208</v>
      </c>
      <c r="E318" s="11">
        <v>409859.66</v>
      </c>
      <c r="G318" s="11">
        <f t="shared" si="32"/>
        <v>409859.66</v>
      </c>
      <c r="H318" s="11">
        <v>0</v>
      </c>
      <c r="I318" s="11">
        <f t="shared" ref="I318:I321" si="34">-(G318*$L$319)</f>
        <v>-130950.16137</v>
      </c>
      <c r="K318" s="844">
        <f t="shared" si="33"/>
        <v>278909.49862999999</v>
      </c>
      <c r="L318" s="911"/>
    </row>
    <row r="319" spans="1:15" outlineLevel="2">
      <c r="A319" s="421">
        <f t="shared" si="25"/>
        <v>314</v>
      </c>
      <c r="B319" s="9" t="s">
        <v>1201</v>
      </c>
      <c r="C319" s="15" t="s">
        <v>1209</v>
      </c>
      <c r="D319" s="10" t="s">
        <v>1210</v>
      </c>
      <c r="E319" s="11">
        <v>99834.58</v>
      </c>
      <c r="G319" s="11">
        <f t="shared" si="32"/>
        <v>99834.58</v>
      </c>
      <c r="H319" s="11">
        <v>0</v>
      </c>
      <c r="I319" s="11">
        <f t="shared" si="34"/>
        <v>-31897.14831</v>
      </c>
      <c r="K319" s="844">
        <f t="shared" si="33"/>
        <v>67937.431689999998</v>
      </c>
      <c r="L319" s="22">
        <v>0.31950000000000001</v>
      </c>
      <c r="M319" s="9"/>
      <c r="O319" s="13"/>
    </row>
    <row r="320" spans="1:15" outlineLevel="2">
      <c r="A320" s="421">
        <f t="shared" si="25"/>
        <v>315</v>
      </c>
      <c r="B320" s="9" t="s">
        <v>1201</v>
      </c>
      <c r="C320" s="15" t="s">
        <v>1211</v>
      </c>
      <c r="D320" s="10" t="s">
        <v>1212</v>
      </c>
      <c r="E320" s="11">
        <v>352403.74</v>
      </c>
      <c r="G320" s="11">
        <f t="shared" si="32"/>
        <v>352403.74</v>
      </c>
      <c r="H320" s="11">
        <v>0</v>
      </c>
      <c r="I320" s="11">
        <f t="shared" si="34"/>
        <v>-112592.99493</v>
      </c>
      <c r="K320" s="844">
        <f>SUM(G320:J320)</f>
        <v>239810.74507</v>
      </c>
      <c r="M320" s="9"/>
      <c r="O320" s="13"/>
    </row>
    <row r="321" spans="1:15" outlineLevel="2">
      <c r="A321" s="421">
        <f t="shared" si="25"/>
        <v>316</v>
      </c>
      <c r="B321" s="9" t="s">
        <v>1201</v>
      </c>
      <c r="C321" s="15" t="s">
        <v>1213</v>
      </c>
      <c r="D321" s="10" t="s">
        <v>1214</v>
      </c>
      <c r="E321" s="11">
        <v>257178.8</v>
      </c>
      <c r="G321" s="11">
        <f t="shared" si="32"/>
        <v>257178.8</v>
      </c>
      <c r="H321" s="11">
        <v>0</v>
      </c>
      <c r="I321" s="11">
        <f t="shared" si="34"/>
        <v>-82168.626600000003</v>
      </c>
      <c r="K321" s="844">
        <f t="shared" si="33"/>
        <v>175010.17339999997</v>
      </c>
      <c r="M321" s="9"/>
      <c r="O321" s="13"/>
    </row>
    <row r="322" spans="1:15" outlineLevel="2">
      <c r="A322" s="421">
        <f t="shared" si="25"/>
        <v>317</v>
      </c>
      <c r="B322" s="9" t="s">
        <v>1201</v>
      </c>
      <c r="C322" s="15" t="s">
        <v>1215</v>
      </c>
      <c r="D322" s="10" t="s">
        <v>1216</v>
      </c>
      <c r="E322" s="11">
        <v>227039.99</v>
      </c>
      <c r="G322" s="11">
        <f t="shared" si="32"/>
        <v>227039.99</v>
      </c>
      <c r="H322" s="11">
        <v>0</v>
      </c>
      <c r="I322" s="11">
        <f t="shared" ref="I322:I337" si="35">-(G322*$L$319)</f>
        <v>-72539.276805000001</v>
      </c>
      <c r="K322" s="844">
        <f t="shared" si="33"/>
        <v>154500.71319499999</v>
      </c>
      <c r="M322" s="9"/>
      <c r="O322" s="13"/>
    </row>
    <row r="323" spans="1:15" outlineLevel="2">
      <c r="A323" s="421">
        <f t="shared" si="25"/>
        <v>318</v>
      </c>
      <c r="B323" s="9" t="s">
        <v>1201</v>
      </c>
      <c r="C323" s="15" t="s">
        <v>1217</v>
      </c>
      <c r="D323" s="10" t="s">
        <v>1218</v>
      </c>
      <c r="E323" s="11">
        <v>10678.65</v>
      </c>
      <c r="G323" s="11">
        <f t="shared" si="32"/>
        <v>10678.65</v>
      </c>
      <c r="H323" s="11">
        <v>0</v>
      </c>
      <c r="I323" s="11">
        <f t="shared" si="35"/>
        <v>-3411.8286749999997</v>
      </c>
      <c r="K323" s="844">
        <f t="shared" si="33"/>
        <v>7266.8213249999999</v>
      </c>
      <c r="M323" s="9"/>
      <c r="O323" s="13"/>
    </row>
    <row r="324" spans="1:15" outlineLevel="2">
      <c r="A324" s="421">
        <f t="shared" si="25"/>
        <v>319</v>
      </c>
      <c r="B324" s="9" t="s">
        <v>1201</v>
      </c>
      <c r="C324" s="15" t="s">
        <v>1219</v>
      </c>
      <c r="D324" s="10" t="s">
        <v>1220</v>
      </c>
      <c r="E324" s="11">
        <v>113361.84</v>
      </c>
      <c r="G324" s="11">
        <f t="shared" si="32"/>
        <v>113361.84</v>
      </c>
      <c r="H324" s="11">
        <v>0</v>
      </c>
      <c r="I324" s="11">
        <f t="shared" si="35"/>
        <v>-36219.107880000003</v>
      </c>
      <c r="K324" s="844">
        <f t="shared" si="33"/>
        <v>77142.732120000001</v>
      </c>
      <c r="M324" s="9"/>
      <c r="O324" s="13"/>
    </row>
    <row r="325" spans="1:15" outlineLevel="2">
      <c r="A325" s="421">
        <f t="shared" si="25"/>
        <v>320</v>
      </c>
      <c r="B325" s="9" t="s">
        <v>1201</v>
      </c>
      <c r="C325" s="15" t="s">
        <v>1221</v>
      </c>
      <c r="D325" s="10" t="s">
        <v>1222</v>
      </c>
      <c r="E325" s="11">
        <v>517974.32</v>
      </c>
      <c r="G325" s="11">
        <f t="shared" si="32"/>
        <v>517974.32</v>
      </c>
      <c r="H325" s="11">
        <v>0</v>
      </c>
      <c r="I325" s="11">
        <f t="shared" si="35"/>
        <v>-165492.79524000001</v>
      </c>
      <c r="K325" s="844">
        <f t="shared" si="33"/>
        <v>352481.52476</v>
      </c>
      <c r="M325" s="9"/>
      <c r="O325" s="13"/>
    </row>
    <row r="326" spans="1:15" outlineLevel="2">
      <c r="A326" s="421">
        <f t="shared" si="25"/>
        <v>321</v>
      </c>
      <c r="B326" s="9" t="s">
        <v>1201</v>
      </c>
      <c r="C326" s="15" t="s">
        <v>1223</v>
      </c>
      <c r="D326" s="10" t="s">
        <v>1224</v>
      </c>
      <c r="E326" s="11">
        <v>175877.16</v>
      </c>
      <c r="G326" s="11">
        <f t="shared" si="32"/>
        <v>175877.16</v>
      </c>
      <c r="I326" s="11">
        <f t="shared" si="35"/>
        <v>-56192.752619999999</v>
      </c>
      <c r="K326" s="844">
        <f t="shared" si="33"/>
        <v>119684.40738</v>
      </c>
      <c r="M326" s="9"/>
      <c r="O326" s="13"/>
    </row>
    <row r="327" spans="1:15" outlineLevel="2">
      <c r="A327" s="421">
        <f t="shared" si="25"/>
        <v>322</v>
      </c>
      <c r="B327" s="9" t="s">
        <v>1201</v>
      </c>
      <c r="C327" s="15" t="s">
        <v>2654</v>
      </c>
      <c r="D327" s="10" t="s">
        <v>2655</v>
      </c>
      <c r="E327" s="11">
        <v>44788.58</v>
      </c>
      <c r="G327" s="11">
        <f t="shared" si="32"/>
        <v>44788.58</v>
      </c>
      <c r="I327" s="11">
        <f t="shared" si="35"/>
        <v>-14309.95131</v>
      </c>
      <c r="K327" s="844">
        <f t="shared" si="33"/>
        <v>30478.628690000001</v>
      </c>
      <c r="M327" s="9"/>
      <c r="O327" s="13"/>
    </row>
    <row r="328" spans="1:15" outlineLevel="2">
      <c r="A328" s="421">
        <f t="shared" ref="A328:A391" si="36">A327+1</f>
        <v>323</v>
      </c>
      <c r="B328" s="9" t="s">
        <v>1201</v>
      </c>
      <c r="C328" s="15" t="s">
        <v>1225</v>
      </c>
      <c r="D328" s="10" t="s">
        <v>1226</v>
      </c>
      <c r="E328" s="11">
        <v>426667</v>
      </c>
      <c r="G328" s="11">
        <f t="shared" si="32"/>
        <v>426667</v>
      </c>
      <c r="H328" s="11">
        <v>0</v>
      </c>
      <c r="I328" s="11">
        <f t="shared" si="35"/>
        <v>-136320.10649999999</v>
      </c>
      <c r="K328" s="844">
        <f t="shared" ref="K328:K343" si="37">SUM(G328:J328)</f>
        <v>290346.89350000001</v>
      </c>
      <c r="M328" s="9"/>
      <c r="O328" s="13"/>
    </row>
    <row r="329" spans="1:15" outlineLevel="2">
      <c r="A329" s="421">
        <f t="shared" si="36"/>
        <v>324</v>
      </c>
      <c r="B329" s="9" t="s">
        <v>1201</v>
      </c>
      <c r="C329" s="15" t="s">
        <v>1227</v>
      </c>
      <c r="D329" s="10" t="s">
        <v>1228</v>
      </c>
      <c r="E329" s="11">
        <v>232617.76</v>
      </c>
      <c r="G329" s="11">
        <f t="shared" si="32"/>
        <v>232617.76</v>
      </c>
      <c r="H329" s="11">
        <v>0</v>
      </c>
      <c r="I329" s="11">
        <f t="shared" si="35"/>
        <v>-74321.374320000003</v>
      </c>
      <c r="K329" s="844">
        <f t="shared" si="37"/>
        <v>158296.38568000001</v>
      </c>
      <c r="M329" s="9"/>
      <c r="O329" s="13"/>
    </row>
    <row r="330" spans="1:15" outlineLevel="2">
      <c r="A330" s="421">
        <f t="shared" si="36"/>
        <v>325</v>
      </c>
      <c r="B330" s="9" t="s">
        <v>1201</v>
      </c>
      <c r="C330" s="15" t="s">
        <v>1229</v>
      </c>
      <c r="D330" s="10" t="s">
        <v>1230</v>
      </c>
      <c r="E330" s="11">
        <v>149227.87</v>
      </c>
      <c r="G330" s="11">
        <f t="shared" si="32"/>
        <v>149227.87</v>
      </c>
      <c r="H330" s="11">
        <v>0</v>
      </c>
      <c r="I330" s="11">
        <f t="shared" si="35"/>
        <v>-47678.304465000001</v>
      </c>
      <c r="K330" s="844">
        <f t="shared" si="37"/>
        <v>101549.565535</v>
      </c>
      <c r="M330" s="9"/>
      <c r="O330" s="13"/>
    </row>
    <row r="331" spans="1:15" outlineLevel="2">
      <c r="A331" s="421">
        <f t="shared" si="36"/>
        <v>326</v>
      </c>
      <c r="B331" s="9" t="s">
        <v>1201</v>
      </c>
      <c r="C331" s="15" t="s">
        <v>1231</v>
      </c>
      <c r="D331" s="10" t="s">
        <v>1232</v>
      </c>
      <c r="E331" s="11">
        <v>279565.82</v>
      </c>
      <c r="G331" s="11">
        <f t="shared" si="32"/>
        <v>279565.82</v>
      </c>
      <c r="H331" s="11">
        <v>0</v>
      </c>
      <c r="I331" s="11">
        <f t="shared" si="35"/>
        <v>-89321.279490000001</v>
      </c>
      <c r="K331" s="844">
        <f t="shared" si="37"/>
        <v>190244.54051000002</v>
      </c>
      <c r="M331" s="9"/>
      <c r="O331" s="13"/>
    </row>
    <row r="332" spans="1:15" outlineLevel="2">
      <c r="A332" s="421">
        <f t="shared" si="36"/>
        <v>327</v>
      </c>
      <c r="B332" s="9" t="s">
        <v>1201</v>
      </c>
      <c r="C332" s="15" t="s">
        <v>1233</v>
      </c>
      <c r="D332" s="10" t="s">
        <v>1234</v>
      </c>
      <c r="E332" s="11">
        <v>19704.27</v>
      </c>
      <c r="G332" s="11">
        <f t="shared" si="32"/>
        <v>19704.27</v>
      </c>
      <c r="H332" s="11">
        <v>0</v>
      </c>
      <c r="I332" s="11">
        <f t="shared" si="35"/>
        <v>-6295.5142650000007</v>
      </c>
      <c r="K332" s="844">
        <f t="shared" si="37"/>
        <v>13408.755734999999</v>
      </c>
      <c r="M332" s="9"/>
      <c r="O332" s="13"/>
    </row>
    <row r="333" spans="1:15" outlineLevel="2">
      <c r="A333" s="421">
        <f t="shared" si="36"/>
        <v>328</v>
      </c>
      <c r="B333" s="9" t="s">
        <v>1201</v>
      </c>
      <c r="C333" s="15" t="s">
        <v>1235</v>
      </c>
      <c r="D333" s="10" t="s">
        <v>1236</v>
      </c>
      <c r="E333" s="11">
        <v>92595.35</v>
      </c>
      <c r="G333" s="11">
        <f t="shared" si="32"/>
        <v>92595.35</v>
      </c>
      <c r="H333" s="11">
        <v>0</v>
      </c>
      <c r="I333" s="11">
        <f t="shared" si="35"/>
        <v>-29584.214325000001</v>
      </c>
      <c r="K333" s="844">
        <f t="shared" si="37"/>
        <v>63011.135675000005</v>
      </c>
      <c r="M333" s="9"/>
      <c r="O333" s="13"/>
    </row>
    <row r="334" spans="1:15" outlineLevel="2">
      <c r="A334" s="421">
        <f t="shared" si="36"/>
        <v>329</v>
      </c>
      <c r="B334" s="9" t="s">
        <v>1201</v>
      </c>
      <c r="C334" s="15" t="s">
        <v>1237</v>
      </c>
      <c r="D334" s="10" t="s">
        <v>1238</v>
      </c>
      <c r="E334" s="11">
        <v>107342.37</v>
      </c>
      <c r="G334" s="11">
        <f t="shared" si="32"/>
        <v>107342.37</v>
      </c>
      <c r="H334" s="11">
        <v>0</v>
      </c>
      <c r="I334" s="11">
        <f t="shared" si="35"/>
        <v>-34295.887215000002</v>
      </c>
      <c r="K334" s="844">
        <f t="shared" si="37"/>
        <v>73046.482785</v>
      </c>
      <c r="M334" s="9"/>
      <c r="O334" s="13"/>
    </row>
    <row r="335" spans="1:15" outlineLevel="2">
      <c r="A335" s="421">
        <f t="shared" si="36"/>
        <v>330</v>
      </c>
      <c r="B335" s="9" t="s">
        <v>1201</v>
      </c>
      <c r="C335" s="15" t="s">
        <v>1239</v>
      </c>
      <c r="D335" s="10" t="s">
        <v>1240</v>
      </c>
      <c r="E335" s="11">
        <v>280480.28000000003</v>
      </c>
      <c r="G335" s="11">
        <f t="shared" si="32"/>
        <v>280480.28000000003</v>
      </c>
      <c r="H335" s="11">
        <v>0</v>
      </c>
      <c r="I335" s="11">
        <f t="shared" si="35"/>
        <v>-89613.449460000003</v>
      </c>
      <c r="K335" s="844">
        <f t="shared" si="37"/>
        <v>190866.83054000002</v>
      </c>
      <c r="M335" s="9"/>
      <c r="O335" s="13"/>
    </row>
    <row r="336" spans="1:15" outlineLevel="2">
      <c r="A336" s="421">
        <f t="shared" si="36"/>
        <v>331</v>
      </c>
      <c r="B336" s="9" t="s">
        <v>1201</v>
      </c>
      <c r="C336" s="15" t="s">
        <v>1241</v>
      </c>
      <c r="D336" s="10" t="s">
        <v>1242</v>
      </c>
      <c r="E336" s="11">
        <v>703660.5</v>
      </c>
      <c r="G336" s="11">
        <f t="shared" si="32"/>
        <v>703660.5</v>
      </c>
      <c r="H336" s="11">
        <v>0</v>
      </c>
      <c r="I336" s="11">
        <f t="shared" si="35"/>
        <v>-224819.52975000002</v>
      </c>
      <c r="K336" s="844">
        <f t="shared" si="37"/>
        <v>478840.97025000001</v>
      </c>
      <c r="M336" s="9"/>
      <c r="O336" s="13"/>
    </row>
    <row r="337" spans="1:15" ht="13.5" customHeight="1" outlineLevel="2">
      <c r="A337" s="421">
        <f t="shared" si="36"/>
        <v>332</v>
      </c>
      <c r="B337" s="9" t="s">
        <v>1201</v>
      </c>
      <c r="C337" s="15" t="s">
        <v>1243</v>
      </c>
      <c r="D337" s="10" t="s">
        <v>1244</v>
      </c>
      <c r="E337" s="11">
        <v>37033.769999999997</v>
      </c>
      <c r="G337" s="11">
        <f t="shared" si="32"/>
        <v>37033.769999999997</v>
      </c>
      <c r="H337" s="11">
        <v>0</v>
      </c>
      <c r="I337" s="11">
        <f t="shared" si="35"/>
        <v>-11832.289514999999</v>
      </c>
      <c r="K337" s="844">
        <f t="shared" si="37"/>
        <v>25201.480485</v>
      </c>
      <c r="M337" s="9"/>
      <c r="O337" s="13"/>
    </row>
    <row r="338" spans="1:15" outlineLevel="2">
      <c r="A338" s="421">
        <f t="shared" si="36"/>
        <v>333</v>
      </c>
      <c r="B338" s="9" t="s">
        <v>1201</v>
      </c>
      <c r="C338" s="15" t="s">
        <v>1245</v>
      </c>
      <c r="D338" s="10" t="s">
        <v>1246</v>
      </c>
      <c r="E338" s="11">
        <v>284048.28000000003</v>
      </c>
      <c r="G338" s="11">
        <f t="shared" si="32"/>
        <v>284048.28000000003</v>
      </c>
      <c r="H338" s="11">
        <v>0</v>
      </c>
      <c r="I338" s="11">
        <f t="shared" ref="I338:I343" si="38">-(G338*$L$319)</f>
        <v>-90753.425460000013</v>
      </c>
      <c r="K338" s="844">
        <f t="shared" si="37"/>
        <v>193294.85454000003</v>
      </c>
      <c r="M338" s="9"/>
      <c r="O338" s="13"/>
    </row>
    <row r="339" spans="1:15" outlineLevel="2">
      <c r="A339" s="421">
        <f t="shared" si="36"/>
        <v>334</v>
      </c>
      <c r="B339" s="9" t="s">
        <v>1201</v>
      </c>
      <c r="C339" s="15" t="s">
        <v>1247</v>
      </c>
      <c r="D339" s="10" t="s">
        <v>1248</v>
      </c>
      <c r="E339" s="11">
        <v>17796.689999999999</v>
      </c>
      <c r="G339" s="11">
        <f t="shared" si="32"/>
        <v>17796.689999999999</v>
      </c>
      <c r="H339" s="11">
        <v>0</v>
      </c>
      <c r="I339" s="11">
        <f t="shared" si="38"/>
        <v>-5686.0424549999998</v>
      </c>
      <c r="K339" s="844">
        <f t="shared" si="37"/>
        <v>12110.647545</v>
      </c>
      <c r="M339" s="9"/>
      <c r="O339" s="13"/>
    </row>
    <row r="340" spans="1:15" outlineLevel="2">
      <c r="A340" s="421">
        <f t="shared" si="36"/>
        <v>335</v>
      </c>
      <c r="B340" s="9" t="s">
        <v>1201</v>
      </c>
      <c r="C340" s="15" t="s">
        <v>1249</v>
      </c>
      <c r="D340" s="10" t="s">
        <v>1250</v>
      </c>
      <c r="E340" s="11">
        <v>771076.39</v>
      </c>
      <c r="G340" s="11">
        <f t="shared" si="32"/>
        <v>771076.39</v>
      </c>
      <c r="H340" s="11">
        <v>0</v>
      </c>
      <c r="I340" s="11">
        <f t="shared" si="38"/>
        <v>-246358.906605</v>
      </c>
      <c r="K340" s="844">
        <f t="shared" si="37"/>
        <v>524717.48339499999</v>
      </c>
      <c r="M340" s="9"/>
      <c r="O340" s="13"/>
    </row>
    <row r="341" spans="1:15" outlineLevel="2">
      <c r="A341" s="421">
        <f t="shared" si="36"/>
        <v>336</v>
      </c>
      <c r="B341" s="9" t="s">
        <v>1201</v>
      </c>
      <c r="C341" s="15" t="s">
        <v>1251</v>
      </c>
      <c r="D341" s="10" t="s">
        <v>1252</v>
      </c>
      <c r="E341" s="11">
        <v>66872.3</v>
      </c>
      <c r="G341" s="11">
        <f t="shared" si="32"/>
        <v>66872.3</v>
      </c>
      <c r="H341" s="11">
        <v>0</v>
      </c>
      <c r="I341" s="11">
        <f t="shared" si="38"/>
        <v>-21365.699850000001</v>
      </c>
      <c r="K341" s="844">
        <f t="shared" si="37"/>
        <v>45506.600149999998</v>
      </c>
      <c r="M341" s="9"/>
      <c r="O341" s="13"/>
    </row>
    <row r="342" spans="1:15" outlineLevel="2">
      <c r="A342" s="421">
        <f t="shared" si="36"/>
        <v>337</v>
      </c>
      <c r="B342" s="9" t="s">
        <v>1201</v>
      </c>
      <c r="C342" s="15" t="s">
        <v>1253</v>
      </c>
      <c r="D342" s="10" t="s">
        <v>1254</v>
      </c>
      <c r="E342" s="11">
        <v>105280.95</v>
      </c>
      <c r="G342" s="11">
        <f t="shared" si="32"/>
        <v>105280.95</v>
      </c>
      <c r="H342" s="11">
        <v>0</v>
      </c>
      <c r="I342" s="11">
        <f t="shared" si="38"/>
        <v>-33637.263525000002</v>
      </c>
      <c r="K342" s="844">
        <f t="shared" si="37"/>
        <v>71643.686474999995</v>
      </c>
      <c r="M342" s="9"/>
      <c r="O342" s="13"/>
    </row>
    <row r="343" spans="1:15" outlineLevel="2">
      <c r="A343" s="421">
        <f t="shared" si="36"/>
        <v>338</v>
      </c>
      <c r="B343" s="9" t="s">
        <v>1201</v>
      </c>
      <c r="C343" s="15" t="s">
        <v>1255</v>
      </c>
      <c r="D343" s="10" t="s">
        <v>1256</v>
      </c>
      <c r="E343" s="11">
        <v>301355.36</v>
      </c>
      <c r="G343" s="11">
        <f t="shared" si="32"/>
        <v>301355.36</v>
      </c>
      <c r="H343" s="11">
        <v>0</v>
      </c>
      <c r="I343" s="11">
        <f t="shared" si="38"/>
        <v>-96283.037519999998</v>
      </c>
      <c r="K343" s="844">
        <f t="shared" si="37"/>
        <v>205072.32247999997</v>
      </c>
      <c r="M343" s="9"/>
      <c r="O343" s="13"/>
    </row>
    <row r="344" spans="1:15" outlineLevel="2">
      <c r="A344" s="421">
        <f t="shared" si="36"/>
        <v>339</v>
      </c>
      <c r="B344" s="9" t="s">
        <v>1201</v>
      </c>
      <c r="C344" s="15" t="s">
        <v>1257</v>
      </c>
      <c r="D344" s="10" t="s">
        <v>1258</v>
      </c>
      <c r="E344" s="11">
        <v>809166.16</v>
      </c>
      <c r="G344" s="11">
        <f>E344+F344</f>
        <v>809166.16</v>
      </c>
      <c r="H344" s="11">
        <v>0</v>
      </c>
      <c r="I344" s="11">
        <f>-(G344*$L$319)</f>
        <v>-258528.58812000003</v>
      </c>
      <c r="K344" s="844">
        <f t="shared" ref="K344:K353" si="39">SUM(G344:J344)</f>
        <v>550637.57187999994</v>
      </c>
      <c r="M344" s="9"/>
      <c r="O344" s="13"/>
    </row>
    <row r="345" spans="1:15" outlineLevel="2">
      <c r="A345" s="421">
        <f t="shared" si="36"/>
        <v>340</v>
      </c>
      <c r="B345" s="9" t="s">
        <v>1201</v>
      </c>
      <c r="C345" s="15" t="s">
        <v>1259</v>
      </c>
      <c r="D345" s="10" t="s">
        <v>1260</v>
      </c>
      <c r="E345" s="11">
        <v>1399.06</v>
      </c>
      <c r="G345" s="11">
        <f t="shared" si="32"/>
        <v>1399.06</v>
      </c>
      <c r="H345" s="11">
        <v>0</v>
      </c>
      <c r="I345" s="11">
        <f>-(G345*$L$319)</f>
        <v>-446.99966999999998</v>
      </c>
      <c r="K345" s="844">
        <f t="shared" si="39"/>
        <v>952.06033000000002</v>
      </c>
      <c r="M345" s="9"/>
    </row>
    <row r="346" spans="1:15" outlineLevel="2">
      <c r="A346" s="421">
        <f t="shared" si="36"/>
        <v>341</v>
      </c>
      <c r="B346" s="9" t="s">
        <v>1201</v>
      </c>
      <c r="C346" s="15" t="s">
        <v>1261</v>
      </c>
      <c r="D346" s="10" t="s">
        <v>1262</v>
      </c>
      <c r="E346" s="11">
        <v>64774.77</v>
      </c>
      <c r="G346" s="11">
        <f t="shared" si="32"/>
        <v>64774.77</v>
      </c>
      <c r="H346" s="11">
        <v>0</v>
      </c>
      <c r="I346" s="11">
        <f>-(G346*$L$319)</f>
        <v>-20695.539014999998</v>
      </c>
      <c r="K346" s="844">
        <f t="shared" si="39"/>
        <v>44079.230985000002</v>
      </c>
      <c r="M346" s="9"/>
      <c r="O346" s="13"/>
    </row>
    <row r="347" spans="1:15" outlineLevel="2">
      <c r="A347" s="421">
        <f t="shared" si="36"/>
        <v>342</v>
      </c>
      <c r="B347" s="9" t="s">
        <v>1201</v>
      </c>
      <c r="C347" s="15" t="s">
        <v>1263</v>
      </c>
      <c r="D347" s="10" t="s">
        <v>1264</v>
      </c>
      <c r="E347" s="11">
        <v>251028.92</v>
      </c>
      <c r="G347" s="11">
        <f t="shared" si="32"/>
        <v>251028.92</v>
      </c>
      <c r="H347" s="11">
        <v>0</v>
      </c>
      <c r="I347" s="11">
        <f>-(G347*$L$319)</f>
        <v>-80203.739939999999</v>
      </c>
      <c r="K347" s="844">
        <f>SUM(G347:J347)</f>
        <v>170825.18006000001</v>
      </c>
      <c r="M347" s="9"/>
      <c r="O347" s="13"/>
    </row>
    <row r="348" spans="1:15" outlineLevel="2">
      <c r="A348" s="421">
        <f t="shared" si="36"/>
        <v>343</v>
      </c>
      <c r="B348" s="9" t="s">
        <v>1201</v>
      </c>
      <c r="C348" s="15" t="s">
        <v>1265</v>
      </c>
      <c r="D348" s="10" t="s">
        <v>1266</v>
      </c>
      <c r="E348" s="11">
        <v>52564.95</v>
      </c>
      <c r="G348" s="11">
        <f t="shared" si="32"/>
        <v>52564.95</v>
      </c>
      <c r="H348" s="11">
        <v>0</v>
      </c>
      <c r="I348" s="11">
        <f>-(G348*$L$319)</f>
        <v>-16794.501525</v>
      </c>
      <c r="K348" s="844">
        <f t="shared" si="39"/>
        <v>35770.448474999997</v>
      </c>
      <c r="M348" s="9"/>
      <c r="O348" s="13"/>
    </row>
    <row r="349" spans="1:15" outlineLevel="2">
      <c r="A349" s="421">
        <f t="shared" si="36"/>
        <v>344</v>
      </c>
      <c r="B349" s="9" t="s">
        <v>1201</v>
      </c>
      <c r="C349" s="15" t="s">
        <v>1267</v>
      </c>
      <c r="D349" s="10" t="s">
        <v>1268</v>
      </c>
      <c r="E349" s="11">
        <v>1926</v>
      </c>
      <c r="G349" s="11">
        <f t="shared" si="32"/>
        <v>1926</v>
      </c>
      <c r="H349" s="11">
        <v>0</v>
      </c>
      <c r="I349" s="11">
        <f t="shared" ref="I349:I358" si="40">-(G349*$L$319)</f>
        <v>-615.35699999999997</v>
      </c>
      <c r="K349" s="844">
        <f t="shared" si="39"/>
        <v>1310.643</v>
      </c>
      <c r="M349" s="9"/>
      <c r="O349" s="13"/>
    </row>
    <row r="350" spans="1:15" outlineLevel="2">
      <c r="A350" s="421">
        <f t="shared" si="36"/>
        <v>345</v>
      </c>
      <c r="B350" s="9" t="s">
        <v>1201</v>
      </c>
      <c r="C350" s="15" t="s">
        <v>1269</v>
      </c>
      <c r="D350" s="10" t="s">
        <v>1270</v>
      </c>
      <c r="E350" s="11">
        <v>31101.66</v>
      </c>
      <c r="G350" s="11">
        <f t="shared" si="32"/>
        <v>31101.66</v>
      </c>
      <c r="I350" s="11">
        <f t="shared" si="40"/>
        <v>-9936.9803699999993</v>
      </c>
      <c r="K350" s="844">
        <f>SUM(G350:J350)</f>
        <v>21164.679629999999</v>
      </c>
      <c r="M350" s="9"/>
      <c r="O350" s="13"/>
    </row>
    <row r="351" spans="1:15" outlineLevel="2">
      <c r="A351" s="421">
        <f t="shared" si="36"/>
        <v>346</v>
      </c>
      <c r="B351" s="9" t="s">
        <v>1201</v>
      </c>
      <c r="C351" s="15" t="s">
        <v>1271</v>
      </c>
      <c r="D351" s="10" t="s">
        <v>1272</v>
      </c>
      <c r="E351" s="11">
        <v>208940.58</v>
      </c>
      <c r="G351" s="11">
        <f t="shared" si="32"/>
        <v>208940.58</v>
      </c>
      <c r="H351" s="11">
        <v>0</v>
      </c>
      <c r="I351" s="11">
        <f t="shared" si="40"/>
        <v>-66756.515310000003</v>
      </c>
      <c r="K351" s="844">
        <f>SUM(G351:J351)</f>
        <v>142184.06468999997</v>
      </c>
      <c r="M351" s="9"/>
      <c r="O351" s="13"/>
    </row>
    <row r="352" spans="1:15" outlineLevel="2">
      <c r="A352" s="421">
        <f t="shared" si="36"/>
        <v>347</v>
      </c>
      <c r="B352" s="9" t="s">
        <v>1201</v>
      </c>
      <c r="C352" s="15" t="s">
        <v>1273</v>
      </c>
      <c r="D352" s="10" t="s">
        <v>1274</v>
      </c>
      <c r="E352" s="11">
        <v>63659.87</v>
      </c>
      <c r="G352" s="11">
        <f t="shared" si="32"/>
        <v>63659.87</v>
      </c>
      <c r="H352" s="11">
        <v>0</v>
      </c>
      <c r="I352" s="11">
        <f t="shared" si="40"/>
        <v>-20339.328465000002</v>
      </c>
      <c r="K352" s="844">
        <f t="shared" si="39"/>
        <v>43320.541534999997</v>
      </c>
      <c r="M352" s="9"/>
      <c r="O352" s="13"/>
    </row>
    <row r="353" spans="1:15" outlineLevel="2">
      <c r="A353" s="421">
        <f t="shared" si="36"/>
        <v>348</v>
      </c>
      <c r="B353" s="9" t="s">
        <v>1201</v>
      </c>
      <c r="C353" s="15" t="s">
        <v>1275</v>
      </c>
      <c r="D353" s="10" t="s">
        <v>1276</v>
      </c>
      <c r="E353" s="11">
        <v>347319.87</v>
      </c>
      <c r="G353" s="11">
        <f t="shared" si="32"/>
        <v>347319.87</v>
      </c>
      <c r="H353" s="11">
        <v>0</v>
      </c>
      <c r="I353" s="11">
        <f t="shared" si="40"/>
        <v>-110968.69846499999</v>
      </c>
      <c r="K353" s="844">
        <f t="shared" si="39"/>
        <v>236351.171535</v>
      </c>
      <c r="M353" s="9"/>
      <c r="O353" s="13"/>
    </row>
    <row r="354" spans="1:15" outlineLevel="2">
      <c r="A354" s="421">
        <f t="shared" si="36"/>
        <v>349</v>
      </c>
      <c r="B354" s="9" t="s">
        <v>1201</v>
      </c>
      <c r="C354" s="15" t="s">
        <v>1277</v>
      </c>
      <c r="D354" s="10" t="s">
        <v>1278</v>
      </c>
      <c r="E354" s="11">
        <v>658544.05000000005</v>
      </c>
      <c r="G354" s="11">
        <f t="shared" si="32"/>
        <v>658544.05000000005</v>
      </c>
      <c r="H354" s="11">
        <v>0</v>
      </c>
      <c r="I354" s="11">
        <f t="shared" si="40"/>
        <v>-210404.82397500001</v>
      </c>
      <c r="K354" s="844">
        <f>SUM(G354:J354)</f>
        <v>448139.22602500004</v>
      </c>
      <c r="M354" s="9"/>
      <c r="O354" s="13"/>
    </row>
    <row r="355" spans="1:15" outlineLevel="2">
      <c r="A355" s="421">
        <f t="shared" si="36"/>
        <v>350</v>
      </c>
      <c r="B355" s="9" t="s">
        <v>1201</v>
      </c>
      <c r="C355" s="15" t="s">
        <v>1279</v>
      </c>
      <c r="D355" s="10" t="s">
        <v>1280</v>
      </c>
      <c r="E355" s="11">
        <v>874143.85</v>
      </c>
      <c r="G355" s="11">
        <f t="shared" si="32"/>
        <v>874143.85</v>
      </c>
      <c r="H355" s="11">
        <v>0</v>
      </c>
      <c r="I355" s="11">
        <f t="shared" si="40"/>
        <v>-279288.96007500001</v>
      </c>
      <c r="K355" s="844">
        <f t="shared" ref="K355:K364" si="41">SUM(G355:J355)</f>
        <v>594854.88992500002</v>
      </c>
      <c r="M355" s="9"/>
      <c r="O355" s="13"/>
    </row>
    <row r="356" spans="1:15" outlineLevel="2">
      <c r="A356" s="421">
        <f t="shared" si="36"/>
        <v>351</v>
      </c>
      <c r="B356" s="9" t="s">
        <v>1201</v>
      </c>
      <c r="C356" s="15" t="s">
        <v>1281</v>
      </c>
      <c r="D356" s="10" t="s">
        <v>1282</v>
      </c>
      <c r="E356" s="11">
        <v>399031.96</v>
      </c>
      <c r="G356" s="11">
        <f t="shared" si="32"/>
        <v>399031.96</v>
      </c>
      <c r="H356" s="11">
        <v>0</v>
      </c>
      <c r="I356" s="11">
        <f t="shared" si="40"/>
        <v>-127490.71122000001</v>
      </c>
      <c r="K356" s="844">
        <f t="shared" si="41"/>
        <v>271541.24878000002</v>
      </c>
      <c r="M356" s="9"/>
      <c r="O356" s="13"/>
    </row>
    <row r="357" spans="1:15" outlineLevel="2">
      <c r="A357" s="421">
        <f t="shared" si="36"/>
        <v>352</v>
      </c>
      <c r="B357" s="9" t="s">
        <v>1201</v>
      </c>
      <c r="C357" s="15" t="s">
        <v>1283</v>
      </c>
      <c r="D357" s="10" t="s">
        <v>1284</v>
      </c>
      <c r="E357" s="11">
        <v>79113.22</v>
      </c>
      <c r="G357" s="11">
        <f t="shared" si="32"/>
        <v>79113.22</v>
      </c>
      <c r="H357" s="11">
        <v>0</v>
      </c>
      <c r="I357" s="11">
        <f t="shared" si="40"/>
        <v>-25276.673790000001</v>
      </c>
      <c r="K357" s="844">
        <f t="shared" si="41"/>
        <v>53836.54621</v>
      </c>
      <c r="M357" s="9"/>
      <c r="O357" s="13"/>
    </row>
    <row r="358" spans="1:15" outlineLevel="2">
      <c r="A358" s="421">
        <f t="shared" si="36"/>
        <v>353</v>
      </c>
      <c r="B358" s="9" t="s">
        <v>1201</v>
      </c>
      <c r="C358" s="15" t="s">
        <v>1285</v>
      </c>
      <c r="D358" s="10" t="s">
        <v>1286</v>
      </c>
      <c r="E358" s="11">
        <v>1821.43</v>
      </c>
      <c r="G358" s="11">
        <f t="shared" si="32"/>
        <v>1821.43</v>
      </c>
      <c r="H358" s="11">
        <v>0</v>
      </c>
      <c r="I358" s="11">
        <f t="shared" si="40"/>
        <v>-581.94688500000007</v>
      </c>
      <c r="K358" s="844">
        <f>SUM(G358:J358)</f>
        <v>1239.483115</v>
      </c>
      <c r="M358" s="9"/>
      <c r="O358" s="13"/>
    </row>
    <row r="359" spans="1:15" outlineLevel="2">
      <c r="A359" s="421">
        <f t="shared" si="36"/>
        <v>354</v>
      </c>
      <c r="B359" s="9" t="s">
        <v>1201</v>
      </c>
      <c r="C359" s="15" t="s">
        <v>1287</v>
      </c>
      <c r="D359" s="10" t="s">
        <v>1288</v>
      </c>
      <c r="E359" s="11">
        <v>147652.66</v>
      </c>
      <c r="G359" s="11">
        <f t="shared" si="32"/>
        <v>147652.66</v>
      </c>
      <c r="H359" s="11">
        <v>0</v>
      </c>
      <c r="I359" s="11">
        <f>-(G359*$L$319)</f>
        <v>-47175.024870000001</v>
      </c>
      <c r="K359" s="844">
        <f t="shared" si="41"/>
        <v>100477.63513000001</v>
      </c>
      <c r="M359" s="9"/>
      <c r="O359" s="13"/>
    </row>
    <row r="360" spans="1:15" outlineLevel="2">
      <c r="A360" s="421">
        <f t="shared" si="36"/>
        <v>355</v>
      </c>
      <c r="B360" s="9" t="s">
        <v>1201</v>
      </c>
      <c r="C360" s="15" t="s">
        <v>1289</v>
      </c>
      <c r="D360" s="10" t="s">
        <v>1290</v>
      </c>
      <c r="E360" s="11">
        <v>209856.93</v>
      </c>
      <c r="G360" s="11">
        <f t="shared" si="32"/>
        <v>209856.93</v>
      </c>
      <c r="H360" s="11">
        <v>0</v>
      </c>
      <c r="I360" s="11">
        <f>-(G360*$L$319)</f>
        <v>-67049.289134999999</v>
      </c>
      <c r="K360" s="844">
        <f t="shared" si="41"/>
        <v>142807.64086499999</v>
      </c>
      <c r="M360" s="9"/>
      <c r="O360" s="13"/>
    </row>
    <row r="361" spans="1:15" outlineLevel="2">
      <c r="A361" s="421">
        <f t="shared" si="36"/>
        <v>356</v>
      </c>
      <c r="B361" s="9" t="s">
        <v>1201</v>
      </c>
      <c r="C361" s="15" t="s">
        <v>1291</v>
      </c>
      <c r="D361" s="10" t="s">
        <v>1292</v>
      </c>
      <c r="E361" s="11">
        <v>240323.88</v>
      </c>
      <c r="G361" s="11">
        <f>E361+F361</f>
        <v>240323.88</v>
      </c>
      <c r="H361" s="11">
        <v>0</v>
      </c>
      <c r="I361" s="11">
        <f>-(G361*$L$319)</f>
        <v>-76783.479659999997</v>
      </c>
      <c r="K361" s="844">
        <f>SUM(G361:J361)</f>
        <v>163540.40033999999</v>
      </c>
      <c r="M361" s="9"/>
      <c r="O361" s="13"/>
    </row>
    <row r="362" spans="1:15" outlineLevel="2">
      <c r="A362" s="421">
        <f t="shared" si="36"/>
        <v>357</v>
      </c>
      <c r="B362" s="9" t="s">
        <v>1201</v>
      </c>
      <c r="C362" s="15" t="s">
        <v>1293</v>
      </c>
      <c r="D362" s="10" t="s">
        <v>1294</v>
      </c>
      <c r="E362" s="11">
        <v>211379.48</v>
      </c>
      <c r="G362" s="11">
        <f t="shared" si="32"/>
        <v>211379.48</v>
      </c>
      <c r="H362" s="11">
        <v>0</v>
      </c>
      <c r="I362" s="11">
        <f>-(G362*$L$319)</f>
        <v>-67535.743860000002</v>
      </c>
      <c r="K362" s="844">
        <f t="shared" si="41"/>
        <v>143843.73613999999</v>
      </c>
      <c r="M362" s="9"/>
      <c r="O362" s="13"/>
    </row>
    <row r="363" spans="1:15" outlineLevel="2">
      <c r="A363" s="421">
        <f t="shared" si="36"/>
        <v>358</v>
      </c>
      <c r="B363" s="9" t="s">
        <v>1201</v>
      </c>
      <c r="C363" s="15" t="s">
        <v>1295</v>
      </c>
      <c r="D363" s="10" t="s">
        <v>1296</v>
      </c>
      <c r="E363" s="11">
        <v>814134.54</v>
      </c>
      <c r="G363" s="11">
        <f t="shared" si="32"/>
        <v>814134.54</v>
      </c>
      <c r="H363" s="11">
        <v>0</v>
      </c>
      <c r="I363" s="11">
        <f>-(G363*$L$319)</f>
        <v>-260115.98553000001</v>
      </c>
      <c r="K363" s="844">
        <f t="shared" si="41"/>
        <v>554018.55447000009</v>
      </c>
      <c r="M363" s="9"/>
      <c r="O363" s="13"/>
    </row>
    <row r="364" spans="1:15" outlineLevel="2">
      <c r="A364" s="421">
        <f t="shared" si="36"/>
        <v>359</v>
      </c>
      <c r="B364" s="9" t="s">
        <v>1201</v>
      </c>
      <c r="C364" s="15" t="s">
        <v>1297</v>
      </c>
      <c r="D364" s="10" t="s">
        <v>1298</v>
      </c>
      <c r="E364" s="11">
        <v>219051.56</v>
      </c>
      <c r="G364" s="11">
        <f t="shared" si="32"/>
        <v>219051.56</v>
      </c>
      <c r="H364" s="11">
        <v>0</v>
      </c>
      <c r="I364" s="11">
        <f t="shared" ref="I364:I374" si="42">-(G364*$L$319)</f>
        <v>-69986.973419999995</v>
      </c>
      <c r="K364" s="844">
        <f t="shared" si="41"/>
        <v>149064.58658</v>
      </c>
      <c r="M364" s="9"/>
      <c r="O364" s="13"/>
    </row>
    <row r="365" spans="1:15" outlineLevel="2">
      <c r="A365" s="421">
        <f t="shared" si="36"/>
        <v>360</v>
      </c>
      <c r="B365" s="9" t="s">
        <v>1201</v>
      </c>
      <c r="C365" s="15" t="s">
        <v>1299</v>
      </c>
      <c r="D365" s="10" t="s">
        <v>1300</v>
      </c>
      <c r="E365" s="11">
        <v>99569.22</v>
      </c>
      <c r="G365" s="11">
        <f t="shared" si="32"/>
        <v>99569.22</v>
      </c>
      <c r="H365" s="11">
        <v>0</v>
      </c>
      <c r="I365" s="11">
        <f t="shared" si="42"/>
        <v>-31812.36579</v>
      </c>
      <c r="K365" s="844">
        <f t="shared" ref="K365:K372" si="43">SUM(G365:J365)</f>
        <v>67756.854210000005</v>
      </c>
      <c r="M365" s="9"/>
      <c r="O365" s="13"/>
    </row>
    <row r="366" spans="1:15" outlineLevel="2">
      <c r="A366" s="421">
        <f t="shared" si="36"/>
        <v>361</v>
      </c>
      <c r="B366" s="9" t="s">
        <v>1201</v>
      </c>
      <c r="C366" s="15" t="s">
        <v>1301</v>
      </c>
      <c r="D366" s="10" t="s">
        <v>1302</v>
      </c>
      <c r="E366" s="11">
        <v>2527</v>
      </c>
      <c r="G366" s="11">
        <f t="shared" si="32"/>
        <v>2527</v>
      </c>
      <c r="H366" s="11">
        <v>0</v>
      </c>
      <c r="I366" s="11">
        <f t="shared" si="42"/>
        <v>-807.37649999999996</v>
      </c>
      <c r="K366" s="844">
        <f t="shared" si="43"/>
        <v>1719.6235000000001</v>
      </c>
      <c r="M366" s="9"/>
      <c r="O366" s="13"/>
    </row>
    <row r="367" spans="1:15" outlineLevel="2">
      <c r="A367" s="421">
        <f t="shared" si="36"/>
        <v>362</v>
      </c>
      <c r="B367" s="9" t="s">
        <v>1201</v>
      </c>
      <c r="C367" s="15" t="s">
        <v>1303</v>
      </c>
      <c r="D367" s="10" t="s">
        <v>1304</v>
      </c>
      <c r="E367" s="11">
        <v>101254.41</v>
      </c>
      <c r="G367" s="11">
        <f t="shared" si="32"/>
        <v>101254.41</v>
      </c>
      <c r="H367" s="11">
        <v>0</v>
      </c>
      <c r="I367" s="11">
        <f t="shared" si="42"/>
        <v>-32350.783995000002</v>
      </c>
      <c r="K367" s="844">
        <f t="shared" si="43"/>
        <v>68903.626004999998</v>
      </c>
      <c r="M367" s="9"/>
      <c r="O367" s="13"/>
    </row>
    <row r="368" spans="1:15" outlineLevel="2">
      <c r="A368" s="421">
        <f t="shared" si="36"/>
        <v>363</v>
      </c>
      <c r="B368" s="9" t="s">
        <v>1201</v>
      </c>
      <c r="C368" s="15" t="s">
        <v>1305</v>
      </c>
      <c r="D368" s="10" t="s">
        <v>1306</v>
      </c>
      <c r="E368" s="11">
        <v>206549.66</v>
      </c>
      <c r="G368" s="11">
        <f t="shared" si="32"/>
        <v>206549.66</v>
      </c>
      <c r="H368" s="11">
        <v>0</v>
      </c>
      <c r="I368" s="11">
        <f t="shared" si="42"/>
        <v>-65992.616370000003</v>
      </c>
      <c r="K368" s="844">
        <f t="shared" si="43"/>
        <v>140557.04363</v>
      </c>
      <c r="M368" s="9"/>
      <c r="O368" s="13"/>
    </row>
    <row r="369" spans="1:15" outlineLevel="2">
      <c r="A369" s="421">
        <f t="shared" si="36"/>
        <v>364</v>
      </c>
      <c r="B369" s="9" t="s">
        <v>1201</v>
      </c>
      <c r="C369" s="15" t="s">
        <v>1307</v>
      </c>
      <c r="D369" s="10" t="s">
        <v>1308</v>
      </c>
      <c r="E369" s="11">
        <v>211742.81</v>
      </c>
      <c r="G369" s="11">
        <f t="shared" si="32"/>
        <v>211742.81</v>
      </c>
      <c r="H369" s="11">
        <v>0</v>
      </c>
      <c r="I369" s="11">
        <f t="shared" si="42"/>
        <v>-67651.827795000005</v>
      </c>
      <c r="K369" s="844">
        <f t="shared" si="43"/>
        <v>144090.98220500001</v>
      </c>
      <c r="M369" s="9"/>
      <c r="O369" s="13"/>
    </row>
    <row r="370" spans="1:15" outlineLevel="2">
      <c r="A370" s="421">
        <f t="shared" si="36"/>
        <v>365</v>
      </c>
      <c r="B370" s="9" t="s">
        <v>1201</v>
      </c>
      <c r="C370" s="15" t="s">
        <v>1309</v>
      </c>
      <c r="D370" s="10" t="s">
        <v>1310</v>
      </c>
      <c r="E370" s="11">
        <v>128931.33</v>
      </c>
      <c r="G370" s="11">
        <f t="shared" si="32"/>
        <v>128931.33</v>
      </c>
      <c r="I370" s="11">
        <f t="shared" si="42"/>
        <v>-41193.559935000005</v>
      </c>
      <c r="K370" s="844">
        <f t="shared" si="43"/>
        <v>87737.77006499999</v>
      </c>
      <c r="M370" s="9"/>
      <c r="O370" s="13"/>
    </row>
    <row r="371" spans="1:15" outlineLevel="2">
      <c r="A371" s="421">
        <f t="shared" si="36"/>
        <v>366</v>
      </c>
      <c r="B371" s="9" t="s">
        <v>1201</v>
      </c>
      <c r="C371" s="15" t="s">
        <v>1311</v>
      </c>
      <c r="D371" s="10" t="s">
        <v>1312</v>
      </c>
      <c r="E371" s="11">
        <v>542230.71</v>
      </c>
      <c r="G371" s="11">
        <f t="shared" si="32"/>
        <v>542230.71</v>
      </c>
      <c r="H371" s="11">
        <v>0</v>
      </c>
      <c r="I371" s="11">
        <f t="shared" si="42"/>
        <v>-173242.71184499998</v>
      </c>
      <c r="K371" s="844">
        <f t="shared" si="43"/>
        <v>368987.99815499998</v>
      </c>
      <c r="M371" s="9"/>
      <c r="O371" s="13"/>
    </row>
    <row r="372" spans="1:15" outlineLevel="2">
      <c r="A372" s="421">
        <f t="shared" si="36"/>
        <v>367</v>
      </c>
      <c r="B372" s="9" t="s">
        <v>1201</v>
      </c>
      <c r="C372" s="15" t="s">
        <v>1313</v>
      </c>
      <c r="D372" s="10" t="s">
        <v>1314</v>
      </c>
      <c r="E372" s="11">
        <v>68763.06</v>
      </c>
      <c r="G372" s="11">
        <f t="shared" si="32"/>
        <v>68763.06</v>
      </c>
      <c r="H372" s="11">
        <v>0</v>
      </c>
      <c r="I372" s="11">
        <f t="shared" si="42"/>
        <v>-21969.79767</v>
      </c>
      <c r="K372" s="844">
        <f t="shared" si="43"/>
        <v>46793.262329999998</v>
      </c>
      <c r="M372" s="9"/>
      <c r="O372" s="13"/>
    </row>
    <row r="373" spans="1:15" outlineLevel="2">
      <c r="A373" s="421">
        <f t="shared" si="36"/>
        <v>368</v>
      </c>
      <c r="B373" s="9" t="s">
        <v>1201</v>
      </c>
      <c r="C373" s="15" t="s">
        <v>1315</v>
      </c>
      <c r="D373" s="10" t="s">
        <v>1316</v>
      </c>
      <c r="E373" s="11">
        <v>70574.899999999994</v>
      </c>
      <c r="G373" s="11">
        <f t="shared" si="32"/>
        <v>70574.899999999994</v>
      </c>
      <c r="H373" s="11">
        <v>0</v>
      </c>
      <c r="I373" s="11">
        <f t="shared" si="42"/>
        <v>-22548.680549999997</v>
      </c>
      <c r="K373" s="844">
        <f t="shared" ref="K373:K378" si="44">SUM(G373:J373)</f>
        <v>48026.219449999997</v>
      </c>
      <c r="M373" s="9"/>
      <c r="O373" s="13"/>
    </row>
    <row r="374" spans="1:15" outlineLevel="2">
      <c r="A374" s="421">
        <f t="shared" si="36"/>
        <v>369</v>
      </c>
      <c r="B374" s="9" t="s">
        <v>1201</v>
      </c>
      <c r="C374" s="15" t="s">
        <v>1317</v>
      </c>
      <c r="D374" s="10" t="s">
        <v>1318</v>
      </c>
      <c r="E374" s="11">
        <v>227269.47</v>
      </c>
      <c r="G374" s="11">
        <f t="shared" si="32"/>
        <v>227269.47</v>
      </c>
      <c r="I374" s="11">
        <f t="shared" si="42"/>
        <v>-72612.595665000001</v>
      </c>
      <c r="K374" s="844">
        <f t="shared" si="44"/>
        <v>154656.874335</v>
      </c>
      <c r="M374" s="9"/>
      <c r="O374" s="13"/>
    </row>
    <row r="375" spans="1:15" outlineLevel="2">
      <c r="A375" s="421">
        <f t="shared" si="36"/>
        <v>370</v>
      </c>
      <c r="B375" s="9" t="s">
        <v>1201</v>
      </c>
      <c r="C375" s="15" t="s">
        <v>1319</v>
      </c>
      <c r="D375" s="10" t="s">
        <v>1320</v>
      </c>
      <c r="E375" s="11">
        <v>97511.52</v>
      </c>
      <c r="G375" s="11">
        <f t="shared" si="32"/>
        <v>97511.52</v>
      </c>
      <c r="H375" s="11">
        <v>0</v>
      </c>
      <c r="I375" s="11">
        <f t="shared" ref="I375:I380" si="45">-(G375*$L$319)</f>
        <v>-31154.930640000002</v>
      </c>
      <c r="K375" s="844">
        <f t="shared" si="44"/>
        <v>66356.589359999998</v>
      </c>
      <c r="M375" s="9"/>
      <c r="O375" s="13"/>
    </row>
    <row r="376" spans="1:15" outlineLevel="2">
      <c r="A376" s="421">
        <f t="shared" si="36"/>
        <v>371</v>
      </c>
      <c r="B376" s="9" t="s">
        <v>1201</v>
      </c>
      <c r="C376" s="15" t="s">
        <v>1321</v>
      </c>
      <c r="D376" s="10" t="s">
        <v>1322</v>
      </c>
      <c r="E376" s="11">
        <v>423028.2</v>
      </c>
      <c r="G376" s="11">
        <f t="shared" si="32"/>
        <v>423028.2</v>
      </c>
      <c r="H376" s="11">
        <v>0</v>
      </c>
      <c r="I376" s="11">
        <f t="shared" si="45"/>
        <v>-135157.5099</v>
      </c>
      <c r="K376" s="844">
        <f>SUM(G376:J376)</f>
        <v>287870.69010000001</v>
      </c>
      <c r="M376" s="9"/>
      <c r="O376" s="13"/>
    </row>
    <row r="377" spans="1:15" outlineLevel="2">
      <c r="A377" s="421">
        <f t="shared" si="36"/>
        <v>372</v>
      </c>
      <c r="B377" s="9" t="s">
        <v>1201</v>
      </c>
      <c r="C377" s="15" t="s">
        <v>1323</v>
      </c>
      <c r="D377" s="10" t="s">
        <v>1324</v>
      </c>
      <c r="E377" s="11">
        <v>105589.24</v>
      </c>
      <c r="G377" s="11">
        <f t="shared" si="32"/>
        <v>105589.24</v>
      </c>
      <c r="H377" s="11">
        <v>0</v>
      </c>
      <c r="I377" s="11">
        <f t="shared" si="45"/>
        <v>-33735.762180000005</v>
      </c>
      <c r="K377" s="844">
        <f t="shared" si="44"/>
        <v>71853.47782</v>
      </c>
      <c r="M377" s="9"/>
      <c r="O377" s="13"/>
    </row>
    <row r="378" spans="1:15" outlineLevel="2">
      <c r="A378" s="421">
        <f t="shared" si="36"/>
        <v>373</v>
      </c>
      <c r="B378" s="9" t="s">
        <v>1201</v>
      </c>
      <c r="C378" s="15" t="s">
        <v>1325</v>
      </c>
      <c r="D378" s="10" t="s">
        <v>1326</v>
      </c>
      <c r="E378" s="11">
        <v>785698.39</v>
      </c>
      <c r="G378" s="11">
        <f t="shared" si="32"/>
        <v>785698.39</v>
      </c>
      <c r="I378" s="11">
        <f t="shared" si="45"/>
        <v>-251030.63560500002</v>
      </c>
      <c r="K378" s="844">
        <f t="shared" si="44"/>
        <v>534667.75439499994</v>
      </c>
      <c r="M378" s="9"/>
      <c r="O378" s="13"/>
    </row>
    <row r="379" spans="1:15" outlineLevel="2">
      <c r="A379" s="421">
        <f t="shared" si="36"/>
        <v>374</v>
      </c>
      <c r="B379" s="9" t="s">
        <v>1201</v>
      </c>
      <c r="C379" s="15" t="s">
        <v>1327</v>
      </c>
      <c r="D379" s="10" t="s">
        <v>1328</v>
      </c>
      <c r="E379" s="11">
        <v>99222.88</v>
      </c>
      <c r="G379" s="11">
        <f t="shared" si="32"/>
        <v>99222.88</v>
      </c>
      <c r="H379" s="11">
        <v>0</v>
      </c>
      <c r="I379" s="11">
        <f t="shared" si="45"/>
        <v>-31701.710160000002</v>
      </c>
      <c r="K379" s="844">
        <f>SUM(G379:J379)</f>
        <v>67521.169840000002</v>
      </c>
      <c r="M379" s="9"/>
      <c r="O379" s="13"/>
    </row>
    <row r="380" spans="1:15" outlineLevel="2">
      <c r="A380" s="421">
        <f t="shared" si="36"/>
        <v>375</v>
      </c>
      <c r="B380" s="9" t="s">
        <v>1201</v>
      </c>
      <c r="C380" s="15" t="s">
        <v>1329</v>
      </c>
      <c r="D380" s="10" t="s">
        <v>1330</v>
      </c>
      <c r="E380" s="11">
        <v>301613.96999999997</v>
      </c>
      <c r="G380" s="11">
        <f t="shared" si="32"/>
        <v>301613.96999999997</v>
      </c>
      <c r="H380" s="11">
        <v>0</v>
      </c>
      <c r="I380" s="11">
        <f t="shared" si="45"/>
        <v>-96365.663414999988</v>
      </c>
      <c r="K380" s="844">
        <f t="shared" ref="K380:K387" si="46">SUM(G380:J380)</f>
        <v>205248.30658499998</v>
      </c>
      <c r="M380" s="9"/>
      <c r="O380" s="13"/>
    </row>
    <row r="381" spans="1:15" outlineLevel="2">
      <c r="A381" s="421">
        <f t="shared" si="36"/>
        <v>376</v>
      </c>
      <c r="B381" s="9" t="s">
        <v>1201</v>
      </c>
      <c r="C381" s="15" t="s">
        <v>1331</v>
      </c>
      <c r="D381" s="10" t="s">
        <v>1332</v>
      </c>
      <c r="E381" s="11">
        <v>423094</v>
      </c>
      <c r="G381" s="11">
        <f t="shared" si="32"/>
        <v>423094</v>
      </c>
      <c r="H381" s="11">
        <v>0</v>
      </c>
      <c r="I381" s="11">
        <f t="shared" ref="I381:I389" si="47">-(G381*$L$319)</f>
        <v>-135178.533</v>
      </c>
      <c r="K381" s="844">
        <f t="shared" si="46"/>
        <v>287915.467</v>
      </c>
      <c r="M381" s="9"/>
      <c r="O381" s="13"/>
    </row>
    <row r="382" spans="1:15" outlineLevel="2">
      <c r="A382" s="421">
        <f t="shared" si="36"/>
        <v>377</v>
      </c>
      <c r="B382" s="9" t="s">
        <v>1201</v>
      </c>
      <c r="C382" s="15" t="s">
        <v>1333</v>
      </c>
      <c r="D382" s="10" t="s">
        <v>1334</v>
      </c>
      <c r="E382" s="11">
        <v>61203.72</v>
      </c>
      <c r="G382" s="11">
        <f t="shared" si="32"/>
        <v>61203.72</v>
      </c>
      <c r="H382" s="11">
        <v>0</v>
      </c>
      <c r="I382" s="11">
        <f t="shared" si="47"/>
        <v>-19554.588540000001</v>
      </c>
      <c r="K382" s="844">
        <f t="shared" si="46"/>
        <v>41649.131460000004</v>
      </c>
      <c r="M382" s="9"/>
      <c r="O382" s="13"/>
    </row>
    <row r="383" spans="1:15" outlineLevel="2">
      <c r="A383" s="421">
        <f t="shared" si="36"/>
        <v>378</v>
      </c>
      <c r="B383" s="9" t="s">
        <v>1201</v>
      </c>
      <c r="C383" s="15" t="s">
        <v>1335</v>
      </c>
      <c r="D383" s="10" t="s">
        <v>1336</v>
      </c>
      <c r="E383" s="11">
        <v>331415.39</v>
      </c>
      <c r="G383" s="11">
        <f t="shared" si="32"/>
        <v>331415.39</v>
      </c>
      <c r="H383" s="11">
        <v>0</v>
      </c>
      <c r="I383" s="11">
        <f t="shared" si="47"/>
        <v>-105887.217105</v>
      </c>
      <c r="K383" s="844">
        <f t="shared" si="46"/>
        <v>225528.17289500003</v>
      </c>
      <c r="M383" s="9"/>
      <c r="O383" s="13"/>
    </row>
    <row r="384" spans="1:15" outlineLevel="2">
      <c r="A384" s="421">
        <f t="shared" si="36"/>
        <v>379</v>
      </c>
      <c r="B384" s="9" t="s">
        <v>1201</v>
      </c>
      <c r="C384" s="15" t="s">
        <v>2656</v>
      </c>
      <c r="D384" s="10" t="s">
        <v>2657</v>
      </c>
      <c r="E384" s="11">
        <v>26390.46</v>
      </c>
      <c r="G384" s="11">
        <f t="shared" si="32"/>
        <v>26390.46</v>
      </c>
      <c r="I384" s="11">
        <f t="shared" si="47"/>
        <v>-8431.7519699999993</v>
      </c>
      <c r="K384" s="844">
        <f t="shared" si="46"/>
        <v>17958.708030000002</v>
      </c>
      <c r="M384" s="9"/>
      <c r="O384" s="13"/>
    </row>
    <row r="385" spans="1:15" outlineLevel="2">
      <c r="A385" s="421">
        <f t="shared" si="36"/>
        <v>380</v>
      </c>
      <c r="B385" s="9" t="s">
        <v>1201</v>
      </c>
      <c r="C385" s="15" t="s">
        <v>1337</v>
      </c>
      <c r="D385" s="10" t="s">
        <v>1338</v>
      </c>
      <c r="E385" s="11">
        <v>80798.66</v>
      </c>
      <c r="G385" s="11">
        <f t="shared" si="32"/>
        <v>80798.66</v>
      </c>
      <c r="H385" s="11">
        <v>0</v>
      </c>
      <c r="I385" s="11">
        <f t="shared" si="47"/>
        <v>-25815.171870000002</v>
      </c>
      <c r="K385" s="844">
        <f t="shared" si="46"/>
        <v>54983.488129999998</v>
      </c>
      <c r="M385" s="9"/>
      <c r="O385" s="13"/>
    </row>
    <row r="386" spans="1:15" outlineLevel="2">
      <c r="A386" s="421">
        <f t="shared" si="36"/>
        <v>381</v>
      </c>
      <c r="B386" s="9" t="s">
        <v>1201</v>
      </c>
      <c r="C386" s="15" t="s">
        <v>138</v>
      </c>
      <c r="D386" s="10" t="s">
        <v>1339</v>
      </c>
      <c r="E386" s="11">
        <v>148752.31</v>
      </c>
      <c r="G386" s="11">
        <f>E386+F386</f>
        <v>148752.31</v>
      </c>
      <c r="H386" s="11">
        <v>0</v>
      </c>
      <c r="I386" s="11">
        <f t="shared" si="47"/>
        <v>-47526.363044999998</v>
      </c>
      <c r="K386" s="844">
        <f t="shared" si="46"/>
        <v>101225.94695499999</v>
      </c>
      <c r="M386" s="9"/>
      <c r="O386" s="13"/>
    </row>
    <row r="387" spans="1:15" outlineLevel="2">
      <c r="A387" s="421">
        <f t="shared" si="36"/>
        <v>382</v>
      </c>
      <c r="B387" s="9" t="s">
        <v>1201</v>
      </c>
      <c r="C387" s="15" t="s">
        <v>1340</v>
      </c>
      <c r="D387" s="10" t="s">
        <v>1341</v>
      </c>
      <c r="E387" s="11">
        <v>325519.83</v>
      </c>
      <c r="G387" s="11">
        <f t="shared" si="32"/>
        <v>325519.83</v>
      </c>
      <c r="H387" s="11">
        <v>0</v>
      </c>
      <c r="I387" s="11">
        <f t="shared" si="47"/>
        <v>-104003.58568500001</v>
      </c>
      <c r="K387" s="844">
        <f t="shared" si="46"/>
        <v>221516.24431500002</v>
      </c>
      <c r="M387" s="9"/>
      <c r="O387" s="13"/>
    </row>
    <row r="388" spans="1:15" outlineLevel="2">
      <c r="A388" s="421">
        <f t="shared" si="36"/>
        <v>383</v>
      </c>
      <c r="B388" s="9" t="s">
        <v>1201</v>
      </c>
      <c r="C388" s="15" t="s">
        <v>1342</v>
      </c>
      <c r="D388" s="10" t="s">
        <v>1343</v>
      </c>
      <c r="E388" s="11">
        <v>378095.18</v>
      </c>
      <c r="G388" s="11">
        <f t="shared" ref="G388:G393" si="48">E388+F388</f>
        <v>378095.18</v>
      </c>
      <c r="H388" s="11">
        <v>0</v>
      </c>
      <c r="I388" s="11">
        <f t="shared" si="47"/>
        <v>-120801.41001000001</v>
      </c>
      <c r="K388" s="844">
        <f t="shared" ref="K388:K393" si="49">SUM(G388:J388)</f>
        <v>257293.76999</v>
      </c>
      <c r="M388" s="9"/>
      <c r="O388" s="13"/>
    </row>
    <row r="389" spans="1:15" outlineLevel="2">
      <c r="A389" s="421">
        <f t="shared" si="36"/>
        <v>384</v>
      </c>
      <c r="B389" s="9" t="s">
        <v>1201</v>
      </c>
      <c r="C389" s="15" t="s">
        <v>1344</v>
      </c>
      <c r="D389" s="10" t="s">
        <v>1345</v>
      </c>
      <c r="E389" s="11">
        <v>391617.94</v>
      </c>
      <c r="G389" s="11">
        <f t="shared" si="48"/>
        <v>391617.94</v>
      </c>
      <c r="H389" s="11">
        <v>0</v>
      </c>
      <c r="I389" s="11">
        <f t="shared" si="47"/>
        <v>-125121.93183</v>
      </c>
      <c r="K389" s="844">
        <f t="shared" si="49"/>
        <v>266496.00816999999</v>
      </c>
      <c r="M389" s="9"/>
      <c r="O389" s="13"/>
    </row>
    <row r="390" spans="1:15" outlineLevel="2">
      <c r="A390" s="421">
        <f t="shared" si="36"/>
        <v>385</v>
      </c>
      <c r="B390" s="9" t="s">
        <v>1201</v>
      </c>
      <c r="C390" s="15" t="s">
        <v>1346</v>
      </c>
      <c r="D390" s="10" t="s">
        <v>1347</v>
      </c>
      <c r="E390" s="11">
        <v>23846.98</v>
      </c>
      <c r="G390" s="11">
        <f t="shared" si="48"/>
        <v>23846.98</v>
      </c>
      <c r="H390" s="11">
        <v>0</v>
      </c>
      <c r="I390" s="11">
        <f t="shared" ref="I390:I398" si="50">-(G390*$L$319)</f>
        <v>-7619.1101099999996</v>
      </c>
      <c r="K390" s="844">
        <f>SUM(G390:J390)</f>
        <v>16227.86989</v>
      </c>
      <c r="M390" s="9"/>
      <c r="O390" s="13"/>
    </row>
    <row r="391" spans="1:15" outlineLevel="2">
      <c r="A391" s="421">
        <f t="shared" si="36"/>
        <v>386</v>
      </c>
      <c r="B391" s="9" t="s">
        <v>1201</v>
      </c>
      <c r="C391" s="15" t="s">
        <v>1348</v>
      </c>
      <c r="D391" s="10" t="s">
        <v>1349</v>
      </c>
      <c r="E391" s="11">
        <v>736184.44</v>
      </c>
      <c r="G391" s="11">
        <f t="shared" si="48"/>
        <v>736184.44</v>
      </c>
      <c r="I391" s="11">
        <f t="shared" si="50"/>
        <v>-235210.92857999998</v>
      </c>
      <c r="K391" s="844">
        <f t="shared" si="49"/>
        <v>500973.51142</v>
      </c>
      <c r="M391" s="9"/>
      <c r="O391" s="13"/>
    </row>
    <row r="392" spans="1:15" outlineLevel="2">
      <c r="A392" s="421">
        <f t="shared" ref="A392:A455" si="51">A391+1</f>
        <v>387</v>
      </c>
      <c r="B392" s="9" t="s">
        <v>1201</v>
      </c>
      <c r="C392" s="15" t="s">
        <v>1350</v>
      </c>
      <c r="D392" s="10" t="s">
        <v>1351</v>
      </c>
      <c r="E392" s="11">
        <v>189434.13</v>
      </c>
      <c r="G392" s="11">
        <f t="shared" si="48"/>
        <v>189434.13</v>
      </c>
      <c r="H392" s="11">
        <v>0</v>
      </c>
      <c r="I392" s="11">
        <f t="shared" si="50"/>
        <v>-60524.204535000004</v>
      </c>
      <c r="K392" s="844">
        <f t="shared" si="49"/>
        <v>128909.92546500001</v>
      </c>
      <c r="M392" s="9"/>
      <c r="O392" s="13"/>
    </row>
    <row r="393" spans="1:15" outlineLevel="2">
      <c r="A393" s="421">
        <f t="shared" si="51"/>
        <v>388</v>
      </c>
      <c r="B393" s="9" t="s">
        <v>1201</v>
      </c>
      <c r="C393" s="15" t="s">
        <v>1352</v>
      </c>
      <c r="D393" s="10" t="s">
        <v>1353</v>
      </c>
      <c r="E393" s="11">
        <v>109706.08</v>
      </c>
      <c r="G393" s="11">
        <f t="shared" si="48"/>
        <v>109706.08</v>
      </c>
      <c r="H393" s="11">
        <v>0</v>
      </c>
      <c r="I393" s="11">
        <f t="shared" si="50"/>
        <v>-35051.092560000005</v>
      </c>
      <c r="K393" s="844">
        <f t="shared" si="49"/>
        <v>74654.987439999997</v>
      </c>
      <c r="M393" s="9"/>
      <c r="O393" s="13"/>
    </row>
    <row r="394" spans="1:15" outlineLevel="2">
      <c r="A394" s="421">
        <f t="shared" si="51"/>
        <v>389</v>
      </c>
      <c r="B394" s="9" t="s">
        <v>1201</v>
      </c>
      <c r="C394" s="15" t="s">
        <v>1354</v>
      </c>
      <c r="D394" s="10" t="s">
        <v>1355</v>
      </c>
      <c r="E394" s="11">
        <v>882588.11</v>
      </c>
      <c r="G394" s="11">
        <f>E394+F394</f>
        <v>882588.11</v>
      </c>
      <c r="H394" s="11">
        <v>0</v>
      </c>
      <c r="I394" s="11">
        <f t="shared" si="50"/>
        <v>-281986.90114500001</v>
      </c>
      <c r="K394" s="844">
        <f>SUM(G394:J394)</f>
        <v>600601.20885499998</v>
      </c>
      <c r="M394" s="9"/>
      <c r="O394" s="13"/>
    </row>
    <row r="395" spans="1:15" outlineLevel="2">
      <c r="A395" s="421">
        <f t="shared" si="51"/>
        <v>390</v>
      </c>
      <c r="B395" s="9" t="s">
        <v>1201</v>
      </c>
      <c r="C395" s="15" t="s">
        <v>1356</v>
      </c>
      <c r="D395" s="10" t="s">
        <v>1357</v>
      </c>
      <c r="E395" s="11">
        <v>174404.48000000001</v>
      </c>
      <c r="G395" s="11">
        <f t="shared" ref="G395:G409" si="52">E395+F395</f>
        <v>174404.48000000001</v>
      </c>
      <c r="H395" s="11">
        <v>0</v>
      </c>
      <c r="I395" s="11">
        <f t="shared" si="50"/>
        <v>-55722.231360000005</v>
      </c>
      <c r="K395" s="844">
        <f>SUM(G395:J395)</f>
        <v>118682.24864000001</v>
      </c>
      <c r="M395" s="9"/>
      <c r="O395" s="13"/>
    </row>
    <row r="396" spans="1:15" outlineLevel="2">
      <c r="A396" s="421">
        <f t="shared" si="51"/>
        <v>391</v>
      </c>
      <c r="B396" s="9" t="s">
        <v>1201</v>
      </c>
      <c r="C396" s="15" t="s">
        <v>1358</v>
      </c>
      <c r="D396" s="10" t="s">
        <v>1359</v>
      </c>
      <c r="E396" s="11">
        <v>302700.90999999997</v>
      </c>
      <c r="G396" s="11">
        <f t="shared" si="52"/>
        <v>302700.90999999997</v>
      </c>
      <c r="H396" s="11">
        <v>0</v>
      </c>
      <c r="I396" s="11">
        <f t="shared" si="50"/>
        <v>-96712.940745</v>
      </c>
      <c r="K396" s="844">
        <f t="shared" ref="K396:K404" si="53">SUM(G396:J396)</f>
        <v>205987.96925499997</v>
      </c>
      <c r="M396" s="9"/>
      <c r="O396" s="13"/>
    </row>
    <row r="397" spans="1:15" outlineLevel="2">
      <c r="A397" s="421">
        <f t="shared" si="51"/>
        <v>392</v>
      </c>
      <c r="B397" s="9" t="s">
        <v>1201</v>
      </c>
      <c r="C397" s="15" t="s">
        <v>1361</v>
      </c>
      <c r="D397" s="10" t="s">
        <v>1362</v>
      </c>
      <c r="E397" s="11">
        <v>157601.32</v>
      </c>
      <c r="G397" s="11">
        <f t="shared" si="52"/>
        <v>157601.32</v>
      </c>
      <c r="H397" s="11">
        <v>0</v>
      </c>
      <c r="I397" s="11">
        <f t="shared" si="50"/>
        <v>-50353.621740000002</v>
      </c>
      <c r="K397" s="844">
        <f t="shared" si="53"/>
        <v>107247.69826</v>
      </c>
      <c r="M397" s="9"/>
      <c r="O397" s="13"/>
    </row>
    <row r="398" spans="1:15" outlineLevel="2">
      <c r="A398" s="421">
        <f t="shared" si="51"/>
        <v>393</v>
      </c>
      <c r="B398" s="9" t="s">
        <v>1201</v>
      </c>
      <c r="C398" s="15" t="s">
        <v>1363</v>
      </c>
      <c r="D398" s="10" t="s">
        <v>1364</v>
      </c>
      <c r="E398" s="11">
        <v>22896.21</v>
      </c>
      <c r="G398" s="11">
        <f t="shared" si="52"/>
        <v>22896.21</v>
      </c>
      <c r="H398" s="11">
        <v>0</v>
      </c>
      <c r="I398" s="11">
        <f t="shared" si="50"/>
        <v>-7315.3390950000003</v>
      </c>
      <c r="K398" s="844">
        <f>SUM(G398:J398)</f>
        <v>15580.870905</v>
      </c>
      <c r="M398" s="9"/>
      <c r="O398" s="13"/>
    </row>
    <row r="399" spans="1:15" outlineLevel="2">
      <c r="A399" s="421">
        <f t="shared" si="51"/>
        <v>394</v>
      </c>
      <c r="B399" s="9" t="s">
        <v>1201</v>
      </c>
      <c r="C399" s="15" t="s">
        <v>1365</v>
      </c>
      <c r="D399" s="10" t="s">
        <v>1366</v>
      </c>
      <c r="E399" s="11">
        <v>201837.42</v>
      </c>
      <c r="G399" s="11">
        <f t="shared" si="52"/>
        <v>201837.42</v>
      </c>
      <c r="H399" s="11">
        <v>0</v>
      </c>
      <c r="I399" s="11">
        <f t="shared" ref="I399:I406" si="54">-(G399*$L$319)</f>
        <v>-64487.055690000008</v>
      </c>
      <c r="K399" s="844">
        <f t="shared" si="53"/>
        <v>137350.36431</v>
      </c>
      <c r="M399" s="9"/>
      <c r="O399" s="13"/>
    </row>
    <row r="400" spans="1:15" outlineLevel="2">
      <c r="A400" s="421">
        <f t="shared" si="51"/>
        <v>395</v>
      </c>
      <c r="B400" s="9" t="s">
        <v>1201</v>
      </c>
      <c r="C400" s="15" t="s">
        <v>1367</v>
      </c>
      <c r="D400" s="10" t="s">
        <v>1368</v>
      </c>
      <c r="E400" s="11">
        <v>85067.66</v>
      </c>
      <c r="G400" s="11">
        <f t="shared" si="52"/>
        <v>85067.66</v>
      </c>
      <c r="H400" s="11">
        <v>0</v>
      </c>
      <c r="I400" s="11">
        <f t="shared" si="54"/>
        <v>-27179.11737</v>
      </c>
      <c r="K400" s="844">
        <f t="shared" si="53"/>
        <v>57888.542630000004</v>
      </c>
      <c r="M400" s="9"/>
      <c r="O400" s="13"/>
    </row>
    <row r="401" spans="1:15" outlineLevel="2">
      <c r="A401" s="421">
        <f t="shared" si="51"/>
        <v>396</v>
      </c>
      <c r="B401" s="9" t="s">
        <v>1201</v>
      </c>
      <c r="C401" s="15" t="s">
        <v>1369</v>
      </c>
      <c r="D401" s="10" t="s">
        <v>1370</v>
      </c>
      <c r="E401" s="11">
        <v>189110.58</v>
      </c>
      <c r="G401" s="11">
        <f t="shared" si="52"/>
        <v>189110.58</v>
      </c>
      <c r="H401" s="11">
        <v>0</v>
      </c>
      <c r="I401" s="11">
        <f t="shared" si="54"/>
        <v>-60420.830309999998</v>
      </c>
      <c r="K401" s="844">
        <f>SUM(G401:J401)</f>
        <v>128689.74969</v>
      </c>
      <c r="M401" s="9"/>
      <c r="O401" s="13"/>
    </row>
    <row r="402" spans="1:15" outlineLevel="2">
      <c r="A402" s="421">
        <f t="shared" si="51"/>
        <v>397</v>
      </c>
      <c r="B402" s="9" t="s">
        <v>1201</v>
      </c>
      <c r="C402" s="15" t="s">
        <v>1371</v>
      </c>
      <c r="D402" s="10" t="s">
        <v>1372</v>
      </c>
      <c r="E402" s="11">
        <v>229259.28</v>
      </c>
      <c r="G402" s="11">
        <f t="shared" si="52"/>
        <v>229259.28</v>
      </c>
      <c r="H402" s="11">
        <v>0</v>
      </c>
      <c r="I402" s="11">
        <f t="shared" si="54"/>
        <v>-73248.339959999998</v>
      </c>
      <c r="K402" s="844">
        <f t="shared" si="53"/>
        <v>156010.94004000002</v>
      </c>
      <c r="M402" s="9"/>
      <c r="O402" s="13"/>
    </row>
    <row r="403" spans="1:15" outlineLevel="2">
      <c r="A403" s="421">
        <f t="shared" si="51"/>
        <v>398</v>
      </c>
      <c r="B403" s="9" t="s">
        <v>1201</v>
      </c>
      <c r="C403" s="15" t="s">
        <v>1373</v>
      </c>
      <c r="D403" s="10" t="s">
        <v>1374</v>
      </c>
      <c r="E403" s="11">
        <v>800963.96</v>
      </c>
      <c r="G403" s="11">
        <f t="shared" si="52"/>
        <v>800963.96</v>
      </c>
      <c r="H403" s="11">
        <v>0</v>
      </c>
      <c r="I403" s="11">
        <f t="shared" si="54"/>
        <v>-255907.98522</v>
      </c>
      <c r="K403" s="844">
        <f t="shared" si="53"/>
        <v>545055.97477999993</v>
      </c>
      <c r="M403" s="9"/>
      <c r="O403" s="13"/>
    </row>
    <row r="404" spans="1:15" outlineLevel="2">
      <c r="A404" s="421">
        <f t="shared" si="51"/>
        <v>399</v>
      </c>
      <c r="B404" s="9" t="s">
        <v>1201</v>
      </c>
      <c r="C404" s="15" t="s">
        <v>1375</v>
      </c>
      <c r="D404" s="10" t="s">
        <v>1376</v>
      </c>
      <c r="E404" s="11">
        <v>238655.42</v>
      </c>
      <c r="G404" s="11">
        <f t="shared" si="52"/>
        <v>238655.42</v>
      </c>
      <c r="H404" s="11">
        <v>0</v>
      </c>
      <c r="I404" s="11">
        <f t="shared" si="54"/>
        <v>-76250.406690000003</v>
      </c>
      <c r="K404" s="844">
        <f t="shared" si="53"/>
        <v>162405.01331000001</v>
      </c>
      <c r="M404" s="9"/>
      <c r="O404" s="13"/>
    </row>
    <row r="405" spans="1:15" outlineLevel="2">
      <c r="A405" s="421">
        <f t="shared" si="51"/>
        <v>400</v>
      </c>
      <c r="B405" s="9" t="s">
        <v>1201</v>
      </c>
      <c r="C405" s="15" t="s">
        <v>1377</v>
      </c>
      <c r="D405" s="10" t="s">
        <v>1378</v>
      </c>
      <c r="E405" s="11">
        <v>46981.39</v>
      </c>
      <c r="G405" s="11">
        <f t="shared" si="52"/>
        <v>46981.39</v>
      </c>
      <c r="H405" s="11">
        <v>0</v>
      </c>
      <c r="I405" s="11">
        <f t="shared" si="54"/>
        <v>-15010.554104999999</v>
      </c>
      <c r="K405" s="844">
        <f>SUM(G405:J405)</f>
        <v>31970.835895</v>
      </c>
      <c r="M405" s="9"/>
      <c r="O405" s="13"/>
    </row>
    <row r="406" spans="1:15" outlineLevel="2">
      <c r="A406" s="421">
        <f t="shared" si="51"/>
        <v>401</v>
      </c>
      <c r="B406" s="9" t="s">
        <v>1201</v>
      </c>
      <c r="C406" s="15" t="s">
        <v>1379</v>
      </c>
      <c r="D406" s="10" t="s">
        <v>1380</v>
      </c>
      <c r="E406" s="11">
        <v>267394.71999999997</v>
      </c>
      <c r="G406" s="11">
        <f t="shared" si="52"/>
        <v>267394.71999999997</v>
      </c>
      <c r="H406" s="11">
        <v>0</v>
      </c>
      <c r="I406" s="11">
        <f t="shared" si="54"/>
        <v>-85432.613039999997</v>
      </c>
      <c r="K406" s="844">
        <f>SUM(G406:J406)</f>
        <v>181962.10695999998</v>
      </c>
      <c r="M406" s="9"/>
      <c r="O406" s="13"/>
    </row>
    <row r="407" spans="1:15" outlineLevel="2">
      <c r="A407" s="421">
        <f t="shared" si="51"/>
        <v>402</v>
      </c>
      <c r="B407" s="9" t="s">
        <v>1201</v>
      </c>
      <c r="C407" s="15" t="s">
        <v>1381</v>
      </c>
      <c r="D407" s="10" t="s">
        <v>1382</v>
      </c>
      <c r="E407" s="11">
        <v>371811.86</v>
      </c>
      <c r="G407" s="11">
        <f t="shared" si="52"/>
        <v>371811.86</v>
      </c>
      <c r="H407" s="11">
        <v>0</v>
      </c>
      <c r="I407" s="11">
        <f t="shared" ref="I407:I415" si="55">-(G407*$L$319)</f>
        <v>-118793.88927</v>
      </c>
      <c r="K407" s="844">
        <f>SUM(G407:J407)</f>
        <v>253017.97073</v>
      </c>
      <c r="M407" s="9"/>
      <c r="O407" s="13"/>
    </row>
    <row r="408" spans="1:15" outlineLevel="2">
      <c r="A408" s="421">
        <f t="shared" si="51"/>
        <v>403</v>
      </c>
      <c r="B408" s="9" t="s">
        <v>1201</v>
      </c>
      <c r="C408" s="15" t="s">
        <v>1383</v>
      </c>
      <c r="D408" s="10" t="s">
        <v>1384</v>
      </c>
      <c r="E408" s="11">
        <v>543499.84</v>
      </c>
      <c r="G408" s="11">
        <f t="shared" si="52"/>
        <v>543499.84</v>
      </c>
      <c r="H408" s="11">
        <v>0</v>
      </c>
      <c r="I408" s="11">
        <f t="shared" si="55"/>
        <v>-173648.19887999998</v>
      </c>
      <c r="K408" s="844">
        <f>SUM(G408:J408)</f>
        <v>369851.64111999999</v>
      </c>
      <c r="M408" s="9"/>
      <c r="O408" s="13"/>
    </row>
    <row r="409" spans="1:15" outlineLevel="2">
      <c r="A409" s="421">
        <f t="shared" si="51"/>
        <v>404</v>
      </c>
      <c r="B409" s="9" t="s">
        <v>1201</v>
      </c>
      <c r="C409" s="15" t="s">
        <v>1385</v>
      </c>
      <c r="D409" s="10" t="s">
        <v>1386</v>
      </c>
      <c r="E409" s="11">
        <v>896566.47</v>
      </c>
      <c r="G409" s="11">
        <f t="shared" si="52"/>
        <v>896566.47</v>
      </c>
      <c r="H409" s="11">
        <v>0</v>
      </c>
      <c r="I409" s="11">
        <f t="shared" si="55"/>
        <v>-286452.987165</v>
      </c>
      <c r="K409" s="844">
        <f t="shared" ref="K409:K417" si="56">SUM(G409:J409)</f>
        <v>610113.48283499992</v>
      </c>
      <c r="M409" s="9"/>
      <c r="O409" s="13"/>
    </row>
    <row r="410" spans="1:15" outlineLevel="2">
      <c r="A410" s="421">
        <f t="shared" si="51"/>
        <v>405</v>
      </c>
      <c r="B410" s="9" t="s">
        <v>1201</v>
      </c>
      <c r="C410" s="15" t="s">
        <v>1387</v>
      </c>
      <c r="D410" s="10" t="s">
        <v>1388</v>
      </c>
      <c r="E410" s="11">
        <v>759357.31</v>
      </c>
      <c r="G410" s="11">
        <f>E410+F410</f>
        <v>759357.31</v>
      </c>
      <c r="H410" s="11">
        <v>0</v>
      </c>
      <c r="I410" s="11">
        <f t="shared" si="55"/>
        <v>-242614.66054500002</v>
      </c>
      <c r="K410" s="844">
        <f t="shared" si="56"/>
        <v>516742.64945500006</v>
      </c>
      <c r="M410" s="9"/>
      <c r="O410" s="13"/>
    </row>
    <row r="411" spans="1:15" outlineLevel="2">
      <c r="A411" s="421">
        <f t="shared" si="51"/>
        <v>406</v>
      </c>
      <c r="B411" s="9" t="s">
        <v>1201</v>
      </c>
      <c r="C411" s="15" t="s">
        <v>1389</v>
      </c>
      <c r="D411" s="10" t="s">
        <v>1390</v>
      </c>
      <c r="E411" s="11">
        <v>735971.03</v>
      </c>
      <c r="G411" s="11">
        <f t="shared" ref="G411:G431" si="57">E411+F411</f>
        <v>735971.03</v>
      </c>
      <c r="H411" s="11">
        <v>0</v>
      </c>
      <c r="I411" s="11">
        <f t="shared" si="55"/>
        <v>-235142.74408500001</v>
      </c>
      <c r="K411" s="844">
        <f t="shared" si="56"/>
        <v>500828.28591500001</v>
      </c>
      <c r="M411" s="9"/>
      <c r="O411" s="13"/>
    </row>
    <row r="412" spans="1:15" outlineLevel="2">
      <c r="A412" s="421">
        <f t="shared" si="51"/>
        <v>407</v>
      </c>
      <c r="B412" s="9" t="s">
        <v>1201</v>
      </c>
      <c r="C412" s="15" t="s">
        <v>1391</v>
      </c>
      <c r="D412" s="10" t="s">
        <v>1392</v>
      </c>
      <c r="E412" s="11">
        <v>210945.2</v>
      </c>
      <c r="G412" s="11">
        <f t="shared" si="57"/>
        <v>210945.2</v>
      </c>
      <c r="H412" s="11">
        <v>0</v>
      </c>
      <c r="I412" s="11">
        <f t="shared" si="55"/>
        <v>-67396.991399999999</v>
      </c>
      <c r="K412" s="844">
        <f>SUM(G412:J412)</f>
        <v>143548.20860000001</v>
      </c>
      <c r="M412" s="9"/>
      <c r="O412" s="13"/>
    </row>
    <row r="413" spans="1:15" outlineLevel="2">
      <c r="A413" s="421">
        <f t="shared" si="51"/>
        <v>408</v>
      </c>
      <c r="B413" s="9" t="s">
        <v>1201</v>
      </c>
      <c r="C413" s="15" t="s">
        <v>1393</v>
      </c>
      <c r="D413" s="10" t="s">
        <v>1394</v>
      </c>
      <c r="E413" s="11">
        <v>64370.11</v>
      </c>
      <c r="G413" s="11">
        <f t="shared" si="57"/>
        <v>64370.11</v>
      </c>
      <c r="H413" s="11">
        <v>0</v>
      </c>
      <c r="I413" s="11">
        <f t="shared" si="55"/>
        <v>-20566.250145000002</v>
      </c>
      <c r="K413" s="844">
        <f t="shared" si="56"/>
        <v>43803.859855000002</v>
      </c>
      <c r="M413" s="9"/>
      <c r="O413" s="13"/>
    </row>
    <row r="414" spans="1:15" outlineLevel="2">
      <c r="A414" s="421">
        <f t="shared" si="51"/>
        <v>409</v>
      </c>
      <c r="B414" s="9" t="s">
        <v>1201</v>
      </c>
      <c r="C414" s="15" t="s">
        <v>1395</v>
      </c>
      <c r="D414" s="10" t="s">
        <v>1396</v>
      </c>
      <c r="E414" s="11">
        <v>317735.57</v>
      </c>
      <c r="G414" s="11">
        <f t="shared" si="57"/>
        <v>317735.57</v>
      </c>
      <c r="H414" s="11">
        <v>0</v>
      </c>
      <c r="I414" s="11">
        <f t="shared" si="55"/>
        <v>-101516.51461500001</v>
      </c>
      <c r="K414" s="844">
        <f t="shared" si="56"/>
        <v>216219.05538500001</v>
      </c>
      <c r="M414" s="9"/>
      <c r="O414" s="13"/>
    </row>
    <row r="415" spans="1:15" outlineLevel="2">
      <c r="A415" s="421">
        <f t="shared" si="51"/>
        <v>410</v>
      </c>
      <c r="B415" s="9" t="s">
        <v>1201</v>
      </c>
      <c r="C415" s="15" t="s">
        <v>1397</v>
      </c>
      <c r="D415" s="10" t="s">
        <v>1398</v>
      </c>
      <c r="E415" s="11">
        <v>54516.4</v>
      </c>
      <c r="G415" s="11">
        <f t="shared" si="57"/>
        <v>54516.4</v>
      </c>
      <c r="H415" s="11">
        <v>0</v>
      </c>
      <c r="I415" s="11">
        <f t="shared" si="55"/>
        <v>-17417.989799999999</v>
      </c>
      <c r="K415" s="844">
        <f>SUM(G415:J415)</f>
        <v>37098.410199999998</v>
      </c>
      <c r="M415" s="9"/>
      <c r="O415" s="13"/>
    </row>
    <row r="416" spans="1:15" outlineLevel="2">
      <c r="A416" s="421">
        <f t="shared" si="51"/>
        <v>411</v>
      </c>
      <c r="B416" s="9" t="s">
        <v>1201</v>
      </c>
      <c r="C416" s="15" t="s">
        <v>1400</v>
      </c>
      <c r="D416" s="10" t="s">
        <v>1401</v>
      </c>
      <c r="E416" s="11">
        <v>794469.24</v>
      </c>
      <c r="G416" s="11">
        <f t="shared" si="57"/>
        <v>794469.24</v>
      </c>
      <c r="H416" s="11">
        <v>0</v>
      </c>
      <c r="I416" s="11">
        <f t="shared" ref="I416:I426" si="58">-(G416*$L$319)</f>
        <v>-253832.92217999999</v>
      </c>
      <c r="K416" s="844">
        <f t="shared" si="56"/>
        <v>540636.31782</v>
      </c>
      <c r="M416" s="9"/>
      <c r="O416" s="13"/>
    </row>
    <row r="417" spans="1:15" outlineLevel="2">
      <c r="A417" s="421">
        <f t="shared" si="51"/>
        <v>412</v>
      </c>
      <c r="B417" s="9" t="s">
        <v>1201</v>
      </c>
      <c r="C417" s="15" t="s">
        <v>1402</v>
      </c>
      <c r="D417" s="10" t="s">
        <v>1403</v>
      </c>
      <c r="E417" s="11">
        <v>69987.59</v>
      </c>
      <c r="G417" s="11">
        <f t="shared" si="57"/>
        <v>69987.59</v>
      </c>
      <c r="H417" s="11">
        <v>0</v>
      </c>
      <c r="I417" s="11">
        <f t="shared" si="58"/>
        <v>-22361.035004999998</v>
      </c>
      <c r="K417" s="844">
        <f t="shared" si="56"/>
        <v>47626.554994999999</v>
      </c>
      <c r="M417" s="9"/>
      <c r="O417" s="13"/>
    </row>
    <row r="418" spans="1:15" outlineLevel="2">
      <c r="A418" s="421">
        <f t="shared" si="51"/>
        <v>413</v>
      </c>
      <c r="B418" s="9" t="s">
        <v>1201</v>
      </c>
      <c r="C418" s="15" t="s">
        <v>1404</v>
      </c>
      <c r="D418" s="10" t="s">
        <v>1405</v>
      </c>
      <c r="E418" s="11">
        <v>172792.24</v>
      </c>
      <c r="G418" s="11">
        <f t="shared" si="57"/>
        <v>172792.24</v>
      </c>
      <c r="H418" s="11">
        <v>0</v>
      </c>
      <c r="I418" s="11">
        <f t="shared" si="58"/>
        <v>-55207.12068</v>
      </c>
      <c r="K418" s="844">
        <f>SUM(G418:J418)</f>
        <v>117585.11932</v>
      </c>
      <c r="M418" s="9"/>
      <c r="O418" s="13"/>
    </row>
    <row r="419" spans="1:15" outlineLevel="2">
      <c r="A419" s="421">
        <f t="shared" si="51"/>
        <v>414</v>
      </c>
      <c r="B419" s="9" t="s">
        <v>1201</v>
      </c>
      <c r="C419" s="15" t="s">
        <v>1406</v>
      </c>
      <c r="D419" s="10" t="s">
        <v>1407</v>
      </c>
      <c r="E419" s="11">
        <v>308681.61</v>
      </c>
      <c r="G419" s="11">
        <f t="shared" si="57"/>
        <v>308681.61</v>
      </c>
      <c r="H419" s="11">
        <v>0</v>
      </c>
      <c r="I419" s="11">
        <f t="shared" si="58"/>
        <v>-98623.774395</v>
      </c>
      <c r="K419" s="844">
        <f>SUM(G419:J419)</f>
        <v>210057.83560499997</v>
      </c>
      <c r="M419" s="9"/>
      <c r="O419" s="13"/>
    </row>
    <row r="420" spans="1:15" outlineLevel="2">
      <c r="A420" s="421">
        <f t="shared" si="51"/>
        <v>415</v>
      </c>
      <c r="B420" s="9" t="s">
        <v>1201</v>
      </c>
      <c r="C420" s="15" t="s">
        <v>1408</v>
      </c>
      <c r="D420" s="10" t="s">
        <v>1409</v>
      </c>
      <c r="E420" s="11">
        <v>215449.53</v>
      </c>
      <c r="G420" s="11">
        <f t="shared" si="57"/>
        <v>215449.53</v>
      </c>
      <c r="H420" s="11">
        <v>0</v>
      </c>
      <c r="I420" s="11">
        <f t="shared" si="58"/>
        <v>-68836.124834999995</v>
      </c>
      <c r="K420" s="844">
        <f>SUM(G420:J420)</f>
        <v>146613.405165</v>
      </c>
      <c r="M420" s="9"/>
      <c r="O420" s="13"/>
    </row>
    <row r="421" spans="1:15" outlineLevel="2">
      <c r="A421" s="421">
        <f t="shared" si="51"/>
        <v>416</v>
      </c>
      <c r="B421" s="9" t="s">
        <v>1201</v>
      </c>
      <c r="C421" s="15" t="s">
        <v>1410</v>
      </c>
      <c r="D421" s="10" t="s">
        <v>1411</v>
      </c>
      <c r="E421" s="11">
        <v>550238.37</v>
      </c>
      <c r="G421" s="11">
        <f t="shared" si="57"/>
        <v>550238.37</v>
      </c>
      <c r="H421" s="11">
        <v>0</v>
      </c>
      <c r="I421" s="11">
        <f t="shared" si="58"/>
        <v>-175801.15921499999</v>
      </c>
      <c r="K421" s="844">
        <f>SUM(G421:J421)</f>
        <v>374437.210785</v>
      </c>
      <c r="M421" s="9"/>
      <c r="O421" s="13"/>
    </row>
    <row r="422" spans="1:15" outlineLevel="2">
      <c r="A422" s="421">
        <f t="shared" si="51"/>
        <v>417</v>
      </c>
      <c r="B422" s="9" t="s">
        <v>1201</v>
      </c>
      <c r="C422" s="15" t="s">
        <v>1412</v>
      </c>
      <c r="D422" s="10" t="s">
        <v>1413</v>
      </c>
      <c r="E422" s="11">
        <v>15011.61</v>
      </c>
      <c r="G422" s="11">
        <f t="shared" si="57"/>
        <v>15011.61</v>
      </c>
      <c r="H422" s="11">
        <v>0</v>
      </c>
      <c r="I422" s="11">
        <f t="shared" si="58"/>
        <v>-4796.2093949999999</v>
      </c>
      <c r="K422" s="844">
        <f t="shared" ref="K422:K431" si="59">SUM(G422:J422)</f>
        <v>10215.400605000001</v>
      </c>
      <c r="M422" s="9"/>
      <c r="O422" s="13"/>
    </row>
    <row r="423" spans="1:15" outlineLevel="2">
      <c r="A423" s="421">
        <f t="shared" si="51"/>
        <v>418</v>
      </c>
      <c r="B423" s="9" t="s">
        <v>1201</v>
      </c>
      <c r="C423" s="15" t="s">
        <v>1414</v>
      </c>
      <c r="D423" s="10" t="s">
        <v>1415</v>
      </c>
      <c r="E423" s="11">
        <v>125057.06</v>
      </c>
      <c r="G423" s="11">
        <f t="shared" si="57"/>
        <v>125057.06</v>
      </c>
      <c r="H423" s="11">
        <v>0</v>
      </c>
      <c r="I423" s="11">
        <f t="shared" si="58"/>
        <v>-39955.730669999997</v>
      </c>
      <c r="K423" s="844">
        <f t="shared" si="59"/>
        <v>85101.329330000008</v>
      </c>
      <c r="M423" s="9"/>
      <c r="O423" s="13"/>
    </row>
    <row r="424" spans="1:15" outlineLevel="2">
      <c r="A424" s="421">
        <f t="shared" si="51"/>
        <v>419</v>
      </c>
      <c r="B424" s="9" t="s">
        <v>1201</v>
      </c>
      <c r="C424" s="15" t="s">
        <v>1416</v>
      </c>
      <c r="D424" s="10" t="s">
        <v>1417</v>
      </c>
      <c r="E424" s="11">
        <v>161994.26999999999</v>
      </c>
      <c r="G424" s="11">
        <f t="shared" si="57"/>
        <v>161994.26999999999</v>
      </c>
      <c r="H424" s="11">
        <v>0</v>
      </c>
      <c r="I424" s="11">
        <f t="shared" si="58"/>
        <v>-51757.169264999997</v>
      </c>
      <c r="K424" s="844">
        <f t="shared" si="59"/>
        <v>110237.10073499999</v>
      </c>
      <c r="M424" s="9"/>
      <c r="O424" s="13"/>
    </row>
    <row r="425" spans="1:15" outlineLevel="2">
      <c r="A425" s="421">
        <f t="shared" si="51"/>
        <v>420</v>
      </c>
      <c r="B425" s="9" t="s">
        <v>1201</v>
      </c>
      <c r="C425" s="15" t="s">
        <v>1418</v>
      </c>
      <c r="D425" s="10" t="s">
        <v>1419</v>
      </c>
      <c r="E425" s="11">
        <v>216330.02</v>
      </c>
      <c r="G425" s="11">
        <f t="shared" si="57"/>
        <v>216330.02</v>
      </c>
      <c r="H425" s="11">
        <v>0</v>
      </c>
      <c r="I425" s="11">
        <f t="shared" si="58"/>
        <v>-69117.441389999993</v>
      </c>
      <c r="K425" s="844">
        <f>SUM(G425:J425)</f>
        <v>147212.57861</v>
      </c>
      <c r="M425" s="9"/>
      <c r="O425" s="13"/>
    </row>
    <row r="426" spans="1:15" outlineLevel="2">
      <c r="A426" s="421">
        <f t="shared" si="51"/>
        <v>421</v>
      </c>
      <c r="B426" s="9" t="s">
        <v>1201</v>
      </c>
      <c r="C426" s="15" t="s">
        <v>1420</v>
      </c>
      <c r="D426" s="10" t="s">
        <v>1421</v>
      </c>
      <c r="E426" s="11">
        <v>669568.6</v>
      </c>
      <c r="G426" s="11">
        <f t="shared" si="57"/>
        <v>669568.6</v>
      </c>
      <c r="H426" s="11">
        <v>0</v>
      </c>
      <c r="I426" s="11">
        <f t="shared" si="58"/>
        <v>-213927.16769999999</v>
      </c>
      <c r="K426" s="844">
        <f t="shared" si="59"/>
        <v>455641.43229999999</v>
      </c>
      <c r="M426" s="9"/>
      <c r="O426" s="13"/>
    </row>
    <row r="427" spans="1:15" outlineLevel="2">
      <c r="A427" s="421">
        <f t="shared" si="51"/>
        <v>422</v>
      </c>
      <c r="B427" s="9" t="s">
        <v>1201</v>
      </c>
      <c r="C427" s="15" t="s">
        <v>1422</v>
      </c>
      <c r="D427" s="10" t="s">
        <v>1423</v>
      </c>
      <c r="E427" s="11">
        <v>395868.44</v>
      </c>
      <c r="G427" s="11">
        <f t="shared" si="57"/>
        <v>395868.44</v>
      </c>
      <c r="H427" s="11">
        <v>0</v>
      </c>
      <c r="I427" s="11">
        <f t="shared" ref="I427:I436" si="60">-(G427*$L$319)</f>
        <v>-126479.96658000001</v>
      </c>
      <c r="K427" s="844">
        <f t="shared" si="59"/>
        <v>269388.47341999999</v>
      </c>
      <c r="M427" s="9"/>
      <c r="O427" s="13"/>
    </row>
    <row r="428" spans="1:15" outlineLevel="2">
      <c r="A428" s="421">
        <f t="shared" si="51"/>
        <v>423</v>
      </c>
      <c r="B428" s="9" t="s">
        <v>1201</v>
      </c>
      <c r="C428" s="15" t="s">
        <v>1424</v>
      </c>
      <c r="D428" s="10" t="s">
        <v>1425</v>
      </c>
      <c r="E428" s="11">
        <v>587441.64</v>
      </c>
      <c r="G428" s="11">
        <f t="shared" si="57"/>
        <v>587441.64</v>
      </c>
      <c r="H428" s="11">
        <v>0</v>
      </c>
      <c r="I428" s="11">
        <f t="shared" si="60"/>
        <v>-187687.60398000001</v>
      </c>
      <c r="K428" s="844">
        <f>SUM(G428:J428)</f>
        <v>399754.03602</v>
      </c>
      <c r="M428" s="9"/>
      <c r="O428" s="13"/>
    </row>
    <row r="429" spans="1:15" outlineLevel="2">
      <c r="A429" s="421">
        <f t="shared" si="51"/>
        <v>424</v>
      </c>
      <c r="B429" s="9" t="s">
        <v>1201</v>
      </c>
      <c r="C429" s="15" t="s">
        <v>1426</v>
      </c>
      <c r="D429" s="10" t="s">
        <v>1427</v>
      </c>
      <c r="E429" s="11">
        <v>16445.21</v>
      </c>
      <c r="G429" s="11">
        <f t="shared" si="57"/>
        <v>16445.21</v>
      </c>
      <c r="H429" s="11">
        <v>0</v>
      </c>
      <c r="I429" s="11">
        <f t="shared" si="60"/>
        <v>-5254.2445950000001</v>
      </c>
      <c r="K429" s="844">
        <f t="shared" si="59"/>
        <v>11190.965404999999</v>
      </c>
      <c r="M429" s="9"/>
      <c r="O429" s="13"/>
    </row>
    <row r="430" spans="1:15" outlineLevel="2">
      <c r="A430" s="421">
        <f t="shared" si="51"/>
        <v>425</v>
      </c>
      <c r="B430" s="9" t="s">
        <v>1201</v>
      </c>
      <c r="C430" s="15" t="s">
        <v>1428</v>
      </c>
      <c r="D430" s="10" t="s">
        <v>1429</v>
      </c>
      <c r="E430" s="11">
        <v>7684.53</v>
      </c>
      <c r="G430" s="11">
        <f t="shared" si="57"/>
        <v>7684.53</v>
      </c>
      <c r="H430" s="11">
        <v>0</v>
      </c>
      <c r="I430" s="11">
        <f t="shared" si="60"/>
        <v>-2455.2073350000001</v>
      </c>
      <c r="K430" s="844">
        <f t="shared" si="59"/>
        <v>5229.3226649999997</v>
      </c>
      <c r="M430" s="9"/>
      <c r="O430" s="13"/>
    </row>
    <row r="431" spans="1:15" outlineLevel="2">
      <c r="A431" s="421">
        <f t="shared" si="51"/>
        <v>426</v>
      </c>
      <c r="B431" s="9" t="s">
        <v>1201</v>
      </c>
      <c r="C431" s="15" t="s">
        <v>1430</v>
      </c>
      <c r="D431" s="10" t="s">
        <v>1431</v>
      </c>
      <c r="E431" s="11">
        <v>1646</v>
      </c>
      <c r="G431" s="11">
        <f t="shared" si="57"/>
        <v>1646</v>
      </c>
      <c r="H431" s="11">
        <v>0</v>
      </c>
      <c r="I431" s="11">
        <f t="shared" si="60"/>
        <v>-525.89700000000005</v>
      </c>
      <c r="K431" s="844">
        <f t="shared" si="59"/>
        <v>1120.1030000000001</v>
      </c>
      <c r="M431" s="9"/>
      <c r="O431" s="13"/>
    </row>
    <row r="432" spans="1:15" outlineLevel="2">
      <c r="A432" s="421">
        <f t="shared" si="51"/>
        <v>427</v>
      </c>
      <c r="B432" s="9" t="s">
        <v>1201</v>
      </c>
      <c r="C432" s="15" t="s">
        <v>1432</v>
      </c>
      <c r="D432" s="10" t="s">
        <v>1433</v>
      </c>
      <c r="E432" s="11">
        <v>126804.56</v>
      </c>
      <c r="G432" s="11">
        <f>E432+F432</f>
        <v>126804.56</v>
      </c>
      <c r="H432" s="11">
        <v>0</v>
      </c>
      <c r="I432" s="11">
        <f t="shared" si="60"/>
        <v>-40514.056920000003</v>
      </c>
      <c r="K432" s="844">
        <f t="shared" ref="K432:K438" si="61">SUM(G432:J432)</f>
        <v>86290.503079999995</v>
      </c>
      <c r="M432" s="9"/>
      <c r="O432" s="13"/>
    </row>
    <row r="433" spans="1:15" outlineLevel="2">
      <c r="A433" s="421">
        <f t="shared" si="51"/>
        <v>428</v>
      </c>
      <c r="B433" s="9" t="s">
        <v>1201</v>
      </c>
      <c r="C433" s="15" t="s">
        <v>1434</v>
      </c>
      <c r="D433" s="10" t="s">
        <v>1435</v>
      </c>
      <c r="E433" s="11">
        <v>92751.41</v>
      </c>
      <c r="G433" s="11">
        <f t="shared" ref="G433:G451" si="62">E433+F433</f>
        <v>92751.41</v>
      </c>
      <c r="H433" s="11">
        <v>0</v>
      </c>
      <c r="I433" s="11">
        <f t="shared" si="60"/>
        <v>-29634.075495000001</v>
      </c>
      <c r="K433" s="844">
        <f t="shared" si="61"/>
        <v>63117.334505000006</v>
      </c>
      <c r="M433" s="9"/>
      <c r="O433" s="13"/>
    </row>
    <row r="434" spans="1:15" outlineLevel="2">
      <c r="A434" s="421">
        <f t="shared" si="51"/>
        <v>429</v>
      </c>
      <c r="B434" s="9" t="s">
        <v>1201</v>
      </c>
      <c r="C434" s="15" t="s">
        <v>1436</v>
      </c>
      <c r="D434" s="10" t="s">
        <v>1437</v>
      </c>
      <c r="E434" s="11">
        <v>421394.34</v>
      </c>
      <c r="G434" s="11">
        <f t="shared" si="62"/>
        <v>421394.34</v>
      </c>
      <c r="H434" s="11">
        <v>0</v>
      </c>
      <c r="I434" s="11">
        <f t="shared" si="60"/>
        <v>-134635.49163</v>
      </c>
      <c r="K434" s="844">
        <f t="shared" si="61"/>
        <v>286758.84837000002</v>
      </c>
      <c r="M434" s="9"/>
      <c r="O434" s="13"/>
    </row>
    <row r="435" spans="1:15" outlineLevel="2">
      <c r="A435" s="421">
        <f t="shared" si="51"/>
        <v>430</v>
      </c>
      <c r="B435" s="9" t="s">
        <v>1201</v>
      </c>
      <c r="C435" s="15" t="s">
        <v>1438</v>
      </c>
      <c r="D435" s="10" t="s">
        <v>1439</v>
      </c>
      <c r="E435" s="11">
        <v>17849.39</v>
      </c>
      <c r="G435" s="11">
        <f t="shared" si="62"/>
        <v>17849.39</v>
      </c>
      <c r="I435" s="11">
        <f t="shared" si="60"/>
        <v>-5702.8801050000002</v>
      </c>
      <c r="K435" s="844">
        <f t="shared" si="61"/>
        <v>12146.509894999999</v>
      </c>
      <c r="M435" s="9"/>
      <c r="O435" s="13"/>
    </row>
    <row r="436" spans="1:15" outlineLevel="2">
      <c r="A436" s="421">
        <f t="shared" si="51"/>
        <v>431</v>
      </c>
      <c r="B436" s="9" t="s">
        <v>1201</v>
      </c>
      <c r="C436" s="15" t="s">
        <v>1440</v>
      </c>
      <c r="D436" s="10" t="s">
        <v>1441</v>
      </c>
      <c r="E436" s="11">
        <v>315256.13</v>
      </c>
      <c r="G436" s="11">
        <f t="shared" si="62"/>
        <v>315256.13</v>
      </c>
      <c r="H436" s="11">
        <v>0</v>
      </c>
      <c r="I436" s="11">
        <f t="shared" si="60"/>
        <v>-100724.333535</v>
      </c>
      <c r="K436" s="844">
        <f t="shared" si="61"/>
        <v>214531.79646500002</v>
      </c>
      <c r="M436" s="9"/>
      <c r="O436" s="13"/>
    </row>
    <row r="437" spans="1:15" outlineLevel="2">
      <c r="A437" s="421">
        <f t="shared" si="51"/>
        <v>432</v>
      </c>
      <c r="B437" s="9" t="s">
        <v>1201</v>
      </c>
      <c r="C437" s="15" t="s">
        <v>1442</v>
      </c>
      <c r="D437" s="10" t="s">
        <v>1443</v>
      </c>
      <c r="E437" s="11">
        <v>433502.44</v>
      </c>
      <c r="G437" s="11">
        <f t="shared" si="62"/>
        <v>433502.44</v>
      </c>
      <c r="H437" s="11">
        <v>0</v>
      </c>
      <c r="I437" s="11">
        <f>-(G437*$L$319)</f>
        <v>-138504.02958</v>
      </c>
      <c r="K437" s="844">
        <f t="shared" si="61"/>
        <v>294998.41041999997</v>
      </c>
      <c r="M437" s="9"/>
      <c r="O437" s="13"/>
    </row>
    <row r="438" spans="1:15" outlineLevel="2">
      <c r="A438" s="421">
        <f t="shared" si="51"/>
        <v>433</v>
      </c>
      <c r="B438" s="9" t="s">
        <v>1201</v>
      </c>
      <c r="C438" s="15" t="s">
        <v>1444</v>
      </c>
      <c r="D438" s="10" t="s">
        <v>1445</v>
      </c>
      <c r="E438" s="11">
        <v>37177.79</v>
      </c>
      <c r="G438" s="11">
        <f t="shared" si="62"/>
        <v>37177.79</v>
      </c>
      <c r="H438" s="11">
        <v>0</v>
      </c>
      <c r="I438" s="11">
        <f>-(G438*$L$319)</f>
        <v>-11878.303905000001</v>
      </c>
      <c r="K438" s="844">
        <f t="shared" si="61"/>
        <v>25299.486095</v>
      </c>
      <c r="M438" s="9"/>
      <c r="O438" s="13"/>
    </row>
    <row r="439" spans="1:15" outlineLevel="2">
      <c r="A439" s="421">
        <f t="shared" si="51"/>
        <v>434</v>
      </c>
      <c r="B439" s="9" t="s">
        <v>1201</v>
      </c>
      <c r="C439" s="15" t="s">
        <v>1446</v>
      </c>
      <c r="D439" s="10" t="s">
        <v>1447</v>
      </c>
      <c r="E439" s="11">
        <v>4771.8900000000003</v>
      </c>
      <c r="G439" s="11">
        <f t="shared" si="62"/>
        <v>4771.8900000000003</v>
      </c>
      <c r="H439" s="11">
        <v>0</v>
      </c>
      <c r="I439" s="11">
        <f>-(G439*$L$319)</f>
        <v>-1524.6188550000002</v>
      </c>
      <c r="K439" s="844">
        <f t="shared" ref="K439:K444" si="63">SUM(G439:J439)</f>
        <v>3247.2711450000002</v>
      </c>
      <c r="M439" s="9"/>
      <c r="O439" s="13"/>
    </row>
    <row r="440" spans="1:15" outlineLevel="2">
      <c r="A440" s="421">
        <f t="shared" si="51"/>
        <v>435</v>
      </c>
      <c r="B440" s="9" t="s">
        <v>1201</v>
      </c>
      <c r="C440" s="15" t="s">
        <v>1448</v>
      </c>
      <c r="D440" s="10" t="s">
        <v>1449</v>
      </c>
      <c r="E440" s="11">
        <v>419354.7</v>
      </c>
      <c r="G440" s="11">
        <f t="shared" si="62"/>
        <v>419354.7</v>
      </c>
      <c r="H440" s="11">
        <v>0</v>
      </c>
      <c r="I440" s="11">
        <f>-(G440*$L$319)</f>
        <v>-133983.82665</v>
      </c>
      <c r="K440" s="844">
        <f t="shared" si="63"/>
        <v>285370.87335000001</v>
      </c>
      <c r="M440" s="9"/>
      <c r="O440" s="13"/>
    </row>
    <row r="441" spans="1:15" outlineLevel="2">
      <c r="A441" s="421">
        <f t="shared" si="51"/>
        <v>436</v>
      </c>
      <c r="B441" s="9" t="s">
        <v>1201</v>
      </c>
      <c r="C441" s="15" t="s">
        <v>1450</v>
      </c>
      <c r="D441" s="10" t="s">
        <v>1451</v>
      </c>
      <c r="E441" s="11">
        <v>161748.41</v>
      </c>
      <c r="G441" s="11">
        <f t="shared" si="62"/>
        <v>161748.41</v>
      </c>
      <c r="H441" s="11">
        <v>0</v>
      </c>
      <c r="I441" s="11">
        <f>-(G441*$L$319)</f>
        <v>-51678.616995000004</v>
      </c>
      <c r="K441" s="844">
        <f t="shared" si="63"/>
        <v>110069.793005</v>
      </c>
      <c r="M441" s="9"/>
      <c r="O441" s="13"/>
    </row>
    <row r="442" spans="1:15" outlineLevel="2">
      <c r="A442" s="421">
        <f t="shared" si="51"/>
        <v>437</v>
      </c>
      <c r="B442" s="9" t="s">
        <v>1201</v>
      </c>
      <c r="C442" s="15" t="s">
        <v>1452</v>
      </c>
      <c r="D442" s="10" t="s">
        <v>1453</v>
      </c>
      <c r="E442" s="11">
        <v>166315.1</v>
      </c>
      <c r="G442" s="11">
        <f t="shared" si="62"/>
        <v>166315.1</v>
      </c>
      <c r="H442" s="11">
        <v>0</v>
      </c>
      <c r="I442" s="11">
        <f t="shared" ref="I442:I448" si="64">-(G442*$L$319)</f>
        <v>-53137.674450000006</v>
      </c>
      <c r="K442" s="844">
        <f>SUM(G442:J442)</f>
        <v>113177.42555</v>
      </c>
      <c r="M442" s="9"/>
      <c r="O442" s="13"/>
    </row>
    <row r="443" spans="1:15" outlineLevel="2">
      <c r="A443" s="421">
        <f t="shared" si="51"/>
        <v>438</v>
      </c>
      <c r="B443" s="9" t="s">
        <v>1201</v>
      </c>
      <c r="C443" s="15" t="s">
        <v>1454</v>
      </c>
      <c r="D443" s="10" t="s">
        <v>1455</v>
      </c>
      <c r="E443" s="11">
        <v>235572.83</v>
      </c>
      <c r="G443" s="11">
        <f t="shared" si="62"/>
        <v>235572.83</v>
      </c>
      <c r="H443" s="11">
        <v>0</v>
      </c>
      <c r="I443" s="11">
        <f t="shared" si="64"/>
        <v>-75265.519184999997</v>
      </c>
      <c r="K443" s="844">
        <f t="shared" si="63"/>
        <v>160307.31081499998</v>
      </c>
      <c r="M443" s="9"/>
      <c r="O443" s="13"/>
    </row>
    <row r="444" spans="1:15" outlineLevel="2">
      <c r="A444" s="421">
        <f t="shared" si="51"/>
        <v>439</v>
      </c>
      <c r="B444" s="9" t="s">
        <v>1201</v>
      </c>
      <c r="C444" s="15" t="s">
        <v>1456</v>
      </c>
      <c r="D444" s="10" t="s">
        <v>1457</v>
      </c>
      <c r="E444" s="11">
        <v>201973.19</v>
      </c>
      <c r="G444" s="11">
        <f t="shared" si="62"/>
        <v>201973.19</v>
      </c>
      <c r="H444" s="11">
        <v>0</v>
      </c>
      <c r="I444" s="11">
        <f t="shared" si="64"/>
        <v>-64530.434205000005</v>
      </c>
      <c r="K444" s="844">
        <f t="shared" si="63"/>
        <v>137442.755795</v>
      </c>
      <c r="M444" s="9"/>
      <c r="O444" s="13"/>
    </row>
    <row r="445" spans="1:15" outlineLevel="2">
      <c r="A445" s="421">
        <f t="shared" si="51"/>
        <v>440</v>
      </c>
      <c r="B445" s="9" t="s">
        <v>1201</v>
      </c>
      <c r="C445" s="15" t="s">
        <v>1458</v>
      </c>
      <c r="D445" s="10" t="s">
        <v>1459</v>
      </c>
      <c r="E445" s="11">
        <v>83269.600000000006</v>
      </c>
      <c r="G445" s="11">
        <f t="shared" si="62"/>
        <v>83269.600000000006</v>
      </c>
      <c r="H445" s="11">
        <v>0</v>
      </c>
      <c r="I445" s="11">
        <f t="shared" si="64"/>
        <v>-26604.637200000001</v>
      </c>
      <c r="K445" s="844">
        <f>SUM(G445:J445)</f>
        <v>56664.962800000008</v>
      </c>
      <c r="M445" s="9"/>
      <c r="O445" s="13"/>
    </row>
    <row r="446" spans="1:15" outlineLevel="2">
      <c r="A446" s="421">
        <f t="shared" si="51"/>
        <v>441</v>
      </c>
      <c r="B446" s="9" t="s">
        <v>1201</v>
      </c>
      <c r="C446" s="15" t="s">
        <v>1460</v>
      </c>
      <c r="D446" s="10" t="s">
        <v>1461</v>
      </c>
      <c r="E446" s="11">
        <v>822052.72</v>
      </c>
      <c r="G446" s="11">
        <f t="shared" si="62"/>
        <v>822052.72</v>
      </c>
      <c r="H446" s="11">
        <v>0</v>
      </c>
      <c r="I446" s="11">
        <f t="shared" si="64"/>
        <v>-262645.84404</v>
      </c>
      <c r="K446" s="844">
        <f t="shared" ref="K446:K449" si="65">SUM(G446:J446)</f>
        <v>559406.87595999998</v>
      </c>
      <c r="M446" s="9"/>
      <c r="O446" s="13"/>
    </row>
    <row r="447" spans="1:15" outlineLevel="2">
      <c r="A447" s="421">
        <f t="shared" si="51"/>
        <v>442</v>
      </c>
      <c r="B447" s="9" t="s">
        <v>1201</v>
      </c>
      <c r="C447" s="15" t="s">
        <v>1462</v>
      </c>
      <c r="D447" s="10" t="s">
        <v>1463</v>
      </c>
      <c r="E447" s="11">
        <v>1122798.52</v>
      </c>
      <c r="G447" s="11">
        <f t="shared" si="62"/>
        <v>1122798.52</v>
      </c>
      <c r="H447" s="11">
        <v>0</v>
      </c>
      <c r="I447" s="11">
        <f t="shared" si="64"/>
        <v>-358734.12714</v>
      </c>
      <c r="K447" s="844">
        <f t="shared" si="65"/>
        <v>764064.39286000002</v>
      </c>
      <c r="M447" s="9"/>
      <c r="O447" s="13"/>
    </row>
    <row r="448" spans="1:15" outlineLevel="2">
      <c r="A448" s="421">
        <f t="shared" si="51"/>
        <v>443</v>
      </c>
      <c r="B448" s="9" t="s">
        <v>1201</v>
      </c>
      <c r="C448" s="15" t="s">
        <v>2658</v>
      </c>
      <c r="D448" s="10" t="s">
        <v>2676</v>
      </c>
      <c r="E448" s="11">
        <v>11533.35</v>
      </c>
      <c r="G448" s="11">
        <f t="shared" si="62"/>
        <v>11533.35</v>
      </c>
      <c r="I448" s="11">
        <f t="shared" si="64"/>
        <v>-3684.9053250000002</v>
      </c>
      <c r="K448" s="844">
        <f t="shared" si="65"/>
        <v>7848.4446750000006</v>
      </c>
      <c r="M448" s="9"/>
      <c r="O448" s="13"/>
    </row>
    <row r="449" spans="1:15" outlineLevel="2">
      <c r="A449" s="421">
        <f t="shared" si="51"/>
        <v>444</v>
      </c>
      <c r="B449" s="9" t="s">
        <v>1201</v>
      </c>
      <c r="C449" s="15" t="s">
        <v>1464</v>
      </c>
      <c r="D449" s="10" t="s">
        <v>1465</v>
      </c>
      <c r="E449" s="11">
        <v>1237</v>
      </c>
      <c r="G449" s="11">
        <f t="shared" si="62"/>
        <v>1237</v>
      </c>
      <c r="H449" s="11">
        <v>0</v>
      </c>
      <c r="I449" s="11">
        <f>-(G449*$L$319)</f>
        <v>-395.22149999999999</v>
      </c>
      <c r="K449" s="844">
        <f t="shared" si="65"/>
        <v>841.77850000000001</v>
      </c>
      <c r="M449" s="9"/>
      <c r="O449" s="13"/>
    </row>
    <row r="450" spans="1:15" outlineLevel="2">
      <c r="A450" s="421">
        <f t="shared" si="51"/>
        <v>445</v>
      </c>
      <c r="B450" s="9" t="s">
        <v>1201</v>
      </c>
      <c r="C450" s="15" t="s">
        <v>1466</v>
      </c>
      <c r="D450" s="10" t="s">
        <v>1467</v>
      </c>
      <c r="E450" s="11">
        <v>92147.92</v>
      </c>
      <c r="G450" s="11">
        <f t="shared" si="62"/>
        <v>92147.92</v>
      </c>
      <c r="H450" s="11">
        <v>0</v>
      </c>
      <c r="I450" s="11">
        <f>-(G450*$L$319)</f>
        <v>-29441.260439999998</v>
      </c>
      <c r="K450" s="844">
        <f t="shared" ref="K450:K457" si="66">SUM(G450:J450)</f>
        <v>62706.65956</v>
      </c>
      <c r="M450" s="9"/>
      <c r="O450" s="13"/>
    </row>
    <row r="451" spans="1:15" outlineLevel="2">
      <c r="A451" s="421">
        <f t="shared" si="51"/>
        <v>446</v>
      </c>
      <c r="B451" s="9" t="s">
        <v>1201</v>
      </c>
      <c r="C451" s="15" t="s">
        <v>1468</v>
      </c>
      <c r="D451" s="10" t="s">
        <v>1469</v>
      </c>
      <c r="E451" s="11">
        <v>861855.63</v>
      </c>
      <c r="G451" s="11">
        <f t="shared" si="62"/>
        <v>861855.63</v>
      </c>
      <c r="H451" s="11">
        <v>0</v>
      </c>
      <c r="I451" s="11">
        <f>-(G451*$L$319)</f>
        <v>-275362.873785</v>
      </c>
      <c r="K451" s="844">
        <f t="shared" si="66"/>
        <v>586492.75621500006</v>
      </c>
      <c r="M451" s="9"/>
      <c r="O451" s="13"/>
    </row>
    <row r="452" spans="1:15" outlineLevel="2">
      <c r="A452" s="421">
        <f t="shared" si="51"/>
        <v>447</v>
      </c>
      <c r="B452" s="9" t="s">
        <v>1201</v>
      </c>
      <c r="C452" s="15" t="s">
        <v>1470</v>
      </c>
      <c r="D452" s="10" t="s">
        <v>1471</v>
      </c>
      <c r="E452" s="11">
        <v>443199.49</v>
      </c>
      <c r="G452" s="11">
        <f>E452+F452</f>
        <v>443199.49</v>
      </c>
      <c r="H452" s="11">
        <v>0</v>
      </c>
      <c r="I452" s="11">
        <f>-(G452*$L$319)</f>
        <v>-141602.23705500001</v>
      </c>
      <c r="K452" s="844">
        <f t="shared" si="66"/>
        <v>301597.25294499996</v>
      </c>
      <c r="M452" s="9"/>
      <c r="O452" s="13"/>
    </row>
    <row r="453" spans="1:15" outlineLevel="2">
      <c r="A453" s="421">
        <f t="shared" si="51"/>
        <v>448</v>
      </c>
      <c r="B453" s="9" t="s">
        <v>1201</v>
      </c>
      <c r="C453" s="15" t="s">
        <v>1472</v>
      </c>
      <c r="D453" s="10" t="s">
        <v>1473</v>
      </c>
      <c r="E453" s="11">
        <v>329859.56</v>
      </c>
      <c r="G453" s="11">
        <f t="shared" ref="G453:G467" si="67">E453+F453</f>
        <v>329859.56</v>
      </c>
      <c r="H453" s="11">
        <v>0</v>
      </c>
      <c r="I453" s="11">
        <f>-(G453*$L$319)</f>
        <v>-105390.12942</v>
      </c>
      <c r="K453" s="844">
        <f t="shared" si="66"/>
        <v>224469.43057999999</v>
      </c>
      <c r="L453" s="23"/>
      <c r="M453" s="9"/>
      <c r="O453" s="13"/>
    </row>
    <row r="454" spans="1:15" outlineLevel="2">
      <c r="A454" s="421">
        <f t="shared" si="51"/>
        <v>449</v>
      </c>
      <c r="B454" s="9" t="s">
        <v>1201</v>
      </c>
      <c r="C454" s="15" t="s">
        <v>1474</v>
      </c>
      <c r="D454" s="10" t="s">
        <v>1475</v>
      </c>
      <c r="E454" s="11">
        <v>1366</v>
      </c>
      <c r="G454" s="11">
        <f t="shared" si="67"/>
        <v>1366</v>
      </c>
      <c r="H454" s="11">
        <v>0</v>
      </c>
      <c r="I454" s="11">
        <f t="shared" ref="I454:I462" si="68">-(G454*$L$319)</f>
        <v>-436.43700000000001</v>
      </c>
      <c r="K454" s="844">
        <f t="shared" si="66"/>
        <v>929.56299999999999</v>
      </c>
      <c r="L454" s="23"/>
      <c r="M454" s="9"/>
      <c r="O454" s="13"/>
    </row>
    <row r="455" spans="1:15" outlineLevel="2">
      <c r="A455" s="421">
        <f t="shared" si="51"/>
        <v>450</v>
      </c>
      <c r="B455" s="9" t="s">
        <v>1201</v>
      </c>
      <c r="C455" s="15" t="s">
        <v>1476</v>
      </c>
      <c r="D455" s="10" t="s">
        <v>1477</v>
      </c>
      <c r="E455" s="11">
        <v>541759.02</v>
      </c>
      <c r="G455" s="11">
        <f t="shared" si="67"/>
        <v>541759.02</v>
      </c>
      <c r="H455" s="11">
        <v>0</v>
      </c>
      <c r="I455" s="11">
        <f t="shared" si="68"/>
        <v>-173092.00689000002</v>
      </c>
      <c r="K455" s="844">
        <f t="shared" si="66"/>
        <v>368667.01311</v>
      </c>
      <c r="L455" s="23"/>
      <c r="M455" s="9"/>
      <c r="O455" s="13"/>
    </row>
    <row r="456" spans="1:15" outlineLevel="2">
      <c r="A456" s="421">
        <f t="shared" ref="A456:A519" si="69">A455+1</f>
        <v>451</v>
      </c>
      <c r="B456" s="9" t="s">
        <v>1201</v>
      </c>
      <c r="C456" s="15" t="s">
        <v>1478</v>
      </c>
      <c r="D456" s="10" t="s">
        <v>1479</v>
      </c>
      <c r="E456" s="11">
        <v>534310.96</v>
      </c>
      <c r="G456" s="11">
        <f t="shared" si="67"/>
        <v>534310.96</v>
      </c>
      <c r="H456" s="11">
        <v>0</v>
      </c>
      <c r="I456" s="11">
        <f t="shared" si="68"/>
        <v>-170712.35171999998</v>
      </c>
      <c r="K456" s="844">
        <f t="shared" si="66"/>
        <v>363598.60827999999</v>
      </c>
      <c r="L456" s="23"/>
      <c r="M456" s="9"/>
      <c r="O456" s="13"/>
    </row>
    <row r="457" spans="1:15" outlineLevel="2">
      <c r="A457" s="421">
        <f t="shared" si="69"/>
        <v>452</v>
      </c>
      <c r="B457" s="9" t="s">
        <v>1201</v>
      </c>
      <c r="C457" s="15" t="s">
        <v>1480</v>
      </c>
      <c r="D457" s="10" t="s">
        <v>1481</v>
      </c>
      <c r="E457" s="11">
        <v>295982.49</v>
      </c>
      <c r="G457" s="11">
        <f t="shared" si="67"/>
        <v>295982.49</v>
      </c>
      <c r="H457" s="11">
        <v>0</v>
      </c>
      <c r="I457" s="11">
        <f t="shared" si="68"/>
        <v>-94566.405555000005</v>
      </c>
      <c r="K457" s="844">
        <f t="shared" si="66"/>
        <v>201416.08444499999</v>
      </c>
      <c r="L457" s="23"/>
      <c r="M457" s="9"/>
      <c r="O457" s="13"/>
    </row>
    <row r="458" spans="1:15" outlineLevel="2">
      <c r="A458" s="421">
        <f t="shared" si="69"/>
        <v>453</v>
      </c>
      <c r="B458" s="9" t="s">
        <v>1201</v>
      </c>
      <c r="C458" s="15" t="s">
        <v>1482</v>
      </c>
      <c r="D458" s="10" t="s">
        <v>1483</v>
      </c>
      <c r="E458" s="11">
        <v>1853</v>
      </c>
      <c r="G458" s="11">
        <f t="shared" si="67"/>
        <v>1853</v>
      </c>
      <c r="H458" s="11">
        <v>0</v>
      </c>
      <c r="I458" s="11">
        <f t="shared" si="68"/>
        <v>-592.0335</v>
      </c>
      <c r="K458" s="844">
        <f t="shared" ref="K458:K467" si="70">SUM(G458:J458)</f>
        <v>1260.9665</v>
      </c>
      <c r="L458" s="23"/>
      <c r="M458" s="9"/>
      <c r="O458" s="13"/>
    </row>
    <row r="459" spans="1:15" outlineLevel="2">
      <c r="A459" s="421">
        <f t="shared" si="69"/>
        <v>454</v>
      </c>
      <c r="B459" s="9" t="s">
        <v>1201</v>
      </c>
      <c r="C459" s="15" t="s">
        <v>1484</v>
      </c>
      <c r="D459" s="10" t="s">
        <v>1485</v>
      </c>
      <c r="E459" s="11">
        <v>50053.17</v>
      </c>
      <c r="G459" s="11">
        <f t="shared" si="67"/>
        <v>50053.17</v>
      </c>
      <c r="H459" s="11">
        <v>0</v>
      </c>
      <c r="I459" s="11">
        <f t="shared" si="68"/>
        <v>-15991.987815</v>
      </c>
      <c r="K459" s="844">
        <f t="shared" si="70"/>
        <v>34061.182184999998</v>
      </c>
      <c r="L459" s="23"/>
      <c r="M459" s="9"/>
      <c r="O459" s="13"/>
    </row>
    <row r="460" spans="1:15" outlineLevel="2">
      <c r="A460" s="421">
        <f t="shared" si="69"/>
        <v>455</v>
      </c>
      <c r="B460" s="9" t="s">
        <v>1201</v>
      </c>
      <c r="C460" s="15" t="s">
        <v>1486</v>
      </c>
      <c r="D460" s="10" t="s">
        <v>1487</v>
      </c>
      <c r="E460" s="11">
        <v>510520.4</v>
      </c>
      <c r="G460" s="11">
        <f t="shared" si="67"/>
        <v>510520.4</v>
      </c>
      <c r="H460" s="11">
        <v>0</v>
      </c>
      <c r="I460" s="11">
        <f t="shared" si="68"/>
        <v>-163111.2678</v>
      </c>
      <c r="K460" s="844">
        <f t="shared" si="70"/>
        <v>347409.13219999999</v>
      </c>
      <c r="L460" s="23"/>
      <c r="M460" s="9"/>
      <c r="O460" s="13"/>
    </row>
    <row r="461" spans="1:15" outlineLevel="2">
      <c r="A461" s="421">
        <f t="shared" si="69"/>
        <v>456</v>
      </c>
      <c r="B461" s="9" t="s">
        <v>1201</v>
      </c>
      <c r="C461" s="15" t="s">
        <v>1488</v>
      </c>
      <c r="D461" s="10" t="s">
        <v>1489</v>
      </c>
      <c r="E461" s="11">
        <v>461151.23</v>
      </c>
      <c r="G461" s="11">
        <f t="shared" si="67"/>
        <v>461151.23</v>
      </c>
      <c r="H461" s="11">
        <v>0</v>
      </c>
      <c r="I461" s="11">
        <f t="shared" si="68"/>
        <v>-147337.817985</v>
      </c>
      <c r="K461" s="844">
        <f>SUM(G461:J461)</f>
        <v>313813.41201500001</v>
      </c>
      <c r="L461" s="23"/>
      <c r="M461" s="9"/>
      <c r="O461" s="13"/>
    </row>
    <row r="462" spans="1:15" outlineLevel="2">
      <c r="A462" s="421">
        <f t="shared" si="69"/>
        <v>457</v>
      </c>
      <c r="B462" s="9" t="s">
        <v>1201</v>
      </c>
      <c r="C462" s="15" t="s">
        <v>1490</v>
      </c>
      <c r="D462" s="10" t="s">
        <v>1491</v>
      </c>
      <c r="E462" s="11">
        <v>8781.5400000000009</v>
      </c>
      <c r="G462" s="11">
        <f t="shared" si="67"/>
        <v>8781.5400000000009</v>
      </c>
      <c r="H462" s="11">
        <v>0</v>
      </c>
      <c r="I462" s="11">
        <f t="shared" si="68"/>
        <v>-2805.7020300000004</v>
      </c>
      <c r="K462" s="844">
        <f t="shared" si="70"/>
        <v>5975.8379700000005</v>
      </c>
      <c r="L462" s="23"/>
      <c r="M462" s="9"/>
      <c r="O462" s="13"/>
    </row>
    <row r="463" spans="1:15" outlineLevel="2">
      <c r="A463" s="421">
        <f t="shared" si="69"/>
        <v>458</v>
      </c>
      <c r="B463" s="9" t="s">
        <v>1201</v>
      </c>
      <c r="C463" s="15" t="s">
        <v>1492</v>
      </c>
      <c r="D463" s="10" t="s">
        <v>1493</v>
      </c>
      <c r="E463" s="11">
        <v>106095.81</v>
      </c>
      <c r="G463" s="11">
        <f t="shared" si="67"/>
        <v>106095.81</v>
      </c>
      <c r="H463" s="11">
        <v>0</v>
      </c>
      <c r="I463" s="11">
        <f t="shared" ref="I463:I469" si="71">-(G463*$L$319)</f>
        <v>-33897.611295000002</v>
      </c>
      <c r="K463" s="844">
        <f t="shared" si="70"/>
        <v>72198.198704999988</v>
      </c>
      <c r="L463" s="23"/>
      <c r="M463" s="9"/>
      <c r="O463" s="13"/>
    </row>
    <row r="464" spans="1:15" outlineLevel="2">
      <c r="A464" s="421">
        <f t="shared" si="69"/>
        <v>459</v>
      </c>
      <c r="B464" s="9" t="s">
        <v>1201</v>
      </c>
      <c r="C464" s="15" t="s">
        <v>1494</v>
      </c>
      <c r="D464" s="10" t="s">
        <v>1495</v>
      </c>
      <c r="E464" s="11">
        <v>216887.19</v>
      </c>
      <c r="G464" s="11">
        <f t="shared" si="67"/>
        <v>216887.19</v>
      </c>
      <c r="H464" s="11">
        <v>0</v>
      </c>
      <c r="I464" s="11">
        <f t="shared" si="71"/>
        <v>-69295.457204999999</v>
      </c>
      <c r="K464" s="844">
        <f>SUM(G464:J464)</f>
        <v>147591.73279500002</v>
      </c>
      <c r="L464" s="23"/>
      <c r="M464" s="9"/>
      <c r="O464" s="13"/>
    </row>
    <row r="465" spans="1:15" outlineLevel="2">
      <c r="A465" s="421">
        <f t="shared" si="69"/>
        <v>460</v>
      </c>
      <c r="B465" s="9" t="s">
        <v>1201</v>
      </c>
      <c r="C465" s="15" t="s">
        <v>1496</v>
      </c>
      <c r="D465" s="10" t="s">
        <v>1497</v>
      </c>
      <c r="E465" s="11">
        <v>628989.94999999995</v>
      </c>
      <c r="G465" s="11">
        <f t="shared" si="67"/>
        <v>628989.94999999995</v>
      </c>
      <c r="H465" s="11">
        <v>0</v>
      </c>
      <c r="I465" s="11">
        <f t="shared" si="71"/>
        <v>-200962.28902499998</v>
      </c>
      <c r="K465" s="844">
        <f t="shared" si="70"/>
        <v>428027.66097500001</v>
      </c>
      <c r="L465" s="23"/>
      <c r="M465" s="9"/>
      <c r="O465" s="13"/>
    </row>
    <row r="466" spans="1:15" outlineLevel="2">
      <c r="A466" s="421">
        <f t="shared" si="69"/>
        <v>461</v>
      </c>
      <c r="B466" s="9" t="s">
        <v>1201</v>
      </c>
      <c r="C466" s="15" t="s">
        <v>1498</v>
      </c>
      <c r="D466" s="10" t="s">
        <v>1499</v>
      </c>
      <c r="E466" s="11">
        <v>1168080.6200000001</v>
      </c>
      <c r="G466" s="11">
        <f t="shared" si="67"/>
        <v>1168080.6200000001</v>
      </c>
      <c r="H466" s="11">
        <v>0</v>
      </c>
      <c r="I466" s="11">
        <f t="shared" si="71"/>
        <v>-373201.75809000002</v>
      </c>
      <c r="K466" s="844">
        <f t="shared" si="70"/>
        <v>794878.86191000009</v>
      </c>
      <c r="L466" s="23"/>
      <c r="M466" s="9"/>
      <c r="O466" s="13"/>
    </row>
    <row r="467" spans="1:15" outlineLevel="2">
      <c r="A467" s="421">
        <f t="shared" si="69"/>
        <v>462</v>
      </c>
      <c r="B467" s="9" t="s">
        <v>1201</v>
      </c>
      <c r="C467" s="15" t="s">
        <v>1500</v>
      </c>
      <c r="D467" s="10" t="s">
        <v>1501</v>
      </c>
      <c r="E467" s="11">
        <v>228059.18</v>
      </c>
      <c r="G467" s="11">
        <f t="shared" si="67"/>
        <v>228059.18</v>
      </c>
      <c r="H467" s="11">
        <v>0</v>
      </c>
      <c r="I467" s="11">
        <f t="shared" si="71"/>
        <v>-72864.908009999999</v>
      </c>
      <c r="K467" s="844">
        <f t="shared" si="70"/>
        <v>155194.27198999998</v>
      </c>
      <c r="L467" s="23"/>
      <c r="M467" s="9"/>
      <c r="O467" s="13"/>
    </row>
    <row r="468" spans="1:15" outlineLevel="2">
      <c r="A468" s="421">
        <f t="shared" si="69"/>
        <v>463</v>
      </c>
      <c r="B468" s="9" t="s">
        <v>1201</v>
      </c>
      <c r="C468" s="15" t="s">
        <v>1502</v>
      </c>
      <c r="D468" s="10" t="s">
        <v>1503</v>
      </c>
      <c r="E468" s="11">
        <v>102030.91</v>
      </c>
      <c r="G468" s="11">
        <f>E468+F468</f>
        <v>102030.91</v>
      </c>
      <c r="H468" s="11">
        <v>0</v>
      </c>
      <c r="I468" s="11">
        <f t="shared" si="71"/>
        <v>-32598.875745000001</v>
      </c>
      <c r="K468" s="844">
        <f t="shared" ref="K468:K479" si="72">SUM(G468:J468)</f>
        <v>69432.034255000006</v>
      </c>
      <c r="L468" s="23"/>
      <c r="M468" s="9"/>
      <c r="O468" s="13"/>
    </row>
    <row r="469" spans="1:15" outlineLevel="2">
      <c r="A469" s="421">
        <f t="shared" si="69"/>
        <v>464</v>
      </c>
      <c r="B469" s="9" t="s">
        <v>1201</v>
      </c>
      <c r="C469" s="15" t="s">
        <v>1504</v>
      </c>
      <c r="D469" s="10" t="s">
        <v>1505</v>
      </c>
      <c r="E469" s="11">
        <v>579363.11</v>
      </c>
      <c r="G469" s="11">
        <f t="shared" ref="G469:G479" si="73">E469+F469</f>
        <v>579363.11</v>
      </c>
      <c r="H469" s="11">
        <v>0</v>
      </c>
      <c r="I469" s="11">
        <f t="shared" si="71"/>
        <v>-185106.513645</v>
      </c>
      <c r="K469" s="844">
        <f t="shared" si="72"/>
        <v>394256.59635499999</v>
      </c>
      <c r="L469" s="23"/>
      <c r="M469" s="9"/>
      <c r="O469" s="13"/>
    </row>
    <row r="470" spans="1:15" outlineLevel="2">
      <c r="A470" s="421">
        <f t="shared" si="69"/>
        <v>465</v>
      </c>
      <c r="B470" s="9" t="s">
        <v>1201</v>
      </c>
      <c r="C470" s="15" t="s">
        <v>1506</v>
      </c>
      <c r="D470" s="10" t="s">
        <v>1507</v>
      </c>
      <c r="E470" s="11">
        <v>729388.88</v>
      </c>
      <c r="G470" s="11">
        <f t="shared" si="73"/>
        <v>729388.88</v>
      </c>
      <c r="H470" s="11">
        <v>0</v>
      </c>
      <c r="I470" s="11">
        <f t="shared" ref="I470:I479" si="74">-(G470*$L$319)</f>
        <v>-233039.74716</v>
      </c>
      <c r="K470" s="844">
        <f t="shared" si="72"/>
        <v>496349.13283999998</v>
      </c>
      <c r="L470" s="23"/>
      <c r="M470" s="9"/>
      <c r="O470" s="13"/>
    </row>
    <row r="471" spans="1:15" outlineLevel="2">
      <c r="A471" s="421">
        <f t="shared" si="69"/>
        <v>466</v>
      </c>
      <c r="B471" s="9" t="s">
        <v>1201</v>
      </c>
      <c r="C471" s="15" t="s">
        <v>1508</v>
      </c>
      <c r="D471" s="10" t="s">
        <v>1509</v>
      </c>
      <c r="E471" s="11">
        <v>37022.99</v>
      </c>
      <c r="G471" s="11">
        <f t="shared" si="73"/>
        <v>37022.99</v>
      </c>
      <c r="H471" s="11">
        <v>0</v>
      </c>
      <c r="I471" s="11">
        <f t="shared" si="74"/>
        <v>-11828.845304999999</v>
      </c>
      <c r="K471" s="844">
        <f t="shared" si="72"/>
        <v>25194.144694999999</v>
      </c>
      <c r="M471" s="9"/>
      <c r="O471" s="13"/>
    </row>
    <row r="472" spans="1:15" outlineLevel="2">
      <c r="A472" s="421">
        <f t="shared" si="69"/>
        <v>467</v>
      </c>
      <c r="B472" s="9" t="s">
        <v>1201</v>
      </c>
      <c r="C472" s="15" t="s">
        <v>1510</v>
      </c>
      <c r="D472" s="10" t="s">
        <v>1511</v>
      </c>
      <c r="E472" s="11">
        <v>703268.17</v>
      </c>
      <c r="G472" s="11">
        <f t="shared" si="73"/>
        <v>703268.17</v>
      </c>
      <c r="H472" s="11">
        <v>0</v>
      </c>
      <c r="I472" s="11">
        <f t="shared" si="74"/>
        <v>-224694.18031500001</v>
      </c>
      <c r="K472" s="844">
        <f t="shared" si="72"/>
        <v>478573.98968500004</v>
      </c>
      <c r="M472" s="9"/>
      <c r="O472" s="13"/>
    </row>
    <row r="473" spans="1:15" outlineLevel="2">
      <c r="A473" s="421">
        <f t="shared" si="69"/>
        <v>468</v>
      </c>
      <c r="B473" s="9" t="s">
        <v>1201</v>
      </c>
      <c r="C473" s="15" t="s">
        <v>1512</v>
      </c>
      <c r="D473" s="10" t="s">
        <v>1513</v>
      </c>
      <c r="E473" s="11">
        <v>25197.93</v>
      </c>
      <c r="G473" s="11">
        <f t="shared" si="73"/>
        <v>25197.93</v>
      </c>
      <c r="H473" s="11">
        <v>0</v>
      </c>
      <c r="I473" s="11">
        <f t="shared" si="74"/>
        <v>-8050.7386350000006</v>
      </c>
      <c r="K473" s="844">
        <f t="shared" si="72"/>
        <v>17147.191364999999</v>
      </c>
      <c r="M473" s="9"/>
      <c r="O473" s="13"/>
    </row>
    <row r="474" spans="1:15" outlineLevel="2">
      <c r="A474" s="421">
        <f t="shared" si="69"/>
        <v>469</v>
      </c>
      <c r="B474" s="9" t="s">
        <v>1201</v>
      </c>
      <c r="C474" s="15" t="s">
        <v>1514</v>
      </c>
      <c r="D474" s="10" t="s">
        <v>1515</v>
      </c>
      <c r="E474" s="11">
        <v>91987.25</v>
      </c>
      <c r="G474" s="11">
        <f t="shared" si="73"/>
        <v>91987.25</v>
      </c>
      <c r="H474" s="11">
        <v>0</v>
      </c>
      <c r="I474" s="11">
        <f t="shared" si="74"/>
        <v>-29389.926374999999</v>
      </c>
      <c r="K474" s="844">
        <f t="shared" si="72"/>
        <v>62597.323625000005</v>
      </c>
      <c r="L474" s="12"/>
      <c r="M474" s="12"/>
      <c r="N474" s="12"/>
      <c r="O474" s="12"/>
    </row>
    <row r="475" spans="1:15" outlineLevel="2">
      <c r="A475" s="421">
        <f t="shared" si="69"/>
        <v>470</v>
      </c>
      <c r="B475" s="9" t="s">
        <v>1201</v>
      </c>
      <c r="C475" s="15" t="s">
        <v>2659</v>
      </c>
      <c r="D475" s="10" t="s">
        <v>2660</v>
      </c>
      <c r="E475" s="11">
        <v>21499.88</v>
      </c>
      <c r="G475" s="11">
        <f t="shared" si="73"/>
        <v>21499.88</v>
      </c>
      <c r="I475" s="11">
        <f t="shared" si="74"/>
        <v>-6869.2116600000008</v>
      </c>
      <c r="K475" s="844">
        <f t="shared" si="72"/>
        <v>14630.66834</v>
      </c>
      <c r="L475" s="12"/>
      <c r="M475" s="12"/>
      <c r="N475" s="12"/>
      <c r="O475" s="12"/>
    </row>
    <row r="476" spans="1:15" outlineLevel="2">
      <c r="A476" s="421">
        <f t="shared" si="69"/>
        <v>471</v>
      </c>
      <c r="B476" s="9" t="s">
        <v>1201</v>
      </c>
      <c r="C476" s="15" t="s">
        <v>1516</v>
      </c>
      <c r="D476" s="10" t="s">
        <v>1517</v>
      </c>
      <c r="E476" s="11">
        <v>117921.59</v>
      </c>
      <c r="G476" s="11">
        <f t="shared" si="73"/>
        <v>117921.59</v>
      </c>
      <c r="H476" s="11">
        <v>0</v>
      </c>
      <c r="I476" s="11">
        <f t="shared" si="74"/>
        <v>-37675.948004999998</v>
      </c>
      <c r="K476" s="844">
        <f t="shared" si="72"/>
        <v>80245.641994999998</v>
      </c>
      <c r="L476" s="10"/>
      <c r="M476" s="9"/>
      <c r="O476" s="13"/>
    </row>
    <row r="477" spans="1:15" outlineLevel="2">
      <c r="A477" s="421">
        <f t="shared" si="69"/>
        <v>472</v>
      </c>
      <c r="B477" s="9" t="s">
        <v>1201</v>
      </c>
      <c r="C477" s="15" t="s">
        <v>1518</v>
      </c>
      <c r="D477" s="10" t="s">
        <v>1519</v>
      </c>
      <c r="E477" s="11">
        <v>36499.440000000002</v>
      </c>
      <c r="G477" s="11">
        <f t="shared" si="73"/>
        <v>36499.440000000002</v>
      </c>
      <c r="I477" s="11">
        <f t="shared" si="74"/>
        <v>-11661.571080000002</v>
      </c>
      <c r="K477" s="844">
        <f t="shared" si="72"/>
        <v>24837.868920000001</v>
      </c>
      <c r="L477" s="10"/>
      <c r="M477" s="9"/>
      <c r="O477" s="13"/>
    </row>
    <row r="478" spans="1:15" outlineLevel="2">
      <c r="A478" s="421">
        <f t="shared" si="69"/>
        <v>473</v>
      </c>
      <c r="B478" s="9" t="s">
        <v>1201</v>
      </c>
      <c r="C478" s="15" t="s">
        <v>1520</v>
      </c>
      <c r="D478" s="10" t="s">
        <v>1521</v>
      </c>
      <c r="E478" s="11">
        <v>28279.89</v>
      </c>
      <c r="G478" s="11">
        <f t="shared" si="73"/>
        <v>28279.89</v>
      </c>
      <c r="H478" s="11">
        <v>0</v>
      </c>
      <c r="I478" s="11">
        <f t="shared" si="74"/>
        <v>-9035.4248549999993</v>
      </c>
      <c r="K478" s="844">
        <f t="shared" si="72"/>
        <v>19244.465145000002</v>
      </c>
      <c r="L478" s="10"/>
      <c r="M478" s="9"/>
    </row>
    <row r="479" spans="1:15" outlineLevel="2">
      <c r="A479" s="421">
        <f t="shared" si="69"/>
        <v>474</v>
      </c>
      <c r="B479" s="9" t="s">
        <v>1201</v>
      </c>
      <c r="C479" s="10" t="s">
        <v>1522</v>
      </c>
      <c r="D479" s="10" t="s">
        <v>1523</v>
      </c>
      <c r="E479" s="11">
        <v>318584.67</v>
      </c>
      <c r="G479" s="11">
        <f t="shared" si="73"/>
        <v>318584.67</v>
      </c>
      <c r="H479" s="11">
        <v>0</v>
      </c>
      <c r="I479" s="11">
        <f t="shared" si="74"/>
        <v>-101787.802065</v>
      </c>
      <c r="K479" s="844">
        <f t="shared" si="72"/>
        <v>216796.86793499999</v>
      </c>
      <c r="L479" s="10"/>
      <c r="M479" s="9"/>
      <c r="O479" s="13"/>
    </row>
    <row r="480" spans="1:15" s="5" customFormat="1" ht="13.5" outlineLevel="1" thickBot="1">
      <c r="A480" s="421">
        <f t="shared" si="69"/>
        <v>475</v>
      </c>
      <c r="B480" s="16" t="s">
        <v>1524</v>
      </c>
      <c r="C480" s="18"/>
      <c r="D480" s="18" t="s">
        <v>1525</v>
      </c>
      <c r="E480" s="19">
        <f>SUBTOTAL(9,E316:E479)</f>
        <v>44616414.430000037</v>
      </c>
      <c r="F480" s="19">
        <f>SUBTOTAL(9,F316:F479)</f>
        <v>0</v>
      </c>
      <c r="G480" s="19">
        <f>SUBTOTAL(9,G316:G479)</f>
        <v>44616414.430000037</v>
      </c>
      <c r="H480" s="19">
        <f>SUBTOTAL(9,H316:H479)</f>
        <v>0</v>
      </c>
      <c r="I480" s="19">
        <f>SUBTOTAL(9,I316:I479)</f>
        <v>-14254944.410384998</v>
      </c>
      <c r="J480" s="19"/>
      <c r="K480" s="845">
        <f>SUBTOTAL(9,K316:K479)</f>
        <v>30361470.019614995</v>
      </c>
      <c r="M480" s="3"/>
      <c r="N480" s="3"/>
      <c r="O480" s="6"/>
    </row>
    <row r="481" spans="1:15" ht="13.5" outlineLevel="2" thickTop="1">
      <c r="A481" s="421">
        <f t="shared" si="69"/>
        <v>476</v>
      </c>
      <c r="B481" s="9" t="s">
        <v>1526</v>
      </c>
      <c r="C481" s="15" t="s">
        <v>1527</v>
      </c>
      <c r="D481" s="10" t="s">
        <v>1528</v>
      </c>
      <c r="E481" s="11">
        <v>19890751.77</v>
      </c>
      <c r="G481" s="11">
        <f>E481+F481</f>
        <v>19890751.77</v>
      </c>
      <c r="H481" s="11">
        <v>0</v>
      </c>
      <c r="I481" s="11">
        <v>0</v>
      </c>
      <c r="K481" s="844">
        <f>SUM(G481:J481)</f>
        <v>19890751.77</v>
      </c>
      <c r="L481" s="10"/>
      <c r="M481" s="9"/>
      <c r="O481" s="13"/>
    </row>
    <row r="482" spans="1:15" outlineLevel="2">
      <c r="A482" s="421">
        <f t="shared" si="69"/>
        <v>477</v>
      </c>
      <c r="B482" s="9" t="s">
        <v>1526</v>
      </c>
      <c r="C482" s="464" t="s">
        <v>1527</v>
      </c>
      <c r="D482" s="10" t="s">
        <v>1529</v>
      </c>
      <c r="E482" s="11">
        <v>3771806.64</v>
      </c>
      <c r="G482" s="11">
        <f>E482+F482</f>
        <v>3771806.64</v>
      </c>
      <c r="H482" s="11">
        <v>0</v>
      </c>
      <c r="I482" s="11">
        <v>0</v>
      </c>
      <c r="K482" s="844">
        <f>SUM(G482:J482)</f>
        <v>3771806.64</v>
      </c>
      <c r="L482" s="10"/>
      <c r="M482" s="9"/>
      <c r="O482" s="13"/>
    </row>
    <row r="483" spans="1:15" s="5" customFormat="1" ht="13.5" outlineLevel="1" thickBot="1">
      <c r="A483" s="421">
        <f t="shared" si="69"/>
        <v>478</v>
      </c>
      <c r="B483" s="16" t="s">
        <v>1530</v>
      </c>
      <c r="C483" s="24"/>
      <c r="D483" s="18" t="s">
        <v>1531</v>
      </c>
      <c r="E483" s="19">
        <f>SUBTOTAL(9,E481:E482)</f>
        <v>23662558.41</v>
      </c>
      <c r="F483" s="19">
        <f>SUBTOTAL(9,F481:F482)</f>
        <v>0</v>
      </c>
      <c r="G483" s="19">
        <f>SUBTOTAL(9,G481:G482)</f>
        <v>23662558.41</v>
      </c>
      <c r="H483" s="19">
        <f>SUBTOTAL(9,H481:H482)</f>
        <v>0</v>
      </c>
      <c r="I483" s="19">
        <f>SUBTOTAL(9,I481:I482)</f>
        <v>0</v>
      </c>
      <c r="J483" s="19"/>
      <c r="K483" s="845">
        <f>SUBTOTAL(9,K481:K482)</f>
        <v>23662558.41</v>
      </c>
      <c r="M483" s="3"/>
      <c r="N483" s="3"/>
      <c r="O483" s="6"/>
    </row>
    <row r="484" spans="1:15" ht="13.5" outlineLevel="2" thickTop="1">
      <c r="A484" s="421">
        <f t="shared" si="69"/>
        <v>479</v>
      </c>
      <c r="B484" s="9" t="s">
        <v>1532</v>
      </c>
      <c r="C484" s="15" t="s">
        <v>1533</v>
      </c>
      <c r="D484" s="10" t="s">
        <v>1534</v>
      </c>
      <c r="E484" s="11">
        <v>650000.85</v>
      </c>
      <c r="G484" s="11">
        <f>E484+F484</f>
        <v>650000.85</v>
      </c>
      <c r="H484" s="11">
        <v>-650001</v>
      </c>
      <c r="I484" s="11">
        <v>0</v>
      </c>
      <c r="K484" s="844">
        <f>SUM(G484:J484)</f>
        <v>-0.15000000002328306</v>
      </c>
      <c r="L484" s="910"/>
      <c r="M484" s="9"/>
      <c r="O484" s="13"/>
    </row>
    <row r="485" spans="1:15" outlineLevel="2">
      <c r="A485" s="421">
        <f t="shared" si="69"/>
        <v>480</v>
      </c>
      <c r="B485" s="9" t="s">
        <v>1532</v>
      </c>
      <c r="C485" s="15" t="s">
        <v>1535</v>
      </c>
      <c r="D485" s="10" t="s">
        <v>1536</v>
      </c>
      <c r="E485" s="11">
        <v>184827.19</v>
      </c>
      <c r="G485" s="11">
        <f t="shared" ref="G485:G500" si="75">E485+F485</f>
        <v>184827.19</v>
      </c>
      <c r="H485" s="11">
        <v>-184827</v>
      </c>
      <c r="I485" s="11">
        <v>0</v>
      </c>
      <c r="K485" s="844">
        <f t="shared" ref="K485:K500" si="76">SUM(G485:J485)</f>
        <v>0.19000000000232831</v>
      </c>
      <c r="L485" s="911"/>
      <c r="M485" s="9"/>
      <c r="O485" s="13"/>
    </row>
    <row r="486" spans="1:15" outlineLevel="2">
      <c r="A486" s="421">
        <f t="shared" si="69"/>
        <v>481</v>
      </c>
      <c r="B486" s="9" t="s">
        <v>1532</v>
      </c>
      <c r="C486" s="15" t="s">
        <v>1537</v>
      </c>
      <c r="D486" s="10" t="s">
        <v>1538</v>
      </c>
      <c r="E486" s="11">
        <v>223594.2</v>
      </c>
      <c r="G486" s="11">
        <f t="shared" si="75"/>
        <v>223594.2</v>
      </c>
      <c r="H486" s="11">
        <v>-223594</v>
      </c>
      <c r="I486" s="11">
        <v>0</v>
      </c>
      <c r="K486" s="844">
        <f t="shared" si="76"/>
        <v>0.20000000001164153</v>
      </c>
      <c r="L486" s="911"/>
      <c r="M486" s="9"/>
      <c r="O486" s="13"/>
    </row>
    <row r="487" spans="1:15" outlineLevel="2">
      <c r="A487" s="421">
        <f t="shared" si="69"/>
        <v>482</v>
      </c>
      <c r="B487" s="9" t="s">
        <v>1532</v>
      </c>
      <c r="C487" s="15" t="s">
        <v>1539</v>
      </c>
      <c r="D487" s="10" t="s">
        <v>1540</v>
      </c>
      <c r="E487" s="11">
        <v>171256.71</v>
      </c>
      <c r="G487" s="11">
        <f t="shared" si="75"/>
        <v>171256.71</v>
      </c>
      <c r="H487" s="11">
        <v>-171257</v>
      </c>
      <c r="I487" s="11">
        <v>0</v>
      </c>
      <c r="K487" s="844">
        <f t="shared" si="76"/>
        <v>-0.29000000000814907</v>
      </c>
      <c r="M487" s="9"/>
      <c r="O487" s="13"/>
    </row>
    <row r="488" spans="1:15" outlineLevel="2">
      <c r="A488" s="421">
        <f t="shared" si="69"/>
        <v>483</v>
      </c>
      <c r="B488" s="9" t="s">
        <v>1532</v>
      </c>
      <c r="C488" s="15" t="s">
        <v>1541</v>
      </c>
      <c r="D488" s="10" t="s">
        <v>1542</v>
      </c>
      <c r="E488" s="11">
        <v>25505.599999999999</v>
      </c>
      <c r="G488" s="11">
        <f t="shared" si="75"/>
        <v>25505.599999999999</v>
      </c>
      <c r="H488" s="11">
        <v>-25506</v>
      </c>
      <c r="I488" s="11">
        <v>0</v>
      </c>
      <c r="K488" s="844">
        <f t="shared" si="76"/>
        <v>-0.40000000000145519</v>
      </c>
      <c r="M488" s="9"/>
      <c r="O488" s="13"/>
    </row>
    <row r="489" spans="1:15" outlineLevel="2">
      <c r="A489" s="421">
        <f t="shared" si="69"/>
        <v>484</v>
      </c>
      <c r="B489" s="9" t="s">
        <v>1532</v>
      </c>
      <c r="C489" s="15" t="s">
        <v>1543</v>
      </c>
      <c r="D489" s="10" t="s">
        <v>1544</v>
      </c>
      <c r="E489" s="11">
        <v>545880.28</v>
      </c>
      <c r="G489" s="11">
        <f t="shared" si="75"/>
        <v>545880.28</v>
      </c>
      <c r="H489" s="11">
        <v>-391368</v>
      </c>
      <c r="I489" s="11">
        <v>0</v>
      </c>
      <c r="K489" s="844">
        <f t="shared" si="76"/>
        <v>154512.28000000003</v>
      </c>
      <c r="M489" s="9"/>
      <c r="O489" s="13"/>
    </row>
    <row r="490" spans="1:15" outlineLevel="2">
      <c r="A490" s="421">
        <f t="shared" si="69"/>
        <v>485</v>
      </c>
      <c r="B490" s="9" t="s">
        <v>1532</v>
      </c>
      <c r="C490" s="15" t="s">
        <v>1545</v>
      </c>
      <c r="D490" s="10" t="s">
        <v>1546</v>
      </c>
      <c r="E490" s="11">
        <v>253597.44</v>
      </c>
      <c r="G490" s="11">
        <f t="shared" si="75"/>
        <v>253597.44</v>
      </c>
      <c r="H490" s="11">
        <v>-253597</v>
      </c>
      <c r="I490" s="11">
        <v>0</v>
      </c>
      <c r="K490" s="844">
        <f t="shared" si="76"/>
        <v>0.44000000000232831</v>
      </c>
      <c r="M490" s="9"/>
      <c r="O490" s="13"/>
    </row>
    <row r="491" spans="1:15" outlineLevel="2">
      <c r="A491" s="421">
        <f t="shared" si="69"/>
        <v>486</v>
      </c>
      <c r="B491" s="9" t="s">
        <v>1532</v>
      </c>
      <c r="C491" s="15" t="s">
        <v>1547</v>
      </c>
      <c r="D491" s="10" t="s">
        <v>1548</v>
      </c>
      <c r="E491" s="11">
        <v>1079091.51</v>
      </c>
      <c r="G491" s="11">
        <f t="shared" si="75"/>
        <v>1079091.51</v>
      </c>
      <c r="H491" s="11">
        <v>-1079092</v>
      </c>
      <c r="I491" s="11">
        <v>0</v>
      </c>
      <c r="K491" s="844">
        <f t="shared" si="76"/>
        <v>-0.48999999999068677</v>
      </c>
      <c r="M491" s="9"/>
      <c r="O491" s="13"/>
    </row>
    <row r="492" spans="1:15" outlineLevel="2">
      <c r="A492" s="421">
        <f t="shared" si="69"/>
        <v>487</v>
      </c>
      <c r="B492" s="9" t="s">
        <v>1532</v>
      </c>
      <c r="C492" s="15" t="s">
        <v>1549</v>
      </c>
      <c r="D492" s="10" t="s">
        <v>1550</v>
      </c>
      <c r="E492" s="11">
        <v>425706.26</v>
      </c>
      <c r="G492" s="11">
        <f t="shared" si="75"/>
        <v>425706.26</v>
      </c>
      <c r="H492" s="11">
        <v>-425706</v>
      </c>
      <c r="I492" s="11">
        <v>0</v>
      </c>
      <c r="K492" s="844">
        <f t="shared" si="76"/>
        <v>0.26000000000931323</v>
      </c>
      <c r="M492" s="9"/>
      <c r="O492" s="13"/>
    </row>
    <row r="493" spans="1:15" outlineLevel="2">
      <c r="A493" s="421">
        <f t="shared" si="69"/>
        <v>488</v>
      </c>
      <c r="B493" s="9" t="s">
        <v>1532</v>
      </c>
      <c r="C493" s="15" t="s">
        <v>1551</v>
      </c>
      <c r="D493" s="10" t="s">
        <v>1552</v>
      </c>
      <c r="E493" s="11">
        <v>108040.31</v>
      </c>
      <c r="G493" s="11">
        <f t="shared" si="75"/>
        <v>108040.31</v>
      </c>
      <c r="H493" s="11">
        <v>-108040</v>
      </c>
      <c r="I493" s="11">
        <v>0</v>
      </c>
      <c r="K493" s="844">
        <f t="shared" si="76"/>
        <v>0.30999999999767169</v>
      </c>
      <c r="M493" s="9"/>
      <c r="O493" s="13"/>
    </row>
    <row r="494" spans="1:15" outlineLevel="2">
      <c r="A494" s="421">
        <f t="shared" si="69"/>
        <v>489</v>
      </c>
      <c r="B494" s="9" t="s">
        <v>1532</v>
      </c>
      <c r="C494" s="15" t="s">
        <v>1553</v>
      </c>
      <c r="D494" s="10" t="s">
        <v>1554</v>
      </c>
      <c r="E494" s="11">
        <v>6494</v>
      </c>
      <c r="G494" s="11">
        <f t="shared" si="75"/>
        <v>6494</v>
      </c>
      <c r="H494" s="11">
        <v>-6494</v>
      </c>
      <c r="I494" s="11">
        <v>0</v>
      </c>
      <c r="K494" s="844">
        <f t="shared" si="76"/>
        <v>0</v>
      </c>
      <c r="M494" s="9"/>
      <c r="O494" s="13"/>
    </row>
    <row r="495" spans="1:15" outlineLevel="2">
      <c r="A495" s="421">
        <f t="shared" si="69"/>
        <v>490</v>
      </c>
      <c r="B495" s="9" t="s">
        <v>1532</v>
      </c>
      <c r="C495" s="15" t="s">
        <v>1555</v>
      </c>
      <c r="D495" s="10" t="s">
        <v>1556</v>
      </c>
      <c r="E495" s="11">
        <v>102282.9</v>
      </c>
      <c r="G495" s="11">
        <f t="shared" si="75"/>
        <v>102282.9</v>
      </c>
      <c r="H495" s="11">
        <v>-102283</v>
      </c>
      <c r="I495" s="11">
        <v>0</v>
      </c>
      <c r="K495" s="844">
        <f t="shared" si="76"/>
        <v>-0.10000000000582077</v>
      </c>
      <c r="M495" s="9"/>
      <c r="O495" s="13"/>
    </row>
    <row r="496" spans="1:15" outlineLevel="2">
      <c r="A496" s="421">
        <f t="shared" si="69"/>
        <v>491</v>
      </c>
      <c r="B496" s="9" t="s">
        <v>1532</v>
      </c>
      <c r="C496" s="15" t="s">
        <v>1557</v>
      </c>
      <c r="D496" s="10" t="s">
        <v>1558</v>
      </c>
      <c r="E496" s="11">
        <v>1237730.0900000001</v>
      </c>
      <c r="G496" s="11">
        <f t="shared" si="75"/>
        <v>1237730.0900000001</v>
      </c>
      <c r="H496" s="11">
        <v>-1237730</v>
      </c>
      <c r="I496" s="11">
        <v>0</v>
      </c>
      <c r="K496" s="844">
        <f t="shared" si="76"/>
        <v>9.0000000083819032E-2</v>
      </c>
      <c r="M496" s="9"/>
      <c r="O496" s="13"/>
    </row>
    <row r="497" spans="1:15" outlineLevel="2">
      <c r="A497" s="421">
        <f t="shared" si="69"/>
        <v>492</v>
      </c>
      <c r="B497" s="9" t="s">
        <v>1532</v>
      </c>
      <c r="C497" s="15" t="s">
        <v>1559</v>
      </c>
      <c r="D497" s="10" t="s">
        <v>1560</v>
      </c>
      <c r="E497" s="11">
        <v>920941.25</v>
      </c>
      <c r="G497" s="11">
        <f t="shared" si="75"/>
        <v>920941.25</v>
      </c>
      <c r="H497" s="11">
        <v>-920941</v>
      </c>
      <c r="I497" s="11">
        <v>0</v>
      </c>
      <c r="K497" s="844">
        <f t="shared" si="76"/>
        <v>0.25</v>
      </c>
      <c r="M497" s="9"/>
      <c r="O497" s="13"/>
    </row>
    <row r="498" spans="1:15" ht="12.75" customHeight="1" outlineLevel="2">
      <c r="A498" s="421">
        <f t="shared" si="69"/>
        <v>493</v>
      </c>
      <c r="B498" s="9" t="s">
        <v>1532</v>
      </c>
      <c r="C498" s="15" t="s">
        <v>135</v>
      </c>
      <c r="D498" s="10" t="s">
        <v>1561</v>
      </c>
      <c r="E498" s="11">
        <v>474403.84000000003</v>
      </c>
      <c r="G498" s="11">
        <f t="shared" si="75"/>
        <v>474403.84000000003</v>
      </c>
      <c r="H498" s="11">
        <v>-474404</v>
      </c>
      <c r="I498" s="11">
        <v>0</v>
      </c>
      <c r="K498" s="844">
        <f t="shared" si="76"/>
        <v>-0.15999999997438863</v>
      </c>
      <c r="L498" s="10"/>
      <c r="M498" s="9"/>
      <c r="O498" s="13"/>
    </row>
    <row r="499" spans="1:15" outlineLevel="2">
      <c r="A499" s="421">
        <f t="shared" si="69"/>
        <v>494</v>
      </c>
      <c r="B499" s="9" t="s">
        <v>1532</v>
      </c>
      <c r="C499" s="15" t="s">
        <v>1562</v>
      </c>
      <c r="D499" s="10" t="s">
        <v>1563</v>
      </c>
      <c r="E499" s="11">
        <v>681601.56</v>
      </c>
      <c r="G499" s="11">
        <f t="shared" si="75"/>
        <v>681601.56</v>
      </c>
      <c r="H499" s="11">
        <v>-681602</v>
      </c>
      <c r="I499" s="11">
        <v>0</v>
      </c>
      <c r="K499" s="844">
        <f t="shared" si="76"/>
        <v>-0.43999999994412065</v>
      </c>
      <c r="L499" s="464"/>
      <c r="M499" s="9"/>
      <c r="O499" s="13"/>
    </row>
    <row r="500" spans="1:15" outlineLevel="2">
      <c r="A500" s="421">
        <f t="shared" si="69"/>
        <v>495</v>
      </c>
      <c r="B500" s="9" t="s">
        <v>1532</v>
      </c>
      <c r="C500" s="10" t="s">
        <v>1564</v>
      </c>
      <c r="D500" s="10" t="s">
        <v>1565</v>
      </c>
      <c r="E500" s="11">
        <v>216162.68</v>
      </c>
      <c r="G500" s="11">
        <f t="shared" si="75"/>
        <v>216162.68</v>
      </c>
      <c r="H500" s="11">
        <v>-216163</v>
      </c>
      <c r="I500" s="11">
        <v>0</v>
      </c>
      <c r="K500" s="844">
        <f t="shared" si="76"/>
        <v>-0.32000000000698492</v>
      </c>
      <c r="M500" s="9"/>
      <c r="O500" s="13"/>
    </row>
    <row r="501" spans="1:15" s="5" customFormat="1" ht="13.5" outlineLevel="1" thickBot="1">
      <c r="A501" s="421">
        <f t="shared" si="69"/>
        <v>496</v>
      </c>
      <c r="B501" s="16" t="s">
        <v>1566</v>
      </c>
      <c r="C501" s="18"/>
      <c r="D501" s="18" t="s">
        <v>1567</v>
      </c>
      <c r="E501" s="19">
        <f>SUBTOTAL(9,E484:E500)</f>
        <v>7307116.6699999999</v>
      </c>
      <c r="F501" s="19">
        <f>SUBTOTAL(9,F484:F500)</f>
        <v>0</v>
      </c>
      <c r="G501" s="19">
        <f>SUBTOTAL(9,G484:G500)</f>
        <v>7307116.6699999999</v>
      </c>
      <c r="H501" s="19">
        <f>SUBTOTAL(9,H484:H500)</f>
        <v>-7152605</v>
      </c>
      <c r="I501" s="19">
        <f>SUBTOTAL(9,I484:I500)</f>
        <v>0</v>
      </c>
      <c r="J501" s="19"/>
      <c r="K501" s="845">
        <f>SUBTOTAL(9,K484:K500)</f>
        <v>154511.67000000019</v>
      </c>
      <c r="L501" s="20"/>
      <c r="M501" s="3"/>
      <c r="N501" s="3"/>
      <c r="O501" s="6"/>
    </row>
    <row r="502" spans="1:15" ht="13.5" customHeight="1" outlineLevel="2" thickTop="1">
      <c r="A502" s="421">
        <f t="shared" si="69"/>
        <v>497</v>
      </c>
      <c r="B502" s="9" t="s">
        <v>1568</v>
      </c>
      <c r="C502" s="230" t="s">
        <v>1569</v>
      </c>
      <c r="D502" s="1" t="s">
        <v>1570</v>
      </c>
      <c r="E502" s="553">
        <v>287835.39</v>
      </c>
      <c r="G502" s="11">
        <f>E502+F502</f>
        <v>287835.39</v>
      </c>
      <c r="H502" s="11">
        <v>0</v>
      </c>
      <c r="I502" s="11">
        <v>0</v>
      </c>
      <c r="K502" s="844">
        <f>SUM(G502:J502)</f>
        <v>287835.39</v>
      </c>
      <c r="L502" s="912"/>
      <c r="M502" s="9"/>
      <c r="O502" s="13"/>
    </row>
    <row r="503" spans="1:15" s="9" customFormat="1" ht="13.5" customHeight="1" outlineLevel="2">
      <c r="A503" s="421">
        <f t="shared" si="69"/>
        <v>498</v>
      </c>
      <c r="B503" s="9" t="s">
        <v>1568</v>
      </c>
      <c r="C503" s="230" t="s">
        <v>1571</v>
      </c>
      <c r="D503" s="10" t="s">
        <v>1572</v>
      </c>
      <c r="E503" s="553">
        <v>12414412.949999999</v>
      </c>
      <c r="F503" s="11"/>
      <c r="G503" s="11">
        <f t="shared" ref="G503:G510" si="77">E503+F503</f>
        <v>12414412.949999999</v>
      </c>
      <c r="H503" s="11">
        <v>-12111804</v>
      </c>
      <c r="I503" s="11">
        <v>0</v>
      </c>
      <c r="J503" s="11"/>
      <c r="K503" s="844">
        <f t="shared" ref="K503:K510" si="78">SUM(G503:J503)</f>
        <v>302608.94999999925</v>
      </c>
      <c r="L503" s="913"/>
      <c r="O503" s="13"/>
    </row>
    <row r="504" spans="1:15" s="9" customFormat="1" ht="13.5" customHeight="1" outlineLevel="2">
      <c r="A504" s="421">
        <f t="shared" si="69"/>
        <v>499</v>
      </c>
      <c r="B504" s="9" t="s">
        <v>1568</v>
      </c>
      <c r="C504" s="230" t="s">
        <v>1571</v>
      </c>
      <c r="D504" s="10" t="s">
        <v>1572</v>
      </c>
      <c r="E504" s="553">
        <v>220814.25</v>
      </c>
      <c r="F504" s="11"/>
      <c r="G504" s="11">
        <f t="shared" si="77"/>
        <v>220814.25</v>
      </c>
      <c r="H504" s="11">
        <v>-220814.25</v>
      </c>
      <c r="I504" s="11"/>
      <c r="J504" s="11"/>
      <c r="K504" s="844">
        <f t="shared" si="78"/>
        <v>0</v>
      </c>
      <c r="L504" s="913"/>
      <c r="O504" s="13"/>
    </row>
    <row r="505" spans="1:15" s="9" customFormat="1" outlineLevel="2">
      <c r="A505" s="421">
        <f t="shared" si="69"/>
        <v>500</v>
      </c>
      <c r="B505" s="9" t="s">
        <v>1568</v>
      </c>
      <c r="C505" s="230" t="s">
        <v>1573</v>
      </c>
      <c r="D505" s="10" t="s">
        <v>1574</v>
      </c>
      <c r="E505" s="553">
        <v>2978205.36</v>
      </c>
      <c r="F505" s="11"/>
      <c r="G505" s="11">
        <f t="shared" si="77"/>
        <v>2978205.36</v>
      </c>
      <c r="H505" s="11">
        <v>0</v>
      </c>
      <c r="I505" s="11">
        <v>0</v>
      </c>
      <c r="J505" s="11"/>
      <c r="K505" s="844">
        <f t="shared" si="78"/>
        <v>2978205.36</v>
      </c>
      <c r="L505" s="913"/>
      <c r="O505" s="13"/>
    </row>
    <row r="506" spans="1:15" s="9" customFormat="1" outlineLevel="2">
      <c r="A506" s="421">
        <f t="shared" si="69"/>
        <v>501</v>
      </c>
      <c r="B506" s="9" t="s">
        <v>1568</v>
      </c>
      <c r="C506" s="230" t="s">
        <v>1575</v>
      </c>
      <c r="D506" s="10" t="s">
        <v>1509</v>
      </c>
      <c r="E506" s="553">
        <v>237295.95</v>
      </c>
      <c r="F506" s="11"/>
      <c r="G506" s="11">
        <f t="shared" si="77"/>
        <v>237295.95</v>
      </c>
      <c r="H506" s="11">
        <v>0</v>
      </c>
      <c r="I506" s="11"/>
      <c r="J506" s="11"/>
      <c r="K506" s="844">
        <f t="shared" si="78"/>
        <v>237295.95</v>
      </c>
      <c r="L506" s="913"/>
      <c r="O506" s="13"/>
    </row>
    <row r="507" spans="1:15" s="9" customFormat="1" outlineLevel="2">
      <c r="A507" s="421">
        <f t="shared" si="69"/>
        <v>502</v>
      </c>
      <c r="B507" s="9" t="s">
        <v>1568</v>
      </c>
      <c r="C507" s="230" t="s">
        <v>1576</v>
      </c>
      <c r="D507" s="10" t="s">
        <v>1577</v>
      </c>
      <c r="E507" s="553">
        <v>121494.9</v>
      </c>
      <c r="F507" s="11"/>
      <c r="G507" s="11">
        <f t="shared" si="77"/>
        <v>121494.9</v>
      </c>
      <c r="H507" s="11">
        <f>-(E507*0.75)</f>
        <v>-91121.174999999988</v>
      </c>
      <c r="I507" s="11"/>
      <c r="J507" s="11"/>
      <c r="K507" s="844">
        <f t="shared" si="78"/>
        <v>30373.725000000006</v>
      </c>
      <c r="L507" s="913"/>
      <c r="O507" s="13"/>
    </row>
    <row r="508" spans="1:15" s="9" customFormat="1" outlineLevel="2">
      <c r="A508" s="421">
        <f t="shared" si="69"/>
        <v>503</v>
      </c>
      <c r="B508" s="9" t="s">
        <v>1568</v>
      </c>
      <c r="C508" s="230" t="s">
        <v>1578</v>
      </c>
      <c r="D508" s="10" t="s">
        <v>1579</v>
      </c>
      <c r="E508" s="553">
        <f>475783.06+216551.65</f>
        <v>692334.71</v>
      </c>
      <c r="F508" s="11"/>
      <c r="G508" s="11">
        <f t="shared" si="77"/>
        <v>692334.71</v>
      </c>
      <c r="H508" s="11">
        <f>-(E508*0.75)</f>
        <v>-519251.03249999997</v>
      </c>
      <c r="I508" s="11"/>
      <c r="J508" s="11"/>
      <c r="K508" s="844">
        <f t="shared" si="78"/>
        <v>173083.67749999999</v>
      </c>
      <c r="L508" s="913"/>
      <c r="O508" s="13"/>
    </row>
    <row r="509" spans="1:15" s="9" customFormat="1" outlineLevel="2">
      <c r="A509" s="421">
        <f t="shared" si="69"/>
        <v>504</v>
      </c>
      <c r="B509" s="9" t="s">
        <v>1568</v>
      </c>
      <c r="C509" s="230" t="s">
        <v>1522</v>
      </c>
      <c r="D509" s="10" t="s">
        <v>1580</v>
      </c>
      <c r="E509" s="553">
        <v>13290835.720000001</v>
      </c>
      <c r="F509" s="11"/>
      <c r="G509" s="11">
        <f t="shared" si="77"/>
        <v>13290835.720000001</v>
      </c>
      <c r="H509" s="554">
        <v>-9968127</v>
      </c>
      <c r="I509" s="11"/>
      <c r="J509" s="11"/>
      <c r="K509" s="844">
        <f t="shared" si="78"/>
        <v>3322708.7200000007</v>
      </c>
      <c r="L509" s="913"/>
      <c r="O509" s="13"/>
    </row>
    <row r="510" spans="1:15" s="9" customFormat="1" outlineLevel="2">
      <c r="A510" s="421">
        <f t="shared" si="69"/>
        <v>505</v>
      </c>
      <c r="B510" s="9" t="s">
        <v>1568</v>
      </c>
      <c r="C510" s="230" t="s">
        <v>1581</v>
      </c>
      <c r="D510" s="10" t="s">
        <v>1582</v>
      </c>
      <c r="E510" s="553">
        <v>33085</v>
      </c>
      <c r="F510" s="11"/>
      <c r="G510" s="11">
        <f t="shared" si="77"/>
        <v>33085</v>
      </c>
      <c r="H510" s="11">
        <v>-24814</v>
      </c>
      <c r="I510" s="11"/>
      <c r="J510" s="11"/>
      <c r="K510" s="844">
        <f t="shared" si="78"/>
        <v>8271</v>
      </c>
      <c r="L510" s="466"/>
      <c r="O510" s="13"/>
    </row>
    <row r="511" spans="1:15" s="3" customFormat="1" ht="13.5" outlineLevel="1" thickBot="1">
      <c r="A511" s="421">
        <f t="shared" si="69"/>
        <v>506</v>
      </c>
      <c r="B511" s="16" t="s">
        <v>1583</v>
      </c>
      <c r="C511" s="25"/>
      <c r="D511" s="18" t="s">
        <v>1584</v>
      </c>
      <c r="E511" s="19">
        <f>SUBTOTAL(9,E502:E510)</f>
        <v>30276314.229999997</v>
      </c>
      <c r="F511" s="19">
        <f>SUBTOTAL(9,F502:F509)</f>
        <v>0</v>
      </c>
      <c r="G511" s="19">
        <f>SUBTOTAL(9,G502:G510)</f>
        <v>30276314.229999997</v>
      </c>
      <c r="H511" s="19">
        <f>SUBTOTAL(9,H502:H510)</f>
        <v>-22935931.457500003</v>
      </c>
      <c r="I511" s="19">
        <f>SUBTOTAL(9,I502:I509)</f>
        <v>0</v>
      </c>
      <c r="J511" s="19"/>
      <c r="K511" s="845">
        <f>SUBTOTAL(9,K502:K510)</f>
        <v>7340382.7725</v>
      </c>
      <c r="L511" s="26"/>
      <c r="O511" s="6"/>
    </row>
    <row r="512" spans="1:15" s="9" customFormat="1" ht="13.5" outlineLevel="2" thickTop="1">
      <c r="A512" s="421">
        <f t="shared" si="69"/>
        <v>507</v>
      </c>
      <c r="B512" s="9" t="s">
        <v>377</v>
      </c>
      <c r="C512" s="13"/>
      <c r="D512" s="10" t="s">
        <v>1220</v>
      </c>
      <c r="E512" s="554">
        <v>2370872.7999999998</v>
      </c>
      <c r="F512" s="11"/>
      <c r="G512" s="11">
        <f t="shared" ref="G512:G517" si="79">E512+F512</f>
        <v>2370872.7999999998</v>
      </c>
      <c r="H512" s="554">
        <v>-1772523.45</v>
      </c>
      <c r="I512" s="11"/>
      <c r="J512" s="11"/>
      <c r="K512" s="844">
        <f t="shared" ref="K512:K517" si="80">SUM(G512:J512)</f>
        <v>598349.34999999986</v>
      </c>
      <c r="O512" s="13"/>
    </row>
    <row r="513" spans="1:18" s="9" customFormat="1" outlineLevel="2">
      <c r="A513" s="421">
        <f t="shared" si="69"/>
        <v>508</v>
      </c>
      <c r="B513" s="9" t="s">
        <v>377</v>
      </c>
      <c r="C513" s="13"/>
      <c r="D513" s="10" t="s">
        <v>1585</v>
      </c>
      <c r="E513" s="554">
        <v>16421522.92</v>
      </c>
      <c r="F513" s="11"/>
      <c r="G513" s="11">
        <f t="shared" si="79"/>
        <v>16421522.92</v>
      </c>
      <c r="H513" s="554">
        <v>-11212794.439999999</v>
      </c>
      <c r="I513" s="11"/>
      <c r="J513" s="11"/>
      <c r="K513" s="844">
        <f t="shared" si="80"/>
        <v>5208728.4800000004</v>
      </c>
      <c r="O513" s="13"/>
    </row>
    <row r="514" spans="1:18" s="9" customFormat="1" outlineLevel="2">
      <c r="A514" s="421">
        <f t="shared" si="69"/>
        <v>509</v>
      </c>
      <c r="B514" s="9" t="s">
        <v>377</v>
      </c>
      <c r="C514" s="13"/>
      <c r="D514" s="10" t="s">
        <v>920</v>
      </c>
      <c r="E514" s="554">
        <v>25829317.16</v>
      </c>
      <c r="F514" s="11"/>
      <c r="G514" s="11">
        <f t="shared" si="79"/>
        <v>25829317.16</v>
      </c>
      <c r="H514" s="554">
        <v>-6265801.9900000002</v>
      </c>
      <c r="I514" s="11"/>
      <c r="J514" s="11"/>
      <c r="K514" s="844">
        <f t="shared" si="80"/>
        <v>19563515.170000002</v>
      </c>
      <c r="O514" s="13"/>
    </row>
    <row r="515" spans="1:18" s="9" customFormat="1" outlineLevel="2">
      <c r="A515" s="421">
        <f t="shared" si="69"/>
        <v>510</v>
      </c>
      <c r="B515" s="9" t="s">
        <v>377</v>
      </c>
      <c r="C515" s="13"/>
      <c r="D515" s="10" t="s">
        <v>1336</v>
      </c>
      <c r="E515" s="554">
        <v>55665574.350000001</v>
      </c>
      <c r="F515" s="11"/>
      <c r="G515" s="11">
        <f t="shared" si="79"/>
        <v>55665574.350000001</v>
      </c>
      <c r="H515" s="554">
        <v>-14103135.460000001</v>
      </c>
      <c r="I515" s="11"/>
      <c r="J515" s="11"/>
      <c r="K515" s="844">
        <f t="shared" si="80"/>
        <v>41562438.890000001</v>
      </c>
      <c r="O515" s="13"/>
    </row>
    <row r="516" spans="1:18" s="9" customFormat="1" outlineLevel="2">
      <c r="A516" s="421">
        <f t="shared" si="69"/>
        <v>511</v>
      </c>
      <c r="B516" s="9" t="s">
        <v>377</v>
      </c>
      <c r="C516" s="13"/>
      <c r="D516" s="10" t="s">
        <v>1586</v>
      </c>
      <c r="E516" s="554">
        <v>9392149.0399999991</v>
      </c>
      <c r="F516" s="11"/>
      <c r="G516" s="11">
        <f t="shared" si="79"/>
        <v>9392149.0399999991</v>
      </c>
      <c r="H516" s="554">
        <v>-7097566.8899999997</v>
      </c>
      <c r="I516" s="11"/>
      <c r="J516" s="11"/>
      <c r="K516" s="844">
        <f t="shared" si="80"/>
        <v>2294582.1499999994</v>
      </c>
      <c r="O516" s="13"/>
    </row>
    <row r="517" spans="1:18" s="9" customFormat="1" outlineLevel="2">
      <c r="A517" s="421">
        <f t="shared" si="69"/>
        <v>512</v>
      </c>
      <c r="B517" s="9" t="s">
        <v>377</v>
      </c>
      <c r="C517" s="13"/>
      <c r="D517" s="10" t="s">
        <v>1421</v>
      </c>
      <c r="E517" s="554">
        <v>21797121.57</v>
      </c>
      <c r="F517" s="11"/>
      <c r="G517" s="11">
        <f t="shared" si="79"/>
        <v>21797121.57</v>
      </c>
      <c r="H517" s="554">
        <v>-1824650.92</v>
      </c>
      <c r="I517" s="11"/>
      <c r="J517" s="11"/>
      <c r="K517" s="844">
        <f t="shared" si="80"/>
        <v>19972470.649999999</v>
      </c>
      <c r="O517" s="13"/>
    </row>
    <row r="518" spans="1:18" s="3" customFormat="1" ht="13.5" outlineLevel="1" thickBot="1">
      <c r="A518" s="421">
        <f t="shared" si="69"/>
        <v>513</v>
      </c>
      <c r="B518" s="16" t="s">
        <v>1587</v>
      </c>
      <c r="C518" s="18"/>
      <c r="D518" s="18" t="s">
        <v>1588</v>
      </c>
      <c r="E518" s="27">
        <f>SUBTOTAL(9,E512:E517)</f>
        <v>131476557.83999997</v>
      </c>
      <c r="F518" s="27">
        <f>SUBTOTAL(9,F512:F517)</f>
        <v>0</v>
      </c>
      <c r="G518" s="27">
        <f>SUBTOTAL(9,G512:G517)</f>
        <v>131476557.83999997</v>
      </c>
      <c r="H518" s="27">
        <f>SUBTOTAL(9,H512:H517)</f>
        <v>-42276473.149999999</v>
      </c>
      <c r="I518" s="27">
        <f>SUBTOTAL(9,I512:I517)</f>
        <v>0</v>
      </c>
      <c r="J518" s="27"/>
      <c r="K518" s="847">
        <f>SUBTOTAL(9,K512:K517)</f>
        <v>89200084.689999998</v>
      </c>
      <c r="L518" s="6"/>
    </row>
    <row r="519" spans="1:18" s="3" customFormat="1" ht="14" thickTop="1" thickBot="1">
      <c r="A519" s="421">
        <f t="shared" si="69"/>
        <v>514</v>
      </c>
      <c r="B519" s="231" t="s">
        <v>1589</v>
      </c>
      <c r="C519" s="232"/>
      <c r="D519" s="232" t="s">
        <v>1590</v>
      </c>
      <c r="E519" s="233">
        <f t="shared" ref="E519:K519" si="81">SUBTOTAL(9,E5:E517)</f>
        <v>1709775362.0400009</v>
      </c>
      <c r="F519" s="233">
        <f t="shared" si="81"/>
        <v>56764224</v>
      </c>
      <c r="G519" s="233">
        <f t="shared" si="81"/>
        <v>1766539586.0400009</v>
      </c>
      <c r="H519" s="233">
        <f t="shared" si="81"/>
        <v>-122160209.46749997</v>
      </c>
      <c r="I519" s="233">
        <f t="shared" si="81"/>
        <v>-15974546.700384997</v>
      </c>
      <c r="J519" s="233">
        <f t="shared" si="81"/>
        <v>-20404863</v>
      </c>
      <c r="K519" s="848">
        <f t="shared" si="81"/>
        <v>1607999966.8721147</v>
      </c>
      <c r="L519" s="6"/>
    </row>
    <row r="520" spans="1:18" s="9" customFormat="1" ht="13.5" thickTop="1">
      <c r="A520" s="421">
        <f t="shared" ref="A520:A523" si="82">A519+1</f>
        <v>515</v>
      </c>
      <c r="C520" s="13"/>
      <c r="D520" s="1" t="s">
        <v>1591</v>
      </c>
      <c r="E520" s="28">
        <f>E519-E518-E511</f>
        <v>1548022489.970001</v>
      </c>
      <c r="F520" s="28">
        <f>F519-F518-F511</f>
        <v>56764224</v>
      </c>
      <c r="G520" s="28">
        <f>G519-G518-G511</f>
        <v>1604786713.970001</v>
      </c>
      <c r="H520" s="28">
        <f>H519-H518-H511</f>
        <v>-56947804.859999962</v>
      </c>
      <c r="I520" s="29">
        <f>(I519-I518)*-1</f>
        <v>15974546.700384997</v>
      </c>
      <c r="J520" s="29">
        <f>(J519-J518)*-1</f>
        <v>20404863</v>
      </c>
      <c r="K520" s="844">
        <f>K519-K511-K518</f>
        <v>1511459499.4096146</v>
      </c>
      <c r="L520" s="10"/>
      <c r="P520" s="10"/>
      <c r="Q520" s="10"/>
    </row>
    <row r="521" spans="1:18" s="9" customFormat="1">
      <c r="A521" s="421">
        <f t="shared" si="82"/>
        <v>516</v>
      </c>
      <c r="B521" s="375" t="s">
        <v>1592</v>
      </c>
      <c r="C521" s="13"/>
      <c r="E521" s="28"/>
      <c r="F521" s="28"/>
      <c r="G521" s="28"/>
      <c r="H521" s="28"/>
      <c r="I521" s="29"/>
      <c r="J521" s="29"/>
      <c r="K521" s="844"/>
      <c r="L521" s="10"/>
      <c r="P521" s="10"/>
      <c r="Q521" s="10"/>
    </row>
    <row r="522" spans="1:18" s="9" customFormat="1">
      <c r="A522" s="421">
        <f t="shared" si="82"/>
        <v>517</v>
      </c>
      <c r="B522" s="375" t="s">
        <v>1593</v>
      </c>
      <c r="C522" s="13"/>
      <c r="D522" s="1"/>
      <c r="E522" s="28"/>
      <c r="F522" s="28"/>
      <c r="G522" s="28"/>
      <c r="H522" s="28"/>
      <c r="I522" s="29"/>
      <c r="J522" s="29"/>
      <c r="K522" s="844"/>
      <c r="L522" s="10"/>
      <c r="P522" s="10"/>
      <c r="Q522" s="10"/>
    </row>
    <row r="523" spans="1:18" s="9" customFormat="1" ht="13.5" thickBot="1">
      <c r="A523" s="421">
        <f t="shared" si="82"/>
        <v>518</v>
      </c>
      <c r="B523" s="425"/>
      <c r="C523" s="426"/>
      <c r="D523" s="427" t="s">
        <v>1567</v>
      </c>
      <c r="E523" s="428"/>
      <c r="F523" s="428"/>
      <c r="G523" s="428"/>
      <c r="H523" s="428">
        <f>-(H520+H518)</f>
        <v>99224278.009999961</v>
      </c>
      <c r="I523" s="428"/>
      <c r="J523" s="428"/>
      <c r="K523" s="849">
        <f>K520+K518+K502+K503+K505</f>
        <v>1604228233.7996147</v>
      </c>
      <c r="L523" s="10"/>
      <c r="P523" s="10"/>
      <c r="Q523" s="10"/>
    </row>
    <row r="524" spans="1:18" s="9" customFormat="1">
      <c r="C524" s="13"/>
      <c r="D524" s="1"/>
      <c r="E524" s="29"/>
      <c r="F524" s="29"/>
      <c r="G524" s="29"/>
      <c r="H524" s="28"/>
      <c r="I524" s="28"/>
      <c r="J524" s="28"/>
      <c r="K524" s="12"/>
      <c r="L524" s="10"/>
      <c r="P524" s="10"/>
      <c r="Q524" s="10"/>
    </row>
    <row r="525" spans="1:18">
      <c r="C525" s="10"/>
      <c r="D525" s="1"/>
      <c r="E525" s="29"/>
      <c r="F525" s="29"/>
      <c r="G525" s="29"/>
      <c r="H525" s="28"/>
      <c r="L525" s="10"/>
      <c r="M525" s="9"/>
    </row>
    <row r="526" spans="1:18">
      <c r="C526" s="10"/>
      <c r="D526" s="1"/>
      <c r="E526" s="285"/>
      <c r="F526" s="285"/>
      <c r="G526" s="285"/>
      <c r="H526" s="285"/>
      <c r="I526" s="285"/>
      <c r="J526" s="285"/>
      <c r="K526" s="285"/>
      <c r="L526" s="1"/>
      <c r="M526" s="9"/>
      <c r="R526" s="11"/>
    </row>
    <row r="527" spans="1:18">
      <c r="C527" s="10"/>
      <c r="D527" s="1"/>
      <c r="E527" s="285"/>
      <c r="F527" s="285"/>
      <c r="G527" s="285"/>
      <c r="H527" s="285"/>
      <c r="I527" s="285"/>
      <c r="J527" s="285"/>
      <c r="K527" s="285"/>
      <c r="L527" s="1"/>
      <c r="M527" s="9"/>
    </row>
    <row r="528" spans="1:18">
      <c r="C528" s="10"/>
      <c r="E528" s="12"/>
      <c r="F528" s="12"/>
      <c r="G528" s="12"/>
      <c r="H528" s="12"/>
      <c r="I528" s="12"/>
      <c r="J528" s="12"/>
      <c r="L528" s="10"/>
      <c r="M528" s="9"/>
    </row>
    <row r="529" spans="3:18">
      <c r="C529" s="10"/>
      <c r="E529" s="12"/>
      <c r="F529" s="12"/>
      <c r="G529" s="12"/>
      <c r="H529" s="12"/>
      <c r="I529" s="12"/>
      <c r="J529" s="12"/>
      <c r="L529" s="10"/>
      <c r="M529" s="9"/>
    </row>
    <row r="530" spans="3:18">
      <c r="C530" s="10"/>
      <c r="E530" s="12"/>
      <c r="F530" s="12"/>
      <c r="G530" s="12"/>
      <c r="H530" s="12"/>
      <c r="I530" s="12"/>
      <c r="J530" s="12"/>
      <c r="L530" s="10"/>
      <c r="M530" s="9"/>
    </row>
    <row r="531" spans="3:18">
      <c r="C531" s="10"/>
      <c r="E531" s="12"/>
      <c r="F531" s="12"/>
      <c r="G531" s="12"/>
      <c r="H531" s="12"/>
      <c r="I531" s="12"/>
      <c r="J531" s="12"/>
      <c r="L531" s="10"/>
      <c r="M531" s="9"/>
    </row>
    <row r="532" spans="3:18">
      <c r="C532" s="10"/>
      <c r="E532" s="12"/>
      <c r="F532" s="12"/>
      <c r="G532" s="12"/>
      <c r="H532" s="12"/>
      <c r="I532" s="12"/>
      <c r="J532" s="12"/>
      <c r="L532" s="10"/>
      <c r="M532" s="9"/>
    </row>
    <row r="533" spans="3:18">
      <c r="C533" s="10"/>
      <c r="E533" s="12"/>
      <c r="F533" s="12"/>
      <c r="G533" s="12"/>
      <c r="H533" s="12"/>
      <c r="I533" s="12"/>
      <c r="J533" s="12"/>
      <c r="L533" s="10"/>
      <c r="M533" s="9"/>
    </row>
    <row r="534" spans="3:18">
      <c r="C534" s="10"/>
      <c r="E534" s="12"/>
      <c r="F534" s="12"/>
      <c r="G534" s="12"/>
      <c r="H534" s="12"/>
      <c r="I534" s="12"/>
      <c r="J534" s="12"/>
      <c r="L534" s="10"/>
      <c r="M534" s="9"/>
    </row>
    <row r="535" spans="3:18">
      <c r="C535" s="10"/>
      <c r="E535" s="12"/>
      <c r="F535" s="12"/>
      <c r="G535" s="12"/>
      <c r="H535" s="12"/>
      <c r="I535" s="12"/>
      <c r="J535" s="12"/>
      <c r="L535" s="10"/>
      <c r="M535" s="9"/>
    </row>
    <row r="536" spans="3:18">
      <c r="C536" s="10"/>
      <c r="E536" s="12"/>
      <c r="F536" s="12"/>
      <c r="G536" s="12"/>
      <c r="H536" s="12"/>
      <c r="I536" s="12"/>
      <c r="J536" s="12"/>
      <c r="L536" s="10"/>
      <c r="M536" s="9"/>
    </row>
    <row r="537" spans="3:18">
      <c r="C537" s="10"/>
      <c r="E537" s="12"/>
      <c r="F537" s="12"/>
      <c r="G537" s="12"/>
      <c r="H537" s="12"/>
      <c r="I537" s="12"/>
      <c r="J537" s="12"/>
      <c r="L537" s="10"/>
      <c r="M537" s="9"/>
    </row>
    <row r="538" spans="3:18">
      <c r="C538" s="10"/>
      <c r="E538" s="12"/>
      <c r="F538" s="12"/>
      <c r="G538" s="12"/>
      <c r="H538" s="12"/>
      <c r="I538" s="12"/>
      <c r="J538" s="12"/>
      <c r="L538" s="10"/>
      <c r="M538" s="9"/>
    </row>
    <row r="539" spans="3:18" s="9" customFormat="1">
      <c r="C539" s="10"/>
      <c r="D539" s="10"/>
      <c r="E539" s="11"/>
      <c r="F539" s="11"/>
      <c r="G539" s="11"/>
      <c r="H539" s="11"/>
      <c r="I539" s="11"/>
      <c r="J539" s="11"/>
      <c r="K539" s="12"/>
      <c r="L539" s="10"/>
      <c r="P539" s="10"/>
      <c r="Q539" s="10"/>
      <c r="R539" s="10"/>
    </row>
    <row r="540" spans="3:18" s="9" customFormat="1">
      <c r="C540" s="10"/>
      <c r="D540" s="10"/>
      <c r="E540" s="11"/>
      <c r="F540" s="11"/>
      <c r="G540" s="11"/>
      <c r="H540" s="11"/>
      <c r="I540" s="11"/>
      <c r="J540" s="11"/>
      <c r="K540" s="12"/>
      <c r="L540" s="10"/>
      <c r="P540" s="10"/>
      <c r="Q540" s="10"/>
      <c r="R540" s="10"/>
    </row>
    <row r="541" spans="3:18" s="9" customFormat="1">
      <c r="C541" s="10"/>
      <c r="D541" s="10"/>
      <c r="E541" s="11"/>
      <c r="F541" s="11"/>
      <c r="G541" s="11"/>
      <c r="H541" s="11"/>
      <c r="I541" s="11"/>
      <c r="J541" s="11"/>
      <c r="K541" s="12"/>
      <c r="L541" s="10"/>
      <c r="P541" s="10"/>
      <c r="Q541" s="10"/>
      <c r="R541" s="10"/>
    </row>
    <row r="542" spans="3:18" s="9" customFormat="1">
      <c r="C542" s="10"/>
      <c r="D542" s="10"/>
      <c r="E542" s="11"/>
      <c r="F542" s="11"/>
      <c r="G542" s="11"/>
      <c r="H542" s="11"/>
      <c r="I542" s="11"/>
      <c r="J542" s="11"/>
      <c r="K542" s="12"/>
      <c r="L542" s="10"/>
      <c r="P542" s="10"/>
      <c r="Q542" s="10"/>
      <c r="R542" s="10"/>
    </row>
    <row r="543" spans="3:18" s="9" customFormat="1">
      <c r="C543" s="10"/>
      <c r="D543" s="10"/>
      <c r="E543" s="11"/>
      <c r="F543" s="11"/>
      <c r="G543" s="11"/>
      <c r="H543" s="11"/>
      <c r="I543" s="11"/>
      <c r="J543" s="11"/>
      <c r="K543" s="12"/>
      <c r="L543" s="10"/>
      <c r="P543" s="10"/>
      <c r="Q543" s="10"/>
      <c r="R543" s="10"/>
    </row>
    <row r="544" spans="3:18" s="9" customFormat="1">
      <c r="C544" s="10"/>
      <c r="D544" s="10"/>
      <c r="E544" s="11"/>
      <c r="F544" s="11"/>
      <c r="G544" s="11"/>
      <c r="H544" s="11"/>
      <c r="I544" s="11"/>
      <c r="J544" s="11"/>
      <c r="K544" s="12"/>
      <c r="L544" s="10"/>
      <c r="P544" s="10"/>
      <c r="Q544" s="10"/>
      <c r="R544" s="10"/>
    </row>
    <row r="545" spans="3:18" s="9" customFormat="1">
      <c r="C545" s="10"/>
      <c r="D545" s="10"/>
      <c r="E545" s="11"/>
      <c r="F545" s="11"/>
      <c r="G545" s="11"/>
      <c r="H545" s="11"/>
      <c r="I545" s="11"/>
      <c r="J545" s="11"/>
      <c r="K545" s="12"/>
      <c r="L545" s="10"/>
      <c r="P545" s="10"/>
      <c r="Q545" s="10"/>
      <c r="R545" s="10"/>
    </row>
    <row r="546" spans="3:18" s="9" customFormat="1">
      <c r="C546" s="10"/>
      <c r="D546" s="10"/>
      <c r="E546" s="11"/>
      <c r="F546" s="11"/>
      <c r="G546" s="11"/>
      <c r="H546" s="11"/>
      <c r="I546" s="11"/>
      <c r="J546" s="11"/>
      <c r="K546" s="12"/>
      <c r="L546" s="10"/>
      <c r="P546" s="10"/>
      <c r="Q546" s="10"/>
      <c r="R546" s="10"/>
    </row>
    <row r="547" spans="3:18" s="9" customFormat="1">
      <c r="C547" s="10"/>
      <c r="D547" s="10"/>
      <c r="E547" s="11"/>
      <c r="F547" s="11"/>
      <c r="G547" s="11"/>
      <c r="H547" s="11"/>
      <c r="I547" s="11"/>
      <c r="J547" s="11"/>
      <c r="K547" s="12"/>
      <c r="L547" s="10"/>
      <c r="P547" s="10"/>
      <c r="Q547" s="10"/>
      <c r="R547" s="10"/>
    </row>
    <row r="548" spans="3:18" s="9" customFormat="1">
      <c r="C548" s="10"/>
      <c r="D548" s="10"/>
      <c r="E548" s="11"/>
      <c r="F548" s="11"/>
      <c r="G548" s="11"/>
      <c r="H548" s="11"/>
      <c r="I548" s="11"/>
      <c r="J548" s="11"/>
      <c r="K548" s="12"/>
      <c r="L548" s="10"/>
      <c r="P548" s="10"/>
      <c r="Q548" s="10"/>
      <c r="R548" s="10"/>
    </row>
    <row r="549" spans="3:18" s="9" customFormat="1">
      <c r="C549" s="10"/>
      <c r="D549" s="10"/>
      <c r="E549" s="11"/>
      <c r="F549" s="11"/>
      <c r="G549" s="11"/>
      <c r="H549" s="11"/>
      <c r="I549" s="11"/>
      <c r="J549" s="11"/>
      <c r="K549" s="12"/>
      <c r="L549" s="10"/>
      <c r="P549" s="10"/>
      <c r="Q549" s="10"/>
      <c r="R549" s="10"/>
    </row>
    <row r="550" spans="3:18" s="9" customFormat="1">
      <c r="C550" s="10"/>
      <c r="D550" s="10"/>
      <c r="E550" s="11"/>
      <c r="F550" s="11"/>
      <c r="G550" s="11"/>
      <c r="H550" s="11"/>
      <c r="I550" s="11"/>
      <c r="J550" s="11"/>
      <c r="K550" s="12"/>
      <c r="L550" s="10"/>
      <c r="P550" s="10"/>
      <c r="Q550" s="10"/>
      <c r="R550" s="10"/>
    </row>
    <row r="551" spans="3:18" s="9" customFormat="1">
      <c r="C551" s="10"/>
      <c r="D551" s="10"/>
      <c r="E551" s="11"/>
      <c r="F551" s="11"/>
      <c r="G551" s="11"/>
      <c r="H551" s="11"/>
      <c r="I551" s="11"/>
      <c r="J551" s="11"/>
      <c r="K551" s="12"/>
      <c r="L551" s="10"/>
      <c r="P551" s="10"/>
      <c r="Q551" s="10"/>
      <c r="R551" s="10"/>
    </row>
    <row r="552" spans="3:18" s="9" customFormat="1">
      <c r="C552" s="10"/>
      <c r="D552" s="10"/>
      <c r="E552" s="11"/>
      <c r="F552" s="11"/>
      <c r="G552" s="11"/>
      <c r="H552" s="11"/>
      <c r="I552" s="11"/>
      <c r="J552" s="11"/>
      <c r="K552" s="12"/>
      <c r="L552" s="10"/>
      <c r="P552" s="10"/>
      <c r="Q552" s="10"/>
      <c r="R552" s="10"/>
    </row>
    <row r="553" spans="3:18" s="9" customFormat="1">
      <c r="C553" s="10"/>
      <c r="D553" s="10"/>
      <c r="E553" s="11"/>
      <c r="F553" s="11"/>
      <c r="G553" s="11"/>
      <c r="H553" s="11"/>
      <c r="I553" s="11"/>
      <c r="J553" s="11"/>
      <c r="K553" s="12"/>
      <c r="L553" s="10"/>
      <c r="P553" s="10"/>
      <c r="Q553" s="10"/>
      <c r="R553" s="10"/>
    </row>
    <row r="554" spans="3:18" s="9" customFormat="1">
      <c r="C554" s="10"/>
      <c r="D554" s="10"/>
      <c r="E554" s="11"/>
      <c r="F554" s="11"/>
      <c r="G554" s="11"/>
      <c r="H554" s="11"/>
      <c r="I554" s="11"/>
      <c r="J554" s="11"/>
      <c r="K554" s="12"/>
      <c r="L554" s="10"/>
      <c r="P554" s="10"/>
      <c r="Q554" s="10"/>
      <c r="R554" s="10"/>
    </row>
    <row r="555" spans="3:18" s="9" customFormat="1">
      <c r="C555" s="10"/>
      <c r="D555" s="10"/>
      <c r="E555" s="11"/>
      <c r="F555" s="11"/>
      <c r="G555" s="11"/>
      <c r="H555" s="11"/>
      <c r="I555" s="11"/>
      <c r="J555" s="11"/>
      <c r="K555" s="12"/>
      <c r="L555" s="10"/>
      <c r="P555" s="10"/>
      <c r="Q555" s="10"/>
      <c r="R555" s="10"/>
    </row>
    <row r="556" spans="3:18" s="9" customFormat="1">
      <c r="C556" s="10"/>
      <c r="D556" s="10"/>
      <c r="E556" s="11"/>
      <c r="F556" s="11"/>
      <c r="G556" s="11"/>
      <c r="H556" s="11"/>
      <c r="I556" s="11"/>
      <c r="J556" s="11"/>
      <c r="K556" s="12"/>
      <c r="L556" s="10"/>
      <c r="P556" s="10"/>
      <c r="Q556" s="10"/>
      <c r="R556" s="10"/>
    </row>
    <row r="557" spans="3:18" s="9" customFormat="1">
      <c r="C557" s="10"/>
      <c r="D557" s="10"/>
      <c r="E557" s="11"/>
      <c r="F557" s="11"/>
      <c r="G557" s="11"/>
      <c r="H557" s="11"/>
      <c r="I557" s="11"/>
      <c r="J557" s="11"/>
      <c r="K557" s="12"/>
      <c r="L557" s="10"/>
      <c r="P557" s="10"/>
      <c r="Q557" s="10"/>
      <c r="R557" s="10"/>
    </row>
    <row r="558" spans="3:18" s="9" customFormat="1">
      <c r="C558" s="10"/>
      <c r="D558" s="10"/>
      <c r="E558" s="11"/>
      <c r="F558" s="11"/>
      <c r="G558" s="11"/>
      <c r="H558" s="11"/>
      <c r="I558" s="11"/>
      <c r="J558" s="11"/>
      <c r="K558" s="12"/>
      <c r="L558" s="10"/>
      <c r="P558" s="10"/>
      <c r="Q558" s="10"/>
      <c r="R558" s="10"/>
    </row>
    <row r="559" spans="3:18" s="9" customFormat="1">
      <c r="C559" s="10"/>
      <c r="D559" s="10"/>
      <c r="E559" s="11"/>
      <c r="F559" s="11"/>
      <c r="G559" s="11"/>
      <c r="H559" s="11"/>
      <c r="I559" s="11"/>
      <c r="J559" s="11"/>
      <c r="K559" s="12"/>
      <c r="L559" s="10"/>
      <c r="P559" s="10"/>
      <c r="Q559" s="10"/>
      <c r="R559" s="10"/>
    </row>
    <row r="560" spans="3:18" s="9" customFormat="1">
      <c r="C560" s="10"/>
      <c r="D560" s="10"/>
      <c r="E560" s="11"/>
      <c r="F560" s="11"/>
      <c r="G560" s="11"/>
      <c r="H560" s="11"/>
      <c r="I560" s="11"/>
      <c r="J560" s="11"/>
      <c r="K560" s="12"/>
      <c r="L560" s="10"/>
      <c r="P560" s="10"/>
      <c r="Q560" s="10"/>
      <c r="R560" s="10"/>
    </row>
    <row r="561" spans="3:18" s="9" customFormat="1">
      <c r="C561" s="10"/>
      <c r="D561" s="10"/>
      <c r="E561" s="11"/>
      <c r="F561" s="11"/>
      <c r="G561" s="11"/>
      <c r="H561" s="11"/>
      <c r="I561" s="11"/>
      <c r="J561" s="11"/>
      <c r="K561" s="12"/>
      <c r="L561" s="10"/>
      <c r="P561" s="10"/>
      <c r="Q561" s="10"/>
      <c r="R561" s="10"/>
    </row>
    <row r="562" spans="3:18" s="9" customFormat="1">
      <c r="C562" s="10"/>
      <c r="D562" s="10"/>
      <c r="E562" s="11"/>
      <c r="F562" s="11"/>
      <c r="G562" s="11"/>
      <c r="H562" s="11"/>
      <c r="I562" s="11"/>
      <c r="J562" s="11"/>
      <c r="K562" s="12"/>
      <c r="L562" s="10"/>
      <c r="P562" s="10"/>
      <c r="Q562" s="10"/>
      <c r="R562" s="10"/>
    </row>
    <row r="563" spans="3:18" s="9" customFormat="1">
      <c r="C563" s="10"/>
      <c r="D563" s="10"/>
      <c r="E563" s="11"/>
      <c r="F563" s="11"/>
      <c r="G563" s="11"/>
      <c r="H563" s="11"/>
      <c r="I563" s="11"/>
      <c r="J563" s="11"/>
      <c r="K563" s="12"/>
      <c r="L563" s="10"/>
      <c r="P563" s="10"/>
      <c r="Q563" s="10"/>
      <c r="R563" s="10"/>
    </row>
    <row r="564" spans="3:18" s="9" customFormat="1">
      <c r="C564" s="10"/>
      <c r="D564" s="10"/>
      <c r="E564" s="11"/>
      <c r="F564" s="11"/>
      <c r="G564" s="11"/>
      <c r="H564" s="11"/>
      <c r="I564" s="11"/>
      <c r="J564" s="11"/>
      <c r="K564" s="12"/>
      <c r="L564" s="10"/>
      <c r="P564" s="10"/>
      <c r="Q564" s="10"/>
      <c r="R564" s="10"/>
    </row>
    <row r="565" spans="3:18" s="9" customFormat="1">
      <c r="C565" s="10"/>
      <c r="D565" s="10"/>
      <c r="E565" s="11"/>
      <c r="F565" s="11"/>
      <c r="G565" s="11"/>
      <c r="H565" s="11"/>
      <c r="I565" s="11"/>
      <c r="J565" s="11"/>
      <c r="K565" s="12"/>
      <c r="L565" s="10"/>
      <c r="P565" s="10"/>
      <c r="Q565" s="10"/>
      <c r="R565" s="10"/>
    </row>
    <row r="566" spans="3:18" s="9" customFormat="1">
      <c r="C566" s="10"/>
      <c r="D566" s="10"/>
      <c r="E566" s="11"/>
      <c r="F566" s="11"/>
      <c r="G566" s="11"/>
      <c r="H566" s="11"/>
      <c r="I566" s="11"/>
      <c r="J566" s="11"/>
      <c r="K566" s="12"/>
      <c r="L566" s="10"/>
      <c r="P566" s="10"/>
      <c r="Q566" s="10"/>
      <c r="R566" s="10"/>
    </row>
    <row r="567" spans="3:18" s="9" customFormat="1">
      <c r="C567" s="10"/>
      <c r="D567" s="10"/>
      <c r="E567" s="11"/>
      <c r="F567" s="11"/>
      <c r="G567" s="11"/>
      <c r="H567" s="11"/>
      <c r="I567" s="11"/>
      <c r="J567" s="11"/>
      <c r="K567" s="12"/>
      <c r="L567" s="10"/>
      <c r="P567" s="10"/>
      <c r="Q567" s="10"/>
      <c r="R567" s="10"/>
    </row>
    <row r="568" spans="3:18" s="9" customFormat="1">
      <c r="C568" s="10"/>
      <c r="D568" s="10"/>
      <c r="E568" s="11"/>
      <c r="F568" s="11"/>
      <c r="G568" s="11"/>
      <c r="H568" s="11"/>
      <c r="I568" s="11"/>
      <c r="J568" s="11"/>
      <c r="K568" s="12"/>
      <c r="L568" s="10"/>
      <c r="P568" s="10"/>
      <c r="Q568" s="10"/>
      <c r="R568" s="10"/>
    </row>
    <row r="569" spans="3:18" s="9" customFormat="1">
      <c r="C569" s="10"/>
      <c r="D569" s="10"/>
      <c r="E569" s="11"/>
      <c r="F569" s="11"/>
      <c r="G569" s="11"/>
      <c r="H569" s="11"/>
      <c r="I569" s="11"/>
      <c r="J569" s="11"/>
      <c r="K569" s="12"/>
      <c r="L569" s="10"/>
      <c r="P569" s="10"/>
      <c r="Q569" s="10"/>
      <c r="R569" s="10"/>
    </row>
    <row r="570" spans="3:18" s="9" customFormat="1">
      <c r="C570" s="10"/>
      <c r="D570" s="10"/>
      <c r="E570" s="11"/>
      <c r="F570" s="11"/>
      <c r="G570" s="11"/>
      <c r="H570" s="11"/>
      <c r="I570" s="11"/>
      <c r="J570" s="11"/>
      <c r="K570" s="12"/>
      <c r="L570" s="10"/>
      <c r="P570" s="10"/>
      <c r="Q570" s="10"/>
      <c r="R570" s="10"/>
    </row>
    <row r="571" spans="3:18" s="9" customFormat="1">
      <c r="C571" s="10"/>
      <c r="D571" s="10"/>
      <c r="E571" s="11"/>
      <c r="F571" s="11"/>
      <c r="G571" s="11"/>
      <c r="H571" s="11"/>
      <c r="I571" s="11"/>
      <c r="J571" s="11"/>
      <c r="K571" s="12"/>
      <c r="L571" s="10"/>
      <c r="P571" s="10"/>
      <c r="Q571" s="10"/>
      <c r="R571" s="10"/>
    </row>
    <row r="572" spans="3:18" s="9" customFormat="1">
      <c r="C572" s="10"/>
      <c r="D572" s="10"/>
      <c r="E572" s="11"/>
      <c r="F572" s="11"/>
      <c r="G572" s="11"/>
      <c r="H572" s="11"/>
      <c r="I572" s="11"/>
      <c r="J572" s="11"/>
      <c r="K572" s="12"/>
      <c r="L572" s="10"/>
      <c r="P572" s="10"/>
      <c r="Q572" s="10"/>
      <c r="R572" s="10"/>
    </row>
    <row r="573" spans="3:18" s="9" customFormat="1">
      <c r="C573" s="10"/>
      <c r="D573" s="10"/>
      <c r="E573" s="11"/>
      <c r="F573" s="11"/>
      <c r="G573" s="11"/>
      <c r="H573" s="11"/>
      <c r="I573" s="11"/>
      <c r="J573" s="11"/>
      <c r="K573" s="12"/>
      <c r="L573" s="10"/>
      <c r="P573" s="10"/>
      <c r="Q573" s="10"/>
      <c r="R573" s="10"/>
    </row>
    <row r="574" spans="3:18" s="9" customFormat="1">
      <c r="C574" s="10"/>
      <c r="D574" s="10"/>
      <c r="E574" s="11"/>
      <c r="F574" s="11"/>
      <c r="G574" s="11"/>
      <c r="H574" s="11"/>
      <c r="I574" s="11"/>
      <c r="J574" s="11"/>
      <c r="K574" s="12"/>
      <c r="L574" s="10"/>
      <c r="P574" s="10"/>
      <c r="Q574" s="10"/>
      <c r="R574" s="10"/>
    </row>
    <row r="575" spans="3:18" s="9" customFormat="1">
      <c r="C575" s="10"/>
      <c r="D575" s="10"/>
      <c r="E575" s="11"/>
      <c r="F575" s="11"/>
      <c r="G575" s="11"/>
      <c r="H575" s="11"/>
      <c r="I575" s="11"/>
      <c r="J575" s="11"/>
      <c r="K575" s="12"/>
      <c r="L575" s="10"/>
      <c r="P575" s="10"/>
      <c r="Q575" s="10"/>
      <c r="R575" s="10"/>
    </row>
    <row r="576" spans="3:18" s="9" customFormat="1">
      <c r="C576" s="10"/>
      <c r="D576" s="10"/>
      <c r="E576" s="11"/>
      <c r="F576" s="11"/>
      <c r="G576" s="11"/>
      <c r="H576" s="11"/>
      <c r="I576" s="11"/>
      <c r="J576" s="11"/>
      <c r="K576" s="12"/>
      <c r="L576" s="10"/>
      <c r="P576" s="10"/>
      <c r="Q576" s="10"/>
      <c r="R576" s="10"/>
    </row>
    <row r="577" spans="3:18" s="9" customFormat="1">
      <c r="C577" s="10"/>
      <c r="D577" s="10"/>
      <c r="E577" s="11"/>
      <c r="F577" s="11"/>
      <c r="G577" s="11"/>
      <c r="H577" s="11"/>
      <c r="I577" s="11"/>
      <c r="J577" s="11"/>
      <c r="K577" s="12"/>
      <c r="L577" s="10"/>
      <c r="P577" s="10"/>
      <c r="Q577" s="10"/>
      <c r="R577" s="10"/>
    </row>
    <row r="578" spans="3:18" s="9" customFormat="1">
      <c r="C578" s="10"/>
      <c r="D578" s="10"/>
      <c r="E578" s="11"/>
      <c r="F578" s="11"/>
      <c r="G578" s="11"/>
      <c r="H578" s="11"/>
      <c r="I578" s="11"/>
      <c r="J578" s="11"/>
      <c r="K578" s="12"/>
      <c r="L578" s="10"/>
      <c r="P578" s="10"/>
      <c r="Q578" s="10"/>
      <c r="R578" s="10"/>
    </row>
    <row r="579" spans="3:18" s="9" customFormat="1">
      <c r="C579" s="10"/>
      <c r="D579" s="10"/>
      <c r="E579" s="11"/>
      <c r="F579" s="11"/>
      <c r="G579" s="11"/>
      <c r="H579" s="11"/>
      <c r="I579" s="11"/>
      <c r="J579" s="11"/>
      <c r="K579" s="12"/>
      <c r="L579" s="10"/>
      <c r="P579" s="10"/>
      <c r="Q579" s="10"/>
      <c r="R579" s="10"/>
    </row>
    <row r="580" spans="3:18" s="9" customFormat="1">
      <c r="C580" s="10"/>
      <c r="D580" s="10"/>
      <c r="E580" s="11"/>
      <c r="F580" s="11"/>
      <c r="G580" s="11"/>
      <c r="H580" s="11"/>
      <c r="I580" s="11"/>
      <c r="J580" s="11"/>
      <c r="K580" s="12"/>
      <c r="L580" s="10"/>
      <c r="P580" s="10"/>
      <c r="Q580" s="10"/>
      <c r="R580" s="10"/>
    </row>
    <row r="581" spans="3:18" s="9" customFormat="1">
      <c r="C581" s="10"/>
      <c r="D581" s="10"/>
      <c r="E581" s="11"/>
      <c r="F581" s="11"/>
      <c r="G581" s="11"/>
      <c r="H581" s="11"/>
      <c r="I581" s="11"/>
      <c r="J581" s="11"/>
      <c r="K581" s="12"/>
      <c r="L581" s="10"/>
      <c r="P581" s="10"/>
      <c r="Q581" s="10"/>
      <c r="R581" s="10"/>
    </row>
    <row r="582" spans="3:18" s="9" customFormat="1">
      <c r="C582" s="10"/>
      <c r="D582" s="10"/>
      <c r="E582" s="11"/>
      <c r="F582" s="11"/>
      <c r="G582" s="11"/>
      <c r="H582" s="11"/>
      <c r="I582" s="11"/>
      <c r="J582" s="11"/>
      <c r="K582" s="12"/>
      <c r="L582" s="10"/>
      <c r="P582" s="10"/>
      <c r="Q582" s="10"/>
      <c r="R582" s="10"/>
    </row>
    <row r="583" spans="3:18" s="9" customFormat="1">
      <c r="C583" s="10"/>
      <c r="D583" s="10"/>
      <c r="E583" s="11"/>
      <c r="F583" s="11"/>
      <c r="G583" s="11"/>
      <c r="H583" s="11"/>
      <c r="I583" s="11"/>
      <c r="J583" s="11"/>
      <c r="K583" s="12"/>
      <c r="L583" s="10"/>
      <c r="P583" s="10"/>
      <c r="Q583" s="10"/>
      <c r="R583" s="10"/>
    </row>
    <row r="584" spans="3:18" s="9" customFormat="1">
      <c r="C584" s="10"/>
      <c r="D584" s="10"/>
      <c r="E584" s="11"/>
      <c r="F584" s="11"/>
      <c r="G584" s="11"/>
      <c r="H584" s="11"/>
      <c r="I584" s="11"/>
      <c r="J584" s="11"/>
      <c r="K584" s="12"/>
      <c r="L584" s="10"/>
      <c r="P584" s="10"/>
      <c r="Q584" s="10"/>
      <c r="R584" s="10"/>
    </row>
    <row r="585" spans="3:18" s="9" customFormat="1">
      <c r="C585" s="10"/>
      <c r="D585" s="10"/>
      <c r="E585" s="11"/>
      <c r="F585" s="11"/>
      <c r="G585" s="11"/>
      <c r="H585" s="11"/>
      <c r="I585" s="11"/>
      <c r="J585" s="11"/>
      <c r="K585" s="12"/>
      <c r="L585" s="10"/>
      <c r="P585" s="10"/>
      <c r="Q585" s="10"/>
      <c r="R585" s="10"/>
    </row>
    <row r="586" spans="3:18" s="9" customFormat="1">
      <c r="C586" s="10"/>
      <c r="D586" s="10"/>
      <c r="E586" s="11"/>
      <c r="F586" s="11"/>
      <c r="G586" s="11"/>
      <c r="H586" s="11"/>
      <c r="I586" s="11"/>
      <c r="J586" s="11"/>
      <c r="K586" s="12"/>
      <c r="L586" s="10"/>
      <c r="P586" s="10"/>
      <c r="Q586" s="10"/>
      <c r="R586" s="10"/>
    </row>
    <row r="587" spans="3:18" s="9" customFormat="1">
      <c r="C587" s="10"/>
      <c r="D587" s="10"/>
      <c r="E587" s="11"/>
      <c r="F587" s="11"/>
      <c r="G587" s="11"/>
      <c r="H587" s="11"/>
      <c r="I587" s="11"/>
      <c r="J587" s="11"/>
      <c r="K587" s="12"/>
      <c r="L587" s="10"/>
      <c r="P587" s="10"/>
      <c r="Q587" s="10"/>
      <c r="R587" s="10"/>
    </row>
    <row r="588" spans="3:18" s="9" customFormat="1">
      <c r="C588" s="10"/>
      <c r="D588" s="10"/>
      <c r="E588" s="11"/>
      <c r="F588" s="11"/>
      <c r="G588" s="11"/>
      <c r="H588" s="11"/>
      <c r="I588" s="11"/>
      <c r="J588" s="11"/>
      <c r="K588" s="12"/>
      <c r="L588" s="10"/>
      <c r="P588" s="10"/>
      <c r="Q588" s="10"/>
      <c r="R588" s="10"/>
    </row>
    <row r="589" spans="3:18" s="9" customFormat="1">
      <c r="C589" s="10"/>
      <c r="D589" s="10"/>
      <c r="E589" s="11"/>
      <c r="F589" s="11"/>
      <c r="G589" s="11"/>
      <c r="H589" s="11"/>
      <c r="I589" s="11"/>
      <c r="J589" s="11"/>
      <c r="K589" s="12"/>
      <c r="L589" s="10"/>
      <c r="P589" s="10"/>
      <c r="Q589" s="10"/>
      <c r="R589" s="10"/>
    </row>
    <row r="590" spans="3:18" s="9" customFormat="1">
      <c r="C590" s="10"/>
      <c r="D590" s="10"/>
      <c r="E590" s="11"/>
      <c r="F590" s="11"/>
      <c r="G590" s="11"/>
      <c r="H590" s="11"/>
      <c r="I590" s="11"/>
      <c r="J590" s="11"/>
      <c r="K590" s="12"/>
      <c r="L590" s="10"/>
      <c r="P590" s="10"/>
      <c r="Q590" s="10"/>
      <c r="R590" s="10"/>
    </row>
    <row r="591" spans="3:18" s="9" customFormat="1">
      <c r="C591" s="10"/>
      <c r="D591" s="10"/>
      <c r="E591" s="11"/>
      <c r="F591" s="11"/>
      <c r="G591" s="11"/>
      <c r="H591" s="11"/>
      <c r="I591" s="11"/>
      <c r="J591" s="11"/>
      <c r="K591" s="12"/>
      <c r="L591" s="10"/>
      <c r="P591" s="10"/>
      <c r="Q591" s="10"/>
      <c r="R591" s="10"/>
    </row>
    <row r="592" spans="3:18" s="9" customFormat="1">
      <c r="C592" s="10"/>
      <c r="D592" s="10"/>
      <c r="E592" s="11"/>
      <c r="F592" s="11"/>
      <c r="G592" s="11"/>
      <c r="H592" s="11"/>
      <c r="I592" s="11"/>
      <c r="J592" s="11"/>
      <c r="K592" s="12"/>
      <c r="L592" s="10"/>
      <c r="P592" s="10"/>
      <c r="Q592" s="10"/>
      <c r="R592" s="10"/>
    </row>
    <row r="593" spans="3:18" s="9" customFormat="1">
      <c r="C593" s="10"/>
      <c r="D593" s="10"/>
      <c r="E593" s="11"/>
      <c r="F593" s="11"/>
      <c r="G593" s="11"/>
      <c r="H593" s="11"/>
      <c r="I593" s="11"/>
      <c r="J593" s="11"/>
      <c r="K593" s="12"/>
      <c r="L593" s="10"/>
      <c r="P593" s="10"/>
      <c r="Q593" s="10"/>
      <c r="R593" s="10"/>
    </row>
    <row r="594" spans="3:18" s="9" customFormat="1">
      <c r="C594" s="10"/>
      <c r="D594" s="10"/>
      <c r="E594" s="11"/>
      <c r="F594" s="11"/>
      <c r="G594" s="11"/>
      <c r="H594" s="11"/>
      <c r="I594" s="11"/>
      <c r="J594" s="11"/>
      <c r="K594" s="12"/>
      <c r="L594" s="10"/>
      <c r="P594" s="10"/>
      <c r="Q594" s="10"/>
      <c r="R594" s="10"/>
    </row>
    <row r="595" spans="3:18" s="9" customFormat="1">
      <c r="C595" s="10"/>
      <c r="D595" s="10"/>
      <c r="E595" s="11"/>
      <c r="F595" s="11"/>
      <c r="G595" s="11"/>
      <c r="H595" s="11"/>
      <c r="I595" s="11"/>
      <c r="J595" s="11"/>
      <c r="K595" s="12"/>
      <c r="L595" s="10"/>
      <c r="P595" s="10"/>
      <c r="Q595" s="10"/>
      <c r="R595" s="10"/>
    </row>
    <row r="596" spans="3:18" s="9" customFormat="1">
      <c r="C596" s="10"/>
      <c r="D596" s="10"/>
      <c r="E596" s="11"/>
      <c r="F596" s="11"/>
      <c r="G596" s="11"/>
      <c r="H596" s="11"/>
      <c r="I596" s="11"/>
      <c r="J596" s="11"/>
      <c r="K596" s="12"/>
      <c r="L596" s="10"/>
      <c r="P596" s="10"/>
      <c r="Q596" s="10"/>
      <c r="R596" s="10"/>
    </row>
    <row r="597" spans="3:18" s="9" customFormat="1">
      <c r="C597" s="10"/>
      <c r="D597" s="10"/>
      <c r="E597" s="11"/>
      <c r="F597" s="11"/>
      <c r="G597" s="11"/>
      <c r="H597" s="11"/>
      <c r="I597" s="11"/>
      <c r="J597" s="11"/>
      <c r="K597" s="12"/>
      <c r="L597" s="10"/>
      <c r="P597" s="10"/>
      <c r="Q597" s="10"/>
      <c r="R597" s="10"/>
    </row>
    <row r="598" spans="3:18" s="9" customFormat="1">
      <c r="C598" s="10"/>
      <c r="D598" s="10"/>
      <c r="E598" s="11"/>
      <c r="F598" s="11"/>
      <c r="G598" s="11"/>
      <c r="H598" s="11"/>
      <c r="I598" s="11"/>
      <c r="J598" s="11"/>
      <c r="K598" s="12"/>
      <c r="L598" s="10"/>
      <c r="P598" s="10"/>
      <c r="Q598" s="10"/>
      <c r="R598" s="10"/>
    </row>
    <row r="599" spans="3:18" s="9" customFormat="1">
      <c r="C599" s="10"/>
      <c r="D599" s="10"/>
      <c r="E599" s="11"/>
      <c r="F599" s="11"/>
      <c r="G599" s="11"/>
      <c r="H599" s="11"/>
      <c r="I599" s="11"/>
      <c r="J599" s="11"/>
      <c r="K599" s="12"/>
      <c r="L599" s="10"/>
      <c r="P599" s="10"/>
      <c r="Q599" s="10"/>
      <c r="R599" s="10"/>
    </row>
    <row r="600" spans="3:18" s="9" customFormat="1">
      <c r="C600" s="10"/>
      <c r="D600" s="10"/>
      <c r="E600" s="11"/>
      <c r="F600" s="11"/>
      <c r="G600" s="11"/>
      <c r="H600" s="11"/>
      <c r="I600" s="11"/>
      <c r="J600" s="11"/>
      <c r="K600" s="12"/>
      <c r="L600" s="10"/>
      <c r="P600" s="10"/>
      <c r="Q600" s="10"/>
      <c r="R600" s="10"/>
    </row>
    <row r="601" spans="3:18" s="9" customFormat="1">
      <c r="C601" s="10"/>
      <c r="D601" s="10"/>
      <c r="E601" s="11"/>
      <c r="F601" s="11"/>
      <c r="G601" s="11"/>
      <c r="H601" s="11"/>
      <c r="I601" s="11"/>
      <c r="J601" s="11"/>
      <c r="K601" s="12"/>
      <c r="L601" s="10"/>
      <c r="P601" s="10"/>
      <c r="Q601" s="10"/>
      <c r="R601" s="10"/>
    </row>
    <row r="602" spans="3:18" s="9" customFormat="1">
      <c r="C602" s="10"/>
      <c r="D602" s="10"/>
      <c r="E602" s="11"/>
      <c r="F602" s="11"/>
      <c r="G602" s="11"/>
      <c r="H602" s="11"/>
      <c r="I602" s="11"/>
      <c r="J602" s="11"/>
      <c r="K602" s="12"/>
      <c r="L602" s="10"/>
      <c r="P602" s="10"/>
      <c r="Q602" s="10"/>
      <c r="R602" s="10"/>
    </row>
    <row r="603" spans="3:18" s="9" customFormat="1">
      <c r="C603" s="10"/>
      <c r="D603" s="10"/>
      <c r="E603" s="11"/>
      <c r="F603" s="11"/>
      <c r="G603" s="11"/>
      <c r="H603" s="11"/>
      <c r="I603" s="11"/>
      <c r="J603" s="11"/>
      <c r="K603" s="12"/>
      <c r="L603" s="15"/>
      <c r="P603" s="10"/>
      <c r="Q603" s="10"/>
      <c r="R603" s="10"/>
    </row>
    <row r="604" spans="3:18" s="9" customFormat="1">
      <c r="C604" s="10"/>
      <c r="D604" s="10"/>
      <c r="E604" s="11"/>
      <c r="F604" s="11"/>
      <c r="G604" s="11"/>
      <c r="H604" s="11"/>
      <c r="I604" s="11"/>
      <c r="J604" s="11"/>
      <c r="K604" s="12"/>
      <c r="L604" s="15"/>
      <c r="P604" s="10"/>
      <c r="Q604" s="10"/>
      <c r="R604" s="10"/>
    </row>
    <row r="605" spans="3:18" s="9" customFormat="1">
      <c r="C605" s="10"/>
      <c r="D605" s="10"/>
      <c r="E605" s="11"/>
      <c r="F605" s="11"/>
      <c r="G605" s="11"/>
      <c r="H605" s="11"/>
      <c r="I605" s="11"/>
      <c r="J605" s="11"/>
      <c r="K605" s="12"/>
      <c r="L605" s="15"/>
      <c r="P605" s="10"/>
      <c r="Q605" s="10"/>
      <c r="R605" s="10"/>
    </row>
    <row r="606" spans="3:18" s="9" customFormat="1">
      <c r="C606" s="10"/>
      <c r="D606" s="10"/>
      <c r="E606" s="11"/>
      <c r="F606" s="11"/>
      <c r="G606" s="11"/>
      <c r="H606" s="11"/>
      <c r="I606" s="11"/>
      <c r="J606" s="11"/>
      <c r="K606" s="12"/>
      <c r="L606" s="15"/>
      <c r="P606" s="10"/>
      <c r="Q606" s="10"/>
      <c r="R606" s="10"/>
    </row>
    <row r="607" spans="3:18" s="9" customFormat="1">
      <c r="C607" s="15"/>
      <c r="D607" s="10"/>
      <c r="E607" s="11"/>
      <c r="F607" s="11"/>
      <c r="G607" s="11"/>
      <c r="H607" s="11"/>
      <c r="I607" s="11"/>
      <c r="J607" s="11"/>
      <c r="K607" s="12"/>
      <c r="L607" s="15"/>
      <c r="P607" s="10"/>
      <c r="Q607" s="10"/>
      <c r="R607" s="10"/>
    </row>
  </sheetData>
  <mergeCells count="4">
    <mergeCell ref="L292:L294"/>
    <mergeCell ref="L316:L318"/>
    <mergeCell ref="L484:L486"/>
    <mergeCell ref="L502:L509"/>
  </mergeCells>
  <hyperlinks>
    <hyperlink ref="E1" location="'Cover Sheets'!A16" display="(Back to Worksheet Links)" xr:uid="{00000000-0004-0000-0800-000000000000}"/>
  </hyperlinks>
  <printOptions horizontalCentered="1"/>
  <pageMargins left="0.75" right="0.75" top="0.75" bottom="0.75" header="0.5" footer="0.5"/>
  <pageSetup scale="75" fitToHeight="14"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93"/>
  <sheetViews>
    <sheetView view="pageBreakPreview" topLeftCell="A47" zoomScale="90" zoomScaleNormal="100" zoomScaleSheetLayoutView="90" workbookViewId="0">
      <selection activeCell="G9" sqref="G9"/>
    </sheetView>
  </sheetViews>
  <sheetFormatPr defaultColWidth="9.453125" defaultRowHeight="13"/>
  <cols>
    <col min="1" max="1" width="12.54296875" style="112" customWidth="1"/>
    <col min="2" max="2" width="9" style="112" customWidth="1"/>
    <col min="3" max="3" width="82.1796875" style="112" customWidth="1"/>
    <col min="4" max="4" width="17" style="269" customWidth="1"/>
    <col min="5" max="5" width="16.54296875" style="112" customWidth="1"/>
    <col min="6" max="6" width="15" style="270" customWidth="1"/>
    <col min="7" max="7" width="17.453125" style="112" customWidth="1"/>
    <col min="8" max="8" width="13.54296875" style="271" customWidth="1"/>
    <col min="9" max="9" width="22.54296875" style="112" customWidth="1"/>
    <col min="10" max="10" width="11.54296875" style="112" bestFit="1" customWidth="1"/>
    <col min="11" max="16384" width="9.453125" style="112"/>
  </cols>
  <sheetData>
    <row r="1" spans="1:13" ht="14.5">
      <c r="A1" s="601" t="str">
        <f>'Cover Sheets'!A10:B10</f>
        <v>WAPA-UGP 2024 Rate Estimate Calculation</v>
      </c>
      <c r="B1" s="602"/>
      <c r="C1" s="604" t="s">
        <v>41</v>
      </c>
      <c r="D1" s="592"/>
      <c r="E1" s="113"/>
      <c r="F1" s="263"/>
      <c r="G1" s="113"/>
      <c r="H1" s="264"/>
    </row>
    <row r="2" spans="1:13">
      <c r="A2" s="603" t="s">
        <v>553</v>
      </c>
      <c r="B2" s="600"/>
      <c r="C2" s="114"/>
      <c r="D2" s="275"/>
      <c r="E2" s="114"/>
      <c r="F2" s="253"/>
      <c r="G2" s="114"/>
      <c r="H2" s="254"/>
    </row>
    <row r="3" spans="1:13">
      <c r="A3" s="115" t="str">
        <f>'Summary-ATRR'!A3</f>
        <v>12 Months Ending 09/30/2024 ESTIMATE</v>
      </c>
      <c r="B3" s="370"/>
      <c r="C3" s="114"/>
      <c r="D3" s="275"/>
      <c r="E3" s="114"/>
      <c r="F3" s="253"/>
      <c r="G3" s="114"/>
      <c r="H3" s="254"/>
    </row>
    <row r="4" spans="1:13">
      <c r="A4" s="115"/>
      <c r="B4" s="370"/>
      <c r="C4" s="548" t="s">
        <v>51</v>
      </c>
      <c r="D4" s="548" t="s">
        <v>52</v>
      </c>
      <c r="E4" s="548" t="s">
        <v>53</v>
      </c>
      <c r="F4" s="548" t="s">
        <v>54</v>
      </c>
      <c r="G4" s="548" t="s">
        <v>55</v>
      </c>
      <c r="H4" s="605">
        <v>-6</v>
      </c>
    </row>
    <row r="5" spans="1:13" s="3" customFormat="1" ht="60" customHeight="1">
      <c r="A5" s="606" t="s">
        <v>304</v>
      </c>
      <c r="B5" s="549" t="s">
        <v>554</v>
      </c>
      <c r="C5" s="550" t="s">
        <v>2640</v>
      </c>
      <c r="D5" s="383" t="s">
        <v>555</v>
      </c>
      <c r="E5" s="359" t="s">
        <v>2641</v>
      </c>
      <c r="F5" s="360" t="s">
        <v>302</v>
      </c>
      <c r="G5" s="360" t="s">
        <v>303</v>
      </c>
      <c r="H5" s="607" t="s">
        <v>2642</v>
      </c>
      <c r="I5" s="6"/>
      <c r="M5" s="6"/>
    </row>
    <row r="6" spans="1:13">
      <c r="A6" s="608">
        <v>1</v>
      </c>
      <c r="B6" s="527" t="s">
        <v>556</v>
      </c>
      <c r="C6" s="528" t="s">
        <v>557</v>
      </c>
      <c r="D6" s="505">
        <v>51813</v>
      </c>
      <c r="E6" s="505">
        <v>0</v>
      </c>
      <c r="F6" s="194">
        <f>F19</f>
        <v>0</v>
      </c>
      <c r="G6" s="194">
        <f>H19</f>
        <v>51813</v>
      </c>
      <c r="H6" s="238">
        <f t="shared" ref="H6:H9" si="0">F6+G6</f>
        <v>51813</v>
      </c>
      <c r="I6" s="465"/>
      <c r="K6" s="9"/>
      <c r="L6" s="9"/>
      <c r="M6" s="13"/>
    </row>
    <row r="7" spans="1:13">
      <c r="A7" s="608">
        <v>2</v>
      </c>
      <c r="B7" s="527" t="s">
        <v>558</v>
      </c>
      <c r="C7" s="528" t="s">
        <v>559</v>
      </c>
      <c r="D7" s="505">
        <v>3302626</v>
      </c>
      <c r="E7" s="505">
        <v>0</v>
      </c>
      <c r="F7" s="194">
        <f>F32</f>
        <v>1089866.4414000001</v>
      </c>
      <c r="G7" s="194">
        <f>H32</f>
        <v>2212759.1386000002</v>
      </c>
      <c r="H7" s="238">
        <f t="shared" si="0"/>
        <v>3302625.58</v>
      </c>
      <c r="I7" s="465"/>
      <c r="K7" s="9"/>
      <c r="L7" s="9"/>
      <c r="M7" s="13"/>
    </row>
    <row r="8" spans="1:13">
      <c r="A8" s="608">
        <v>3</v>
      </c>
      <c r="B8" s="527" t="s">
        <v>558</v>
      </c>
      <c r="C8" s="528" t="s">
        <v>560</v>
      </c>
      <c r="D8" s="505">
        <v>5073024</v>
      </c>
      <c r="E8" s="529">
        <v>0</v>
      </c>
      <c r="F8" s="194">
        <f>F54</f>
        <v>0</v>
      </c>
      <c r="G8" s="381">
        <f>H54</f>
        <v>5073024.1400000006</v>
      </c>
      <c r="H8" s="238">
        <f t="shared" si="0"/>
        <v>5073024.1400000006</v>
      </c>
      <c r="I8" s="12"/>
      <c r="J8" s="465"/>
      <c r="K8" s="9"/>
      <c r="L8" s="9"/>
      <c r="M8" s="13"/>
    </row>
    <row r="9" spans="1:13">
      <c r="A9" s="608">
        <v>4</v>
      </c>
      <c r="B9" s="527" t="s">
        <v>561</v>
      </c>
      <c r="C9" s="528" t="s">
        <v>562</v>
      </c>
      <c r="D9" s="505">
        <v>403</v>
      </c>
      <c r="E9" s="529">
        <v>0</v>
      </c>
      <c r="F9" s="194">
        <f>F56</f>
        <v>0</v>
      </c>
      <c r="G9" s="381">
        <f>H56</f>
        <v>403</v>
      </c>
      <c r="H9" s="238">
        <f t="shared" si="0"/>
        <v>403</v>
      </c>
      <c r="I9" s="12"/>
      <c r="J9" s="465"/>
      <c r="K9" s="9"/>
      <c r="L9" s="9"/>
      <c r="M9" s="13"/>
    </row>
    <row r="10" spans="1:13">
      <c r="A10" s="608">
        <v>5</v>
      </c>
      <c r="B10" s="527" t="s">
        <v>2665</v>
      </c>
      <c r="C10" s="528" t="s">
        <v>2661</v>
      </c>
      <c r="D10" s="505">
        <v>0</v>
      </c>
      <c r="E10" s="529">
        <v>1840900</v>
      </c>
      <c r="F10" s="194">
        <f>F60</f>
        <v>607497</v>
      </c>
      <c r="G10" s="381">
        <f>H60</f>
        <v>1233403</v>
      </c>
      <c r="H10" s="238">
        <f>F10+G10</f>
        <v>1840900</v>
      </c>
      <c r="I10" s="12"/>
      <c r="J10" s="623"/>
      <c r="K10" s="9"/>
      <c r="L10" s="9"/>
      <c r="M10" s="13"/>
    </row>
    <row r="11" spans="1:13">
      <c r="A11" s="608">
        <v>6</v>
      </c>
      <c r="B11" s="527" t="s">
        <v>846</v>
      </c>
      <c r="C11" s="528" t="s">
        <v>2662</v>
      </c>
      <c r="D11" s="505">
        <v>0</v>
      </c>
      <c r="E11" s="529">
        <f>D65</f>
        <v>2600000</v>
      </c>
      <c r="F11" s="194">
        <f>F65</f>
        <v>858000</v>
      </c>
      <c r="G11" s="381">
        <f>H65</f>
        <v>1742000</v>
      </c>
      <c r="H11" s="238">
        <f>F11+G11</f>
        <v>2600000</v>
      </c>
      <c r="I11" s="12"/>
      <c r="J11" s="623"/>
      <c r="K11" s="9"/>
      <c r="L11" s="9"/>
      <c r="M11" s="13"/>
    </row>
    <row r="12" spans="1:13">
      <c r="A12" s="608">
        <v>7</v>
      </c>
      <c r="B12" s="527" t="s">
        <v>2663</v>
      </c>
      <c r="C12" s="528" t="s">
        <v>2664</v>
      </c>
      <c r="D12" s="505">
        <v>0</v>
      </c>
      <c r="E12" s="529">
        <f>D69</f>
        <v>1681807</v>
      </c>
      <c r="F12" s="194">
        <f>F69</f>
        <v>554996.31000000006</v>
      </c>
      <c r="G12" s="381">
        <f>H69</f>
        <v>1126810.6900000002</v>
      </c>
      <c r="H12" s="238">
        <f>F12+G12</f>
        <v>1681807.0000000002</v>
      </c>
      <c r="I12" s="12"/>
      <c r="J12" s="623"/>
      <c r="K12" s="9"/>
      <c r="L12" s="9"/>
      <c r="M12" s="13"/>
    </row>
    <row r="13" spans="1:13">
      <c r="A13" s="608">
        <v>8</v>
      </c>
      <c r="B13" s="527" t="s">
        <v>2663</v>
      </c>
      <c r="C13" s="528" t="s">
        <v>2704</v>
      </c>
      <c r="D13" s="505">
        <v>0</v>
      </c>
      <c r="E13" s="529">
        <f>D71</f>
        <v>998448.6</v>
      </c>
      <c r="F13" s="194">
        <f>F71</f>
        <v>329488.038</v>
      </c>
      <c r="G13" s="381">
        <f>H71</f>
        <v>668960.56200000003</v>
      </c>
      <c r="H13" s="238">
        <f>F13+G13</f>
        <v>998448.60000000009</v>
      </c>
      <c r="I13" s="12"/>
      <c r="J13" s="623"/>
      <c r="K13" s="9"/>
      <c r="L13" s="9"/>
      <c r="M13" s="13"/>
    </row>
    <row r="14" spans="1:13">
      <c r="A14" s="608">
        <v>9</v>
      </c>
      <c r="B14" s="527" t="s">
        <v>2663</v>
      </c>
      <c r="C14" s="528" t="s">
        <v>2705</v>
      </c>
      <c r="D14" s="505">
        <v>0</v>
      </c>
      <c r="E14" s="529">
        <f>D73</f>
        <v>4855840.7300000004</v>
      </c>
      <c r="F14" s="194">
        <f>F73</f>
        <v>1602427.4409000003</v>
      </c>
      <c r="G14" s="381">
        <f>H73</f>
        <v>3253413.2891000006</v>
      </c>
      <c r="H14" s="238">
        <f>F14+G14</f>
        <v>4855840.7300000004</v>
      </c>
      <c r="I14" s="12"/>
      <c r="J14" s="623"/>
      <c r="K14" s="9"/>
      <c r="L14" s="9"/>
      <c r="M14" s="13"/>
    </row>
    <row r="15" spans="1:13">
      <c r="A15" s="608">
        <v>10</v>
      </c>
      <c r="B15" s="527"/>
      <c r="C15" s="528" t="s">
        <v>379</v>
      </c>
      <c r="D15" s="505">
        <f>SUM(D6:D14)</f>
        <v>8427866</v>
      </c>
      <c r="E15" s="529">
        <f>SUM(E6:E14)</f>
        <v>11976996.33</v>
      </c>
      <c r="F15" s="194">
        <f>SUM(F6:F14)</f>
        <v>5042275.2302999999</v>
      </c>
      <c r="G15" s="194">
        <f>SUM(G6:G14)</f>
        <v>15362586.819700001</v>
      </c>
      <c r="H15" s="635">
        <f>SUM(H6:H14)</f>
        <v>20404862.050000001</v>
      </c>
      <c r="I15" s="636"/>
      <c r="J15" s="465"/>
      <c r="K15" s="9"/>
      <c r="L15" s="9"/>
      <c r="M15" s="13"/>
    </row>
    <row r="16" spans="1:13">
      <c r="A16" s="608">
        <v>11</v>
      </c>
      <c r="B16" s="527"/>
      <c r="C16" s="528"/>
      <c r="D16" s="505"/>
      <c r="E16" s="529"/>
      <c r="F16" s="194"/>
      <c r="G16" s="194"/>
      <c r="H16" s="309"/>
      <c r="I16" s="12"/>
      <c r="J16" s="501"/>
      <c r="K16" s="9"/>
      <c r="L16" s="9"/>
      <c r="M16" s="13"/>
    </row>
    <row r="17" spans="1:8" ht="48.75" customHeight="1">
      <c r="A17" s="608">
        <v>7</v>
      </c>
      <c r="B17" s="530" t="s">
        <v>554</v>
      </c>
      <c r="C17" s="531" t="s">
        <v>2643</v>
      </c>
      <c r="D17" s="532" t="s">
        <v>564</v>
      </c>
      <c r="E17" s="547" t="s">
        <v>565</v>
      </c>
      <c r="F17" s="332" t="s">
        <v>566</v>
      </c>
      <c r="G17" s="546" t="s">
        <v>567</v>
      </c>
      <c r="H17" s="609" t="s">
        <v>568</v>
      </c>
    </row>
    <row r="18" spans="1:8" ht="12.75" customHeight="1">
      <c r="A18" s="608">
        <v>8</v>
      </c>
      <c r="B18" s="527" t="s">
        <v>556</v>
      </c>
      <c r="C18" s="533" t="s">
        <v>569</v>
      </c>
      <c r="D18" s="534">
        <v>51813</v>
      </c>
      <c r="E18" s="535">
        <v>0</v>
      </c>
      <c r="F18" s="253">
        <f t="shared" ref="F18:F53" si="1">E18*D18</f>
        <v>0</v>
      </c>
      <c r="G18" s="325">
        <v>1</v>
      </c>
      <c r="H18" s="254">
        <f>D18*G18</f>
        <v>51813</v>
      </c>
    </row>
    <row r="19" spans="1:8" ht="13.5" thickBot="1">
      <c r="A19" s="608">
        <v>9</v>
      </c>
      <c r="B19" s="536"/>
      <c r="C19" s="537" t="s">
        <v>570</v>
      </c>
      <c r="D19" s="538">
        <f>SUM(D18:D18)</f>
        <v>51813</v>
      </c>
      <c r="E19" s="539"/>
      <c r="F19" s="257">
        <f>SUM(F18:F18)</f>
        <v>0</v>
      </c>
      <c r="G19" s="374"/>
      <c r="H19" s="258">
        <f>SUM(H18:H18)</f>
        <v>51813</v>
      </c>
    </row>
    <row r="20" spans="1:8" ht="13.5" thickTop="1">
      <c r="A20" s="608">
        <v>10</v>
      </c>
      <c r="B20" s="540" t="s">
        <v>558</v>
      </c>
      <c r="C20" s="541" t="s">
        <v>571</v>
      </c>
      <c r="D20" s="505">
        <v>181965.21</v>
      </c>
      <c r="E20" s="535">
        <v>0.33</v>
      </c>
      <c r="F20" s="253">
        <f t="shared" si="1"/>
        <v>60048.5193</v>
      </c>
      <c r="G20" s="325">
        <v>0.67</v>
      </c>
      <c r="H20" s="254">
        <f>D20*G20</f>
        <v>121916.69070000001</v>
      </c>
    </row>
    <row r="21" spans="1:8">
      <c r="A21" s="608">
        <v>11</v>
      </c>
      <c r="B21" s="540" t="s">
        <v>558</v>
      </c>
      <c r="C21" s="541" t="s">
        <v>571</v>
      </c>
      <c r="D21" s="505">
        <v>131277.21</v>
      </c>
      <c r="E21" s="535">
        <v>0.33</v>
      </c>
      <c r="F21" s="253">
        <f t="shared" si="1"/>
        <v>43321.479299999999</v>
      </c>
      <c r="G21" s="325">
        <v>0.67</v>
      </c>
      <c r="H21" s="254">
        <f t="shared" ref="H21:H53" si="2">D21*G21</f>
        <v>87955.7307</v>
      </c>
    </row>
    <row r="22" spans="1:8">
      <c r="A22" s="608">
        <v>12</v>
      </c>
      <c r="B22" s="540" t="s">
        <v>558</v>
      </c>
      <c r="C22" s="541" t="s">
        <v>571</v>
      </c>
      <c r="D22" s="505">
        <v>265373.44</v>
      </c>
      <c r="E22" s="535">
        <v>0.33</v>
      </c>
      <c r="F22" s="253">
        <f t="shared" si="1"/>
        <v>87573.23520000001</v>
      </c>
      <c r="G22" s="325">
        <v>0.67</v>
      </c>
      <c r="H22" s="254">
        <f t="shared" si="2"/>
        <v>177800.20480000001</v>
      </c>
    </row>
    <row r="23" spans="1:8">
      <c r="A23" s="608">
        <v>13</v>
      </c>
      <c r="B23" s="540" t="s">
        <v>558</v>
      </c>
      <c r="C23" s="541" t="s">
        <v>572</v>
      </c>
      <c r="D23" s="505">
        <v>73711.679999999993</v>
      </c>
      <c r="E23" s="535">
        <v>0.33</v>
      </c>
      <c r="F23" s="253">
        <f t="shared" si="1"/>
        <v>24324.8544</v>
      </c>
      <c r="G23" s="325">
        <v>0.67</v>
      </c>
      <c r="H23" s="254">
        <f t="shared" si="2"/>
        <v>49386.825599999996</v>
      </c>
    </row>
    <row r="24" spans="1:8">
      <c r="A24" s="608">
        <v>14</v>
      </c>
      <c r="B24" s="540" t="s">
        <v>558</v>
      </c>
      <c r="C24" s="541" t="s">
        <v>572</v>
      </c>
      <c r="D24" s="505">
        <v>141931.21</v>
      </c>
      <c r="E24" s="535">
        <v>0.33</v>
      </c>
      <c r="F24" s="253">
        <f t="shared" si="1"/>
        <v>46837.299299999999</v>
      </c>
      <c r="G24" s="325">
        <v>0.67</v>
      </c>
      <c r="H24" s="254">
        <f t="shared" si="2"/>
        <v>95093.910699999993</v>
      </c>
    </row>
    <row r="25" spans="1:8">
      <c r="A25" s="608">
        <v>15</v>
      </c>
      <c r="B25" s="540" t="s">
        <v>558</v>
      </c>
      <c r="C25" s="541" t="s">
        <v>572</v>
      </c>
      <c r="D25" s="505">
        <v>179995.67</v>
      </c>
      <c r="E25" s="535">
        <v>0.33</v>
      </c>
      <c r="F25" s="253">
        <f t="shared" si="1"/>
        <v>59398.571100000008</v>
      </c>
      <c r="G25" s="325">
        <v>0.67</v>
      </c>
      <c r="H25" s="254">
        <f t="shared" si="2"/>
        <v>120597.09890000001</v>
      </c>
    </row>
    <row r="26" spans="1:8">
      <c r="A26" s="608">
        <v>16</v>
      </c>
      <c r="B26" s="540" t="s">
        <v>558</v>
      </c>
      <c r="C26" s="541" t="s">
        <v>573</v>
      </c>
      <c r="D26" s="505">
        <v>39217.440000000002</v>
      </c>
      <c r="E26" s="535">
        <v>0.33</v>
      </c>
      <c r="F26" s="253">
        <f t="shared" si="1"/>
        <v>12941.755200000001</v>
      </c>
      <c r="G26" s="325">
        <v>0.67</v>
      </c>
      <c r="H26" s="254">
        <f t="shared" si="2"/>
        <v>26275.684800000003</v>
      </c>
    </row>
    <row r="27" spans="1:8">
      <c r="A27" s="608">
        <v>17</v>
      </c>
      <c r="B27" s="540" t="s">
        <v>558</v>
      </c>
      <c r="C27" s="541" t="s">
        <v>573</v>
      </c>
      <c r="D27" s="505">
        <v>89700.9</v>
      </c>
      <c r="E27" s="535">
        <v>0.33</v>
      </c>
      <c r="F27" s="253">
        <f t="shared" si="1"/>
        <v>29601.296999999999</v>
      </c>
      <c r="G27" s="325">
        <v>0.67</v>
      </c>
      <c r="H27" s="254">
        <f t="shared" si="2"/>
        <v>60099.603000000003</v>
      </c>
    </row>
    <row r="28" spans="1:8">
      <c r="A28" s="608">
        <v>18</v>
      </c>
      <c r="B28" s="540" t="s">
        <v>558</v>
      </c>
      <c r="C28" s="541" t="s">
        <v>574</v>
      </c>
      <c r="D28" s="505">
        <v>22459.3</v>
      </c>
      <c r="E28" s="535">
        <v>0.33</v>
      </c>
      <c r="F28" s="253">
        <f t="shared" si="1"/>
        <v>7411.5690000000004</v>
      </c>
      <c r="G28" s="325">
        <v>0.67</v>
      </c>
      <c r="H28" s="254">
        <f t="shared" si="2"/>
        <v>15047.731</v>
      </c>
    </row>
    <row r="29" spans="1:8">
      <c r="A29" s="608">
        <v>19</v>
      </c>
      <c r="B29" s="540" t="s">
        <v>558</v>
      </c>
      <c r="C29" s="541" t="s">
        <v>574</v>
      </c>
      <c r="D29" s="505">
        <v>410893.11</v>
      </c>
      <c r="E29" s="535">
        <v>0.33</v>
      </c>
      <c r="F29" s="253">
        <f t="shared" si="1"/>
        <v>135594.72630000001</v>
      </c>
      <c r="G29" s="325">
        <v>0.67</v>
      </c>
      <c r="H29" s="254">
        <f t="shared" si="2"/>
        <v>275298.38370000001</v>
      </c>
    </row>
    <row r="30" spans="1:8">
      <c r="A30" s="608">
        <v>20</v>
      </c>
      <c r="B30" s="540" t="s">
        <v>558</v>
      </c>
      <c r="C30" s="541" t="s">
        <v>571</v>
      </c>
      <c r="D30" s="505">
        <v>304124.40999999997</v>
      </c>
      <c r="E30" s="535">
        <v>0.33</v>
      </c>
      <c r="F30" s="253">
        <f t="shared" si="1"/>
        <v>100361.05529999999</v>
      </c>
      <c r="G30" s="325">
        <v>0.67</v>
      </c>
      <c r="H30" s="254">
        <f t="shared" si="2"/>
        <v>203763.3547</v>
      </c>
    </row>
    <row r="31" spans="1:8">
      <c r="A31" s="608">
        <v>21</v>
      </c>
      <c r="B31" s="540" t="s">
        <v>558</v>
      </c>
      <c r="C31" s="541" t="s">
        <v>575</v>
      </c>
      <c r="D31" s="505">
        <v>1461976</v>
      </c>
      <c r="E31" s="535">
        <v>0.33</v>
      </c>
      <c r="F31" s="253">
        <f t="shared" si="1"/>
        <v>482452.08</v>
      </c>
      <c r="G31" s="325">
        <v>0.67</v>
      </c>
      <c r="H31" s="254">
        <f t="shared" si="2"/>
        <v>979523.92</v>
      </c>
    </row>
    <row r="32" spans="1:8" ht="13.5" thickBot="1">
      <c r="A32" s="608">
        <v>22</v>
      </c>
      <c r="B32" s="536"/>
      <c r="C32" s="537" t="s">
        <v>576</v>
      </c>
      <c r="D32" s="538">
        <f>SUM(D20:D31)</f>
        <v>3302625.58</v>
      </c>
      <c r="E32" s="542"/>
      <c r="F32" s="257">
        <f>SUM(F20:F31)</f>
        <v>1089866.4414000001</v>
      </c>
      <c r="G32" s="256"/>
      <c r="H32" s="258">
        <f>SUM(H20:H31)</f>
        <v>2212759.1386000002</v>
      </c>
    </row>
    <row r="33" spans="1:8" ht="13.5" thickTop="1">
      <c r="A33" s="608">
        <v>23</v>
      </c>
      <c r="B33" s="540" t="s">
        <v>558</v>
      </c>
      <c r="C33" s="541" t="s">
        <v>577</v>
      </c>
      <c r="D33" s="505">
        <v>20892.87</v>
      </c>
      <c r="E33" s="535">
        <v>0</v>
      </c>
      <c r="F33" s="253">
        <f t="shared" si="1"/>
        <v>0</v>
      </c>
      <c r="G33" s="325">
        <v>1</v>
      </c>
      <c r="H33" s="254">
        <f t="shared" si="2"/>
        <v>20892.87</v>
      </c>
    </row>
    <row r="34" spans="1:8">
      <c r="A34" s="608">
        <v>24</v>
      </c>
      <c r="B34" s="540" t="s">
        <v>558</v>
      </c>
      <c r="C34" s="541" t="s">
        <v>577</v>
      </c>
      <c r="D34" s="505">
        <v>461395.39</v>
      </c>
      <c r="E34" s="535">
        <v>0</v>
      </c>
      <c r="F34" s="253">
        <f t="shared" si="1"/>
        <v>0</v>
      </c>
      <c r="G34" s="325">
        <v>1</v>
      </c>
      <c r="H34" s="254">
        <f t="shared" si="2"/>
        <v>461395.39</v>
      </c>
    </row>
    <row r="35" spans="1:8">
      <c r="A35" s="608">
        <v>25</v>
      </c>
      <c r="B35" s="540" t="s">
        <v>558</v>
      </c>
      <c r="C35" s="541" t="s">
        <v>577</v>
      </c>
      <c r="D35" s="505">
        <v>481328.61</v>
      </c>
      <c r="E35" s="535">
        <v>0</v>
      </c>
      <c r="F35" s="253">
        <f t="shared" si="1"/>
        <v>0</v>
      </c>
      <c r="G35" s="325">
        <v>1</v>
      </c>
      <c r="H35" s="254">
        <f t="shared" si="2"/>
        <v>481328.61</v>
      </c>
    </row>
    <row r="36" spans="1:8">
      <c r="A36" s="608">
        <v>26</v>
      </c>
      <c r="B36" s="540" t="s">
        <v>558</v>
      </c>
      <c r="C36" s="541" t="s">
        <v>572</v>
      </c>
      <c r="D36" s="505">
        <v>158422.32</v>
      </c>
      <c r="E36" s="535">
        <v>0</v>
      </c>
      <c r="F36" s="253">
        <f t="shared" si="1"/>
        <v>0</v>
      </c>
      <c r="G36" s="325">
        <v>1</v>
      </c>
      <c r="H36" s="254">
        <f t="shared" si="2"/>
        <v>158422.32</v>
      </c>
    </row>
    <row r="37" spans="1:8">
      <c r="A37" s="608">
        <v>27</v>
      </c>
      <c r="B37" s="540" t="s">
        <v>558</v>
      </c>
      <c r="C37" s="541" t="s">
        <v>572</v>
      </c>
      <c r="D37" s="505">
        <v>61693.3</v>
      </c>
      <c r="E37" s="535">
        <v>0</v>
      </c>
      <c r="F37" s="253">
        <f t="shared" si="1"/>
        <v>0</v>
      </c>
      <c r="G37" s="325">
        <v>1</v>
      </c>
      <c r="H37" s="254">
        <f t="shared" si="2"/>
        <v>61693.3</v>
      </c>
    </row>
    <row r="38" spans="1:8">
      <c r="A38" s="608">
        <v>28</v>
      </c>
      <c r="B38" s="540" t="s">
        <v>558</v>
      </c>
      <c r="C38" s="541" t="s">
        <v>572</v>
      </c>
      <c r="D38" s="505">
        <v>161497.85</v>
      </c>
      <c r="E38" s="535">
        <v>0</v>
      </c>
      <c r="F38" s="253">
        <f t="shared" si="1"/>
        <v>0</v>
      </c>
      <c r="G38" s="325">
        <v>1</v>
      </c>
      <c r="H38" s="254">
        <f t="shared" si="2"/>
        <v>161497.85</v>
      </c>
    </row>
    <row r="39" spans="1:8">
      <c r="A39" s="608">
        <v>29</v>
      </c>
      <c r="B39" s="540" t="s">
        <v>558</v>
      </c>
      <c r="C39" s="541" t="s">
        <v>573</v>
      </c>
      <c r="D39" s="505">
        <v>13072.48</v>
      </c>
      <c r="E39" s="535">
        <v>0</v>
      </c>
      <c r="F39" s="253">
        <f t="shared" si="1"/>
        <v>0</v>
      </c>
      <c r="G39" s="325">
        <v>1</v>
      </c>
      <c r="H39" s="254">
        <f t="shared" si="2"/>
        <v>13072.48</v>
      </c>
    </row>
    <row r="40" spans="1:8">
      <c r="A40" s="608">
        <v>30</v>
      </c>
      <c r="B40" s="540" t="s">
        <v>558</v>
      </c>
      <c r="C40" s="541" t="s">
        <v>573</v>
      </c>
      <c r="D40" s="505">
        <v>28804.65</v>
      </c>
      <c r="E40" s="535">
        <v>0</v>
      </c>
      <c r="F40" s="253">
        <f t="shared" si="1"/>
        <v>0</v>
      </c>
      <c r="G40" s="325">
        <v>1</v>
      </c>
      <c r="H40" s="254">
        <f t="shared" si="2"/>
        <v>28804.65</v>
      </c>
    </row>
    <row r="41" spans="1:8">
      <c r="A41" s="608">
        <v>31</v>
      </c>
      <c r="B41" s="540" t="s">
        <v>558</v>
      </c>
      <c r="C41" s="541" t="s">
        <v>578</v>
      </c>
      <c r="D41" s="505">
        <v>13891.04</v>
      </c>
      <c r="E41" s="535">
        <v>0</v>
      </c>
      <c r="F41" s="253">
        <f t="shared" si="1"/>
        <v>0</v>
      </c>
      <c r="G41" s="325">
        <v>1</v>
      </c>
      <c r="H41" s="254">
        <f t="shared" si="2"/>
        <v>13891.04</v>
      </c>
    </row>
    <row r="42" spans="1:8">
      <c r="A42" s="608">
        <v>32</v>
      </c>
      <c r="B42" s="540" t="s">
        <v>558</v>
      </c>
      <c r="C42" s="541" t="s">
        <v>578</v>
      </c>
      <c r="D42" s="505">
        <v>32368.12</v>
      </c>
      <c r="E42" s="535">
        <v>0</v>
      </c>
      <c r="F42" s="253">
        <f t="shared" si="1"/>
        <v>0</v>
      </c>
      <c r="G42" s="325">
        <v>1</v>
      </c>
      <c r="H42" s="254">
        <f t="shared" si="2"/>
        <v>32368.12</v>
      </c>
    </row>
    <row r="43" spans="1:8">
      <c r="A43" s="608">
        <v>33</v>
      </c>
      <c r="B43" s="540" t="s">
        <v>558</v>
      </c>
      <c r="C43" s="541" t="s">
        <v>578</v>
      </c>
      <c r="D43" s="505">
        <v>14101.03</v>
      </c>
      <c r="E43" s="535">
        <v>0</v>
      </c>
      <c r="F43" s="253">
        <f t="shared" si="1"/>
        <v>0</v>
      </c>
      <c r="G43" s="325">
        <v>1</v>
      </c>
      <c r="H43" s="254">
        <f t="shared" si="2"/>
        <v>14101.03</v>
      </c>
    </row>
    <row r="44" spans="1:8">
      <c r="A44" s="608">
        <v>34</v>
      </c>
      <c r="B44" s="540" t="s">
        <v>558</v>
      </c>
      <c r="C44" s="541" t="s">
        <v>579</v>
      </c>
      <c r="D44" s="505">
        <v>13036.52</v>
      </c>
      <c r="E44" s="535">
        <v>0</v>
      </c>
      <c r="F44" s="253">
        <f t="shared" si="1"/>
        <v>0</v>
      </c>
      <c r="G44" s="325">
        <v>1</v>
      </c>
      <c r="H44" s="254">
        <f t="shared" si="2"/>
        <v>13036.52</v>
      </c>
    </row>
    <row r="45" spans="1:8">
      <c r="A45" s="608">
        <v>35</v>
      </c>
      <c r="B45" s="540" t="s">
        <v>558</v>
      </c>
      <c r="C45" s="541" t="s">
        <v>579</v>
      </c>
      <c r="D45" s="505">
        <v>35655.07</v>
      </c>
      <c r="E45" s="535">
        <v>0</v>
      </c>
      <c r="F45" s="253">
        <f t="shared" si="1"/>
        <v>0</v>
      </c>
      <c r="G45" s="325">
        <v>1</v>
      </c>
      <c r="H45" s="254">
        <f t="shared" si="2"/>
        <v>35655.07</v>
      </c>
    </row>
    <row r="46" spans="1:8">
      <c r="A46" s="608">
        <v>36</v>
      </c>
      <c r="B46" s="540" t="s">
        <v>558</v>
      </c>
      <c r="C46" s="541" t="s">
        <v>574</v>
      </c>
      <c r="D46" s="505">
        <v>25489.5</v>
      </c>
      <c r="E46" s="535">
        <v>0</v>
      </c>
      <c r="F46" s="253">
        <f t="shared" si="1"/>
        <v>0</v>
      </c>
      <c r="G46" s="325">
        <v>1</v>
      </c>
      <c r="H46" s="254">
        <f t="shared" si="2"/>
        <v>25489.5</v>
      </c>
    </row>
    <row r="47" spans="1:8">
      <c r="A47" s="608">
        <v>37</v>
      </c>
      <c r="B47" s="540" t="s">
        <v>558</v>
      </c>
      <c r="C47" s="541" t="s">
        <v>574</v>
      </c>
      <c r="D47" s="505">
        <v>397859.06</v>
      </c>
      <c r="E47" s="535">
        <v>0</v>
      </c>
      <c r="F47" s="253">
        <f t="shared" si="1"/>
        <v>0</v>
      </c>
      <c r="G47" s="325">
        <v>1</v>
      </c>
      <c r="H47" s="254">
        <f t="shared" si="2"/>
        <v>397859.06</v>
      </c>
    </row>
    <row r="48" spans="1:8">
      <c r="A48" s="608">
        <v>38</v>
      </c>
      <c r="B48" s="540" t="s">
        <v>558</v>
      </c>
      <c r="C48" s="541" t="s">
        <v>571</v>
      </c>
      <c r="D48" s="505">
        <v>229082.5</v>
      </c>
      <c r="E48" s="535">
        <v>0</v>
      </c>
      <c r="F48" s="253">
        <f t="shared" si="1"/>
        <v>0</v>
      </c>
      <c r="G48" s="325">
        <v>1</v>
      </c>
      <c r="H48" s="254">
        <f t="shared" si="2"/>
        <v>229082.5</v>
      </c>
    </row>
    <row r="49" spans="1:8">
      <c r="A49" s="608">
        <v>39</v>
      </c>
      <c r="B49" s="540" t="s">
        <v>558</v>
      </c>
      <c r="C49" s="541" t="s">
        <v>577</v>
      </c>
      <c r="D49" s="505">
        <v>138324.81</v>
      </c>
      <c r="E49" s="535">
        <v>0</v>
      </c>
      <c r="F49" s="253">
        <f t="shared" si="1"/>
        <v>0</v>
      </c>
      <c r="G49" s="325">
        <v>1</v>
      </c>
      <c r="H49" s="254">
        <f t="shared" si="2"/>
        <v>138324.81</v>
      </c>
    </row>
    <row r="50" spans="1:8">
      <c r="A50" s="608">
        <v>40</v>
      </c>
      <c r="B50" s="540" t="s">
        <v>558</v>
      </c>
      <c r="C50" s="541" t="s">
        <v>571</v>
      </c>
      <c r="D50" s="505">
        <v>423875</v>
      </c>
      <c r="E50" s="535">
        <v>0</v>
      </c>
      <c r="F50" s="253">
        <f t="shared" si="1"/>
        <v>0</v>
      </c>
      <c r="G50" s="325">
        <v>1</v>
      </c>
      <c r="H50" s="254">
        <f t="shared" si="2"/>
        <v>423875</v>
      </c>
    </row>
    <row r="51" spans="1:8">
      <c r="A51" s="608">
        <v>41</v>
      </c>
      <c r="B51" s="540" t="s">
        <v>558</v>
      </c>
      <c r="C51" s="541" t="s">
        <v>580</v>
      </c>
      <c r="D51" s="505">
        <v>13145.45</v>
      </c>
      <c r="E51" s="535">
        <v>0</v>
      </c>
      <c r="F51" s="253">
        <f t="shared" si="1"/>
        <v>0</v>
      </c>
      <c r="G51" s="325">
        <v>1</v>
      </c>
      <c r="H51" s="254">
        <f t="shared" si="2"/>
        <v>13145.45</v>
      </c>
    </row>
    <row r="52" spans="1:8">
      <c r="A52" s="608">
        <v>42</v>
      </c>
      <c r="B52" s="540" t="s">
        <v>558</v>
      </c>
      <c r="C52" s="541" t="s">
        <v>581</v>
      </c>
      <c r="D52" s="505">
        <v>103407.57</v>
      </c>
      <c r="E52" s="535">
        <v>0</v>
      </c>
      <c r="F52" s="253">
        <f t="shared" si="1"/>
        <v>0</v>
      </c>
      <c r="G52" s="325">
        <v>1</v>
      </c>
      <c r="H52" s="254">
        <f t="shared" si="2"/>
        <v>103407.57</v>
      </c>
    </row>
    <row r="53" spans="1:8">
      <c r="A53" s="608">
        <v>43</v>
      </c>
      <c r="B53" s="540" t="s">
        <v>558</v>
      </c>
      <c r="C53" s="541" t="s">
        <v>575</v>
      </c>
      <c r="D53" s="505">
        <v>2245681</v>
      </c>
      <c r="E53" s="535">
        <v>0</v>
      </c>
      <c r="F53" s="253">
        <f t="shared" si="1"/>
        <v>0</v>
      </c>
      <c r="G53" s="325">
        <v>1</v>
      </c>
      <c r="H53" s="254">
        <f t="shared" si="2"/>
        <v>2245681</v>
      </c>
    </row>
    <row r="54" spans="1:8" ht="13.5" thickBot="1">
      <c r="A54" s="608">
        <v>44</v>
      </c>
      <c r="B54" s="536"/>
      <c r="C54" s="543" t="s">
        <v>582</v>
      </c>
      <c r="D54" s="538">
        <f>SUM(D33:D53)</f>
        <v>5073024.1400000006</v>
      </c>
      <c r="E54" s="539"/>
      <c r="F54" s="257">
        <f>SUM(F33:F53)</f>
        <v>0</v>
      </c>
      <c r="G54" s="256"/>
      <c r="H54" s="258">
        <f>SUM(H33:H53)</f>
        <v>5073024.1400000006</v>
      </c>
    </row>
    <row r="55" spans="1:8" ht="13.5" thickTop="1">
      <c r="A55" s="608">
        <v>45</v>
      </c>
      <c r="B55" s="540" t="s">
        <v>561</v>
      </c>
      <c r="C55" s="544" t="s">
        <v>583</v>
      </c>
      <c r="D55" s="505">
        <v>403</v>
      </c>
      <c r="E55" s="535">
        <v>0</v>
      </c>
      <c r="F55" s="253">
        <f t="shared" ref="F55" si="3">E55*D55</f>
        <v>0</v>
      </c>
      <c r="G55" s="325">
        <v>1</v>
      </c>
      <c r="H55" s="254">
        <f t="shared" ref="H55" si="4">D55*G55</f>
        <v>403</v>
      </c>
    </row>
    <row r="56" spans="1:8" ht="13.5" thickBot="1">
      <c r="A56" s="608">
        <v>46</v>
      </c>
      <c r="B56" s="536"/>
      <c r="C56" s="543" t="s">
        <v>2677</v>
      </c>
      <c r="D56" s="538">
        <f>SUM(D55)</f>
        <v>403</v>
      </c>
      <c r="E56" s="539"/>
      <c r="F56" s="257">
        <f>SUM(F54:F55)</f>
        <v>0</v>
      </c>
      <c r="G56" s="256"/>
      <c r="H56" s="258">
        <f>SUM(H55)</f>
        <v>403</v>
      </c>
    </row>
    <row r="57" spans="1:8" ht="13.5" thickTop="1">
      <c r="A57" s="608">
        <v>47</v>
      </c>
      <c r="B57" s="540" t="s">
        <v>2665</v>
      </c>
      <c r="C57" s="643" t="s">
        <v>2699</v>
      </c>
      <c r="D57" s="12">
        <v>808450</v>
      </c>
      <c r="E57" s="535">
        <v>0.33</v>
      </c>
      <c r="F57" s="253">
        <f t="shared" ref="F57:F58" si="5">E57*D57</f>
        <v>266788.5</v>
      </c>
      <c r="G57" s="633">
        <v>0.67</v>
      </c>
      <c r="H57" s="254">
        <f t="shared" ref="H57:H58" si="6">D57*G57</f>
        <v>541661.5</v>
      </c>
    </row>
    <row r="58" spans="1:8">
      <c r="A58" s="608">
        <v>48</v>
      </c>
      <c r="B58" s="540" t="s">
        <v>2665</v>
      </c>
      <c r="C58" s="643" t="s">
        <v>2700</v>
      </c>
      <c r="D58" s="12">
        <v>1008450</v>
      </c>
      <c r="E58" s="535">
        <v>0.33</v>
      </c>
      <c r="F58" s="253">
        <f t="shared" si="5"/>
        <v>332788.5</v>
      </c>
      <c r="G58" s="633">
        <v>0.67</v>
      </c>
      <c r="H58" s="254">
        <f t="shared" si="6"/>
        <v>675661.5</v>
      </c>
    </row>
    <row r="59" spans="1:8">
      <c r="A59" s="608">
        <v>49</v>
      </c>
      <c r="B59" s="540" t="s">
        <v>2665</v>
      </c>
      <c r="C59" s="643" t="s">
        <v>2701</v>
      </c>
      <c r="D59" s="12">
        <v>24000</v>
      </c>
      <c r="E59" s="535">
        <v>0.33</v>
      </c>
      <c r="F59" s="253">
        <f>E59*D59</f>
        <v>7920</v>
      </c>
      <c r="G59" s="633">
        <v>0.67</v>
      </c>
      <c r="H59" s="254">
        <f>D59*G59</f>
        <v>16080.000000000002</v>
      </c>
    </row>
    <row r="60" spans="1:8" ht="13.5" thickBot="1">
      <c r="A60" s="608">
        <v>50</v>
      </c>
      <c r="B60" s="540"/>
      <c r="C60" s="543" t="s">
        <v>2684</v>
      </c>
      <c r="D60" s="538">
        <f>SUM(D57:D59)</f>
        <v>1840900</v>
      </c>
      <c r="E60" s="539"/>
      <c r="F60" s="257">
        <f>SUM(F57:F59)</f>
        <v>607497</v>
      </c>
      <c r="G60" s="256"/>
      <c r="H60" s="257">
        <f>SUM(H57:H59)</f>
        <v>1233403</v>
      </c>
    </row>
    <row r="61" spans="1:8" ht="13.5" thickTop="1">
      <c r="A61" s="608">
        <v>51</v>
      </c>
      <c r="B61" s="540" t="s">
        <v>846</v>
      </c>
      <c r="C61" s="541" t="s">
        <v>2687</v>
      </c>
      <c r="D61" s="505">
        <v>1722238</v>
      </c>
      <c r="E61" s="535">
        <v>0.33</v>
      </c>
      <c r="F61" s="253">
        <f t="shared" ref="F61:F64" si="7">E61*D61</f>
        <v>568338.54</v>
      </c>
      <c r="G61" s="633">
        <v>0.67</v>
      </c>
      <c r="H61" s="254">
        <f t="shared" ref="H61:H64" si="8">D61*G61</f>
        <v>1153899.46</v>
      </c>
    </row>
    <row r="62" spans="1:8">
      <c r="A62" s="608">
        <v>52</v>
      </c>
      <c r="B62" s="540" t="s">
        <v>846</v>
      </c>
      <c r="C62" s="541" t="s">
        <v>2688</v>
      </c>
      <c r="D62" s="505">
        <v>122756</v>
      </c>
      <c r="E62" s="535">
        <v>0.33</v>
      </c>
      <c r="F62" s="253">
        <f t="shared" si="7"/>
        <v>40509.480000000003</v>
      </c>
      <c r="G62" s="633">
        <v>0.67</v>
      </c>
      <c r="H62" s="254">
        <f t="shared" si="8"/>
        <v>82246.52</v>
      </c>
    </row>
    <row r="63" spans="1:8">
      <c r="A63" s="608">
        <v>53</v>
      </c>
      <c r="B63" s="540" t="s">
        <v>846</v>
      </c>
      <c r="C63" s="541" t="s">
        <v>2689</v>
      </c>
      <c r="D63" s="505">
        <v>287886</v>
      </c>
      <c r="E63" s="535">
        <v>0.33</v>
      </c>
      <c r="F63" s="253">
        <f t="shared" si="7"/>
        <v>95002.38</v>
      </c>
      <c r="G63" s="633">
        <v>0.67</v>
      </c>
      <c r="H63" s="254">
        <f t="shared" si="8"/>
        <v>192883.62000000002</v>
      </c>
    </row>
    <row r="64" spans="1:8">
      <c r="A64" s="608">
        <v>54</v>
      </c>
      <c r="B64" s="540" t="s">
        <v>846</v>
      </c>
      <c r="C64" s="541" t="s">
        <v>2690</v>
      </c>
      <c r="D64" s="505">
        <v>467120</v>
      </c>
      <c r="E64" s="535">
        <v>0.33</v>
      </c>
      <c r="F64" s="253">
        <f t="shared" si="7"/>
        <v>154149.6</v>
      </c>
      <c r="G64" s="633">
        <v>0.67</v>
      </c>
      <c r="H64" s="254">
        <f t="shared" si="8"/>
        <v>312970.40000000002</v>
      </c>
    </row>
    <row r="65" spans="1:8" ht="13.5" thickBot="1">
      <c r="A65" s="608">
        <v>55</v>
      </c>
      <c r="B65" s="536"/>
      <c r="C65" s="543" t="s">
        <v>2683</v>
      </c>
      <c r="D65" s="538">
        <f>SUM(D61:D64)</f>
        <v>2600000</v>
      </c>
      <c r="E65" s="539"/>
      <c r="F65" s="257">
        <f>SUM(F61:F64)</f>
        <v>858000</v>
      </c>
      <c r="G65" s="256"/>
      <c r="H65" s="258">
        <f>SUM(H61:H64)</f>
        <v>1742000</v>
      </c>
    </row>
    <row r="66" spans="1:8" ht="13.5" thickTop="1">
      <c r="A66" s="608">
        <v>56</v>
      </c>
      <c r="B66" s="540" t="s">
        <v>2663</v>
      </c>
      <c r="C66" s="544" t="s">
        <v>2668</v>
      </c>
      <c r="D66" s="505">
        <v>223624</v>
      </c>
      <c r="E66" s="535">
        <v>0.33</v>
      </c>
      <c r="F66" s="253">
        <f t="shared" ref="F66:F68" si="9">E66*D66</f>
        <v>73795.92</v>
      </c>
      <c r="G66" s="633">
        <v>0.67</v>
      </c>
      <c r="H66" s="254">
        <f t="shared" ref="H66:H68" si="10">D66*G66</f>
        <v>149828.08000000002</v>
      </c>
    </row>
    <row r="67" spans="1:8">
      <c r="A67" s="608">
        <v>57</v>
      </c>
      <c r="B67" s="540" t="s">
        <v>2663</v>
      </c>
      <c r="C67" s="544" t="s">
        <v>2669</v>
      </c>
      <c r="D67" s="505">
        <v>210300</v>
      </c>
      <c r="E67" s="535">
        <v>0.33</v>
      </c>
      <c r="F67" s="253">
        <f t="shared" si="9"/>
        <v>69399</v>
      </c>
      <c r="G67" s="633">
        <v>0.67</v>
      </c>
      <c r="H67" s="254">
        <f t="shared" si="10"/>
        <v>140901</v>
      </c>
    </row>
    <row r="68" spans="1:8">
      <c r="A68" s="608">
        <v>58</v>
      </c>
      <c r="B68" s="540" t="s">
        <v>2663</v>
      </c>
      <c r="C68" s="544" t="s">
        <v>2670</v>
      </c>
      <c r="D68" s="505">
        <v>1247883</v>
      </c>
      <c r="E68" s="535">
        <v>0.33</v>
      </c>
      <c r="F68" s="253">
        <f t="shared" si="9"/>
        <v>411801.39</v>
      </c>
      <c r="G68" s="633">
        <v>0.67</v>
      </c>
      <c r="H68" s="254">
        <f t="shared" si="10"/>
        <v>836081.6100000001</v>
      </c>
    </row>
    <row r="69" spans="1:8" ht="13.5" thickBot="1">
      <c r="A69" s="608">
        <v>59</v>
      </c>
      <c r="B69" s="536"/>
      <c r="C69" s="543" t="s">
        <v>2673</v>
      </c>
      <c r="D69" s="538">
        <f>SUM(D66:D68)</f>
        <v>1681807</v>
      </c>
      <c r="E69" s="539"/>
      <c r="F69" s="257">
        <f>SUM(F66:F68)</f>
        <v>554996.31000000006</v>
      </c>
      <c r="G69" s="256"/>
      <c r="H69" s="258">
        <f>SUM(H66:H68)</f>
        <v>1126810.6900000002</v>
      </c>
    </row>
    <row r="70" spans="1:8" ht="13.5" thickTop="1">
      <c r="A70" s="608">
        <v>60</v>
      </c>
      <c r="B70" s="540" t="s">
        <v>2663</v>
      </c>
      <c r="C70" s="544" t="s">
        <v>2671</v>
      </c>
      <c r="D70" s="505">
        <v>998448.6</v>
      </c>
      <c r="E70" s="535">
        <v>0.33</v>
      </c>
      <c r="F70" s="194">
        <v>329488.038</v>
      </c>
      <c r="G70" s="633">
        <v>0.67</v>
      </c>
      <c r="H70" s="309">
        <v>668960.56200000003</v>
      </c>
    </row>
    <row r="71" spans="1:8" ht="13.5" thickBot="1">
      <c r="A71" s="608">
        <v>61</v>
      </c>
      <c r="B71" s="536"/>
      <c r="C71" s="543" t="s">
        <v>2674</v>
      </c>
      <c r="D71" s="538">
        <v>998448.6</v>
      </c>
      <c r="E71" s="539"/>
      <c r="F71" s="257">
        <f>F70</f>
        <v>329488.038</v>
      </c>
      <c r="G71" s="256"/>
      <c r="H71" s="258">
        <f>H70</f>
        <v>668960.56200000003</v>
      </c>
    </row>
    <row r="72" spans="1:8" ht="13.5" thickTop="1">
      <c r="A72" s="608">
        <v>62</v>
      </c>
      <c r="B72" s="540" t="s">
        <v>2663</v>
      </c>
      <c r="C72" s="544" t="s">
        <v>2672</v>
      </c>
      <c r="D72" s="505">
        <v>4855840.7300000004</v>
      </c>
      <c r="E72" s="535">
        <v>0.33</v>
      </c>
      <c r="F72" s="194">
        <v>1602427.4409000003</v>
      </c>
      <c r="G72" s="633">
        <v>0.67</v>
      </c>
      <c r="H72" s="309">
        <v>3253413.2891000006</v>
      </c>
    </row>
    <row r="73" spans="1:8" ht="13.5" thickBot="1">
      <c r="A73" s="608">
        <v>63</v>
      </c>
      <c r="B73" s="536"/>
      <c r="C73" s="543" t="s">
        <v>2675</v>
      </c>
      <c r="D73" s="538">
        <v>4855840.7300000004</v>
      </c>
      <c r="E73" s="539"/>
      <c r="F73" s="257">
        <f>F72</f>
        <v>1602427.4409000003</v>
      </c>
      <c r="G73" s="256"/>
      <c r="H73" s="258">
        <f>H72</f>
        <v>3253413.2891000006</v>
      </c>
    </row>
    <row r="74" spans="1:8" ht="14" thickTop="1" thickBot="1">
      <c r="A74" s="608">
        <v>64</v>
      </c>
      <c r="B74" s="610"/>
      <c r="C74" s="611" t="s">
        <v>584</v>
      </c>
      <c r="D74" s="612">
        <f>D19+D54+D32+D56+D60+D65+D69+D71+D73</f>
        <v>20404862.050000001</v>
      </c>
      <c r="E74" s="612"/>
      <c r="F74" s="612">
        <f>F19+F54+F32+F56+F60+F65+F69+F71+F73</f>
        <v>5042275.2302999999</v>
      </c>
      <c r="G74" s="613"/>
      <c r="H74" s="612">
        <f>H19+H54+H32+H56+H60+H65+H69+H71+H73</f>
        <v>15362586.819700001</v>
      </c>
    </row>
    <row r="75" spans="1:8">
      <c r="A75" s="114"/>
      <c r="B75" s="545"/>
      <c r="C75" s="114"/>
      <c r="D75" s="275"/>
      <c r="E75" s="114"/>
      <c r="F75" s="253"/>
      <c r="G75" s="114"/>
      <c r="H75" s="329"/>
    </row>
    <row r="76" spans="1:8">
      <c r="A76" s="114"/>
      <c r="B76" s="545"/>
      <c r="C76" s="114"/>
      <c r="D76" s="275"/>
      <c r="E76" s="535"/>
      <c r="F76" s="253"/>
      <c r="G76" s="325"/>
      <c r="H76" s="329"/>
    </row>
    <row r="77" spans="1:8">
      <c r="A77" s="114"/>
      <c r="B77" s="545"/>
      <c r="C77" s="114"/>
      <c r="D77" s="275"/>
      <c r="E77" s="535"/>
      <c r="F77" s="253"/>
      <c r="G77" s="325"/>
      <c r="H77" s="329"/>
    </row>
    <row r="78" spans="1:8">
      <c r="A78" s="114"/>
      <c r="B78" s="545"/>
      <c r="C78" s="114"/>
      <c r="D78" s="275"/>
      <c r="E78" s="535"/>
      <c r="F78" s="253"/>
      <c r="G78" s="325"/>
      <c r="H78" s="329"/>
    </row>
    <row r="79" spans="1:8">
      <c r="A79" s="114"/>
      <c r="B79" s="545"/>
      <c r="C79" s="528"/>
      <c r="D79" s="275"/>
      <c r="E79" s="114"/>
      <c r="F79" s="253"/>
      <c r="G79" s="114"/>
      <c r="H79" s="329"/>
    </row>
    <row r="80" spans="1:8">
      <c r="H80" s="634"/>
    </row>
    <row r="81" spans="2:8">
      <c r="B81" s="545"/>
      <c r="E81" s="535"/>
      <c r="F81" s="253"/>
      <c r="G81" s="325"/>
      <c r="H81" s="329"/>
    </row>
    <row r="82" spans="2:8">
      <c r="B82" s="545"/>
      <c r="C82" s="528"/>
      <c r="H82" s="634"/>
    </row>
    <row r="83" spans="2:8">
      <c r="H83" s="634"/>
    </row>
    <row r="84" spans="2:8">
      <c r="B84" s="545"/>
      <c r="E84" s="535"/>
      <c r="F84" s="253"/>
      <c r="G84" s="325"/>
      <c r="H84" s="329"/>
    </row>
    <row r="85" spans="2:8">
      <c r="B85" s="545"/>
      <c r="C85" s="528"/>
      <c r="H85" s="634"/>
    </row>
    <row r="89" spans="2:8">
      <c r="C89" s="528"/>
    </row>
    <row r="93" spans="2:8">
      <c r="C93" s="528"/>
    </row>
  </sheetData>
  <hyperlinks>
    <hyperlink ref="C1" location="'Cover Sheets'!A16" display="(Back to Worksheet Links)" xr:uid="{00000000-0004-0000-0900-000000000000}"/>
  </hyperlinks>
  <pageMargins left="0.7" right="0.7" top="0.75" bottom="0.75" header="0.3" footer="0.3"/>
  <pageSetup scale="66"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5"/>
  <sheetViews>
    <sheetView view="pageBreakPreview" zoomScale="80" zoomScaleNormal="100" zoomScaleSheetLayoutView="80" workbookViewId="0"/>
  </sheetViews>
  <sheetFormatPr defaultColWidth="8.54296875" defaultRowHeight="14.5"/>
  <cols>
    <col min="1" max="2" width="6.54296875" style="714" customWidth="1"/>
    <col min="3" max="3" width="25.54296875" style="494" customWidth="1"/>
    <col min="4" max="4" width="63.54296875" style="655" customWidth="1"/>
    <col min="5" max="11" width="4.453125" style="655" customWidth="1"/>
    <col min="12" max="12" width="69.453125" style="655" customWidth="1"/>
    <col min="13" max="13" width="23" style="655" customWidth="1"/>
    <col min="14" max="16384" width="8.54296875" style="655"/>
  </cols>
  <sheetData>
    <row r="1" spans="1:12">
      <c r="A1" s="361" t="str">
        <f>'Cover Sheets'!A10:B10</f>
        <v>WAPA-UGP 2024 Rate Estimate Calculation</v>
      </c>
      <c r="B1" s="365"/>
      <c r="C1" s="652"/>
      <c r="D1" s="653"/>
      <c r="E1" s="653"/>
      <c r="F1" s="653"/>
      <c r="G1" s="653"/>
      <c r="H1" s="653"/>
      <c r="I1" s="653"/>
      <c r="J1" s="653"/>
      <c r="K1" s="653"/>
      <c r="L1" s="654" t="s">
        <v>41</v>
      </c>
    </row>
    <row r="2" spans="1:12">
      <c r="A2" s="656" t="s">
        <v>1594</v>
      </c>
      <c r="B2" s="657"/>
      <c r="C2" s="658"/>
      <c r="D2" s="659"/>
      <c r="E2" s="659"/>
      <c r="F2" s="659"/>
      <c r="G2" s="659"/>
      <c r="H2" s="659"/>
      <c r="I2" s="659"/>
      <c r="J2" s="659"/>
      <c r="K2" s="659"/>
      <c r="L2" s="660"/>
    </row>
    <row r="3" spans="1:12">
      <c r="A3" s="656" t="str">
        <f>'WS1-RateBase'!A4</f>
        <v>12 Months Ending 09/30/2024 ESTIMATE</v>
      </c>
      <c r="B3" s="657"/>
      <c r="C3" s="658"/>
      <c r="D3" s="659"/>
      <c r="E3" s="659"/>
      <c r="F3" s="659"/>
      <c r="G3" s="659"/>
      <c r="H3" s="659"/>
      <c r="I3" s="659"/>
      <c r="J3" s="659"/>
      <c r="K3" s="659"/>
      <c r="L3" s="660"/>
    </row>
    <row r="4" spans="1:12" ht="15" thickBot="1">
      <c r="A4" s="661"/>
      <c r="B4" s="662"/>
      <c r="C4" s="663"/>
      <c r="D4" s="664"/>
      <c r="E4" s="914" t="s">
        <v>1595</v>
      </c>
      <c r="F4" s="914"/>
      <c r="G4" s="914"/>
      <c r="H4" s="914"/>
      <c r="I4" s="914"/>
      <c r="J4" s="914"/>
      <c r="K4" s="914"/>
      <c r="L4" s="665"/>
    </row>
    <row r="5" spans="1:12" s="671" customFormat="1">
      <c r="A5" s="666"/>
      <c r="B5" s="667" t="s">
        <v>51</v>
      </c>
      <c r="C5" s="668" t="s">
        <v>52</v>
      </c>
      <c r="D5" s="669" t="s">
        <v>53</v>
      </c>
      <c r="E5" s="669" t="s">
        <v>54</v>
      </c>
      <c r="F5" s="669" t="s">
        <v>55</v>
      </c>
      <c r="G5" s="669" t="s">
        <v>75</v>
      </c>
      <c r="H5" s="669" t="s">
        <v>76</v>
      </c>
      <c r="I5" s="669" t="s">
        <v>2629</v>
      </c>
      <c r="J5" s="669" t="s">
        <v>2630</v>
      </c>
      <c r="K5" s="669" t="s">
        <v>2631</v>
      </c>
      <c r="L5" s="670" t="s">
        <v>2632</v>
      </c>
    </row>
    <row r="6" spans="1:12" s="677" customFormat="1" ht="29">
      <c r="A6" s="672" t="s">
        <v>380</v>
      </c>
      <c r="B6" s="673" t="s">
        <v>554</v>
      </c>
      <c r="C6" s="674" t="s">
        <v>1596</v>
      </c>
      <c r="D6" s="673" t="s">
        <v>1597</v>
      </c>
      <c r="E6" s="675" t="s">
        <v>1598</v>
      </c>
      <c r="F6" s="675" t="s">
        <v>1599</v>
      </c>
      <c r="G6" s="675" t="s">
        <v>1600</v>
      </c>
      <c r="H6" s="675" t="s">
        <v>1601</v>
      </c>
      <c r="I6" s="675" t="s">
        <v>1602</v>
      </c>
      <c r="J6" s="675" t="s">
        <v>1603</v>
      </c>
      <c r="K6" s="675" t="s">
        <v>1604</v>
      </c>
      <c r="L6" s="676" t="s">
        <v>1605</v>
      </c>
    </row>
    <row r="7" spans="1:12" s="686" customFormat="1">
      <c r="A7" s="678"/>
      <c r="B7" s="679"/>
      <c r="C7" s="680" t="s">
        <v>1606</v>
      </c>
      <c r="D7" s="681"/>
      <c r="E7" s="682"/>
      <c r="F7" s="682"/>
      <c r="G7" s="683"/>
      <c r="H7" s="683"/>
      <c r="I7" s="684"/>
      <c r="J7" s="683"/>
      <c r="K7" s="683"/>
      <c r="L7" s="685"/>
    </row>
    <row r="8" spans="1:12">
      <c r="A8" s="687">
        <v>1</v>
      </c>
      <c r="B8" s="679" t="s">
        <v>826</v>
      </c>
      <c r="C8" s="494" t="s">
        <v>1607</v>
      </c>
      <c r="D8" s="496" t="s">
        <v>1608</v>
      </c>
      <c r="E8" s="688" t="s">
        <v>1609</v>
      </c>
      <c r="F8" s="689"/>
      <c r="G8" s="689"/>
      <c r="H8" s="689"/>
      <c r="I8" s="690"/>
      <c r="J8" s="689"/>
      <c r="K8" s="689"/>
      <c r="L8" s="691"/>
    </row>
    <row r="9" spans="1:12">
      <c r="A9" s="687">
        <f t="shared" ref="A9:A35" si="0">A8+1</f>
        <v>2</v>
      </c>
      <c r="B9" s="679"/>
      <c r="D9" s="496" t="s">
        <v>1610</v>
      </c>
      <c r="E9" s="688" t="s">
        <v>1609</v>
      </c>
      <c r="F9" s="689"/>
      <c r="G9" s="689"/>
      <c r="H9" s="689"/>
      <c r="I9" s="690"/>
      <c r="J9" s="689"/>
      <c r="K9" s="689"/>
      <c r="L9" s="691"/>
    </row>
    <row r="10" spans="1:12">
      <c r="A10" s="687">
        <f t="shared" si="0"/>
        <v>3</v>
      </c>
      <c r="B10" s="679" t="s">
        <v>828</v>
      </c>
      <c r="C10" s="494" t="s">
        <v>1611</v>
      </c>
      <c r="D10" s="496" t="s">
        <v>1612</v>
      </c>
      <c r="E10" s="689" t="s">
        <v>1609</v>
      </c>
      <c r="F10" s="689"/>
      <c r="G10" s="689"/>
      <c r="H10" s="689"/>
      <c r="I10" s="690"/>
      <c r="J10" s="689"/>
      <c r="K10" s="689"/>
      <c r="L10" s="691"/>
    </row>
    <row r="11" spans="1:12">
      <c r="A11" s="687">
        <f t="shared" si="0"/>
        <v>4</v>
      </c>
      <c r="B11" s="679"/>
      <c r="D11" s="496" t="s">
        <v>1613</v>
      </c>
      <c r="E11" s="689" t="s">
        <v>1609</v>
      </c>
      <c r="F11" s="689"/>
      <c r="G11" s="689"/>
      <c r="H11" s="689"/>
      <c r="I11" s="690"/>
      <c r="J11" s="689"/>
      <c r="K11" s="689"/>
      <c r="L11" s="691" t="s">
        <v>1614</v>
      </c>
    </row>
    <row r="12" spans="1:12">
      <c r="A12" s="687">
        <f t="shared" si="0"/>
        <v>5</v>
      </c>
      <c r="B12" s="679"/>
      <c r="D12" s="496" t="s">
        <v>1615</v>
      </c>
      <c r="E12" s="689" t="s">
        <v>1609</v>
      </c>
      <c r="F12" s="689"/>
      <c r="G12" s="689"/>
      <c r="H12" s="689"/>
      <c r="I12" s="690"/>
      <c r="J12" s="689"/>
      <c r="K12" s="689"/>
      <c r="L12" s="691"/>
    </row>
    <row r="13" spans="1:12" ht="29">
      <c r="A13" s="687">
        <f t="shared" si="0"/>
        <v>6</v>
      </c>
      <c r="B13" s="679"/>
      <c r="D13" s="496" t="s">
        <v>1616</v>
      </c>
      <c r="E13" s="689"/>
      <c r="F13" s="689" t="s">
        <v>1609</v>
      </c>
      <c r="G13" s="689"/>
      <c r="H13" s="689"/>
      <c r="I13" s="690"/>
      <c r="J13" s="689"/>
      <c r="K13" s="689"/>
      <c r="L13" s="692" t="s">
        <v>1617</v>
      </c>
    </row>
    <row r="14" spans="1:12" ht="26.5" customHeight="1">
      <c r="A14" s="687">
        <f t="shared" si="0"/>
        <v>7</v>
      </c>
      <c r="B14" s="679"/>
      <c r="D14" s="496" t="s">
        <v>1618</v>
      </c>
      <c r="E14" s="689"/>
      <c r="F14" s="689" t="s">
        <v>1609</v>
      </c>
      <c r="G14" s="689"/>
      <c r="H14" s="689"/>
      <c r="I14" s="690"/>
      <c r="J14" s="689"/>
      <c r="K14" s="689"/>
      <c r="L14" s="692" t="s">
        <v>1619</v>
      </c>
    </row>
    <row r="15" spans="1:12">
      <c r="A15" s="687">
        <f t="shared" si="0"/>
        <v>8</v>
      </c>
      <c r="B15" s="679" t="s">
        <v>1620</v>
      </c>
      <c r="C15" s="494" t="s">
        <v>1621</v>
      </c>
      <c r="D15" s="496" t="s">
        <v>1622</v>
      </c>
      <c r="E15" s="688" t="s">
        <v>1609</v>
      </c>
      <c r="F15" s="688"/>
      <c r="G15" s="689"/>
      <c r="H15" s="689"/>
      <c r="I15" s="690"/>
      <c r="J15" s="689"/>
      <c r="K15" s="689"/>
      <c r="L15" s="691"/>
    </row>
    <row r="16" spans="1:12">
      <c r="A16" s="687">
        <f t="shared" si="0"/>
        <v>9</v>
      </c>
      <c r="B16" s="679" t="s">
        <v>834</v>
      </c>
      <c r="C16" s="494" t="s">
        <v>1623</v>
      </c>
      <c r="D16" s="496" t="s">
        <v>2728</v>
      </c>
      <c r="E16" s="689" t="s">
        <v>1609</v>
      </c>
      <c r="F16" s="689"/>
      <c r="G16" s="689"/>
      <c r="H16" s="689"/>
      <c r="I16" s="690"/>
      <c r="J16" s="689"/>
      <c r="K16" s="689"/>
      <c r="L16" s="691"/>
    </row>
    <row r="17" spans="1:12">
      <c r="A17" s="687">
        <f t="shared" si="0"/>
        <v>10</v>
      </c>
      <c r="B17" s="679"/>
      <c r="D17" s="496" t="s">
        <v>1624</v>
      </c>
      <c r="E17" s="689" t="s">
        <v>1609</v>
      </c>
      <c r="F17" s="689"/>
      <c r="G17" s="689"/>
      <c r="H17" s="689"/>
      <c r="I17" s="690"/>
      <c r="J17" s="689"/>
      <c r="K17" s="689"/>
      <c r="L17" s="691"/>
    </row>
    <row r="18" spans="1:12">
      <c r="A18" s="687">
        <f t="shared" si="0"/>
        <v>11</v>
      </c>
      <c r="B18" s="679"/>
      <c r="D18" s="496" t="s">
        <v>1625</v>
      </c>
      <c r="E18" s="689" t="s">
        <v>1609</v>
      </c>
      <c r="F18" s="689"/>
      <c r="G18" s="689"/>
      <c r="H18" s="689"/>
      <c r="I18" s="690"/>
      <c r="J18" s="689"/>
      <c r="K18" s="689"/>
      <c r="L18" s="691"/>
    </row>
    <row r="19" spans="1:12">
      <c r="A19" s="687">
        <f t="shared" si="0"/>
        <v>12</v>
      </c>
      <c r="B19" s="679" t="s">
        <v>838</v>
      </c>
      <c r="C19" s="494" t="s">
        <v>1626</v>
      </c>
      <c r="D19" s="496" t="s">
        <v>1627</v>
      </c>
      <c r="E19" s="689" t="s">
        <v>1609</v>
      </c>
      <c r="F19" s="689"/>
      <c r="G19" s="689"/>
      <c r="H19" s="689"/>
      <c r="I19" s="690"/>
      <c r="J19" s="689"/>
      <c r="K19" s="689"/>
      <c r="L19" s="691"/>
    </row>
    <row r="20" spans="1:12">
      <c r="A20" s="687">
        <f t="shared" si="0"/>
        <v>13</v>
      </c>
      <c r="B20" s="679" t="s">
        <v>840</v>
      </c>
      <c r="C20" s="494" t="s">
        <v>1628</v>
      </c>
      <c r="D20" s="496" t="s">
        <v>2729</v>
      </c>
      <c r="E20" s="689" t="s">
        <v>1609</v>
      </c>
      <c r="F20" s="689"/>
      <c r="G20" s="689"/>
      <c r="H20" s="689"/>
      <c r="I20" s="690"/>
      <c r="J20" s="689"/>
      <c r="K20" s="689"/>
      <c r="L20" s="691"/>
    </row>
    <row r="21" spans="1:12">
      <c r="A21" s="687">
        <f t="shared" si="0"/>
        <v>14</v>
      </c>
      <c r="B21" s="679"/>
      <c r="D21" s="496" t="s">
        <v>1629</v>
      </c>
      <c r="E21" s="689" t="s">
        <v>1609</v>
      </c>
      <c r="F21" s="689"/>
      <c r="G21" s="689"/>
      <c r="H21" s="689"/>
      <c r="I21" s="690"/>
      <c r="J21" s="689"/>
      <c r="K21" s="689"/>
      <c r="L21" s="691"/>
    </row>
    <row r="22" spans="1:12">
      <c r="A22" s="687">
        <f t="shared" si="0"/>
        <v>15</v>
      </c>
      <c r="B22" s="679"/>
      <c r="D22" s="496" t="s">
        <v>1630</v>
      </c>
      <c r="E22" s="689" t="s">
        <v>1609</v>
      </c>
      <c r="F22" s="689"/>
      <c r="G22" s="689"/>
      <c r="H22" s="689"/>
      <c r="I22" s="690"/>
      <c r="J22" s="689"/>
      <c r="K22" s="689"/>
      <c r="L22" s="691"/>
    </row>
    <row r="23" spans="1:12">
      <c r="A23" s="687">
        <f t="shared" si="0"/>
        <v>16</v>
      </c>
      <c r="B23" s="679"/>
      <c r="D23" s="496" t="s">
        <v>1631</v>
      </c>
      <c r="E23" s="689" t="s">
        <v>1609</v>
      </c>
      <c r="F23" s="689"/>
      <c r="G23" s="689"/>
      <c r="H23" s="689"/>
      <c r="I23" s="689"/>
      <c r="J23" s="689"/>
      <c r="K23" s="689"/>
      <c r="L23" s="691"/>
    </row>
    <row r="24" spans="1:12">
      <c r="A24" s="687">
        <f t="shared" si="0"/>
        <v>17</v>
      </c>
      <c r="B24" s="679"/>
      <c r="D24" s="496" t="s">
        <v>1632</v>
      </c>
      <c r="E24" s="689" t="s">
        <v>1609</v>
      </c>
      <c r="F24" s="689"/>
      <c r="G24" s="689"/>
      <c r="H24" s="689"/>
      <c r="I24" s="689"/>
      <c r="J24" s="689"/>
      <c r="K24" s="689"/>
      <c r="L24" s="691"/>
    </row>
    <row r="25" spans="1:12">
      <c r="A25" s="687">
        <f t="shared" si="0"/>
        <v>18</v>
      </c>
      <c r="B25" s="679" t="s">
        <v>840</v>
      </c>
      <c r="C25" s="494" t="s">
        <v>1633</v>
      </c>
      <c r="D25" s="496" t="s">
        <v>1634</v>
      </c>
      <c r="E25" s="689" t="s">
        <v>1609</v>
      </c>
      <c r="F25" s="689"/>
      <c r="G25" s="689"/>
      <c r="H25" s="689"/>
      <c r="I25" s="689"/>
      <c r="J25" s="689"/>
      <c r="K25" s="689"/>
      <c r="L25" s="691"/>
    </row>
    <row r="26" spans="1:12">
      <c r="A26" s="687">
        <f t="shared" si="0"/>
        <v>19</v>
      </c>
      <c r="B26" s="679"/>
      <c r="D26" s="496" t="s">
        <v>1635</v>
      </c>
      <c r="E26" s="689" t="s">
        <v>1609</v>
      </c>
      <c r="F26" s="689"/>
      <c r="G26" s="689"/>
      <c r="H26" s="689"/>
      <c r="I26" s="689"/>
      <c r="J26" s="689"/>
      <c r="K26" s="689"/>
      <c r="L26" s="691"/>
    </row>
    <row r="27" spans="1:12">
      <c r="A27" s="687">
        <f t="shared" si="0"/>
        <v>20</v>
      </c>
      <c r="B27" s="679"/>
      <c r="D27" s="496" t="s">
        <v>1636</v>
      </c>
      <c r="E27" s="689" t="s">
        <v>1609</v>
      </c>
      <c r="F27" s="689"/>
      <c r="G27" s="689"/>
      <c r="H27" s="689"/>
      <c r="I27" s="689"/>
      <c r="J27" s="689"/>
      <c r="K27" s="689"/>
      <c r="L27" s="691"/>
    </row>
    <row r="28" spans="1:12" ht="16.5" customHeight="1">
      <c r="A28" s="687">
        <f t="shared" si="0"/>
        <v>21</v>
      </c>
      <c r="B28" s="679"/>
      <c r="D28" s="496" t="s">
        <v>1637</v>
      </c>
      <c r="E28" s="689"/>
      <c r="F28" s="689" t="s">
        <v>1609</v>
      </c>
      <c r="G28" s="689"/>
      <c r="H28" s="689"/>
      <c r="I28" s="689"/>
      <c r="J28" s="689"/>
      <c r="K28" s="689"/>
      <c r="L28" s="692" t="s">
        <v>1638</v>
      </c>
    </row>
    <row r="29" spans="1:12" ht="17.25" customHeight="1">
      <c r="A29" s="687">
        <f t="shared" si="0"/>
        <v>22</v>
      </c>
      <c r="B29" s="679"/>
      <c r="D29" s="496" t="s">
        <v>1639</v>
      </c>
      <c r="E29" s="689"/>
      <c r="F29" s="689" t="s">
        <v>1609</v>
      </c>
      <c r="G29" s="689"/>
      <c r="H29" s="689"/>
      <c r="I29" s="689"/>
      <c r="J29" s="689"/>
      <c r="K29" s="689"/>
      <c r="L29" s="691" t="s">
        <v>1640</v>
      </c>
    </row>
    <row r="30" spans="1:12">
      <c r="A30" s="687">
        <f t="shared" si="0"/>
        <v>23</v>
      </c>
      <c r="B30" s="679" t="s">
        <v>844</v>
      </c>
      <c r="C30" s="494" t="s">
        <v>1641</v>
      </c>
      <c r="D30" s="496" t="s">
        <v>1642</v>
      </c>
      <c r="E30" s="689" t="s">
        <v>1609</v>
      </c>
      <c r="F30" s="689"/>
      <c r="G30" s="689"/>
      <c r="H30" s="689"/>
      <c r="I30" s="689"/>
      <c r="J30" s="689"/>
      <c r="K30" s="689"/>
      <c r="L30" s="691"/>
    </row>
    <row r="31" spans="1:12" ht="29">
      <c r="A31" s="687">
        <f t="shared" si="0"/>
        <v>24</v>
      </c>
      <c r="B31" s="679" t="s">
        <v>846</v>
      </c>
      <c r="C31" s="494" t="s">
        <v>1643</v>
      </c>
      <c r="D31" s="496" t="s">
        <v>2589</v>
      </c>
      <c r="E31" s="689" t="s">
        <v>1609</v>
      </c>
      <c r="F31" s="689"/>
      <c r="G31" s="689"/>
      <c r="H31" s="689"/>
      <c r="I31" s="689"/>
      <c r="J31" s="689"/>
      <c r="K31" s="689"/>
      <c r="L31" s="691"/>
    </row>
    <row r="32" spans="1:12">
      <c r="A32" s="687">
        <f t="shared" si="0"/>
        <v>25</v>
      </c>
      <c r="B32" s="679"/>
      <c r="D32" s="496" t="s">
        <v>1644</v>
      </c>
      <c r="E32" s="689" t="s">
        <v>1609</v>
      </c>
      <c r="F32" s="689"/>
      <c r="G32" s="689"/>
      <c r="H32" s="689"/>
      <c r="I32" s="689"/>
      <c r="J32" s="689"/>
      <c r="K32" s="689"/>
      <c r="L32" s="691"/>
    </row>
    <row r="33" spans="1:13">
      <c r="A33" s="687">
        <f t="shared" si="0"/>
        <v>26</v>
      </c>
      <c r="B33" s="679"/>
      <c r="D33" s="496" t="s">
        <v>1645</v>
      </c>
      <c r="E33" s="689" t="s">
        <v>1609</v>
      </c>
      <c r="F33" s="689"/>
      <c r="G33" s="689"/>
      <c r="H33" s="689"/>
      <c r="I33" s="689"/>
      <c r="J33" s="689"/>
      <c r="K33" s="689"/>
      <c r="L33" s="691"/>
    </row>
    <row r="34" spans="1:13">
      <c r="A34" s="687">
        <f t="shared" si="0"/>
        <v>27</v>
      </c>
      <c r="B34" s="679"/>
      <c r="D34" s="496" t="s">
        <v>1646</v>
      </c>
      <c r="E34" s="689" t="s">
        <v>1609</v>
      </c>
      <c r="F34" s="689"/>
      <c r="G34" s="689"/>
      <c r="H34" s="689"/>
      <c r="I34" s="689"/>
      <c r="J34" s="689"/>
      <c r="K34" s="689"/>
      <c r="L34" s="691"/>
    </row>
    <row r="35" spans="1:13">
      <c r="A35" s="687">
        <f t="shared" si="0"/>
        <v>28</v>
      </c>
      <c r="B35" s="679"/>
      <c r="D35" s="496" t="s">
        <v>1647</v>
      </c>
      <c r="E35" s="689" t="s">
        <v>1609</v>
      </c>
      <c r="F35" s="689"/>
      <c r="G35" s="689"/>
      <c r="H35" s="689"/>
      <c r="I35" s="689"/>
      <c r="J35" s="689"/>
      <c r="K35" s="689"/>
      <c r="L35" s="691" t="s">
        <v>1648</v>
      </c>
    </row>
    <row r="36" spans="1:13">
      <c r="A36" s="687"/>
      <c r="B36" s="679"/>
      <c r="D36" s="496" t="s">
        <v>2730</v>
      </c>
      <c r="E36" s="689" t="s">
        <v>1609</v>
      </c>
      <c r="F36" s="689"/>
      <c r="G36" s="689"/>
      <c r="H36" s="689"/>
      <c r="I36" s="689"/>
      <c r="J36" s="689"/>
      <c r="K36" s="689"/>
      <c r="L36" s="691"/>
    </row>
    <row r="37" spans="1:13">
      <c r="A37" s="687">
        <f>A35+1</f>
        <v>29</v>
      </c>
      <c r="B37" s="679" t="s">
        <v>849</v>
      </c>
      <c r="C37" s="494" t="s">
        <v>1649</v>
      </c>
      <c r="D37" s="496" t="s">
        <v>1650</v>
      </c>
      <c r="E37" s="689" t="s">
        <v>1609</v>
      </c>
      <c r="F37" s="689"/>
      <c r="G37" s="689"/>
      <c r="H37" s="689"/>
      <c r="I37" s="689"/>
      <c r="J37" s="689"/>
      <c r="K37" s="689"/>
      <c r="L37" s="691"/>
    </row>
    <row r="38" spans="1:13">
      <c r="A38" s="687">
        <f t="shared" ref="A38:A69" si="1">A37+1</f>
        <v>30</v>
      </c>
      <c r="B38" s="679"/>
      <c r="D38" s="496" t="s">
        <v>1651</v>
      </c>
      <c r="E38" s="689" t="s">
        <v>1609</v>
      </c>
      <c r="F38" s="689"/>
      <c r="G38" s="689"/>
      <c r="H38" s="689"/>
      <c r="I38" s="689"/>
      <c r="J38" s="689"/>
      <c r="K38" s="689"/>
      <c r="L38" s="691"/>
    </row>
    <row r="39" spans="1:13">
      <c r="A39" s="687">
        <f t="shared" si="1"/>
        <v>31</v>
      </c>
      <c r="B39" s="679"/>
      <c r="D39" s="496" t="s">
        <v>1652</v>
      </c>
      <c r="E39" s="689" t="s">
        <v>1609</v>
      </c>
      <c r="F39" s="689"/>
      <c r="G39" s="689"/>
      <c r="H39" s="689"/>
      <c r="I39" s="689"/>
      <c r="J39" s="689"/>
      <c r="K39" s="689"/>
      <c r="L39" s="691"/>
    </row>
    <row r="40" spans="1:13">
      <c r="A40" s="687">
        <f t="shared" si="1"/>
        <v>32</v>
      </c>
      <c r="B40" s="679"/>
      <c r="D40" s="496" t="s">
        <v>1653</v>
      </c>
      <c r="E40" s="689" t="s">
        <v>1609</v>
      </c>
      <c r="F40" s="689"/>
      <c r="G40" s="689"/>
      <c r="H40" s="689"/>
      <c r="I40" s="689"/>
      <c r="J40" s="689"/>
      <c r="K40" s="689"/>
      <c r="L40" s="691"/>
    </row>
    <row r="41" spans="1:13">
      <c r="A41" s="687">
        <f t="shared" si="1"/>
        <v>33</v>
      </c>
      <c r="B41" s="679"/>
      <c r="D41" s="496" t="s">
        <v>1654</v>
      </c>
      <c r="E41" s="689"/>
      <c r="F41" s="689" t="s">
        <v>1609</v>
      </c>
      <c r="G41" s="689"/>
      <c r="H41" s="689"/>
      <c r="I41" s="689"/>
      <c r="J41" s="689"/>
      <c r="K41" s="689"/>
      <c r="L41" s="691" t="s">
        <v>1655</v>
      </c>
    </row>
    <row r="42" spans="1:13">
      <c r="A42" s="687">
        <f t="shared" si="1"/>
        <v>34</v>
      </c>
      <c r="B42" s="679" t="s">
        <v>851</v>
      </c>
      <c r="C42" s="494" t="s">
        <v>1656</v>
      </c>
      <c r="D42" s="496" t="s">
        <v>1657</v>
      </c>
      <c r="E42" s="689" t="s">
        <v>1609</v>
      </c>
      <c r="F42" s="689"/>
      <c r="G42" s="689"/>
      <c r="H42" s="689"/>
      <c r="I42" s="689"/>
      <c r="J42" s="689"/>
      <c r="K42" s="689"/>
      <c r="L42" s="691"/>
    </row>
    <row r="43" spans="1:13">
      <c r="A43" s="687">
        <f t="shared" si="1"/>
        <v>35</v>
      </c>
      <c r="B43" s="679"/>
      <c r="D43" s="496" t="s">
        <v>1658</v>
      </c>
      <c r="E43" s="689" t="s">
        <v>1609</v>
      </c>
      <c r="F43" s="689"/>
      <c r="G43" s="689"/>
      <c r="H43" s="689"/>
      <c r="I43" s="689"/>
      <c r="J43" s="689"/>
      <c r="K43" s="689"/>
      <c r="L43" s="691"/>
      <c r="M43" s="497"/>
    </row>
    <row r="44" spans="1:13">
      <c r="A44" s="687">
        <f t="shared" si="1"/>
        <v>36</v>
      </c>
      <c r="B44" s="679"/>
      <c r="D44" s="496" t="s">
        <v>1659</v>
      </c>
      <c r="E44" s="689" t="s">
        <v>1609</v>
      </c>
      <c r="F44" s="689"/>
      <c r="G44" s="689"/>
      <c r="H44" s="689"/>
      <c r="I44" s="689"/>
      <c r="J44" s="689"/>
      <c r="K44" s="689"/>
      <c r="L44" s="691"/>
    </row>
    <row r="45" spans="1:13">
      <c r="A45" s="687">
        <f t="shared" si="1"/>
        <v>37</v>
      </c>
      <c r="B45" s="679"/>
      <c r="D45" s="496" t="s">
        <v>1660</v>
      </c>
      <c r="E45" s="689" t="s">
        <v>1609</v>
      </c>
      <c r="F45" s="689"/>
      <c r="G45" s="689"/>
      <c r="H45" s="689"/>
      <c r="I45" s="689"/>
      <c r="J45" s="689"/>
      <c r="K45" s="689"/>
      <c r="L45" s="691"/>
    </row>
    <row r="46" spans="1:13" ht="29">
      <c r="A46" s="687">
        <f t="shared" si="1"/>
        <v>38</v>
      </c>
      <c r="B46" s="679" t="s">
        <v>853</v>
      </c>
      <c r="C46" s="494" t="s">
        <v>1661</v>
      </c>
      <c r="D46" s="496" t="s">
        <v>2731</v>
      </c>
      <c r="E46" s="689" t="s">
        <v>1609</v>
      </c>
      <c r="F46" s="689"/>
      <c r="G46" s="689"/>
      <c r="H46" s="689"/>
      <c r="I46" s="689"/>
      <c r="J46" s="689"/>
      <c r="K46" s="689"/>
      <c r="L46" s="691"/>
    </row>
    <row r="47" spans="1:13">
      <c r="A47" s="687">
        <f t="shared" si="1"/>
        <v>39</v>
      </c>
      <c r="B47" s="679"/>
      <c r="D47" s="496" t="s">
        <v>2590</v>
      </c>
      <c r="E47" s="689" t="s">
        <v>1609</v>
      </c>
      <c r="F47" s="689"/>
      <c r="G47" s="689"/>
      <c r="H47" s="689"/>
      <c r="I47" s="689"/>
      <c r="J47" s="689"/>
      <c r="K47" s="689"/>
      <c r="L47" s="691"/>
    </row>
    <row r="48" spans="1:13">
      <c r="A48" s="687">
        <f t="shared" si="1"/>
        <v>40</v>
      </c>
      <c r="B48" s="679"/>
      <c r="D48" s="496" t="s">
        <v>2591</v>
      </c>
      <c r="E48" s="689" t="s">
        <v>1609</v>
      </c>
      <c r="F48" s="689"/>
      <c r="G48" s="689"/>
      <c r="H48" s="689"/>
      <c r="I48" s="689"/>
      <c r="J48" s="689"/>
      <c r="K48" s="689"/>
      <c r="L48" s="691"/>
    </row>
    <row r="49" spans="1:12" ht="29">
      <c r="A49" s="687">
        <f t="shared" si="1"/>
        <v>41</v>
      </c>
      <c r="B49" s="679"/>
      <c r="D49" s="496" t="s">
        <v>1637</v>
      </c>
      <c r="E49" s="689"/>
      <c r="F49" s="689" t="s">
        <v>1609</v>
      </c>
      <c r="G49" s="689"/>
      <c r="H49" s="689"/>
      <c r="I49" s="689"/>
      <c r="J49" s="689"/>
      <c r="K49" s="689"/>
      <c r="L49" s="691" t="s">
        <v>1662</v>
      </c>
    </row>
    <row r="50" spans="1:12" ht="29">
      <c r="A50" s="687">
        <f t="shared" si="1"/>
        <v>42</v>
      </c>
      <c r="B50" s="679"/>
      <c r="D50" s="496" t="s">
        <v>2606</v>
      </c>
      <c r="E50" s="689"/>
      <c r="F50" s="689" t="s">
        <v>1609</v>
      </c>
      <c r="G50" s="689"/>
      <c r="H50" s="689"/>
      <c r="I50" s="689"/>
      <c r="J50" s="689"/>
      <c r="K50" s="689"/>
      <c r="L50" s="691" t="s">
        <v>1663</v>
      </c>
    </row>
    <row r="51" spans="1:12">
      <c r="A51" s="687">
        <f t="shared" si="1"/>
        <v>43</v>
      </c>
      <c r="B51" s="679" t="s">
        <v>1664</v>
      </c>
      <c r="C51" s="494" t="s">
        <v>1665</v>
      </c>
      <c r="D51" s="496" t="s">
        <v>1666</v>
      </c>
      <c r="E51" s="689" t="s">
        <v>1609</v>
      </c>
      <c r="F51" s="689"/>
      <c r="G51" s="689"/>
      <c r="H51" s="689"/>
      <c r="I51" s="689"/>
      <c r="J51" s="689"/>
      <c r="K51" s="689"/>
      <c r="L51" s="691"/>
    </row>
    <row r="52" spans="1:12">
      <c r="A52" s="687">
        <f t="shared" si="1"/>
        <v>44</v>
      </c>
      <c r="B52" s="679" t="s">
        <v>1667</v>
      </c>
      <c r="C52" s="494" t="s">
        <v>1668</v>
      </c>
      <c r="D52" s="496" t="s">
        <v>1669</v>
      </c>
      <c r="E52" s="689" t="s">
        <v>1609</v>
      </c>
      <c r="F52" s="689"/>
      <c r="G52" s="689"/>
      <c r="H52" s="689"/>
      <c r="I52" s="689"/>
      <c r="J52" s="689"/>
      <c r="K52" s="689"/>
      <c r="L52" s="691"/>
    </row>
    <row r="53" spans="1:12">
      <c r="A53" s="687">
        <f t="shared" si="1"/>
        <v>45</v>
      </c>
      <c r="B53" s="679" t="s">
        <v>857</v>
      </c>
      <c r="C53" s="494" t="s">
        <v>1670</v>
      </c>
      <c r="D53" s="496" t="s">
        <v>1671</v>
      </c>
      <c r="E53" s="689" t="s">
        <v>1609</v>
      </c>
      <c r="F53" s="689"/>
      <c r="G53" s="689"/>
      <c r="H53" s="689"/>
      <c r="I53" s="689"/>
      <c r="J53" s="689"/>
      <c r="K53" s="689"/>
      <c r="L53" s="691"/>
    </row>
    <row r="54" spans="1:12">
      <c r="A54" s="687">
        <f t="shared" si="1"/>
        <v>46</v>
      </c>
      <c r="B54" s="679" t="s">
        <v>859</v>
      </c>
      <c r="C54" s="494" t="s">
        <v>1672</v>
      </c>
      <c r="D54" s="496" t="s">
        <v>1673</v>
      </c>
      <c r="E54" s="689" t="s">
        <v>1609</v>
      </c>
      <c r="F54" s="689" t="s">
        <v>1609</v>
      </c>
      <c r="G54" s="689"/>
      <c r="H54" s="689"/>
      <c r="I54" s="689"/>
      <c r="J54" s="689"/>
      <c r="K54" s="689"/>
      <c r="L54" s="691" t="s">
        <v>1674</v>
      </c>
    </row>
    <row r="55" spans="1:12">
      <c r="A55" s="687">
        <f t="shared" si="1"/>
        <v>47</v>
      </c>
      <c r="B55" s="679"/>
      <c r="D55" s="496" t="s">
        <v>1675</v>
      </c>
      <c r="E55" s="689" t="s">
        <v>1609</v>
      </c>
      <c r="F55" s="689"/>
      <c r="G55" s="689"/>
      <c r="H55" s="689"/>
      <c r="I55" s="689"/>
      <c r="J55" s="689"/>
      <c r="K55" s="689"/>
      <c r="L55" s="691"/>
    </row>
    <row r="56" spans="1:12">
      <c r="A56" s="687">
        <f t="shared" si="1"/>
        <v>48</v>
      </c>
      <c r="B56" s="679" t="s">
        <v>1676</v>
      </c>
      <c r="C56" s="494" t="s">
        <v>1677</v>
      </c>
      <c r="D56" s="496" t="s">
        <v>1678</v>
      </c>
      <c r="E56" s="689" t="s">
        <v>1609</v>
      </c>
      <c r="F56" s="689"/>
      <c r="G56" s="689"/>
      <c r="H56" s="689"/>
      <c r="I56" s="689"/>
      <c r="J56" s="689"/>
      <c r="K56" s="689"/>
      <c r="L56" s="691"/>
    </row>
    <row r="57" spans="1:12">
      <c r="A57" s="687">
        <f t="shared" si="1"/>
        <v>49</v>
      </c>
      <c r="B57" s="679"/>
      <c r="D57" s="496" t="s">
        <v>1679</v>
      </c>
      <c r="E57" s="689" t="s">
        <v>1609</v>
      </c>
      <c r="F57" s="689"/>
      <c r="G57" s="689"/>
      <c r="H57" s="689"/>
      <c r="I57" s="689"/>
      <c r="J57" s="689"/>
      <c r="K57" s="689"/>
      <c r="L57" s="691"/>
    </row>
    <row r="58" spans="1:12">
      <c r="A58" s="687">
        <f t="shared" si="1"/>
        <v>50</v>
      </c>
      <c r="B58" s="679"/>
      <c r="D58" s="496" t="s">
        <v>1680</v>
      </c>
      <c r="E58" s="689" t="s">
        <v>1609</v>
      </c>
      <c r="F58" s="689"/>
      <c r="G58" s="689"/>
      <c r="H58" s="689"/>
      <c r="I58" s="689"/>
      <c r="J58" s="689"/>
      <c r="K58" s="689"/>
      <c r="L58" s="691"/>
    </row>
    <row r="59" spans="1:12">
      <c r="A59" s="687">
        <f t="shared" si="1"/>
        <v>51</v>
      </c>
      <c r="B59" s="679" t="s">
        <v>863</v>
      </c>
      <c r="C59" s="494" t="s">
        <v>1681</v>
      </c>
      <c r="D59" s="496" t="s">
        <v>1682</v>
      </c>
      <c r="E59" s="689" t="s">
        <v>1609</v>
      </c>
      <c r="F59" s="689"/>
      <c r="G59" s="689"/>
      <c r="H59" s="689"/>
      <c r="I59" s="689"/>
      <c r="J59" s="689"/>
      <c r="K59" s="689"/>
      <c r="L59" s="691"/>
    </row>
    <row r="60" spans="1:12">
      <c r="A60" s="687">
        <f t="shared" si="1"/>
        <v>52</v>
      </c>
      <c r="B60" s="679" t="s">
        <v>1683</v>
      </c>
      <c r="C60" s="494" t="s">
        <v>1684</v>
      </c>
      <c r="D60" s="496" t="s">
        <v>2732</v>
      </c>
      <c r="E60" s="689" t="s">
        <v>1609</v>
      </c>
      <c r="F60" s="689"/>
      <c r="G60" s="689"/>
      <c r="H60" s="689"/>
      <c r="I60" s="689"/>
      <c r="J60" s="689"/>
      <c r="K60" s="689"/>
      <c r="L60" s="691"/>
    </row>
    <row r="61" spans="1:12">
      <c r="A61" s="687">
        <f t="shared" si="1"/>
        <v>53</v>
      </c>
      <c r="B61" s="679"/>
      <c r="D61" s="496" t="s">
        <v>1685</v>
      </c>
      <c r="E61" s="689" t="s">
        <v>1609</v>
      </c>
      <c r="F61" s="689"/>
      <c r="G61" s="689"/>
      <c r="H61" s="689"/>
      <c r="I61" s="689"/>
      <c r="J61" s="689"/>
      <c r="K61" s="689"/>
      <c r="L61" s="691"/>
    </row>
    <row r="62" spans="1:12">
      <c r="A62" s="687">
        <f t="shared" si="1"/>
        <v>54</v>
      </c>
      <c r="B62" s="679"/>
      <c r="D62" s="496" t="s">
        <v>1686</v>
      </c>
      <c r="E62" s="689" t="s">
        <v>1609</v>
      </c>
      <c r="F62" s="689"/>
      <c r="G62" s="689"/>
      <c r="H62" s="689"/>
      <c r="I62" s="689"/>
      <c r="J62" s="689"/>
      <c r="K62" s="689"/>
      <c r="L62" s="691"/>
    </row>
    <row r="63" spans="1:12">
      <c r="A63" s="687">
        <f t="shared" si="1"/>
        <v>55</v>
      </c>
      <c r="B63" s="679"/>
      <c r="D63" s="496" t="s">
        <v>1687</v>
      </c>
      <c r="E63" s="689" t="s">
        <v>1609</v>
      </c>
      <c r="F63" s="689"/>
      <c r="G63" s="689"/>
      <c r="H63" s="689"/>
      <c r="I63" s="689"/>
      <c r="J63" s="689"/>
      <c r="K63" s="689"/>
      <c r="L63" s="691"/>
    </row>
    <row r="64" spans="1:12">
      <c r="A64" s="687">
        <f t="shared" si="1"/>
        <v>56</v>
      </c>
      <c r="B64" s="679" t="s">
        <v>867</v>
      </c>
      <c r="C64" s="494" t="s">
        <v>1688</v>
      </c>
      <c r="D64" s="496" t="s">
        <v>1689</v>
      </c>
      <c r="E64" s="689" t="s">
        <v>1609</v>
      </c>
      <c r="F64" s="689"/>
      <c r="G64" s="689"/>
      <c r="H64" s="689"/>
      <c r="I64" s="689"/>
      <c r="J64" s="689"/>
      <c r="K64" s="689"/>
      <c r="L64" s="691"/>
    </row>
    <row r="65" spans="1:12">
      <c r="A65" s="687">
        <f t="shared" si="1"/>
        <v>57</v>
      </c>
      <c r="B65" s="679"/>
      <c r="D65" s="496" t="s">
        <v>1690</v>
      </c>
      <c r="E65" s="689" t="s">
        <v>1609</v>
      </c>
      <c r="F65" s="689"/>
      <c r="G65" s="689"/>
      <c r="H65" s="689"/>
      <c r="I65" s="689"/>
      <c r="J65" s="689"/>
      <c r="K65" s="689"/>
      <c r="L65" s="691"/>
    </row>
    <row r="66" spans="1:12">
      <c r="A66" s="687">
        <f t="shared" si="1"/>
        <v>58</v>
      </c>
      <c r="B66" s="679"/>
      <c r="D66" s="496" t="s">
        <v>1691</v>
      </c>
      <c r="E66" s="689" t="s">
        <v>1609</v>
      </c>
      <c r="F66" s="689"/>
      <c r="G66" s="689"/>
      <c r="H66" s="689"/>
      <c r="I66" s="689"/>
      <c r="J66" s="689"/>
      <c r="K66" s="689"/>
      <c r="L66" s="691"/>
    </row>
    <row r="67" spans="1:12" ht="17.25" customHeight="1">
      <c r="A67" s="687">
        <f t="shared" si="1"/>
        <v>59</v>
      </c>
      <c r="B67" s="679"/>
      <c r="D67" s="496" t="s">
        <v>1692</v>
      </c>
      <c r="E67" s="689" t="s">
        <v>1609</v>
      </c>
      <c r="F67" s="689"/>
      <c r="G67" s="689"/>
      <c r="H67" s="689"/>
      <c r="I67" s="689"/>
      <c r="J67" s="689"/>
      <c r="K67" s="689"/>
      <c r="L67" s="691"/>
    </row>
    <row r="68" spans="1:12">
      <c r="A68" s="687">
        <f t="shared" si="1"/>
        <v>60</v>
      </c>
      <c r="B68" s="679"/>
      <c r="D68" s="496" t="s">
        <v>1693</v>
      </c>
      <c r="E68" s="689" t="s">
        <v>1609</v>
      </c>
      <c r="F68" s="689"/>
      <c r="G68" s="689"/>
      <c r="H68" s="689"/>
      <c r="I68" s="689"/>
      <c r="J68" s="689"/>
      <c r="K68" s="689"/>
      <c r="L68" s="691"/>
    </row>
    <row r="69" spans="1:12" ht="29">
      <c r="A69" s="687">
        <f t="shared" si="1"/>
        <v>61</v>
      </c>
      <c r="B69" s="679" t="s">
        <v>869</v>
      </c>
      <c r="C69" s="494" t="s">
        <v>1694</v>
      </c>
      <c r="D69" s="496" t="s">
        <v>1695</v>
      </c>
      <c r="E69" s="689" t="s">
        <v>1609</v>
      </c>
      <c r="F69" s="689"/>
      <c r="G69" s="689"/>
      <c r="H69" s="689"/>
      <c r="I69" s="689"/>
      <c r="J69" s="689"/>
      <c r="K69" s="689"/>
      <c r="L69" s="691"/>
    </row>
    <row r="70" spans="1:12">
      <c r="A70" s="687">
        <f t="shared" ref="A70:A101" si="2">A69+1</f>
        <v>62</v>
      </c>
      <c r="B70" s="679"/>
      <c r="D70" s="496" t="s">
        <v>1696</v>
      </c>
      <c r="E70" s="689" t="s">
        <v>1609</v>
      </c>
      <c r="F70" s="689"/>
      <c r="G70" s="689"/>
      <c r="H70" s="689"/>
      <c r="I70" s="689"/>
      <c r="J70" s="689"/>
      <c r="K70" s="689"/>
      <c r="L70" s="691"/>
    </row>
    <row r="71" spans="1:12">
      <c r="A71" s="687">
        <f t="shared" si="2"/>
        <v>63</v>
      </c>
      <c r="B71" s="679"/>
      <c r="D71" s="496" t="s">
        <v>1697</v>
      </c>
      <c r="E71" s="689" t="s">
        <v>1609</v>
      </c>
      <c r="F71" s="689"/>
      <c r="G71" s="689"/>
      <c r="H71" s="689"/>
      <c r="I71" s="689"/>
      <c r="J71" s="689"/>
      <c r="K71" s="689"/>
      <c r="L71" s="691"/>
    </row>
    <row r="72" spans="1:12">
      <c r="A72" s="687">
        <f t="shared" si="2"/>
        <v>64</v>
      </c>
      <c r="B72" s="679"/>
      <c r="D72" s="496" t="s">
        <v>1698</v>
      </c>
      <c r="E72" s="689" t="s">
        <v>1609</v>
      </c>
      <c r="F72" s="689"/>
      <c r="G72" s="689"/>
      <c r="H72" s="689"/>
      <c r="I72" s="689"/>
      <c r="J72" s="689"/>
      <c r="K72" s="689"/>
      <c r="L72" s="691"/>
    </row>
    <row r="73" spans="1:12">
      <c r="A73" s="687">
        <f t="shared" si="2"/>
        <v>65</v>
      </c>
      <c r="B73" s="679"/>
      <c r="D73" s="496" t="s">
        <v>1699</v>
      </c>
      <c r="E73" s="689" t="s">
        <v>1609</v>
      </c>
      <c r="F73" s="689"/>
      <c r="G73" s="689"/>
      <c r="H73" s="689"/>
      <c r="I73" s="689"/>
      <c r="J73" s="689"/>
      <c r="K73" s="689"/>
      <c r="L73" s="691"/>
    </row>
    <row r="74" spans="1:12">
      <c r="A74" s="687">
        <f t="shared" si="2"/>
        <v>66</v>
      </c>
      <c r="B74" s="679" t="s">
        <v>871</v>
      </c>
      <c r="C74" s="494" t="s">
        <v>1700</v>
      </c>
      <c r="D74" s="496" t="s">
        <v>1701</v>
      </c>
      <c r="E74" s="689"/>
      <c r="F74" s="689"/>
      <c r="G74" s="689" t="s">
        <v>1609</v>
      </c>
      <c r="H74" s="689"/>
      <c r="I74" s="689"/>
      <c r="J74" s="689"/>
      <c r="K74" s="689"/>
      <c r="L74" s="691" t="s">
        <v>1702</v>
      </c>
    </row>
    <row r="75" spans="1:12">
      <c r="A75" s="687">
        <f t="shared" si="2"/>
        <v>67</v>
      </c>
      <c r="B75" s="679"/>
      <c r="D75" s="496" t="s">
        <v>1703</v>
      </c>
      <c r="E75" s="689" t="s">
        <v>1609</v>
      </c>
      <c r="F75" s="689"/>
      <c r="G75" s="689"/>
      <c r="H75" s="689"/>
      <c r="I75" s="689"/>
      <c r="J75" s="689"/>
      <c r="K75" s="689"/>
      <c r="L75" s="691"/>
    </row>
    <row r="76" spans="1:12">
      <c r="A76" s="687">
        <f t="shared" si="2"/>
        <v>68</v>
      </c>
      <c r="B76" s="679"/>
      <c r="D76" s="496" t="s">
        <v>1704</v>
      </c>
      <c r="E76" s="689" t="s">
        <v>1609</v>
      </c>
      <c r="F76" s="689"/>
      <c r="G76" s="689"/>
      <c r="H76" s="689"/>
      <c r="I76" s="689"/>
      <c r="J76" s="689"/>
      <c r="K76" s="689"/>
      <c r="L76" s="691"/>
    </row>
    <row r="77" spans="1:12">
      <c r="A77" s="687">
        <f t="shared" si="2"/>
        <v>69</v>
      </c>
      <c r="B77" s="679" t="s">
        <v>873</v>
      </c>
      <c r="C77" s="494" t="s">
        <v>1705</v>
      </c>
      <c r="D77" s="496" t="s">
        <v>1706</v>
      </c>
      <c r="E77" s="689" t="s">
        <v>1609</v>
      </c>
      <c r="F77" s="689" t="s">
        <v>1609</v>
      </c>
      <c r="G77" s="689"/>
      <c r="H77" s="689"/>
      <c r="I77" s="689"/>
      <c r="J77" s="689"/>
      <c r="K77" s="689"/>
      <c r="L77" s="691" t="s">
        <v>1707</v>
      </c>
    </row>
    <row r="78" spans="1:12">
      <c r="A78" s="687">
        <f t="shared" si="2"/>
        <v>70</v>
      </c>
      <c r="B78" s="679" t="s">
        <v>875</v>
      </c>
      <c r="C78" s="494" t="s">
        <v>1708</v>
      </c>
      <c r="D78" s="496" t="s">
        <v>1689</v>
      </c>
      <c r="E78" s="689" t="s">
        <v>1609</v>
      </c>
      <c r="F78" s="689"/>
      <c r="G78" s="689"/>
      <c r="H78" s="689"/>
      <c r="I78" s="689"/>
      <c r="J78" s="689"/>
      <c r="K78" s="689"/>
      <c r="L78" s="691"/>
    </row>
    <row r="79" spans="1:12">
      <c r="A79" s="687">
        <f t="shared" si="2"/>
        <v>71</v>
      </c>
      <c r="B79" s="679"/>
      <c r="D79" s="496" t="s">
        <v>1709</v>
      </c>
      <c r="E79" s="689" t="s">
        <v>1609</v>
      </c>
      <c r="F79" s="689"/>
      <c r="G79" s="689"/>
      <c r="H79" s="689"/>
      <c r="I79" s="689"/>
      <c r="J79" s="689"/>
      <c r="K79" s="689"/>
      <c r="L79" s="691"/>
    </row>
    <row r="80" spans="1:12">
      <c r="A80" s="687">
        <f t="shared" si="2"/>
        <v>72</v>
      </c>
      <c r="B80" s="679"/>
      <c r="D80" s="496" t="s">
        <v>1710</v>
      </c>
      <c r="E80" s="689" t="s">
        <v>1609</v>
      </c>
      <c r="F80" s="689"/>
      <c r="G80" s="689"/>
      <c r="H80" s="689"/>
      <c r="I80" s="689"/>
      <c r="J80" s="689"/>
      <c r="K80" s="689"/>
      <c r="L80" s="691"/>
    </row>
    <row r="81" spans="1:12">
      <c r="A81" s="687">
        <f t="shared" si="2"/>
        <v>73</v>
      </c>
      <c r="B81" s="679"/>
      <c r="D81" s="496" t="s">
        <v>1711</v>
      </c>
      <c r="E81" s="689" t="s">
        <v>1609</v>
      </c>
      <c r="F81" s="689"/>
      <c r="G81" s="689"/>
      <c r="H81" s="689"/>
      <c r="I81" s="689"/>
      <c r="J81" s="689"/>
      <c r="K81" s="689"/>
      <c r="L81" s="691"/>
    </row>
    <row r="82" spans="1:12">
      <c r="A82" s="687">
        <f t="shared" si="2"/>
        <v>74</v>
      </c>
      <c r="B82" s="679"/>
      <c r="D82" s="496" t="s">
        <v>1712</v>
      </c>
      <c r="E82" s="689" t="s">
        <v>1609</v>
      </c>
      <c r="F82" s="689"/>
      <c r="G82" s="689"/>
      <c r="H82" s="689"/>
      <c r="I82" s="689"/>
      <c r="J82" s="689"/>
      <c r="K82" s="689"/>
      <c r="L82" s="691"/>
    </row>
    <row r="83" spans="1:12">
      <c r="A83" s="687">
        <f t="shared" si="2"/>
        <v>75</v>
      </c>
      <c r="B83" s="679" t="s">
        <v>879</v>
      </c>
      <c r="C83" s="494" t="s">
        <v>1713</v>
      </c>
      <c r="D83" s="496" t="s">
        <v>1714</v>
      </c>
      <c r="E83" s="689" t="s">
        <v>1609</v>
      </c>
      <c r="F83" s="689"/>
      <c r="G83" s="689"/>
      <c r="H83" s="689"/>
      <c r="I83" s="689"/>
      <c r="J83" s="689"/>
      <c r="K83" s="689"/>
      <c r="L83" s="691"/>
    </row>
    <row r="84" spans="1:12">
      <c r="A84" s="687">
        <f t="shared" si="2"/>
        <v>76</v>
      </c>
      <c r="B84" s="679"/>
      <c r="D84" s="496" t="s">
        <v>1715</v>
      </c>
      <c r="E84" s="689" t="s">
        <v>1609</v>
      </c>
      <c r="F84" s="689"/>
      <c r="G84" s="689"/>
      <c r="H84" s="689"/>
      <c r="I84" s="689"/>
      <c r="J84" s="689"/>
      <c r="K84" s="689"/>
      <c r="L84" s="691"/>
    </row>
    <row r="85" spans="1:12">
      <c r="A85" s="687">
        <f t="shared" si="2"/>
        <v>77</v>
      </c>
      <c r="B85" s="679"/>
      <c r="D85" s="496" t="s">
        <v>1716</v>
      </c>
      <c r="E85" s="689" t="s">
        <v>1609</v>
      </c>
      <c r="F85" s="689"/>
      <c r="G85" s="689"/>
      <c r="H85" s="689"/>
      <c r="I85" s="689"/>
      <c r="J85" s="689"/>
      <c r="K85" s="689"/>
      <c r="L85" s="691"/>
    </row>
    <row r="86" spans="1:12">
      <c r="A86" s="687">
        <f t="shared" si="2"/>
        <v>78</v>
      </c>
      <c r="B86" s="679"/>
      <c r="D86" s="496" t="s">
        <v>1635</v>
      </c>
      <c r="E86" s="689" t="s">
        <v>1609</v>
      </c>
      <c r="F86" s="689"/>
      <c r="G86" s="689"/>
      <c r="H86" s="689"/>
      <c r="I86" s="689"/>
      <c r="J86" s="689"/>
      <c r="K86" s="689"/>
      <c r="L86" s="691"/>
    </row>
    <row r="87" spans="1:12">
      <c r="A87" s="687">
        <f t="shared" si="2"/>
        <v>79</v>
      </c>
      <c r="B87" s="679"/>
      <c r="D87" s="496" t="s">
        <v>1717</v>
      </c>
      <c r="E87" s="689" t="s">
        <v>1609</v>
      </c>
      <c r="F87" s="689"/>
      <c r="G87" s="689"/>
      <c r="H87" s="689"/>
      <c r="I87" s="689"/>
      <c r="J87" s="689"/>
      <c r="K87" s="689"/>
      <c r="L87" s="691"/>
    </row>
    <row r="88" spans="1:12">
      <c r="A88" s="687">
        <f t="shared" si="2"/>
        <v>80</v>
      </c>
      <c r="B88" s="679"/>
      <c r="D88" s="496" t="s">
        <v>1718</v>
      </c>
      <c r="E88" s="689" t="s">
        <v>1609</v>
      </c>
      <c r="F88" s="689"/>
      <c r="G88" s="689"/>
      <c r="H88" s="689"/>
      <c r="I88" s="689"/>
      <c r="J88" s="689"/>
      <c r="K88" s="689"/>
      <c r="L88" s="691"/>
    </row>
    <row r="89" spans="1:12" ht="16.5" customHeight="1">
      <c r="A89" s="687">
        <f t="shared" si="2"/>
        <v>81</v>
      </c>
      <c r="B89" s="679"/>
      <c r="D89" s="496" t="s">
        <v>1719</v>
      </c>
      <c r="E89" s="689" t="s">
        <v>1609</v>
      </c>
      <c r="F89" s="689"/>
      <c r="G89" s="689"/>
      <c r="H89" s="689"/>
      <c r="I89" s="689"/>
      <c r="J89" s="689"/>
      <c r="K89" s="689"/>
      <c r="L89" s="691"/>
    </row>
    <row r="90" spans="1:12" ht="18" customHeight="1">
      <c r="A90" s="687">
        <f t="shared" si="2"/>
        <v>82</v>
      </c>
      <c r="B90" s="679" t="s">
        <v>883</v>
      </c>
      <c r="C90" s="494" t="s">
        <v>1720</v>
      </c>
      <c r="D90" s="496" t="s">
        <v>1721</v>
      </c>
      <c r="E90" s="689" t="s">
        <v>1609</v>
      </c>
      <c r="F90" s="689"/>
      <c r="G90" s="689"/>
      <c r="H90" s="689"/>
      <c r="I90" s="689"/>
      <c r="J90" s="689"/>
      <c r="K90" s="689"/>
      <c r="L90" s="691"/>
    </row>
    <row r="91" spans="1:12">
      <c r="A91" s="687">
        <f t="shared" si="2"/>
        <v>83</v>
      </c>
      <c r="B91" s="679"/>
      <c r="D91" s="496" t="s">
        <v>1722</v>
      </c>
      <c r="E91" s="689" t="s">
        <v>1609</v>
      </c>
      <c r="F91" s="689"/>
      <c r="G91" s="689"/>
      <c r="H91" s="689"/>
      <c r="I91" s="689"/>
      <c r="J91" s="689"/>
      <c r="K91" s="689"/>
      <c r="L91" s="691"/>
    </row>
    <row r="92" spans="1:12">
      <c r="A92" s="687">
        <f t="shared" si="2"/>
        <v>84</v>
      </c>
      <c r="B92" s="679"/>
      <c r="D92" s="496" t="s">
        <v>1723</v>
      </c>
      <c r="E92" s="689" t="s">
        <v>1609</v>
      </c>
      <c r="F92" s="689"/>
      <c r="G92" s="689"/>
      <c r="H92" s="689"/>
      <c r="I92" s="689"/>
      <c r="J92" s="689"/>
      <c r="K92" s="689"/>
      <c r="L92" s="691"/>
    </row>
    <row r="93" spans="1:12">
      <c r="A93" s="687">
        <f t="shared" si="2"/>
        <v>85</v>
      </c>
      <c r="B93" s="679"/>
      <c r="D93" s="496" t="s">
        <v>1724</v>
      </c>
      <c r="E93" s="689" t="s">
        <v>1609</v>
      </c>
      <c r="F93" s="689"/>
      <c r="G93" s="689"/>
      <c r="H93" s="689"/>
      <c r="I93" s="689"/>
      <c r="J93" s="689"/>
      <c r="K93" s="689"/>
      <c r="L93" s="691"/>
    </row>
    <row r="94" spans="1:12">
      <c r="A94" s="687">
        <f t="shared" si="2"/>
        <v>86</v>
      </c>
      <c r="B94" s="679"/>
      <c r="D94" s="496" t="s">
        <v>1725</v>
      </c>
      <c r="E94" s="689" t="s">
        <v>1609</v>
      </c>
      <c r="F94" s="689"/>
      <c r="G94" s="689"/>
      <c r="H94" s="689"/>
      <c r="I94" s="689"/>
      <c r="J94" s="689"/>
      <c r="K94" s="689"/>
      <c r="L94" s="691"/>
    </row>
    <row r="95" spans="1:12" ht="29">
      <c r="A95" s="687">
        <f t="shared" si="2"/>
        <v>87</v>
      </c>
      <c r="B95" s="679"/>
      <c r="D95" s="496" t="s">
        <v>2733</v>
      </c>
      <c r="E95" s="689" t="s">
        <v>1609</v>
      </c>
      <c r="F95" s="689"/>
      <c r="G95" s="689"/>
      <c r="H95" s="689"/>
      <c r="I95" s="689"/>
      <c r="J95" s="689"/>
      <c r="K95" s="689"/>
      <c r="L95" s="691"/>
    </row>
    <row r="96" spans="1:12">
      <c r="A96" s="687">
        <f t="shared" si="2"/>
        <v>88</v>
      </c>
      <c r="B96" s="679"/>
      <c r="D96" s="496" t="s">
        <v>1726</v>
      </c>
      <c r="E96" s="689" t="s">
        <v>1609</v>
      </c>
      <c r="F96" s="689"/>
      <c r="G96" s="689"/>
      <c r="H96" s="689"/>
      <c r="I96" s="689"/>
      <c r="J96" s="689"/>
      <c r="K96" s="689"/>
      <c r="L96" s="691"/>
    </row>
    <row r="97" spans="1:12">
      <c r="A97" s="687">
        <f t="shared" si="2"/>
        <v>89</v>
      </c>
      <c r="B97" s="679"/>
      <c r="D97" s="496" t="s">
        <v>1727</v>
      </c>
      <c r="E97" s="689" t="s">
        <v>1609</v>
      </c>
      <c r="F97" s="689"/>
      <c r="G97" s="689"/>
      <c r="H97" s="689"/>
      <c r="I97" s="689"/>
      <c r="J97" s="689"/>
      <c r="K97" s="689"/>
      <c r="L97" s="691"/>
    </row>
    <row r="98" spans="1:12">
      <c r="A98" s="687">
        <f t="shared" si="2"/>
        <v>90</v>
      </c>
      <c r="B98" s="679"/>
      <c r="D98" s="496" t="s">
        <v>1728</v>
      </c>
      <c r="E98" s="689" t="s">
        <v>1609</v>
      </c>
      <c r="F98" s="689"/>
      <c r="G98" s="689"/>
      <c r="H98" s="689"/>
      <c r="I98" s="689"/>
      <c r="J98" s="689"/>
      <c r="K98" s="689"/>
      <c r="L98" s="691"/>
    </row>
    <row r="99" spans="1:12" ht="29">
      <c r="A99" s="687">
        <f t="shared" si="2"/>
        <v>91</v>
      </c>
      <c r="B99" s="679" t="s">
        <v>887</v>
      </c>
      <c r="C99" s="494" t="s">
        <v>1729</v>
      </c>
      <c r="D99" s="496" t="s">
        <v>2734</v>
      </c>
      <c r="E99" s="689" t="s">
        <v>1609</v>
      </c>
      <c r="F99" s="689"/>
      <c r="G99" s="689"/>
      <c r="H99" s="689"/>
      <c r="I99" s="690"/>
      <c r="J99" s="689"/>
      <c r="K99" s="689"/>
      <c r="L99" s="691"/>
    </row>
    <row r="100" spans="1:12">
      <c r="A100" s="687">
        <f t="shared" si="2"/>
        <v>92</v>
      </c>
      <c r="B100" s="679"/>
      <c r="D100" s="496" t="s">
        <v>2735</v>
      </c>
      <c r="E100" s="689" t="s">
        <v>1609</v>
      </c>
      <c r="F100" s="689"/>
      <c r="G100" s="689"/>
      <c r="H100" s="689"/>
      <c r="I100" s="690"/>
      <c r="J100" s="689"/>
      <c r="K100" s="689"/>
      <c r="L100" s="691" t="s">
        <v>1730</v>
      </c>
    </row>
    <row r="101" spans="1:12">
      <c r="A101" s="687">
        <f t="shared" si="2"/>
        <v>93</v>
      </c>
      <c r="B101" s="679"/>
      <c r="D101" s="496" t="s">
        <v>2607</v>
      </c>
      <c r="E101" s="689" t="s">
        <v>1609</v>
      </c>
      <c r="F101" s="689"/>
      <c r="G101" s="689"/>
      <c r="H101" s="689"/>
      <c r="I101" s="690"/>
      <c r="J101" s="689"/>
      <c r="K101" s="689"/>
      <c r="L101" s="691" t="s">
        <v>2609</v>
      </c>
    </row>
    <row r="102" spans="1:12">
      <c r="A102" s="687">
        <f t="shared" ref="A102:A133" si="3">A101+1</f>
        <v>94</v>
      </c>
      <c r="B102" s="679"/>
      <c r="D102" s="496" t="s">
        <v>2608</v>
      </c>
      <c r="E102" s="689" t="s">
        <v>1609</v>
      </c>
      <c r="F102" s="689"/>
      <c r="G102" s="689"/>
      <c r="H102" s="689"/>
      <c r="I102" s="690"/>
      <c r="J102" s="689"/>
      <c r="K102" s="689"/>
      <c r="L102" s="691"/>
    </row>
    <row r="103" spans="1:12">
      <c r="A103" s="687">
        <f t="shared" si="3"/>
        <v>95</v>
      </c>
      <c r="B103" s="679"/>
      <c r="D103" s="496" t="s">
        <v>1731</v>
      </c>
      <c r="E103" s="689" t="s">
        <v>1609</v>
      </c>
      <c r="F103" s="689"/>
      <c r="G103" s="689"/>
      <c r="H103" s="689"/>
      <c r="I103" s="690"/>
      <c r="J103" s="689"/>
      <c r="K103" s="689"/>
      <c r="L103" s="691"/>
    </row>
    <row r="104" spans="1:12">
      <c r="A104" s="687">
        <f t="shared" si="3"/>
        <v>96</v>
      </c>
      <c r="B104" s="679"/>
      <c r="D104" s="496" t="s">
        <v>1732</v>
      </c>
      <c r="E104" s="689" t="s">
        <v>1609</v>
      </c>
      <c r="F104" s="689"/>
      <c r="G104" s="689"/>
      <c r="H104" s="689"/>
      <c r="I104" s="690"/>
      <c r="J104" s="689"/>
      <c r="K104" s="689"/>
      <c r="L104" s="691" t="s">
        <v>1733</v>
      </c>
    </row>
    <row r="105" spans="1:12">
      <c r="A105" s="687">
        <f t="shared" si="3"/>
        <v>97</v>
      </c>
      <c r="B105" s="679" t="s">
        <v>895</v>
      </c>
      <c r="C105" s="494" t="s">
        <v>1734</v>
      </c>
      <c r="D105" s="496" t="s">
        <v>1735</v>
      </c>
      <c r="E105" s="689" t="s">
        <v>1609</v>
      </c>
      <c r="F105" s="689"/>
      <c r="G105" s="689"/>
      <c r="H105" s="689"/>
      <c r="I105" s="690"/>
      <c r="J105" s="689"/>
      <c r="K105" s="689"/>
      <c r="L105" s="691"/>
    </row>
    <row r="106" spans="1:12">
      <c r="A106" s="687">
        <f t="shared" si="3"/>
        <v>98</v>
      </c>
      <c r="B106" s="679"/>
      <c r="D106" s="496" t="s">
        <v>1736</v>
      </c>
      <c r="E106" s="689" t="s">
        <v>1609</v>
      </c>
      <c r="F106" s="689"/>
      <c r="G106" s="689"/>
      <c r="H106" s="689"/>
      <c r="I106" s="690"/>
      <c r="J106" s="689"/>
      <c r="K106" s="689"/>
      <c r="L106" s="691"/>
    </row>
    <row r="107" spans="1:12">
      <c r="A107" s="687">
        <f t="shared" si="3"/>
        <v>99</v>
      </c>
      <c r="B107" s="679" t="s">
        <v>897</v>
      </c>
      <c r="C107" s="494" t="s">
        <v>1737</v>
      </c>
      <c r="D107" s="496" t="s">
        <v>1738</v>
      </c>
      <c r="E107" s="689" t="s">
        <v>1609</v>
      </c>
      <c r="F107" s="689"/>
      <c r="G107" s="689"/>
      <c r="H107" s="689"/>
      <c r="I107" s="690"/>
      <c r="J107" s="689"/>
      <c r="K107" s="689"/>
      <c r="L107" s="691"/>
    </row>
    <row r="108" spans="1:12">
      <c r="A108" s="687">
        <f t="shared" si="3"/>
        <v>100</v>
      </c>
      <c r="B108" s="679"/>
      <c r="D108" s="496" t="s">
        <v>1739</v>
      </c>
      <c r="E108" s="689" t="s">
        <v>1609</v>
      </c>
      <c r="F108" s="689"/>
      <c r="G108" s="689"/>
      <c r="H108" s="689"/>
      <c r="I108" s="690"/>
      <c r="J108" s="689"/>
      <c r="K108" s="689"/>
      <c r="L108" s="691"/>
    </row>
    <row r="109" spans="1:12">
      <c r="A109" s="687">
        <f t="shared" si="3"/>
        <v>101</v>
      </c>
      <c r="B109" s="679"/>
      <c r="D109" s="496" t="s">
        <v>1740</v>
      </c>
      <c r="E109" s="689" t="s">
        <v>1609</v>
      </c>
      <c r="F109" s="689"/>
      <c r="G109" s="689"/>
      <c r="H109" s="689"/>
      <c r="I109" s="690"/>
      <c r="J109" s="689"/>
      <c r="K109" s="689"/>
      <c r="L109" s="691"/>
    </row>
    <row r="110" spans="1:12">
      <c r="A110" s="687">
        <f t="shared" si="3"/>
        <v>102</v>
      </c>
      <c r="B110" s="679"/>
      <c r="D110" s="496" t="s">
        <v>1741</v>
      </c>
      <c r="E110" s="689" t="s">
        <v>1609</v>
      </c>
      <c r="F110" s="689"/>
      <c r="G110" s="689"/>
      <c r="H110" s="689"/>
      <c r="I110" s="690"/>
      <c r="J110" s="689"/>
      <c r="K110" s="689"/>
      <c r="L110" s="691"/>
    </row>
    <row r="111" spans="1:12">
      <c r="A111" s="687">
        <f t="shared" si="3"/>
        <v>103</v>
      </c>
      <c r="B111" s="679" t="s">
        <v>899</v>
      </c>
      <c r="C111" s="494" t="s">
        <v>1742</v>
      </c>
      <c r="D111" s="496" t="s">
        <v>1743</v>
      </c>
      <c r="E111" s="689" t="s">
        <v>1609</v>
      </c>
      <c r="F111" s="689"/>
      <c r="G111" s="689"/>
      <c r="H111" s="689"/>
      <c r="I111" s="690"/>
      <c r="J111" s="689"/>
      <c r="K111" s="689"/>
      <c r="L111" s="691"/>
    </row>
    <row r="112" spans="1:12">
      <c r="A112" s="687">
        <f t="shared" si="3"/>
        <v>104</v>
      </c>
      <c r="B112" s="679"/>
      <c r="D112" s="496" t="s">
        <v>1744</v>
      </c>
      <c r="E112" s="689" t="s">
        <v>1609</v>
      </c>
      <c r="F112" s="689"/>
      <c r="G112" s="689"/>
      <c r="H112" s="689"/>
      <c r="I112" s="690"/>
      <c r="J112" s="689"/>
      <c r="K112" s="689"/>
      <c r="L112" s="691"/>
    </row>
    <row r="113" spans="1:12">
      <c r="A113" s="687">
        <f t="shared" si="3"/>
        <v>105</v>
      </c>
      <c r="B113" s="679" t="s">
        <v>903</v>
      </c>
      <c r="C113" s="494" t="s">
        <v>1745</v>
      </c>
      <c r="D113" s="496" t="s">
        <v>1746</v>
      </c>
      <c r="E113" s="689" t="s">
        <v>1609</v>
      </c>
      <c r="F113" s="689"/>
      <c r="G113" s="689"/>
      <c r="H113" s="689"/>
      <c r="I113" s="690"/>
      <c r="J113" s="689"/>
      <c r="K113" s="689"/>
      <c r="L113" s="691"/>
    </row>
    <row r="114" spans="1:12">
      <c r="A114" s="687">
        <f t="shared" si="3"/>
        <v>106</v>
      </c>
      <c r="B114" s="679" t="s">
        <v>905</v>
      </c>
      <c r="C114" s="494" t="s">
        <v>1747</v>
      </c>
      <c r="D114" s="496" t="s">
        <v>1748</v>
      </c>
      <c r="E114" s="689" t="s">
        <v>1609</v>
      </c>
      <c r="F114" s="689"/>
      <c r="G114" s="689"/>
      <c r="H114" s="689"/>
      <c r="I114" s="690"/>
      <c r="J114" s="689"/>
      <c r="K114" s="689"/>
      <c r="L114" s="691"/>
    </row>
    <row r="115" spans="1:12" ht="17.25" customHeight="1">
      <c r="A115" s="687">
        <f t="shared" si="3"/>
        <v>107</v>
      </c>
      <c r="B115" s="679" t="s">
        <v>907</v>
      </c>
      <c r="C115" s="494" t="s">
        <v>1749</v>
      </c>
      <c r="D115" s="496" t="s">
        <v>1750</v>
      </c>
      <c r="E115" s="689" t="s">
        <v>1609</v>
      </c>
      <c r="F115" s="689"/>
      <c r="G115" s="689"/>
      <c r="H115" s="689"/>
      <c r="I115" s="690"/>
      <c r="J115" s="689"/>
      <c r="K115" s="689"/>
      <c r="L115" s="691"/>
    </row>
    <row r="116" spans="1:12">
      <c r="A116" s="687">
        <f t="shared" si="3"/>
        <v>108</v>
      </c>
      <c r="B116" s="679"/>
      <c r="D116" s="496" t="s">
        <v>1751</v>
      </c>
      <c r="E116" s="689" t="s">
        <v>1609</v>
      </c>
      <c r="F116" s="689"/>
      <c r="G116" s="689"/>
      <c r="H116" s="689"/>
      <c r="I116" s="690"/>
      <c r="J116" s="689"/>
      <c r="K116" s="689"/>
      <c r="L116" s="691"/>
    </row>
    <row r="117" spans="1:12">
      <c r="A117" s="687">
        <f t="shared" si="3"/>
        <v>109</v>
      </c>
      <c r="B117" s="679" t="s">
        <v>909</v>
      </c>
      <c r="C117" s="494" t="s">
        <v>1752</v>
      </c>
      <c r="D117" s="496" t="s">
        <v>1753</v>
      </c>
      <c r="E117" s="689" t="s">
        <v>1609</v>
      </c>
      <c r="F117" s="689"/>
      <c r="G117" s="689"/>
      <c r="H117" s="689"/>
      <c r="I117" s="690"/>
      <c r="J117" s="689"/>
      <c r="K117" s="689"/>
      <c r="L117" s="691"/>
    </row>
    <row r="118" spans="1:12">
      <c r="A118" s="687">
        <f t="shared" si="3"/>
        <v>110</v>
      </c>
      <c r="B118" s="679"/>
      <c r="D118" s="496" t="s">
        <v>1754</v>
      </c>
      <c r="E118" s="689" t="s">
        <v>1609</v>
      </c>
      <c r="F118" s="689"/>
      <c r="G118" s="689"/>
      <c r="H118" s="689"/>
      <c r="I118" s="690"/>
      <c r="J118" s="689"/>
      <c r="K118" s="689"/>
      <c r="L118" s="691"/>
    </row>
    <row r="119" spans="1:12">
      <c r="A119" s="687">
        <f t="shared" si="3"/>
        <v>111</v>
      </c>
      <c r="B119" s="679" t="s">
        <v>911</v>
      </c>
      <c r="C119" s="494" t="s">
        <v>1755</v>
      </c>
      <c r="D119" s="496" t="s">
        <v>1756</v>
      </c>
      <c r="E119" s="689" t="s">
        <v>1609</v>
      </c>
      <c r="F119" s="689"/>
      <c r="G119" s="689"/>
      <c r="H119" s="689"/>
      <c r="I119" s="690"/>
      <c r="J119" s="689"/>
      <c r="K119" s="689"/>
      <c r="L119" s="691"/>
    </row>
    <row r="120" spans="1:12" ht="17.25" customHeight="1">
      <c r="A120" s="687">
        <f t="shared" si="3"/>
        <v>112</v>
      </c>
      <c r="B120" s="679" t="s">
        <v>913</v>
      </c>
      <c r="C120" s="494" t="s">
        <v>1757</v>
      </c>
      <c r="D120" s="496" t="s">
        <v>1758</v>
      </c>
      <c r="E120" s="689" t="s">
        <v>1609</v>
      </c>
      <c r="F120" s="689"/>
      <c r="G120" s="689"/>
      <c r="H120" s="689"/>
      <c r="I120" s="690"/>
      <c r="J120" s="689"/>
      <c r="K120" s="689"/>
      <c r="L120" s="691"/>
    </row>
    <row r="121" spans="1:12" ht="29">
      <c r="A121" s="687">
        <f t="shared" si="3"/>
        <v>113</v>
      </c>
      <c r="B121" s="679"/>
      <c r="D121" s="496" t="s">
        <v>1759</v>
      </c>
      <c r="E121" s="689" t="s">
        <v>1609</v>
      </c>
      <c r="F121" s="689"/>
      <c r="G121" s="689"/>
      <c r="H121" s="689"/>
      <c r="I121" s="690"/>
      <c r="J121" s="689"/>
      <c r="K121" s="689"/>
      <c r="L121" s="691"/>
    </row>
    <row r="122" spans="1:12">
      <c r="A122" s="687">
        <f t="shared" si="3"/>
        <v>114</v>
      </c>
      <c r="B122" s="679"/>
      <c r="D122" s="496" t="s">
        <v>1760</v>
      </c>
      <c r="E122" s="689" t="s">
        <v>1609</v>
      </c>
      <c r="F122" s="689"/>
      <c r="G122" s="689"/>
      <c r="H122" s="689"/>
      <c r="I122" s="689"/>
      <c r="J122" s="689"/>
      <c r="K122" s="689"/>
      <c r="L122" s="691"/>
    </row>
    <row r="123" spans="1:12">
      <c r="A123" s="687">
        <f t="shared" si="3"/>
        <v>115</v>
      </c>
      <c r="B123" s="679"/>
      <c r="D123" s="496" t="s">
        <v>1761</v>
      </c>
      <c r="E123" s="689" t="s">
        <v>1609</v>
      </c>
      <c r="F123" s="689"/>
      <c r="G123" s="689"/>
      <c r="H123" s="689"/>
      <c r="I123" s="689"/>
      <c r="J123" s="689"/>
      <c r="K123" s="689"/>
      <c r="L123" s="691"/>
    </row>
    <row r="124" spans="1:12">
      <c r="A124" s="687">
        <f t="shared" si="3"/>
        <v>116</v>
      </c>
      <c r="B124" s="679"/>
      <c r="D124" s="496" t="s">
        <v>1762</v>
      </c>
      <c r="E124" s="689" t="s">
        <v>1609</v>
      </c>
      <c r="F124" s="689"/>
      <c r="G124" s="689"/>
      <c r="H124" s="689"/>
      <c r="I124" s="689"/>
      <c r="J124" s="689"/>
      <c r="K124" s="689"/>
      <c r="L124" s="691"/>
    </row>
    <row r="125" spans="1:12">
      <c r="A125" s="687">
        <f t="shared" si="3"/>
        <v>117</v>
      </c>
      <c r="B125" s="679"/>
      <c r="D125" s="496" t="s">
        <v>1763</v>
      </c>
      <c r="E125" s="689"/>
      <c r="F125" s="689"/>
      <c r="G125" s="689" t="s">
        <v>1609</v>
      </c>
      <c r="H125" s="689"/>
      <c r="I125" s="689"/>
      <c r="J125" s="689"/>
      <c r="K125" s="689"/>
      <c r="L125" s="691" t="s">
        <v>1764</v>
      </c>
    </row>
    <row r="126" spans="1:12">
      <c r="A126" s="687">
        <f t="shared" si="3"/>
        <v>118</v>
      </c>
      <c r="B126" s="679"/>
      <c r="D126" s="496" t="s">
        <v>1765</v>
      </c>
      <c r="E126" s="689"/>
      <c r="F126" s="689"/>
      <c r="G126" s="689" t="s">
        <v>1609</v>
      </c>
      <c r="H126" s="689"/>
      <c r="I126" s="689"/>
      <c r="J126" s="689"/>
      <c r="K126" s="689"/>
      <c r="L126" s="691" t="s">
        <v>1764</v>
      </c>
    </row>
    <row r="127" spans="1:12">
      <c r="A127" s="687">
        <f t="shared" si="3"/>
        <v>119</v>
      </c>
      <c r="B127" s="679"/>
      <c r="D127" s="496" t="s">
        <v>1766</v>
      </c>
      <c r="E127" s="689"/>
      <c r="F127" s="689"/>
      <c r="G127" s="689" t="s">
        <v>1609</v>
      </c>
      <c r="H127" s="689"/>
      <c r="I127" s="689"/>
      <c r="J127" s="689"/>
      <c r="K127" s="689"/>
      <c r="L127" s="691" t="s">
        <v>1764</v>
      </c>
    </row>
    <row r="128" spans="1:12">
      <c r="A128" s="687">
        <f t="shared" si="3"/>
        <v>120</v>
      </c>
      <c r="B128" s="679"/>
      <c r="D128" s="496" t="s">
        <v>1767</v>
      </c>
      <c r="E128" s="689" t="s">
        <v>1609</v>
      </c>
      <c r="F128" s="689"/>
      <c r="G128" s="689"/>
      <c r="H128" s="689"/>
      <c r="I128" s="689"/>
      <c r="J128" s="689"/>
      <c r="K128" s="689"/>
      <c r="L128" s="691"/>
    </row>
    <row r="129" spans="1:12">
      <c r="A129" s="687">
        <f t="shared" si="3"/>
        <v>121</v>
      </c>
      <c r="B129" s="679"/>
      <c r="D129" s="496" t="s">
        <v>1768</v>
      </c>
      <c r="E129" s="689" t="s">
        <v>1609</v>
      </c>
      <c r="F129" s="689"/>
      <c r="G129" s="689"/>
      <c r="H129" s="689"/>
      <c r="I129" s="689"/>
      <c r="J129" s="689"/>
      <c r="K129" s="689"/>
      <c r="L129" s="691"/>
    </row>
    <row r="130" spans="1:12">
      <c r="A130" s="687">
        <f t="shared" si="3"/>
        <v>122</v>
      </c>
      <c r="B130" s="679"/>
      <c r="D130" s="496" t="s">
        <v>1769</v>
      </c>
      <c r="E130" s="689" t="s">
        <v>1609</v>
      </c>
      <c r="F130" s="689"/>
      <c r="G130" s="689"/>
      <c r="H130" s="689"/>
      <c r="I130" s="689"/>
      <c r="J130" s="689"/>
      <c r="K130" s="689"/>
      <c r="L130" s="691"/>
    </row>
    <row r="131" spans="1:12">
      <c r="A131" s="687">
        <f t="shared" si="3"/>
        <v>123</v>
      </c>
      <c r="B131" s="679"/>
      <c r="D131" s="496" t="s">
        <v>1770</v>
      </c>
      <c r="E131" s="689" t="s">
        <v>1609</v>
      </c>
      <c r="F131" s="689"/>
      <c r="G131" s="689"/>
      <c r="H131" s="689"/>
      <c r="I131" s="689"/>
      <c r="J131" s="689"/>
      <c r="K131" s="689"/>
      <c r="L131" s="691"/>
    </row>
    <row r="132" spans="1:12">
      <c r="A132" s="687">
        <f t="shared" si="3"/>
        <v>124</v>
      </c>
      <c r="B132" s="679" t="s">
        <v>915</v>
      </c>
      <c r="C132" s="494" t="s">
        <v>1771</v>
      </c>
      <c r="D132" s="496" t="s">
        <v>1772</v>
      </c>
      <c r="E132" s="689" t="s">
        <v>1609</v>
      </c>
      <c r="F132" s="689"/>
      <c r="G132" s="689"/>
      <c r="H132" s="689"/>
      <c r="I132" s="689"/>
      <c r="J132" s="689"/>
      <c r="K132" s="689"/>
      <c r="L132" s="691"/>
    </row>
    <row r="133" spans="1:12">
      <c r="A133" s="687">
        <f t="shared" si="3"/>
        <v>125</v>
      </c>
      <c r="B133" s="679"/>
      <c r="D133" s="496" t="s">
        <v>1773</v>
      </c>
      <c r="E133" s="689" t="s">
        <v>1609</v>
      </c>
      <c r="F133" s="689"/>
      <c r="G133" s="689"/>
      <c r="H133" s="689"/>
      <c r="I133" s="689"/>
      <c r="J133" s="689"/>
      <c r="K133" s="689"/>
      <c r="L133" s="691"/>
    </row>
    <row r="134" spans="1:12">
      <c r="A134" s="687">
        <f t="shared" ref="A134:A165" si="4">A133+1</f>
        <v>126</v>
      </c>
      <c r="B134" s="679"/>
      <c r="D134" s="496" t="s">
        <v>1774</v>
      </c>
      <c r="E134" s="689" t="s">
        <v>1609</v>
      </c>
      <c r="F134" s="689"/>
      <c r="G134" s="689"/>
      <c r="H134" s="689"/>
      <c r="I134" s="689"/>
      <c r="J134" s="689"/>
      <c r="K134" s="689"/>
      <c r="L134" s="691"/>
    </row>
    <row r="135" spans="1:12" ht="27" customHeight="1">
      <c r="A135" s="687">
        <f t="shared" si="4"/>
        <v>127</v>
      </c>
      <c r="B135" s="679"/>
      <c r="D135" s="496" t="s">
        <v>1775</v>
      </c>
      <c r="E135" s="689"/>
      <c r="F135" s="689" t="s">
        <v>1609</v>
      </c>
      <c r="G135" s="689"/>
      <c r="H135" s="689"/>
      <c r="I135" s="689"/>
      <c r="J135" s="689"/>
      <c r="K135" s="689"/>
      <c r="L135" s="691" t="s">
        <v>1776</v>
      </c>
    </row>
    <row r="136" spans="1:12" ht="43.5">
      <c r="A136" s="687">
        <f t="shared" si="4"/>
        <v>128</v>
      </c>
      <c r="B136" s="679"/>
      <c r="D136" s="496" t="s">
        <v>2610</v>
      </c>
      <c r="E136" s="689"/>
      <c r="F136" s="689" t="s">
        <v>1609</v>
      </c>
      <c r="G136" s="689"/>
      <c r="H136" s="689"/>
      <c r="I136" s="689"/>
      <c r="J136" s="689"/>
      <c r="K136" s="689"/>
      <c r="L136" s="691" t="s">
        <v>2611</v>
      </c>
    </row>
    <row r="137" spans="1:12">
      <c r="A137" s="687">
        <f t="shared" si="4"/>
        <v>129</v>
      </c>
      <c r="B137" s="679" t="s">
        <v>917</v>
      </c>
      <c r="C137" s="494" t="s">
        <v>1778</v>
      </c>
      <c r="D137" s="496" t="s">
        <v>1779</v>
      </c>
      <c r="E137" s="689" t="s">
        <v>1609</v>
      </c>
      <c r="F137" s="689"/>
      <c r="G137" s="689"/>
      <c r="H137" s="689"/>
      <c r="I137" s="689"/>
      <c r="J137" s="689"/>
      <c r="K137" s="689"/>
      <c r="L137" s="691"/>
    </row>
    <row r="138" spans="1:12">
      <c r="A138" s="687">
        <f t="shared" si="4"/>
        <v>130</v>
      </c>
      <c r="B138" s="679"/>
      <c r="D138" s="496" t="s">
        <v>1780</v>
      </c>
      <c r="E138" s="689" t="s">
        <v>1609</v>
      </c>
      <c r="F138" s="689"/>
      <c r="G138" s="689"/>
      <c r="H138" s="689"/>
      <c r="I138" s="689"/>
      <c r="J138" s="689"/>
      <c r="K138" s="689"/>
      <c r="L138" s="691"/>
    </row>
    <row r="139" spans="1:12">
      <c r="A139" s="687">
        <f t="shared" si="4"/>
        <v>131</v>
      </c>
      <c r="B139" s="679"/>
      <c r="D139" s="496" t="s">
        <v>1781</v>
      </c>
      <c r="E139" s="689" t="s">
        <v>1609</v>
      </c>
      <c r="F139" s="689"/>
      <c r="G139" s="689"/>
      <c r="H139" s="689"/>
      <c r="I139" s="689"/>
      <c r="J139" s="689"/>
      <c r="K139" s="689"/>
      <c r="L139" s="691"/>
    </row>
    <row r="140" spans="1:12">
      <c r="A140" s="687">
        <f t="shared" si="4"/>
        <v>132</v>
      </c>
      <c r="B140" s="679"/>
      <c r="D140" s="496" t="s">
        <v>1782</v>
      </c>
      <c r="E140" s="689" t="s">
        <v>1609</v>
      </c>
      <c r="F140" s="689"/>
      <c r="G140" s="689"/>
      <c r="H140" s="689"/>
      <c r="I140" s="689"/>
      <c r="J140" s="689"/>
      <c r="K140" s="689"/>
      <c r="L140" s="691"/>
    </row>
    <row r="141" spans="1:12">
      <c r="A141" s="687">
        <f t="shared" si="4"/>
        <v>133</v>
      </c>
      <c r="B141" s="679"/>
      <c r="D141" s="496" t="s">
        <v>1783</v>
      </c>
      <c r="E141" s="689" t="s">
        <v>1609</v>
      </c>
      <c r="F141" s="689"/>
      <c r="G141" s="689"/>
      <c r="H141" s="689"/>
      <c r="I141" s="689"/>
      <c r="J141" s="689"/>
      <c r="K141" s="689"/>
      <c r="L141" s="691"/>
    </row>
    <row r="142" spans="1:12">
      <c r="A142" s="687">
        <f t="shared" si="4"/>
        <v>134</v>
      </c>
      <c r="B142" s="679"/>
      <c r="D142" s="496" t="s">
        <v>1784</v>
      </c>
      <c r="E142" s="689" t="s">
        <v>1609</v>
      </c>
      <c r="F142" s="689"/>
      <c r="G142" s="689"/>
      <c r="H142" s="689"/>
      <c r="I142" s="689"/>
      <c r="J142" s="689"/>
      <c r="K142" s="689"/>
      <c r="L142" s="691"/>
    </row>
    <row r="143" spans="1:12" ht="43.5">
      <c r="A143" s="687">
        <f t="shared" si="4"/>
        <v>135</v>
      </c>
      <c r="B143" s="679" t="s">
        <v>923</v>
      </c>
      <c r="C143" s="494" t="s">
        <v>1785</v>
      </c>
      <c r="D143" s="496" t="s">
        <v>1786</v>
      </c>
      <c r="E143" s="689" t="s">
        <v>1609</v>
      </c>
      <c r="F143" s="689"/>
      <c r="G143" s="689"/>
      <c r="H143" s="689"/>
      <c r="I143" s="689"/>
      <c r="J143" s="689"/>
      <c r="K143" s="689"/>
      <c r="L143" s="691"/>
    </row>
    <row r="144" spans="1:12">
      <c r="A144" s="687">
        <f t="shared" si="4"/>
        <v>136</v>
      </c>
      <c r="B144" s="679"/>
      <c r="D144" s="496" t="s">
        <v>1787</v>
      </c>
      <c r="E144" s="689" t="s">
        <v>1609</v>
      </c>
      <c r="F144" s="689"/>
      <c r="G144" s="689"/>
      <c r="H144" s="689"/>
      <c r="I144" s="689"/>
      <c r="J144" s="689"/>
      <c r="K144" s="689"/>
      <c r="L144" s="691"/>
    </row>
    <row r="145" spans="1:12">
      <c r="A145" s="687">
        <f t="shared" si="4"/>
        <v>137</v>
      </c>
      <c r="B145" s="679"/>
      <c r="D145" s="496" t="s">
        <v>1788</v>
      </c>
      <c r="E145" s="689" t="s">
        <v>1609</v>
      </c>
      <c r="F145" s="689"/>
      <c r="G145" s="689"/>
      <c r="H145" s="689"/>
      <c r="I145" s="689"/>
      <c r="J145" s="689"/>
      <c r="K145" s="689"/>
      <c r="L145" s="691"/>
    </row>
    <row r="146" spans="1:12">
      <c r="A146" s="687">
        <f t="shared" si="4"/>
        <v>138</v>
      </c>
      <c r="B146" s="679"/>
      <c r="D146" s="496" t="s">
        <v>1789</v>
      </c>
      <c r="E146" s="689" t="s">
        <v>1609</v>
      </c>
      <c r="F146" s="689"/>
      <c r="G146" s="689"/>
      <c r="H146" s="689"/>
      <c r="I146" s="689"/>
      <c r="J146" s="689"/>
      <c r="K146" s="689"/>
      <c r="L146" s="691"/>
    </row>
    <row r="147" spans="1:12">
      <c r="A147" s="687">
        <f t="shared" si="4"/>
        <v>139</v>
      </c>
      <c r="B147" s="679"/>
      <c r="D147" s="496" t="s">
        <v>1790</v>
      </c>
      <c r="E147" s="689" t="s">
        <v>1609</v>
      </c>
      <c r="F147" s="689"/>
      <c r="G147" s="689"/>
      <c r="H147" s="689"/>
      <c r="I147" s="689"/>
      <c r="J147" s="689"/>
      <c r="K147" s="689"/>
      <c r="L147" s="691"/>
    </row>
    <row r="148" spans="1:12">
      <c r="A148" s="687">
        <f t="shared" si="4"/>
        <v>140</v>
      </c>
      <c r="B148" s="679"/>
      <c r="D148" s="496" t="s">
        <v>2736</v>
      </c>
      <c r="E148" s="689" t="s">
        <v>1609</v>
      </c>
      <c r="F148" s="689"/>
      <c r="G148" s="689"/>
      <c r="H148" s="689"/>
      <c r="I148" s="689"/>
      <c r="J148" s="689"/>
      <c r="K148" s="689"/>
      <c r="L148" s="691"/>
    </row>
    <row r="149" spans="1:12">
      <c r="A149" s="687">
        <f t="shared" si="4"/>
        <v>141</v>
      </c>
      <c r="B149" s="679" t="s">
        <v>921</v>
      </c>
      <c r="C149" s="494" t="s">
        <v>1791</v>
      </c>
      <c r="D149" s="496" t="s">
        <v>1792</v>
      </c>
      <c r="E149" s="689" t="s">
        <v>1609</v>
      </c>
      <c r="F149" s="689"/>
      <c r="G149" s="689"/>
      <c r="H149" s="689"/>
      <c r="I149" s="689"/>
      <c r="J149" s="689"/>
      <c r="K149" s="689"/>
      <c r="L149" s="691"/>
    </row>
    <row r="150" spans="1:12">
      <c r="A150" s="687">
        <f t="shared" si="4"/>
        <v>142</v>
      </c>
      <c r="B150" s="679"/>
      <c r="D150" s="496" t="s">
        <v>1793</v>
      </c>
      <c r="E150" s="689" t="s">
        <v>1609</v>
      </c>
      <c r="F150" s="689"/>
      <c r="G150" s="689"/>
      <c r="H150" s="689"/>
      <c r="I150" s="689"/>
      <c r="J150" s="689"/>
      <c r="K150" s="689"/>
      <c r="L150" s="691"/>
    </row>
    <row r="151" spans="1:12">
      <c r="A151" s="687">
        <f t="shared" si="4"/>
        <v>143</v>
      </c>
      <c r="B151" s="679"/>
      <c r="D151" s="496" t="s">
        <v>1794</v>
      </c>
      <c r="E151" s="689" t="s">
        <v>1609</v>
      </c>
      <c r="F151" s="689"/>
      <c r="G151" s="689"/>
      <c r="H151" s="689"/>
      <c r="I151" s="689"/>
      <c r="J151" s="689"/>
      <c r="K151" s="689"/>
      <c r="L151" s="691"/>
    </row>
    <row r="152" spans="1:12">
      <c r="A152" s="687">
        <f t="shared" si="4"/>
        <v>144</v>
      </c>
      <c r="B152" s="679"/>
      <c r="D152" s="496" t="s">
        <v>1795</v>
      </c>
      <c r="E152" s="689" t="s">
        <v>1609</v>
      </c>
      <c r="F152" s="689"/>
      <c r="G152" s="689"/>
      <c r="H152" s="689"/>
      <c r="I152" s="689"/>
      <c r="J152" s="689"/>
      <c r="K152" s="689"/>
      <c r="L152" s="691"/>
    </row>
    <row r="153" spans="1:12">
      <c r="A153" s="687">
        <f t="shared" si="4"/>
        <v>145</v>
      </c>
      <c r="B153" s="679"/>
      <c r="D153" s="496" t="s">
        <v>1796</v>
      </c>
      <c r="E153" s="689" t="s">
        <v>1609</v>
      </c>
      <c r="F153" s="689"/>
      <c r="G153" s="689"/>
      <c r="H153" s="689"/>
      <c r="I153" s="689"/>
      <c r="J153" s="689"/>
      <c r="K153" s="689"/>
      <c r="L153" s="691"/>
    </row>
    <row r="154" spans="1:12">
      <c r="A154" s="687">
        <f t="shared" si="4"/>
        <v>146</v>
      </c>
      <c r="B154" s="679"/>
      <c r="D154" s="496" t="s">
        <v>1797</v>
      </c>
      <c r="E154" s="689" t="s">
        <v>1609</v>
      </c>
      <c r="F154" s="689"/>
      <c r="G154" s="689"/>
      <c r="H154" s="689"/>
      <c r="I154" s="689"/>
      <c r="J154" s="689"/>
      <c r="K154" s="689"/>
      <c r="L154" s="691"/>
    </row>
    <row r="155" spans="1:12">
      <c r="A155" s="687">
        <f t="shared" si="4"/>
        <v>147</v>
      </c>
      <c r="B155" s="679"/>
      <c r="D155" s="496" t="s">
        <v>1798</v>
      </c>
      <c r="E155" s="689" t="s">
        <v>1609</v>
      </c>
      <c r="F155" s="689"/>
      <c r="G155" s="689"/>
      <c r="H155" s="689"/>
      <c r="I155" s="689"/>
      <c r="J155" s="689"/>
      <c r="K155" s="689"/>
      <c r="L155" s="691"/>
    </row>
    <row r="156" spans="1:12">
      <c r="A156" s="687">
        <f t="shared" si="4"/>
        <v>148</v>
      </c>
      <c r="B156" s="679"/>
      <c r="D156" s="496" t="s">
        <v>1799</v>
      </c>
      <c r="E156" s="689" t="s">
        <v>1609</v>
      </c>
      <c r="F156" s="689"/>
      <c r="G156" s="689"/>
      <c r="H156" s="689"/>
      <c r="I156" s="689"/>
      <c r="J156" s="689"/>
      <c r="K156" s="689"/>
      <c r="L156" s="691"/>
    </row>
    <row r="157" spans="1:12">
      <c r="A157" s="687">
        <f t="shared" si="4"/>
        <v>149</v>
      </c>
      <c r="B157" s="679" t="s">
        <v>925</v>
      </c>
      <c r="C157" s="494" t="s">
        <v>1800</v>
      </c>
      <c r="D157" s="496" t="s">
        <v>1801</v>
      </c>
      <c r="E157" s="689" t="s">
        <v>1609</v>
      </c>
      <c r="F157" s="689"/>
      <c r="G157" s="689"/>
      <c r="H157" s="689"/>
      <c r="I157" s="689"/>
      <c r="J157" s="689"/>
      <c r="K157" s="689"/>
      <c r="L157" s="691"/>
    </row>
    <row r="158" spans="1:12">
      <c r="A158" s="687">
        <f t="shared" si="4"/>
        <v>150</v>
      </c>
      <c r="B158" s="679"/>
      <c r="D158" s="496" t="s">
        <v>1802</v>
      </c>
      <c r="E158" s="689"/>
      <c r="F158" s="689" t="s">
        <v>1609</v>
      </c>
      <c r="G158" s="689"/>
      <c r="H158" s="689"/>
      <c r="I158" s="689"/>
      <c r="J158" s="689"/>
      <c r="K158" s="689"/>
      <c r="L158" s="691" t="s">
        <v>1803</v>
      </c>
    </row>
    <row r="159" spans="1:12">
      <c r="A159" s="687">
        <f t="shared" si="4"/>
        <v>151</v>
      </c>
      <c r="B159" s="679"/>
      <c r="D159" s="496" t="s">
        <v>1804</v>
      </c>
      <c r="E159" s="689"/>
      <c r="F159" s="689" t="s">
        <v>1609</v>
      </c>
      <c r="G159" s="689"/>
      <c r="H159" s="689"/>
      <c r="I159" s="689"/>
      <c r="J159" s="689"/>
      <c r="K159" s="689"/>
      <c r="L159" s="691" t="s">
        <v>1803</v>
      </c>
    </row>
    <row r="160" spans="1:12" ht="29">
      <c r="A160" s="687">
        <f t="shared" si="4"/>
        <v>152</v>
      </c>
      <c r="B160" s="679" t="s">
        <v>927</v>
      </c>
      <c r="C160" s="494" t="s">
        <v>1805</v>
      </c>
      <c r="D160" s="496" t="s">
        <v>1806</v>
      </c>
      <c r="E160" s="689" t="s">
        <v>1609</v>
      </c>
      <c r="F160" s="689"/>
      <c r="G160" s="689"/>
      <c r="H160" s="689"/>
      <c r="I160" s="689"/>
      <c r="J160" s="689"/>
      <c r="K160" s="689"/>
      <c r="L160" s="691"/>
    </row>
    <row r="161" spans="1:12">
      <c r="A161" s="687">
        <f t="shared" si="4"/>
        <v>153</v>
      </c>
      <c r="B161" s="679"/>
      <c r="D161" s="496" t="s">
        <v>1690</v>
      </c>
      <c r="E161" s="689" t="s">
        <v>1609</v>
      </c>
      <c r="F161" s="689"/>
      <c r="G161" s="689"/>
      <c r="H161" s="689"/>
      <c r="I161" s="689"/>
      <c r="J161" s="689"/>
      <c r="K161" s="689"/>
      <c r="L161" s="691"/>
    </row>
    <row r="162" spans="1:12">
      <c r="A162" s="687">
        <f t="shared" si="4"/>
        <v>154</v>
      </c>
      <c r="B162" s="679"/>
      <c r="D162" s="496" t="s">
        <v>1807</v>
      </c>
      <c r="E162" s="689" t="s">
        <v>1609</v>
      </c>
      <c r="F162" s="689"/>
      <c r="G162" s="689"/>
      <c r="H162" s="689"/>
      <c r="I162" s="689"/>
      <c r="J162" s="689"/>
      <c r="K162" s="689"/>
      <c r="L162" s="691"/>
    </row>
    <row r="163" spans="1:12">
      <c r="A163" s="687">
        <f t="shared" si="4"/>
        <v>155</v>
      </c>
      <c r="B163" s="679"/>
      <c r="D163" s="496" t="s">
        <v>1808</v>
      </c>
      <c r="E163" s="689" t="s">
        <v>1609</v>
      </c>
      <c r="F163" s="689"/>
      <c r="G163" s="689"/>
      <c r="H163" s="689"/>
      <c r="I163" s="689"/>
      <c r="J163" s="689"/>
      <c r="K163" s="689"/>
      <c r="L163" s="691"/>
    </row>
    <row r="164" spans="1:12">
      <c r="A164" s="687">
        <f t="shared" si="4"/>
        <v>156</v>
      </c>
      <c r="B164" s="679"/>
      <c r="D164" s="496" t="s">
        <v>1809</v>
      </c>
      <c r="E164" s="689" t="s">
        <v>1609</v>
      </c>
      <c r="F164" s="689"/>
      <c r="G164" s="689"/>
      <c r="H164" s="689"/>
      <c r="I164" s="689"/>
      <c r="J164" s="689"/>
      <c r="K164" s="689"/>
      <c r="L164" s="691"/>
    </row>
    <row r="165" spans="1:12">
      <c r="A165" s="687">
        <f t="shared" si="4"/>
        <v>157</v>
      </c>
      <c r="B165" s="679"/>
      <c r="D165" s="496" t="s">
        <v>1810</v>
      </c>
      <c r="E165" s="689" t="s">
        <v>1609</v>
      </c>
      <c r="F165" s="689"/>
      <c r="G165" s="689"/>
      <c r="H165" s="689"/>
      <c r="I165" s="689"/>
      <c r="J165" s="689"/>
      <c r="K165" s="689"/>
      <c r="L165" s="691"/>
    </row>
    <row r="166" spans="1:12" ht="29">
      <c r="A166" s="687">
        <f t="shared" ref="A166:A187" si="5">A165+1</f>
        <v>158</v>
      </c>
      <c r="B166" s="679"/>
      <c r="D166" s="496" t="s">
        <v>1811</v>
      </c>
      <c r="E166" s="689"/>
      <c r="F166" s="689"/>
      <c r="G166" s="689" t="s">
        <v>1609</v>
      </c>
      <c r="H166" s="689"/>
      <c r="I166" s="689"/>
      <c r="J166" s="689"/>
      <c r="K166" s="689"/>
      <c r="L166" s="691" t="s">
        <v>1812</v>
      </c>
    </row>
    <row r="167" spans="1:12">
      <c r="A167" s="687">
        <f t="shared" si="5"/>
        <v>159</v>
      </c>
      <c r="B167" s="679"/>
      <c r="D167" s="496" t="s">
        <v>1813</v>
      </c>
      <c r="E167" s="689" t="s">
        <v>1609</v>
      </c>
      <c r="F167" s="689"/>
      <c r="G167" s="689"/>
      <c r="H167" s="689"/>
      <c r="I167" s="689"/>
      <c r="J167" s="689"/>
      <c r="K167" s="689"/>
      <c r="L167" s="691"/>
    </row>
    <row r="168" spans="1:12" ht="29">
      <c r="A168" s="687">
        <f t="shared" si="5"/>
        <v>160</v>
      </c>
      <c r="B168" s="679" t="s">
        <v>929</v>
      </c>
      <c r="C168" s="494" t="s">
        <v>1814</v>
      </c>
      <c r="D168" s="496" t="s">
        <v>1815</v>
      </c>
      <c r="E168" s="689" t="s">
        <v>1609</v>
      </c>
      <c r="F168" s="689"/>
      <c r="G168" s="689"/>
      <c r="H168" s="689"/>
      <c r="I168" s="689"/>
      <c r="J168" s="689"/>
      <c r="K168" s="689"/>
      <c r="L168" s="691"/>
    </row>
    <row r="169" spans="1:12">
      <c r="A169" s="687">
        <f t="shared" si="5"/>
        <v>161</v>
      </c>
      <c r="B169" s="679"/>
      <c r="D169" s="496" t="s">
        <v>1816</v>
      </c>
      <c r="E169" s="689" t="s">
        <v>1609</v>
      </c>
      <c r="F169" s="689"/>
      <c r="G169" s="689"/>
      <c r="H169" s="689"/>
      <c r="I169" s="690"/>
      <c r="J169" s="689"/>
      <c r="K169" s="689"/>
      <c r="L169" s="691"/>
    </row>
    <row r="170" spans="1:12">
      <c r="A170" s="687">
        <f t="shared" si="5"/>
        <v>162</v>
      </c>
      <c r="B170" s="679"/>
      <c r="D170" s="496" t="s">
        <v>1817</v>
      </c>
      <c r="E170" s="689" t="s">
        <v>1609</v>
      </c>
      <c r="F170" s="689"/>
      <c r="G170" s="689"/>
      <c r="H170" s="689"/>
      <c r="I170" s="690"/>
      <c r="J170" s="689"/>
      <c r="K170" s="689"/>
      <c r="L170" s="691"/>
    </row>
    <row r="171" spans="1:12">
      <c r="A171" s="687">
        <f t="shared" si="5"/>
        <v>163</v>
      </c>
      <c r="B171" s="679"/>
      <c r="D171" s="496" t="s">
        <v>1818</v>
      </c>
      <c r="E171" s="689" t="s">
        <v>1609</v>
      </c>
      <c r="F171" s="689"/>
      <c r="G171" s="689"/>
      <c r="H171" s="689"/>
      <c r="I171" s="690"/>
      <c r="J171" s="689"/>
      <c r="K171" s="689"/>
      <c r="L171" s="691"/>
    </row>
    <row r="172" spans="1:12">
      <c r="A172" s="687">
        <f t="shared" si="5"/>
        <v>164</v>
      </c>
      <c r="B172" s="679"/>
      <c r="D172" s="496" t="s">
        <v>1819</v>
      </c>
      <c r="E172" s="689" t="s">
        <v>1609</v>
      </c>
      <c r="F172" s="689"/>
      <c r="G172" s="689"/>
      <c r="H172" s="689"/>
      <c r="I172" s="690"/>
      <c r="J172" s="689"/>
      <c r="K172" s="689"/>
      <c r="L172" s="691"/>
    </row>
    <row r="173" spans="1:12">
      <c r="A173" s="687">
        <f t="shared" si="5"/>
        <v>165</v>
      </c>
      <c r="B173" s="679"/>
      <c r="D173" s="496" t="s">
        <v>1820</v>
      </c>
      <c r="E173" s="689" t="s">
        <v>1609</v>
      </c>
      <c r="F173" s="689"/>
      <c r="G173" s="689"/>
      <c r="H173" s="689"/>
      <c r="I173" s="690"/>
      <c r="J173" s="689"/>
      <c r="K173" s="689"/>
      <c r="L173" s="691"/>
    </row>
    <row r="174" spans="1:12">
      <c r="A174" s="687">
        <f t="shared" si="5"/>
        <v>166</v>
      </c>
      <c r="B174" s="679" t="s">
        <v>931</v>
      </c>
      <c r="C174" s="494" t="s">
        <v>1821</v>
      </c>
      <c r="D174" s="496" t="s">
        <v>1822</v>
      </c>
      <c r="E174" s="689" t="s">
        <v>1609</v>
      </c>
      <c r="F174" s="689"/>
      <c r="G174" s="689"/>
      <c r="H174" s="689"/>
      <c r="I174" s="690"/>
      <c r="J174" s="689"/>
      <c r="K174" s="689"/>
      <c r="L174" s="691"/>
    </row>
    <row r="175" spans="1:12">
      <c r="A175" s="687">
        <f t="shared" si="5"/>
        <v>167</v>
      </c>
      <c r="B175" s="679"/>
      <c r="D175" s="496" t="s">
        <v>1823</v>
      </c>
      <c r="E175" s="689" t="s">
        <v>1609</v>
      </c>
      <c r="F175" s="689"/>
      <c r="G175" s="689"/>
      <c r="H175" s="689"/>
      <c r="I175" s="690"/>
      <c r="J175" s="689"/>
      <c r="K175" s="689"/>
      <c r="L175" s="691"/>
    </row>
    <row r="176" spans="1:12" ht="29">
      <c r="A176" s="687">
        <f t="shared" si="5"/>
        <v>168</v>
      </c>
      <c r="B176" s="679" t="s">
        <v>933</v>
      </c>
      <c r="C176" s="494" t="s">
        <v>1824</v>
      </c>
      <c r="D176" s="496" t="s">
        <v>1825</v>
      </c>
      <c r="E176" s="689" t="s">
        <v>1609</v>
      </c>
      <c r="F176" s="689"/>
      <c r="G176" s="689"/>
      <c r="H176" s="689"/>
      <c r="I176" s="690"/>
      <c r="J176" s="689"/>
      <c r="K176" s="689"/>
      <c r="L176" s="691"/>
    </row>
    <row r="177" spans="1:12">
      <c r="A177" s="687">
        <f t="shared" si="5"/>
        <v>169</v>
      </c>
      <c r="B177" s="679"/>
      <c r="D177" s="496" t="s">
        <v>1826</v>
      </c>
      <c r="E177" s="689" t="s">
        <v>1609</v>
      </c>
      <c r="F177" s="689"/>
      <c r="G177" s="689"/>
      <c r="H177" s="689"/>
      <c r="I177" s="690"/>
      <c r="J177" s="689"/>
      <c r="K177" s="689"/>
      <c r="L177" s="691"/>
    </row>
    <row r="178" spans="1:12">
      <c r="A178" s="687">
        <f t="shared" si="5"/>
        <v>170</v>
      </c>
      <c r="B178" s="679"/>
      <c r="D178" s="496" t="s">
        <v>1827</v>
      </c>
      <c r="E178" s="689" t="s">
        <v>1609</v>
      </c>
      <c r="F178" s="689"/>
      <c r="G178" s="689"/>
      <c r="H178" s="689"/>
      <c r="I178" s="690"/>
      <c r="J178" s="689"/>
      <c r="K178" s="689"/>
      <c r="L178" s="691"/>
    </row>
    <row r="179" spans="1:12">
      <c r="A179" s="687">
        <f t="shared" si="5"/>
        <v>171</v>
      </c>
      <c r="B179" s="679"/>
      <c r="D179" s="496" t="s">
        <v>1644</v>
      </c>
      <c r="E179" s="689" t="s">
        <v>1609</v>
      </c>
      <c r="F179" s="689"/>
      <c r="G179" s="689"/>
      <c r="H179" s="689"/>
      <c r="I179" s="690"/>
      <c r="J179" s="689"/>
      <c r="K179" s="689"/>
      <c r="L179" s="691"/>
    </row>
    <row r="180" spans="1:12">
      <c r="A180" s="687">
        <f t="shared" si="5"/>
        <v>172</v>
      </c>
      <c r="B180" s="679"/>
      <c r="D180" s="496" t="s">
        <v>1828</v>
      </c>
      <c r="E180" s="689" t="s">
        <v>1609</v>
      </c>
      <c r="F180" s="689"/>
      <c r="G180" s="689"/>
      <c r="H180" s="689"/>
      <c r="I180" s="690"/>
      <c r="J180" s="689"/>
      <c r="K180" s="689"/>
      <c r="L180" s="691"/>
    </row>
    <row r="181" spans="1:12" ht="29">
      <c r="A181" s="687">
        <f t="shared" si="5"/>
        <v>173</v>
      </c>
      <c r="B181" s="679"/>
      <c r="D181" s="496" t="s">
        <v>1829</v>
      </c>
      <c r="E181" s="689" t="s">
        <v>1609</v>
      </c>
      <c r="F181" s="689"/>
      <c r="G181" s="689"/>
      <c r="H181" s="689"/>
      <c r="I181" s="689"/>
      <c r="J181" s="689"/>
      <c r="K181" s="689"/>
      <c r="L181" s="691"/>
    </row>
    <row r="182" spans="1:12" ht="18" customHeight="1">
      <c r="A182" s="687">
        <f t="shared" si="5"/>
        <v>174</v>
      </c>
      <c r="B182" s="679"/>
      <c r="D182" s="496" t="s">
        <v>2592</v>
      </c>
      <c r="E182" s="689" t="s">
        <v>1609</v>
      </c>
      <c r="F182" s="689"/>
      <c r="G182" s="689"/>
      <c r="H182" s="689"/>
      <c r="I182" s="689"/>
      <c r="J182" s="689"/>
      <c r="K182" s="689"/>
      <c r="L182" s="691"/>
    </row>
    <row r="183" spans="1:12">
      <c r="A183" s="687">
        <f t="shared" si="5"/>
        <v>175</v>
      </c>
      <c r="B183" s="679"/>
      <c r="D183" s="496" t="s">
        <v>1830</v>
      </c>
      <c r="E183" s="689" t="s">
        <v>1609</v>
      </c>
      <c r="F183" s="689"/>
      <c r="G183" s="689"/>
      <c r="H183" s="689"/>
      <c r="I183" s="689"/>
      <c r="J183" s="689"/>
      <c r="K183" s="689"/>
      <c r="L183" s="691"/>
    </row>
    <row r="184" spans="1:12">
      <c r="A184" s="687">
        <f t="shared" si="5"/>
        <v>176</v>
      </c>
      <c r="B184" s="679"/>
      <c r="D184" s="496" t="s">
        <v>1831</v>
      </c>
      <c r="E184" s="689" t="s">
        <v>1609</v>
      </c>
      <c r="F184" s="689"/>
      <c r="G184" s="689"/>
      <c r="H184" s="689"/>
      <c r="I184" s="689"/>
      <c r="J184" s="689"/>
      <c r="K184" s="689"/>
      <c r="L184" s="691"/>
    </row>
    <row r="185" spans="1:12">
      <c r="A185" s="687">
        <f t="shared" si="5"/>
        <v>177</v>
      </c>
      <c r="B185" s="679"/>
      <c r="D185" s="496" t="s">
        <v>1832</v>
      </c>
      <c r="E185" s="689" t="s">
        <v>1609</v>
      </c>
      <c r="F185" s="689"/>
      <c r="G185" s="689"/>
      <c r="H185" s="689"/>
      <c r="I185" s="689"/>
      <c r="J185" s="689"/>
      <c r="K185" s="689"/>
      <c r="L185" s="691"/>
    </row>
    <row r="186" spans="1:12">
      <c r="A186" s="687">
        <f t="shared" si="5"/>
        <v>178</v>
      </c>
      <c r="B186" s="679"/>
      <c r="D186" s="496" t="s">
        <v>1833</v>
      </c>
      <c r="E186" s="689" t="s">
        <v>1609</v>
      </c>
      <c r="F186" s="689"/>
      <c r="G186" s="689"/>
      <c r="H186" s="689"/>
      <c r="I186" s="689"/>
      <c r="J186" s="689"/>
      <c r="K186" s="689"/>
      <c r="L186" s="691"/>
    </row>
    <row r="187" spans="1:12">
      <c r="A187" s="687">
        <f t="shared" si="5"/>
        <v>179</v>
      </c>
      <c r="B187" s="679" t="s">
        <v>935</v>
      </c>
      <c r="C187" s="494" t="s">
        <v>1834</v>
      </c>
      <c r="D187" s="496" t="s">
        <v>1835</v>
      </c>
      <c r="E187" s="689"/>
      <c r="F187" s="689"/>
      <c r="G187" s="689" t="s">
        <v>1609</v>
      </c>
      <c r="H187" s="689"/>
      <c r="I187" s="689"/>
      <c r="J187" s="689"/>
      <c r="K187" s="689"/>
      <c r="L187" s="691" t="s">
        <v>1836</v>
      </c>
    </row>
    <row r="188" spans="1:12">
      <c r="A188" s="687">
        <f t="shared" ref="A188:A251" si="6">A187+1</f>
        <v>180</v>
      </c>
      <c r="B188" s="679"/>
      <c r="D188" s="496" t="s">
        <v>1723</v>
      </c>
      <c r="E188" s="689" t="s">
        <v>1609</v>
      </c>
      <c r="F188" s="689"/>
      <c r="G188" s="689"/>
      <c r="H188" s="689"/>
      <c r="I188" s="689"/>
      <c r="J188" s="689"/>
      <c r="K188" s="689"/>
      <c r="L188" s="691"/>
    </row>
    <row r="189" spans="1:12">
      <c r="A189" s="687">
        <f t="shared" si="6"/>
        <v>181</v>
      </c>
      <c r="B189" s="679"/>
      <c r="D189" s="496" t="s">
        <v>1837</v>
      </c>
      <c r="E189" s="689" t="s">
        <v>1609</v>
      </c>
      <c r="F189" s="689"/>
      <c r="G189" s="689"/>
      <c r="H189" s="689"/>
      <c r="I189" s="689"/>
      <c r="J189" s="689"/>
      <c r="K189" s="689"/>
      <c r="L189" s="691"/>
    </row>
    <row r="190" spans="1:12">
      <c r="A190" s="687">
        <f t="shared" si="6"/>
        <v>182</v>
      </c>
      <c r="B190" s="679"/>
      <c r="D190" s="496" t="s">
        <v>1838</v>
      </c>
      <c r="E190" s="689" t="s">
        <v>1609</v>
      </c>
      <c r="F190" s="689"/>
      <c r="G190" s="689"/>
      <c r="H190" s="689"/>
      <c r="I190" s="689"/>
      <c r="J190" s="689"/>
      <c r="K190" s="689"/>
      <c r="L190" s="691"/>
    </row>
    <row r="191" spans="1:12">
      <c r="A191" s="687">
        <f t="shared" si="6"/>
        <v>183</v>
      </c>
      <c r="B191" s="679" t="s">
        <v>937</v>
      </c>
      <c r="C191" s="494" t="s">
        <v>1839</v>
      </c>
      <c r="D191" s="496" t="s">
        <v>2612</v>
      </c>
      <c r="E191" s="689" t="s">
        <v>1609</v>
      </c>
      <c r="F191" s="689"/>
      <c r="G191" s="689"/>
      <c r="H191" s="689"/>
      <c r="I191" s="689"/>
      <c r="J191" s="689"/>
      <c r="K191" s="689"/>
      <c r="L191" s="691"/>
    </row>
    <row r="192" spans="1:12">
      <c r="A192" s="687">
        <f t="shared" si="6"/>
        <v>184</v>
      </c>
      <c r="B192" s="679"/>
      <c r="D192" s="496" t="s">
        <v>2613</v>
      </c>
      <c r="E192" s="689"/>
      <c r="F192" s="689"/>
      <c r="G192" s="689"/>
      <c r="H192" s="689"/>
      <c r="I192" s="689"/>
      <c r="J192" s="689"/>
      <c r="K192" s="689"/>
      <c r="L192" s="691"/>
    </row>
    <row r="193" spans="1:12">
      <c r="A193" s="687">
        <f t="shared" si="6"/>
        <v>185</v>
      </c>
      <c r="B193" s="679" t="s">
        <v>939</v>
      </c>
      <c r="C193" s="494" t="s">
        <v>1840</v>
      </c>
      <c r="D193" s="496" t="s">
        <v>2614</v>
      </c>
      <c r="E193" s="689" t="s">
        <v>1609</v>
      </c>
      <c r="F193" s="689"/>
      <c r="G193" s="689"/>
      <c r="H193" s="689"/>
      <c r="I193" s="689"/>
      <c r="J193" s="689"/>
      <c r="K193" s="689"/>
      <c r="L193" s="691"/>
    </row>
    <row r="194" spans="1:12">
      <c r="A194" s="687">
        <f t="shared" si="6"/>
        <v>186</v>
      </c>
      <c r="B194" s="679"/>
      <c r="D194" s="496" t="s">
        <v>1841</v>
      </c>
      <c r="E194" s="689"/>
      <c r="F194" s="689" t="s">
        <v>1609</v>
      </c>
      <c r="G194" s="689"/>
      <c r="H194" s="689"/>
      <c r="I194" s="689"/>
      <c r="J194" s="689"/>
      <c r="K194" s="689"/>
      <c r="L194" s="691" t="s">
        <v>1842</v>
      </c>
    </row>
    <row r="195" spans="1:12">
      <c r="A195" s="687">
        <f t="shared" si="6"/>
        <v>187</v>
      </c>
      <c r="B195" s="679"/>
      <c r="D195" s="496" t="s">
        <v>1843</v>
      </c>
      <c r="E195" s="689" t="s">
        <v>1609</v>
      </c>
      <c r="F195" s="689"/>
      <c r="G195" s="689"/>
      <c r="H195" s="689"/>
      <c r="I195" s="689"/>
      <c r="J195" s="689"/>
      <c r="K195" s="689"/>
      <c r="L195" s="691"/>
    </row>
    <row r="196" spans="1:12">
      <c r="A196" s="687">
        <f t="shared" si="6"/>
        <v>188</v>
      </c>
      <c r="B196" s="679"/>
      <c r="D196" s="496" t="s">
        <v>1844</v>
      </c>
      <c r="E196" s="689" t="s">
        <v>1609</v>
      </c>
      <c r="F196" s="689"/>
      <c r="G196" s="689"/>
      <c r="H196" s="689"/>
      <c r="I196" s="689"/>
      <c r="J196" s="689"/>
      <c r="K196" s="689"/>
      <c r="L196" s="691" t="s">
        <v>1845</v>
      </c>
    </row>
    <row r="197" spans="1:12">
      <c r="A197" s="687">
        <f t="shared" si="6"/>
        <v>189</v>
      </c>
      <c r="B197" s="679"/>
      <c r="D197" s="496" t="s">
        <v>1846</v>
      </c>
      <c r="E197" s="689" t="s">
        <v>1609</v>
      </c>
      <c r="F197" s="689"/>
      <c r="G197" s="689"/>
      <c r="H197" s="689"/>
      <c r="I197" s="689"/>
      <c r="J197" s="689"/>
      <c r="K197" s="689"/>
      <c r="L197" s="691" t="s">
        <v>1847</v>
      </c>
    </row>
    <row r="198" spans="1:12" ht="29">
      <c r="A198" s="687">
        <f t="shared" si="6"/>
        <v>190</v>
      </c>
      <c r="B198" s="679" t="s">
        <v>941</v>
      </c>
      <c r="C198" s="494" t="s">
        <v>1848</v>
      </c>
      <c r="D198" s="496" t="s">
        <v>1849</v>
      </c>
      <c r="E198" s="689" t="s">
        <v>1609</v>
      </c>
      <c r="F198" s="689"/>
      <c r="G198" s="689"/>
      <c r="H198" s="689"/>
      <c r="I198" s="689"/>
      <c r="J198" s="689"/>
      <c r="K198" s="689"/>
      <c r="L198" s="691"/>
    </row>
    <row r="199" spans="1:12">
      <c r="A199" s="687">
        <f t="shared" si="6"/>
        <v>191</v>
      </c>
      <c r="B199" s="679"/>
      <c r="D199" s="496" t="s">
        <v>2593</v>
      </c>
      <c r="E199" s="689" t="s">
        <v>1609</v>
      </c>
      <c r="F199" s="689"/>
      <c r="G199" s="689"/>
      <c r="H199" s="689"/>
      <c r="I199" s="689"/>
      <c r="J199" s="689"/>
      <c r="K199" s="689"/>
      <c r="L199" s="691"/>
    </row>
    <row r="200" spans="1:12">
      <c r="A200" s="687">
        <f t="shared" si="6"/>
        <v>192</v>
      </c>
      <c r="B200" s="679" t="s">
        <v>945</v>
      </c>
      <c r="C200" s="494" t="s">
        <v>1850</v>
      </c>
      <c r="D200" s="496" t="s">
        <v>1851</v>
      </c>
      <c r="E200" s="689" t="s">
        <v>1609</v>
      </c>
      <c r="F200" s="689"/>
      <c r="G200" s="689"/>
      <c r="H200" s="689"/>
      <c r="I200" s="689"/>
      <c r="J200" s="689"/>
      <c r="K200" s="689"/>
      <c r="L200" s="691"/>
    </row>
    <row r="201" spans="1:12">
      <c r="A201" s="687">
        <f t="shared" si="6"/>
        <v>193</v>
      </c>
      <c r="B201" s="679"/>
      <c r="D201" s="496" t="s">
        <v>1852</v>
      </c>
      <c r="E201" s="689"/>
      <c r="F201" s="689" t="s">
        <v>1609</v>
      </c>
      <c r="G201" s="689"/>
      <c r="H201" s="689"/>
      <c r="I201" s="689"/>
      <c r="J201" s="689"/>
      <c r="K201" s="689"/>
      <c r="L201" s="691" t="s">
        <v>1853</v>
      </c>
    </row>
    <row r="202" spans="1:12">
      <c r="A202" s="687">
        <f t="shared" si="6"/>
        <v>194</v>
      </c>
      <c r="B202" s="679"/>
      <c r="D202" s="496" t="s">
        <v>1854</v>
      </c>
      <c r="E202" s="689" t="s">
        <v>1609</v>
      </c>
      <c r="F202" s="689"/>
      <c r="G202" s="689"/>
      <c r="H202" s="689"/>
      <c r="I202" s="689"/>
      <c r="J202" s="689"/>
      <c r="K202" s="689"/>
      <c r="L202" s="691"/>
    </row>
    <row r="203" spans="1:12">
      <c r="A203" s="687">
        <f t="shared" si="6"/>
        <v>195</v>
      </c>
      <c r="B203" s="679"/>
      <c r="D203" s="496" t="s">
        <v>1855</v>
      </c>
      <c r="E203" s="689" t="s">
        <v>1609</v>
      </c>
      <c r="F203" s="689"/>
      <c r="G203" s="689"/>
      <c r="H203" s="689"/>
      <c r="I203" s="689"/>
      <c r="J203" s="689"/>
      <c r="K203" s="689"/>
      <c r="L203" s="691"/>
    </row>
    <row r="204" spans="1:12">
      <c r="A204" s="687">
        <f t="shared" si="6"/>
        <v>196</v>
      </c>
      <c r="B204" s="679"/>
      <c r="D204" s="496" t="s">
        <v>1856</v>
      </c>
      <c r="E204" s="689" t="s">
        <v>1609</v>
      </c>
      <c r="F204" s="689"/>
      <c r="G204" s="689"/>
      <c r="H204" s="689"/>
      <c r="I204" s="689"/>
      <c r="J204" s="689"/>
      <c r="K204" s="689"/>
      <c r="L204" s="691"/>
    </row>
    <row r="205" spans="1:12">
      <c r="A205" s="687">
        <f t="shared" si="6"/>
        <v>197</v>
      </c>
      <c r="B205" s="679"/>
      <c r="D205" s="496" t="s">
        <v>1857</v>
      </c>
      <c r="E205" s="689" t="s">
        <v>1609</v>
      </c>
      <c r="F205" s="689"/>
      <c r="G205" s="689"/>
      <c r="H205" s="689"/>
      <c r="I205" s="689"/>
      <c r="J205" s="689"/>
      <c r="K205" s="689"/>
      <c r="L205" s="691"/>
    </row>
    <row r="206" spans="1:12">
      <c r="A206" s="687">
        <f t="shared" si="6"/>
        <v>198</v>
      </c>
      <c r="B206" s="679" t="s">
        <v>947</v>
      </c>
      <c r="C206" s="494" t="s">
        <v>1858</v>
      </c>
      <c r="D206" s="496" t="s">
        <v>1859</v>
      </c>
      <c r="E206" s="689" t="s">
        <v>1609</v>
      </c>
      <c r="F206" s="689"/>
      <c r="G206" s="689"/>
      <c r="H206" s="689"/>
      <c r="I206" s="689"/>
      <c r="J206" s="689"/>
      <c r="K206" s="689"/>
      <c r="L206" s="691"/>
    </row>
    <row r="207" spans="1:12">
      <c r="A207" s="687">
        <f t="shared" si="6"/>
        <v>199</v>
      </c>
      <c r="B207" s="679" t="s">
        <v>951</v>
      </c>
      <c r="C207" s="494" t="s">
        <v>1860</v>
      </c>
      <c r="D207" s="496" t="s">
        <v>1861</v>
      </c>
      <c r="E207" s="689" t="s">
        <v>1609</v>
      </c>
      <c r="F207" s="689"/>
      <c r="G207" s="689"/>
      <c r="H207" s="689"/>
      <c r="I207" s="689"/>
      <c r="J207" s="689"/>
      <c r="K207" s="689"/>
      <c r="L207" s="693"/>
    </row>
    <row r="208" spans="1:12" ht="29">
      <c r="A208" s="687">
        <f t="shared" si="6"/>
        <v>200</v>
      </c>
      <c r="B208" s="679" t="s">
        <v>953</v>
      </c>
      <c r="C208" s="494" t="s">
        <v>1862</v>
      </c>
      <c r="D208" s="496" t="s">
        <v>2615</v>
      </c>
      <c r="E208" s="689" t="s">
        <v>1609</v>
      </c>
      <c r="F208" s="689"/>
      <c r="G208" s="689"/>
      <c r="H208" s="689"/>
      <c r="I208" s="689"/>
      <c r="J208" s="689"/>
      <c r="K208" s="689"/>
      <c r="L208" s="691"/>
    </row>
    <row r="209" spans="1:12">
      <c r="A209" s="687">
        <f t="shared" si="6"/>
        <v>201</v>
      </c>
      <c r="B209" s="679"/>
      <c r="D209" s="496" t="s">
        <v>2623</v>
      </c>
      <c r="E209" s="689" t="s">
        <v>1609</v>
      </c>
      <c r="F209" s="689"/>
      <c r="G209" s="689"/>
      <c r="H209" s="689"/>
      <c r="I209" s="689"/>
      <c r="J209" s="689"/>
      <c r="K209" s="689"/>
      <c r="L209" s="691"/>
    </row>
    <row r="210" spans="1:12">
      <c r="A210" s="687">
        <f t="shared" si="6"/>
        <v>202</v>
      </c>
      <c r="B210" s="679"/>
      <c r="D210" s="496" t="s">
        <v>1863</v>
      </c>
      <c r="E210" s="689" t="s">
        <v>1609</v>
      </c>
      <c r="F210" s="689"/>
      <c r="G210" s="689"/>
      <c r="H210" s="689"/>
      <c r="I210" s="689"/>
      <c r="J210" s="689"/>
      <c r="K210" s="689"/>
      <c r="L210" s="691"/>
    </row>
    <row r="211" spans="1:12">
      <c r="A211" s="687">
        <f t="shared" si="6"/>
        <v>203</v>
      </c>
      <c r="B211" s="679"/>
      <c r="D211" s="496" t="s">
        <v>1864</v>
      </c>
      <c r="E211" s="689" t="s">
        <v>1609</v>
      </c>
      <c r="F211" s="689"/>
      <c r="G211" s="689"/>
      <c r="H211" s="689"/>
      <c r="I211" s="689"/>
      <c r="J211" s="689"/>
      <c r="K211" s="689"/>
      <c r="L211" s="691"/>
    </row>
    <row r="212" spans="1:12" ht="29">
      <c r="A212" s="687">
        <f t="shared" si="6"/>
        <v>204</v>
      </c>
      <c r="B212" s="679"/>
      <c r="D212" s="496" t="s">
        <v>1865</v>
      </c>
      <c r="E212" s="689" t="s">
        <v>1609</v>
      </c>
      <c r="F212" s="689"/>
      <c r="G212" s="689"/>
      <c r="H212" s="689"/>
      <c r="I212" s="689"/>
      <c r="J212" s="689"/>
      <c r="K212" s="689"/>
      <c r="L212" s="691"/>
    </row>
    <row r="213" spans="1:12" ht="29">
      <c r="A213" s="687">
        <f t="shared" si="6"/>
        <v>205</v>
      </c>
      <c r="B213" s="679" t="s">
        <v>1866</v>
      </c>
      <c r="C213" s="494" t="s">
        <v>1867</v>
      </c>
      <c r="D213" s="496" t="s">
        <v>1868</v>
      </c>
      <c r="E213" s="689" t="s">
        <v>1609</v>
      </c>
      <c r="F213" s="689"/>
      <c r="G213" s="689"/>
      <c r="H213" s="689"/>
      <c r="I213" s="689"/>
      <c r="J213" s="689"/>
      <c r="K213" s="689"/>
      <c r="L213" s="691"/>
    </row>
    <row r="214" spans="1:12" ht="29">
      <c r="A214" s="687">
        <f t="shared" si="6"/>
        <v>206</v>
      </c>
      <c r="B214" s="679"/>
      <c r="D214" s="496" t="s">
        <v>1869</v>
      </c>
      <c r="E214" s="689" t="s">
        <v>1609</v>
      </c>
      <c r="F214" s="689"/>
      <c r="G214" s="689"/>
      <c r="H214" s="689"/>
      <c r="I214" s="689"/>
      <c r="J214" s="689"/>
      <c r="K214" s="689"/>
      <c r="L214" s="691" t="s">
        <v>1870</v>
      </c>
    </row>
    <row r="215" spans="1:12">
      <c r="A215" s="687">
        <f t="shared" si="6"/>
        <v>207</v>
      </c>
      <c r="B215" s="679"/>
      <c r="D215" s="496" t="s">
        <v>1871</v>
      </c>
      <c r="E215" s="689" t="s">
        <v>1609</v>
      </c>
      <c r="F215" s="689"/>
      <c r="G215" s="689"/>
      <c r="H215" s="689"/>
      <c r="I215" s="689"/>
      <c r="J215" s="689"/>
      <c r="K215" s="689"/>
      <c r="L215" s="691"/>
    </row>
    <row r="216" spans="1:12">
      <c r="A216" s="687">
        <f t="shared" si="6"/>
        <v>208</v>
      </c>
      <c r="B216" s="679"/>
      <c r="D216" s="496" t="s">
        <v>1872</v>
      </c>
      <c r="E216" s="689" t="s">
        <v>1609</v>
      </c>
      <c r="F216" s="689"/>
      <c r="G216" s="689"/>
      <c r="H216" s="689"/>
      <c r="I216" s="689"/>
      <c r="J216" s="689"/>
      <c r="K216" s="689"/>
      <c r="L216" s="691"/>
    </row>
    <row r="217" spans="1:12">
      <c r="A217" s="687">
        <f t="shared" si="6"/>
        <v>209</v>
      </c>
      <c r="B217" s="679"/>
      <c r="D217" s="496" t="s">
        <v>1873</v>
      </c>
      <c r="E217" s="689" t="s">
        <v>1609</v>
      </c>
      <c r="F217" s="689"/>
      <c r="G217" s="689"/>
      <c r="H217" s="689"/>
      <c r="I217" s="689"/>
      <c r="J217" s="689"/>
      <c r="K217" s="689"/>
      <c r="L217" s="691"/>
    </row>
    <row r="218" spans="1:12">
      <c r="A218" s="687">
        <f t="shared" si="6"/>
        <v>210</v>
      </c>
      <c r="B218" s="679"/>
      <c r="D218" s="496" t="s">
        <v>1874</v>
      </c>
      <c r="E218" s="689" t="s">
        <v>1609</v>
      </c>
      <c r="F218" s="689"/>
      <c r="G218" s="689"/>
      <c r="H218" s="689"/>
      <c r="I218" s="689"/>
      <c r="J218" s="689"/>
      <c r="K218" s="689"/>
      <c r="L218" s="691"/>
    </row>
    <row r="219" spans="1:12">
      <c r="A219" s="687">
        <f t="shared" si="6"/>
        <v>211</v>
      </c>
      <c r="B219" s="679"/>
      <c r="D219" s="496" t="s">
        <v>1875</v>
      </c>
      <c r="E219" s="689" t="s">
        <v>1609</v>
      </c>
      <c r="F219" s="689"/>
      <c r="G219" s="689"/>
      <c r="H219" s="689"/>
      <c r="I219" s="689"/>
      <c r="J219" s="689"/>
      <c r="K219" s="689"/>
      <c r="L219" s="691"/>
    </row>
    <row r="220" spans="1:12">
      <c r="A220" s="687">
        <f t="shared" si="6"/>
        <v>212</v>
      </c>
      <c r="B220" s="679"/>
      <c r="D220" s="496" t="s">
        <v>1876</v>
      </c>
      <c r="E220" s="689" t="s">
        <v>1609</v>
      </c>
      <c r="F220" s="689"/>
      <c r="G220" s="689"/>
      <c r="H220" s="689"/>
      <c r="I220" s="689"/>
      <c r="J220" s="689"/>
      <c r="K220" s="689"/>
      <c r="L220" s="691"/>
    </row>
    <row r="221" spans="1:12">
      <c r="A221" s="687">
        <f t="shared" si="6"/>
        <v>213</v>
      </c>
      <c r="B221" s="679"/>
      <c r="D221" s="496" t="s">
        <v>1877</v>
      </c>
      <c r="E221" s="689" t="s">
        <v>1609</v>
      </c>
      <c r="F221" s="689"/>
      <c r="G221" s="689"/>
      <c r="H221" s="689"/>
      <c r="I221" s="689"/>
      <c r="J221" s="689"/>
      <c r="K221" s="689"/>
      <c r="L221" s="691"/>
    </row>
    <row r="222" spans="1:12">
      <c r="A222" s="687">
        <f t="shared" si="6"/>
        <v>214</v>
      </c>
      <c r="B222" s="679" t="s">
        <v>957</v>
      </c>
      <c r="C222" s="494" t="s">
        <v>1878</v>
      </c>
      <c r="D222" s="496" t="s">
        <v>1879</v>
      </c>
      <c r="E222" s="689" t="s">
        <v>1609</v>
      </c>
      <c r="F222" s="689"/>
      <c r="G222" s="689"/>
      <c r="H222" s="689"/>
      <c r="I222" s="689"/>
      <c r="J222" s="689"/>
      <c r="K222" s="689"/>
      <c r="L222" s="691"/>
    </row>
    <row r="223" spans="1:12">
      <c r="A223" s="687">
        <f t="shared" si="6"/>
        <v>215</v>
      </c>
      <c r="B223" s="679"/>
      <c r="D223" s="496" t="s">
        <v>1880</v>
      </c>
      <c r="E223" s="689" t="s">
        <v>1609</v>
      </c>
      <c r="F223" s="689"/>
      <c r="G223" s="689"/>
      <c r="H223" s="689"/>
      <c r="I223" s="689"/>
      <c r="J223" s="689"/>
      <c r="K223" s="689"/>
      <c r="L223" s="691"/>
    </row>
    <row r="224" spans="1:12">
      <c r="A224" s="687">
        <f t="shared" si="6"/>
        <v>216</v>
      </c>
      <c r="B224" s="679"/>
      <c r="D224" s="496" t="s">
        <v>1881</v>
      </c>
      <c r="E224" s="689" t="s">
        <v>1609</v>
      </c>
      <c r="F224" s="689"/>
      <c r="G224" s="689"/>
      <c r="H224" s="689"/>
      <c r="I224" s="689"/>
      <c r="J224" s="689"/>
      <c r="K224" s="689"/>
      <c r="L224" s="691"/>
    </row>
    <row r="225" spans="1:12">
      <c r="A225" s="687">
        <f t="shared" si="6"/>
        <v>217</v>
      </c>
      <c r="B225" s="679" t="s">
        <v>959</v>
      </c>
      <c r="C225" s="494" t="s">
        <v>1882</v>
      </c>
      <c r="D225" s="496" t="s">
        <v>1883</v>
      </c>
      <c r="E225" s="689" t="s">
        <v>1609</v>
      </c>
      <c r="F225" s="689"/>
      <c r="G225" s="689"/>
      <c r="H225" s="689"/>
      <c r="I225" s="689"/>
      <c r="J225" s="689"/>
      <c r="K225" s="689"/>
      <c r="L225" s="691"/>
    </row>
    <row r="226" spans="1:12">
      <c r="A226" s="687">
        <f t="shared" si="6"/>
        <v>218</v>
      </c>
      <c r="B226" s="679"/>
      <c r="D226" s="496" t="s">
        <v>1884</v>
      </c>
      <c r="E226" s="689" t="s">
        <v>1609</v>
      </c>
      <c r="F226" s="689"/>
      <c r="G226" s="689"/>
      <c r="H226" s="689"/>
      <c r="I226" s="689"/>
      <c r="J226" s="689"/>
      <c r="K226" s="689"/>
      <c r="L226" s="691"/>
    </row>
    <row r="227" spans="1:12">
      <c r="A227" s="687">
        <f t="shared" si="6"/>
        <v>219</v>
      </c>
      <c r="B227" s="679" t="s">
        <v>961</v>
      </c>
      <c r="C227" s="494" t="s">
        <v>1885</v>
      </c>
      <c r="D227" s="496" t="s">
        <v>1886</v>
      </c>
      <c r="E227" s="689" t="s">
        <v>1609</v>
      </c>
      <c r="F227" s="689"/>
      <c r="G227" s="689"/>
      <c r="H227" s="689"/>
      <c r="I227" s="689"/>
      <c r="J227" s="689"/>
      <c r="K227" s="689"/>
      <c r="L227" s="691"/>
    </row>
    <row r="228" spans="1:12">
      <c r="A228" s="687">
        <f t="shared" si="6"/>
        <v>220</v>
      </c>
      <c r="B228" s="679"/>
      <c r="D228" s="496" t="s">
        <v>1887</v>
      </c>
      <c r="E228" s="689" t="s">
        <v>1609</v>
      </c>
      <c r="F228" s="689"/>
      <c r="G228" s="689"/>
      <c r="H228" s="689"/>
      <c r="I228" s="689"/>
      <c r="J228" s="689"/>
      <c r="K228" s="689"/>
      <c r="L228" s="691"/>
    </row>
    <row r="229" spans="1:12">
      <c r="A229" s="687">
        <f t="shared" si="6"/>
        <v>221</v>
      </c>
      <c r="B229" s="679"/>
      <c r="D229" s="496" t="s">
        <v>1888</v>
      </c>
      <c r="E229" s="689" t="s">
        <v>1609</v>
      </c>
      <c r="F229" s="689"/>
      <c r="G229" s="689"/>
      <c r="H229" s="689"/>
      <c r="I229" s="689"/>
      <c r="J229" s="689"/>
      <c r="K229" s="689"/>
      <c r="L229" s="691"/>
    </row>
    <row r="230" spans="1:12">
      <c r="A230" s="687">
        <f t="shared" si="6"/>
        <v>222</v>
      </c>
      <c r="B230" s="679"/>
      <c r="D230" s="496" t="s">
        <v>1889</v>
      </c>
      <c r="E230" s="689" t="s">
        <v>1609</v>
      </c>
      <c r="F230" s="689"/>
      <c r="G230" s="689"/>
      <c r="H230" s="689"/>
      <c r="I230" s="689"/>
      <c r="J230" s="689"/>
      <c r="K230" s="689"/>
      <c r="L230" s="691"/>
    </row>
    <row r="231" spans="1:12">
      <c r="A231" s="687">
        <f t="shared" si="6"/>
        <v>223</v>
      </c>
      <c r="B231" s="679"/>
      <c r="D231" s="496" t="s">
        <v>1890</v>
      </c>
      <c r="E231" s="689" t="s">
        <v>1609</v>
      </c>
      <c r="F231" s="689"/>
      <c r="G231" s="689"/>
      <c r="H231" s="689"/>
      <c r="I231" s="689"/>
      <c r="J231" s="689"/>
      <c r="K231" s="689"/>
      <c r="L231" s="691"/>
    </row>
    <row r="232" spans="1:12">
      <c r="A232" s="687">
        <f t="shared" si="6"/>
        <v>224</v>
      </c>
      <c r="B232" s="679" t="s">
        <v>963</v>
      </c>
      <c r="C232" s="494" t="s">
        <v>1891</v>
      </c>
      <c r="D232" s="496" t="s">
        <v>1892</v>
      </c>
      <c r="E232" s="689" t="s">
        <v>1609</v>
      </c>
      <c r="F232" s="689"/>
      <c r="G232" s="689"/>
      <c r="H232" s="689"/>
      <c r="I232" s="689"/>
      <c r="J232" s="689"/>
      <c r="K232" s="689"/>
      <c r="L232" s="691" t="s">
        <v>1893</v>
      </c>
    </row>
    <row r="233" spans="1:12">
      <c r="A233" s="687">
        <f t="shared" si="6"/>
        <v>225</v>
      </c>
      <c r="B233" s="679"/>
      <c r="D233" s="496" t="s">
        <v>1894</v>
      </c>
      <c r="E233" s="689" t="s">
        <v>1609</v>
      </c>
      <c r="F233" s="689"/>
      <c r="G233" s="689"/>
      <c r="H233" s="689"/>
      <c r="I233" s="689"/>
      <c r="J233" s="689"/>
      <c r="K233" s="689"/>
      <c r="L233" s="691"/>
    </row>
    <row r="234" spans="1:12">
      <c r="A234" s="687">
        <f t="shared" si="6"/>
        <v>226</v>
      </c>
      <c r="B234" s="679"/>
      <c r="D234" s="496" t="s">
        <v>1895</v>
      </c>
      <c r="E234" s="689" t="s">
        <v>1609</v>
      </c>
      <c r="F234" s="689"/>
      <c r="G234" s="689"/>
      <c r="H234" s="689"/>
      <c r="I234" s="689"/>
      <c r="J234" s="689"/>
      <c r="K234" s="689"/>
      <c r="L234" s="691"/>
    </row>
    <row r="235" spans="1:12">
      <c r="A235" s="687">
        <f t="shared" si="6"/>
        <v>227</v>
      </c>
      <c r="B235" s="679"/>
      <c r="D235" s="496" t="s">
        <v>1896</v>
      </c>
      <c r="E235" s="689" t="s">
        <v>1609</v>
      </c>
      <c r="F235" s="689"/>
      <c r="G235" s="689"/>
      <c r="H235" s="689"/>
      <c r="I235" s="689"/>
      <c r="J235" s="689"/>
      <c r="K235" s="689"/>
      <c r="L235" s="691"/>
    </row>
    <row r="236" spans="1:12">
      <c r="A236" s="687">
        <f t="shared" si="6"/>
        <v>228</v>
      </c>
      <c r="B236" s="679" t="s">
        <v>971</v>
      </c>
      <c r="C236" s="494" t="s">
        <v>1897</v>
      </c>
      <c r="D236" s="496" t="s">
        <v>2594</v>
      </c>
      <c r="E236" s="689" t="s">
        <v>1609</v>
      </c>
      <c r="F236" s="689"/>
      <c r="G236" s="689"/>
      <c r="H236" s="689"/>
      <c r="I236" s="689"/>
      <c r="J236" s="689"/>
      <c r="K236" s="689"/>
      <c r="L236" s="691"/>
    </row>
    <row r="237" spans="1:12">
      <c r="A237" s="687">
        <f t="shared" si="6"/>
        <v>229</v>
      </c>
      <c r="B237" s="679"/>
      <c r="D237" s="496" t="s">
        <v>2595</v>
      </c>
      <c r="E237" s="689" t="s">
        <v>1609</v>
      </c>
      <c r="F237" s="689"/>
      <c r="G237" s="689"/>
      <c r="H237" s="689"/>
      <c r="I237" s="689"/>
      <c r="J237" s="689"/>
      <c r="K237" s="689"/>
      <c r="L237" s="691"/>
    </row>
    <row r="238" spans="1:12">
      <c r="A238" s="687">
        <f t="shared" si="6"/>
        <v>230</v>
      </c>
      <c r="B238" s="679" t="s">
        <v>973</v>
      </c>
      <c r="C238" s="494" t="s">
        <v>1898</v>
      </c>
      <c r="D238" s="496" t="s">
        <v>1899</v>
      </c>
      <c r="E238" s="689" t="s">
        <v>1609</v>
      </c>
      <c r="F238" s="689"/>
      <c r="G238" s="689"/>
      <c r="H238" s="689"/>
      <c r="I238" s="689"/>
      <c r="J238" s="689"/>
      <c r="K238" s="689"/>
      <c r="L238" s="691"/>
    </row>
    <row r="239" spans="1:12">
      <c r="A239" s="687">
        <f t="shared" si="6"/>
        <v>231</v>
      </c>
      <c r="B239" s="679"/>
      <c r="D239" s="496" t="s">
        <v>1690</v>
      </c>
      <c r="E239" s="689" t="s">
        <v>1609</v>
      </c>
      <c r="F239" s="689"/>
      <c r="G239" s="689"/>
      <c r="H239" s="689"/>
      <c r="I239" s="689"/>
      <c r="J239" s="689"/>
      <c r="K239" s="689"/>
      <c r="L239" s="691"/>
    </row>
    <row r="240" spans="1:12">
      <c r="A240" s="687">
        <f t="shared" si="6"/>
        <v>232</v>
      </c>
      <c r="B240" s="679"/>
      <c r="D240" s="496" t="s">
        <v>2596</v>
      </c>
      <c r="E240" s="689" t="s">
        <v>1609</v>
      </c>
      <c r="F240" s="689"/>
      <c r="G240" s="689"/>
      <c r="H240" s="689"/>
      <c r="I240" s="689"/>
      <c r="J240" s="689"/>
      <c r="K240" s="689"/>
      <c r="L240" s="691"/>
    </row>
    <row r="241" spans="1:12">
      <c r="A241" s="687">
        <f t="shared" si="6"/>
        <v>233</v>
      </c>
      <c r="B241" s="679"/>
      <c r="D241" s="496" t="s">
        <v>1900</v>
      </c>
      <c r="E241" s="689" t="s">
        <v>1609</v>
      </c>
      <c r="F241" s="689"/>
      <c r="G241" s="689"/>
      <c r="H241" s="689"/>
      <c r="I241" s="689"/>
      <c r="J241" s="689"/>
      <c r="K241" s="689"/>
      <c r="L241" s="691"/>
    </row>
    <row r="242" spans="1:12">
      <c r="A242" s="687">
        <f t="shared" si="6"/>
        <v>234</v>
      </c>
      <c r="B242" s="679"/>
      <c r="D242" s="496" t="s">
        <v>1901</v>
      </c>
      <c r="E242" s="689" t="s">
        <v>1609</v>
      </c>
      <c r="F242" s="689"/>
      <c r="G242" s="689"/>
      <c r="H242" s="689"/>
      <c r="I242" s="689"/>
      <c r="J242" s="689"/>
      <c r="K242" s="689"/>
      <c r="L242" s="691"/>
    </row>
    <row r="243" spans="1:12">
      <c r="A243" s="687">
        <f t="shared" si="6"/>
        <v>235</v>
      </c>
      <c r="B243" s="679"/>
      <c r="D243" s="496" t="s">
        <v>1902</v>
      </c>
      <c r="E243" s="689" t="s">
        <v>1609</v>
      </c>
      <c r="F243" s="689"/>
      <c r="G243" s="689"/>
      <c r="H243" s="689"/>
      <c r="I243" s="689"/>
      <c r="J243" s="689"/>
      <c r="K243" s="689"/>
      <c r="L243" s="691"/>
    </row>
    <row r="244" spans="1:12">
      <c r="A244" s="687">
        <f t="shared" si="6"/>
        <v>236</v>
      </c>
      <c r="B244" s="679"/>
      <c r="D244" s="496" t="s">
        <v>1903</v>
      </c>
      <c r="E244" s="689" t="s">
        <v>1609</v>
      </c>
      <c r="F244" s="689"/>
      <c r="G244" s="689"/>
      <c r="H244" s="689"/>
      <c r="I244" s="689"/>
      <c r="J244" s="689"/>
      <c r="K244" s="689"/>
      <c r="L244" s="691"/>
    </row>
    <row r="245" spans="1:12">
      <c r="A245" s="687">
        <f t="shared" si="6"/>
        <v>237</v>
      </c>
      <c r="B245" s="679" t="s">
        <v>975</v>
      </c>
      <c r="C245" s="494" t="s">
        <v>1904</v>
      </c>
      <c r="D245" s="496" t="s">
        <v>1905</v>
      </c>
      <c r="E245" s="689" t="s">
        <v>1609</v>
      </c>
      <c r="F245" s="689"/>
      <c r="G245" s="689"/>
      <c r="H245" s="689"/>
      <c r="I245" s="689"/>
      <c r="J245" s="689"/>
      <c r="K245" s="689"/>
      <c r="L245" s="691"/>
    </row>
    <row r="246" spans="1:12">
      <c r="A246" s="687">
        <f t="shared" si="6"/>
        <v>238</v>
      </c>
      <c r="B246" s="679"/>
      <c r="D246" s="496" t="s">
        <v>1906</v>
      </c>
      <c r="E246" s="689" t="s">
        <v>1609</v>
      </c>
      <c r="F246" s="689"/>
      <c r="G246" s="689"/>
      <c r="H246" s="689"/>
      <c r="I246" s="689"/>
      <c r="J246" s="689"/>
      <c r="K246" s="689"/>
      <c r="L246" s="691"/>
    </row>
    <row r="247" spans="1:12">
      <c r="A247" s="687">
        <f t="shared" si="6"/>
        <v>239</v>
      </c>
      <c r="B247" s="679" t="s">
        <v>981</v>
      </c>
      <c r="C247" s="494" t="s">
        <v>1907</v>
      </c>
      <c r="D247" s="496" t="s">
        <v>1908</v>
      </c>
      <c r="E247" s="689"/>
      <c r="F247" s="689" t="s">
        <v>1609</v>
      </c>
      <c r="G247" s="689" t="s">
        <v>1609</v>
      </c>
      <c r="H247" s="689"/>
      <c r="I247" s="689"/>
      <c r="J247" s="689"/>
      <c r="K247" s="689"/>
      <c r="L247" s="691" t="s">
        <v>1909</v>
      </c>
    </row>
    <row r="248" spans="1:12">
      <c r="A248" s="687">
        <f t="shared" si="6"/>
        <v>240</v>
      </c>
      <c r="B248" s="679" t="s">
        <v>977</v>
      </c>
      <c r="C248" s="494" t="s">
        <v>1910</v>
      </c>
      <c r="D248" s="496" t="s">
        <v>1911</v>
      </c>
      <c r="E248" s="689" t="s">
        <v>1609</v>
      </c>
      <c r="F248" s="689"/>
      <c r="G248" s="689"/>
      <c r="H248" s="689"/>
      <c r="I248" s="689"/>
      <c r="J248" s="689"/>
      <c r="K248" s="689"/>
      <c r="L248" s="691"/>
    </row>
    <row r="249" spans="1:12">
      <c r="A249" s="687">
        <f t="shared" si="6"/>
        <v>241</v>
      </c>
      <c r="B249" s="679"/>
      <c r="D249" s="496" t="s">
        <v>1690</v>
      </c>
      <c r="E249" s="689" t="s">
        <v>1609</v>
      </c>
      <c r="F249" s="689"/>
      <c r="G249" s="689"/>
      <c r="H249" s="689"/>
      <c r="I249" s="689"/>
      <c r="J249" s="689"/>
      <c r="K249" s="689"/>
      <c r="L249" s="691"/>
    </row>
    <row r="250" spans="1:12" ht="29">
      <c r="A250" s="687">
        <f t="shared" si="6"/>
        <v>242</v>
      </c>
      <c r="B250" s="679"/>
      <c r="D250" s="496" t="s">
        <v>2616</v>
      </c>
      <c r="E250" s="689" t="s">
        <v>1609</v>
      </c>
      <c r="F250" s="689"/>
      <c r="G250" s="689"/>
      <c r="H250" s="689"/>
      <c r="I250" s="689"/>
      <c r="J250" s="689"/>
      <c r="K250" s="689"/>
      <c r="L250" s="691"/>
    </row>
    <row r="251" spans="1:12" ht="18" customHeight="1">
      <c r="A251" s="687">
        <f t="shared" si="6"/>
        <v>243</v>
      </c>
      <c r="B251" s="679"/>
      <c r="D251" s="496" t="s">
        <v>1912</v>
      </c>
      <c r="E251" s="689" t="s">
        <v>1609</v>
      </c>
      <c r="F251" s="689"/>
      <c r="G251" s="689"/>
      <c r="H251" s="689"/>
      <c r="I251" s="689"/>
      <c r="J251" s="689"/>
      <c r="K251" s="689"/>
      <c r="L251" s="691"/>
    </row>
    <row r="252" spans="1:12" ht="18" customHeight="1">
      <c r="A252" s="687">
        <f t="shared" ref="A252:A315" si="7">A251+1</f>
        <v>244</v>
      </c>
      <c r="B252" s="679"/>
      <c r="D252" s="496" t="s">
        <v>2617</v>
      </c>
      <c r="E252" s="689"/>
      <c r="F252" s="689"/>
      <c r="G252" s="689"/>
      <c r="H252" s="689"/>
      <c r="I252" s="689"/>
      <c r="J252" s="689"/>
      <c r="K252" s="689"/>
      <c r="L252" s="691"/>
    </row>
    <row r="253" spans="1:12">
      <c r="A253" s="687">
        <f t="shared" si="7"/>
        <v>245</v>
      </c>
      <c r="B253" s="679"/>
      <c r="D253" s="496" t="s">
        <v>1913</v>
      </c>
      <c r="E253" s="689" t="s">
        <v>1609</v>
      </c>
      <c r="F253" s="689"/>
      <c r="G253" s="689"/>
      <c r="H253" s="689"/>
      <c r="I253" s="689"/>
      <c r="J253" s="689"/>
      <c r="K253" s="689"/>
      <c r="L253" s="691"/>
    </row>
    <row r="254" spans="1:12">
      <c r="A254" s="687">
        <f t="shared" si="7"/>
        <v>246</v>
      </c>
      <c r="B254" s="679"/>
      <c r="D254" s="496" t="s">
        <v>1914</v>
      </c>
      <c r="E254" s="689" t="s">
        <v>1609</v>
      </c>
      <c r="F254" s="689"/>
      <c r="G254" s="689"/>
      <c r="H254" s="689"/>
      <c r="I254" s="689"/>
      <c r="J254" s="689"/>
      <c r="K254" s="689"/>
      <c r="L254" s="691"/>
    </row>
    <row r="255" spans="1:12">
      <c r="A255" s="687">
        <f t="shared" si="7"/>
        <v>247</v>
      </c>
      <c r="B255" s="679" t="s">
        <v>979</v>
      </c>
      <c r="C255" s="494" t="s">
        <v>1915</v>
      </c>
      <c r="D255" s="496" t="s">
        <v>1916</v>
      </c>
      <c r="E255" s="689" t="s">
        <v>1609</v>
      </c>
      <c r="F255" s="689"/>
      <c r="G255" s="689"/>
      <c r="H255" s="689"/>
      <c r="I255" s="689"/>
      <c r="J255" s="689"/>
      <c r="K255" s="689"/>
      <c r="L255" s="691"/>
    </row>
    <row r="256" spans="1:12" ht="16.5" customHeight="1">
      <c r="A256" s="687">
        <f t="shared" si="7"/>
        <v>248</v>
      </c>
      <c r="B256" s="679" t="s">
        <v>983</v>
      </c>
      <c r="C256" s="494" t="s">
        <v>1917</v>
      </c>
      <c r="D256" s="496" t="s">
        <v>1918</v>
      </c>
      <c r="E256" s="689" t="s">
        <v>1609</v>
      </c>
      <c r="F256" s="689"/>
      <c r="G256" s="689"/>
      <c r="H256" s="689"/>
      <c r="I256" s="689"/>
      <c r="J256" s="689"/>
      <c r="K256" s="689"/>
      <c r="L256" s="691"/>
    </row>
    <row r="257" spans="1:12">
      <c r="A257" s="687">
        <f t="shared" si="7"/>
        <v>249</v>
      </c>
      <c r="B257" s="679"/>
      <c r="D257" s="496" t="s">
        <v>1919</v>
      </c>
      <c r="E257" s="694" t="s">
        <v>1609</v>
      </c>
      <c r="F257" s="694"/>
      <c r="G257" s="695"/>
      <c r="H257" s="695"/>
      <c r="I257" s="694"/>
      <c r="J257" s="696"/>
      <c r="K257" s="690"/>
      <c r="L257" s="691"/>
    </row>
    <row r="258" spans="1:12">
      <c r="A258" s="687">
        <f t="shared" si="7"/>
        <v>250</v>
      </c>
      <c r="B258" s="679" t="s">
        <v>985</v>
      </c>
      <c r="C258" s="494" t="s">
        <v>1920</v>
      </c>
      <c r="D258" s="496" t="s">
        <v>1921</v>
      </c>
      <c r="E258" s="689" t="s">
        <v>1609</v>
      </c>
      <c r="F258" s="689"/>
      <c r="G258" s="689"/>
      <c r="H258" s="689"/>
      <c r="I258" s="689"/>
      <c r="J258" s="689"/>
      <c r="K258" s="689"/>
      <c r="L258" s="691"/>
    </row>
    <row r="259" spans="1:12">
      <c r="A259" s="687">
        <f t="shared" si="7"/>
        <v>251</v>
      </c>
      <c r="B259" s="679"/>
      <c r="D259" s="496" t="s">
        <v>1922</v>
      </c>
      <c r="E259" s="689" t="s">
        <v>1609</v>
      </c>
      <c r="F259" s="689"/>
      <c r="G259" s="689"/>
      <c r="H259" s="689"/>
      <c r="I259" s="689"/>
      <c r="J259" s="689"/>
      <c r="K259" s="689"/>
      <c r="L259" s="691"/>
    </row>
    <row r="260" spans="1:12">
      <c r="A260" s="687">
        <f t="shared" si="7"/>
        <v>252</v>
      </c>
      <c r="B260" s="679"/>
      <c r="D260" s="496" t="s">
        <v>1923</v>
      </c>
      <c r="E260" s="689" t="s">
        <v>1609</v>
      </c>
      <c r="F260" s="689"/>
      <c r="G260" s="689"/>
      <c r="H260" s="689"/>
      <c r="I260" s="690"/>
      <c r="J260" s="689"/>
      <c r="K260" s="689"/>
      <c r="L260" s="691"/>
    </row>
    <row r="261" spans="1:12">
      <c r="A261" s="687">
        <f t="shared" si="7"/>
        <v>253</v>
      </c>
      <c r="B261" s="679"/>
      <c r="D261" s="496" t="s">
        <v>1924</v>
      </c>
      <c r="E261" s="689" t="s">
        <v>1609</v>
      </c>
      <c r="F261" s="689"/>
      <c r="G261" s="689"/>
      <c r="H261" s="689"/>
      <c r="I261" s="690"/>
      <c r="J261" s="689"/>
      <c r="K261" s="689"/>
      <c r="L261" s="691"/>
    </row>
    <row r="262" spans="1:12">
      <c r="A262" s="687">
        <f t="shared" si="7"/>
        <v>254</v>
      </c>
      <c r="B262" s="679"/>
      <c r="D262" s="496" t="s">
        <v>1925</v>
      </c>
      <c r="E262" s="689" t="s">
        <v>1609</v>
      </c>
      <c r="F262" s="689"/>
      <c r="G262" s="689"/>
      <c r="H262" s="689"/>
      <c r="I262" s="690"/>
      <c r="J262" s="689"/>
      <c r="K262" s="689"/>
      <c r="L262" s="691"/>
    </row>
    <row r="263" spans="1:12">
      <c r="A263" s="687">
        <f t="shared" si="7"/>
        <v>255</v>
      </c>
      <c r="B263" s="679" t="s">
        <v>987</v>
      </c>
      <c r="C263" s="494" t="s">
        <v>1926</v>
      </c>
      <c r="D263" s="496" t="s">
        <v>1927</v>
      </c>
      <c r="E263" s="689" t="s">
        <v>1609</v>
      </c>
      <c r="F263" s="689"/>
      <c r="G263" s="689"/>
      <c r="H263" s="689"/>
      <c r="I263" s="690"/>
      <c r="J263" s="689"/>
      <c r="K263" s="689"/>
      <c r="L263" s="691"/>
    </row>
    <row r="264" spans="1:12">
      <c r="A264" s="687">
        <f t="shared" si="7"/>
        <v>256</v>
      </c>
      <c r="B264" s="679"/>
      <c r="D264" s="496" t="s">
        <v>1690</v>
      </c>
      <c r="E264" s="689" t="s">
        <v>1609</v>
      </c>
      <c r="F264" s="689"/>
      <c r="G264" s="689"/>
      <c r="H264" s="689"/>
      <c r="I264" s="690"/>
      <c r="J264" s="689"/>
      <c r="K264" s="689"/>
      <c r="L264" s="691"/>
    </row>
    <row r="265" spans="1:12">
      <c r="A265" s="687">
        <f t="shared" si="7"/>
        <v>257</v>
      </c>
      <c r="B265" s="679"/>
      <c r="D265" s="496" t="s">
        <v>1928</v>
      </c>
      <c r="E265" s="689" t="s">
        <v>1609</v>
      </c>
      <c r="F265" s="689"/>
      <c r="G265" s="689"/>
      <c r="H265" s="689"/>
      <c r="I265" s="690"/>
      <c r="J265" s="689"/>
      <c r="K265" s="689"/>
      <c r="L265" s="691"/>
    </row>
    <row r="266" spans="1:12">
      <c r="A266" s="687">
        <f t="shared" si="7"/>
        <v>258</v>
      </c>
      <c r="B266" s="679"/>
      <c r="D266" s="496" t="s">
        <v>1929</v>
      </c>
      <c r="E266" s="689" t="s">
        <v>1609</v>
      </c>
      <c r="F266" s="689"/>
      <c r="G266" s="689"/>
      <c r="H266" s="689"/>
      <c r="I266" s="690"/>
      <c r="J266" s="689"/>
      <c r="K266" s="689"/>
      <c r="L266" s="691"/>
    </row>
    <row r="267" spans="1:12">
      <c r="A267" s="687">
        <f t="shared" si="7"/>
        <v>259</v>
      </c>
      <c r="B267" s="679" t="s">
        <v>989</v>
      </c>
      <c r="C267" s="494" t="s">
        <v>1930</v>
      </c>
      <c r="D267" s="496" t="s">
        <v>2597</v>
      </c>
      <c r="E267" s="689" t="s">
        <v>1609</v>
      </c>
      <c r="F267" s="689"/>
      <c r="G267" s="689"/>
      <c r="H267" s="689"/>
      <c r="I267" s="690"/>
      <c r="J267" s="689"/>
      <c r="K267" s="689"/>
      <c r="L267" s="691"/>
    </row>
    <row r="268" spans="1:12">
      <c r="A268" s="687">
        <f t="shared" si="7"/>
        <v>260</v>
      </c>
      <c r="B268" s="679"/>
      <c r="D268" s="496" t="s">
        <v>2005</v>
      </c>
      <c r="E268" s="689" t="s">
        <v>1609</v>
      </c>
      <c r="F268" s="689"/>
      <c r="G268" s="689"/>
      <c r="H268" s="689"/>
      <c r="I268" s="690"/>
      <c r="J268" s="689"/>
      <c r="K268" s="689"/>
      <c r="L268" s="691"/>
    </row>
    <row r="269" spans="1:12" ht="29">
      <c r="A269" s="687">
        <f t="shared" si="7"/>
        <v>261</v>
      </c>
      <c r="B269" s="679"/>
      <c r="D269" s="496" t="s">
        <v>1616</v>
      </c>
      <c r="E269" s="689"/>
      <c r="F269" s="689" t="s">
        <v>1609</v>
      </c>
      <c r="G269" s="689"/>
      <c r="H269" s="689"/>
      <c r="I269" s="690"/>
      <c r="J269" s="689"/>
      <c r="K269" s="689"/>
      <c r="L269" s="691" t="s">
        <v>1931</v>
      </c>
    </row>
    <row r="270" spans="1:12">
      <c r="A270" s="687">
        <f t="shared" si="7"/>
        <v>262</v>
      </c>
      <c r="B270" s="679" t="s">
        <v>992</v>
      </c>
      <c r="C270" s="494" t="s">
        <v>1932</v>
      </c>
      <c r="D270" s="496" t="s">
        <v>1748</v>
      </c>
      <c r="E270" s="689" t="s">
        <v>1609</v>
      </c>
      <c r="F270" s="689"/>
      <c r="G270" s="689"/>
      <c r="H270" s="689"/>
      <c r="I270" s="690"/>
      <c r="J270" s="689"/>
      <c r="K270" s="689"/>
      <c r="L270" s="691"/>
    </row>
    <row r="271" spans="1:12" ht="29">
      <c r="A271" s="687">
        <f t="shared" si="7"/>
        <v>263</v>
      </c>
      <c r="B271" s="679" t="s">
        <v>994</v>
      </c>
      <c r="C271" s="494" t="s">
        <v>1933</v>
      </c>
      <c r="D271" s="496" t="s">
        <v>1934</v>
      </c>
      <c r="E271" s="689" t="s">
        <v>1609</v>
      </c>
      <c r="F271" s="689"/>
      <c r="G271" s="689"/>
      <c r="H271" s="689"/>
      <c r="I271" s="690"/>
      <c r="J271" s="689"/>
      <c r="K271" s="689"/>
      <c r="L271" s="691"/>
    </row>
    <row r="272" spans="1:12">
      <c r="A272" s="687">
        <f t="shared" si="7"/>
        <v>264</v>
      </c>
      <c r="B272" s="679"/>
      <c r="D272" s="496" t="s">
        <v>1935</v>
      </c>
      <c r="E272" s="689" t="s">
        <v>1609</v>
      </c>
      <c r="F272" s="689"/>
      <c r="G272" s="689"/>
      <c r="H272" s="689"/>
      <c r="I272" s="690"/>
      <c r="J272" s="689"/>
      <c r="K272" s="689"/>
      <c r="L272" s="691"/>
    </row>
    <row r="273" spans="1:12">
      <c r="A273" s="687">
        <f t="shared" si="7"/>
        <v>265</v>
      </c>
      <c r="B273" s="679"/>
      <c r="D273" s="496" t="s">
        <v>1936</v>
      </c>
      <c r="E273" s="689" t="s">
        <v>1609</v>
      </c>
      <c r="F273" s="689"/>
      <c r="G273" s="689"/>
      <c r="H273" s="689"/>
      <c r="I273" s="690"/>
      <c r="J273" s="689"/>
      <c r="K273" s="689"/>
      <c r="L273" s="691"/>
    </row>
    <row r="274" spans="1:12" ht="29">
      <c r="A274" s="687">
        <f t="shared" si="7"/>
        <v>266</v>
      </c>
      <c r="B274" s="679"/>
      <c r="D274" s="496" t="s">
        <v>1937</v>
      </c>
      <c r="E274" s="689" t="s">
        <v>1609</v>
      </c>
      <c r="F274" s="689"/>
      <c r="G274" s="689"/>
      <c r="H274" s="689"/>
      <c r="I274" s="690"/>
      <c r="J274" s="689"/>
      <c r="K274" s="689"/>
      <c r="L274" s="691"/>
    </row>
    <row r="275" spans="1:12">
      <c r="A275" s="687">
        <f t="shared" si="7"/>
        <v>267</v>
      </c>
      <c r="B275" s="679"/>
      <c r="D275" s="496" t="s">
        <v>1938</v>
      </c>
      <c r="E275" s="689" t="s">
        <v>1609</v>
      </c>
      <c r="F275" s="689"/>
      <c r="G275" s="689"/>
      <c r="H275" s="689"/>
      <c r="I275" s="690"/>
      <c r="J275" s="689"/>
      <c r="K275" s="689"/>
      <c r="L275" s="691"/>
    </row>
    <row r="276" spans="1:12">
      <c r="A276" s="687">
        <f t="shared" si="7"/>
        <v>268</v>
      </c>
      <c r="B276" s="679"/>
      <c r="D276" s="496" t="s">
        <v>1939</v>
      </c>
      <c r="E276" s="689" t="s">
        <v>1609</v>
      </c>
      <c r="F276" s="689"/>
      <c r="G276" s="689"/>
      <c r="H276" s="689"/>
      <c r="I276" s="690"/>
      <c r="J276" s="689"/>
      <c r="K276" s="689"/>
      <c r="L276" s="691"/>
    </row>
    <row r="277" spans="1:12">
      <c r="A277" s="687">
        <f t="shared" si="7"/>
        <v>269</v>
      </c>
      <c r="B277" s="679"/>
      <c r="D277" s="496" t="s">
        <v>1790</v>
      </c>
      <c r="E277" s="689" t="s">
        <v>1609</v>
      </c>
      <c r="F277" s="689"/>
      <c r="G277" s="689"/>
      <c r="H277" s="689"/>
      <c r="I277" s="690"/>
      <c r="J277" s="689"/>
      <c r="K277" s="689"/>
      <c r="L277" s="691"/>
    </row>
    <row r="278" spans="1:12">
      <c r="A278" s="687">
        <f t="shared" si="7"/>
        <v>270</v>
      </c>
      <c r="B278" s="679" t="s">
        <v>996</v>
      </c>
      <c r="C278" s="494" t="s">
        <v>1940</v>
      </c>
      <c r="D278" s="496" t="s">
        <v>2598</v>
      </c>
      <c r="E278" s="689" t="s">
        <v>1609</v>
      </c>
      <c r="F278" s="689"/>
      <c r="G278" s="689"/>
      <c r="H278" s="689"/>
      <c r="I278" s="690"/>
      <c r="J278" s="689"/>
      <c r="K278" s="689"/>
      <c r="L278" s="691"/>
    </row>
    <row r="279" spans="1:12">
      <c r="A279" s="687">
        <f t="shared" si="7"/>
        <v>271</v>
      </c>
      <c r="B279" s="679"/>
      <c r="D279" s="496" t="s">
        <v>1775</v>
      </c>
      <c r="E279" s="689"/>
      <c r="F279" s="689" t="s">
        <v>1609</v>
      </c>
      <c r="G279" s="689"/>
      <c r="H279" s="689"/>
      <c r="I279" s="690"/>
      <c r="J279" s="689"/>
      <c r="K279" s="689"/>
      <c r="L279" s="691" t="s">
        <v>1941</v>
      </c>
    </row>
    <row r="280" spans="1:12">
      <c r="A280" s="687">
        <f t="shared" si="7"/>
        <v>272</v>
      </c>
      <c r="B280" s="679"/>
      <c r="D280" s="496" t="s">
        <v>1942</v>
      </c>
      <c r="E280" s="689" t="s">
        <v>1609</v>
      </c>
      <c r="F280" s="689"/>
      <c r="G280" s="689"/>
      <c r="H280" s="689"/>
      <c r="I280" s="690"/>
      <c r="J280" s="689"/>
      <c r="K280" s="689"/>
      <c r="L280" s="691"/>
    </row>
    <row r="281" spans="1:12">
      <c r="A281" s="687">
        <f t="shared" si="7"/>
        <v>273</v>
      </c>
      <c r="B281" s="679" t="s">
        <v>2707</v>
      </c>
      <c r="C281" s="494" t="s">
        <v>2722</v>
      </c>
      <c r="D281" s="496" t="s">
        <v>2737</v>
      </c>
      <c r="E281" s="689" t="s">
        <v>1609</v>
      </c>
      <c r="F281" s="689"/>
      <c r="G281" s="689"/>
      <c r="H281" s="689"/>
      <c r="I281" s="690"/>
      <c r="J281" s="689"/>
      <c r="K281" s="689"/>
      <c r="L281" s="691" t="s">
        <v>2738</v>
      </c>
    </row>
    <row r="282" spans="1:12">
      <c r="A282" s="687">
        <f t="shared" si="7"/>
        <v>274</v>
      </c>
      <c r="B282" s="679" t="s">
        <v>998</v>
      </c>
      <c r="C282" s="494" t="s">
        <v>1943</v>
      </c>
      <c r="D282" s="496" t="s">
        <v>1944</v>
      </c>
      <c r="E282" s="689" t="s">
        <v>1609</v>
      </c>
      <c r="F282" s="689"/>
      <c r="G282" s="689"/>
      <c r="H282" s="689"/>
      <c r="I282" s="690"/>
      <c r="J282" s="689"/>
      <c r="K282" s="689"/>
      <c r="L282" s="691"/>
    </row>
    <row r="283" spans="1:12">
      <c r="A283" s="687">
        <f t="shared" si="7"/>
        <v>275</v>
      </c>
      <c r="B283" s="679"/>
      <c r="D283" s="496" t="s">
        <v>1775</v>
      </c>
      <c r="E283" s="689"/>
      <c r="F283" s="689" t="s">
        <v>1609</v>
      </c>
      <c r="G283" s="689"/>
      <c r="H283" s="689"/>
      <c r="I283" s="690"/>
      <c r="J283" s="689"/>
      <c r="K283" s="689"/>
      <c r="L283" s="691" t="s">
        <v>1945</v>
      </c>
    </row>
    <row r="284" spans="1:12">
      <c r="A284" s="687">
        <f t="shared" si="7"/>
        <v>276</v>
      </c>
      <c r="B284" s="679"/>
      <c r="D284" s="496" t="s">
        <v>1946</v>
      </c>
      <c r="E284" s="689"/>
      <c r="F284" s="689" t="s">
        <v>1609</v>
      </c>
      <c r="G284" s="689"/>
      <c r="H284" s="689"/>
      <c r="I284" s="690"/>
      <c r="J284" s="689"/>
      <c r="K284" s="689"/>
      <c r="L284" s="691" t="s">
        <v>1945</v>
      </c>
    </row>
    <row r="285" spans="1:12">
      <c r="A285" s="687">
        <f t="shared" si="7"/>
        <v>277</v>
      </c>
      <c r="B285" s="679"/>
      <c r="D285" s="496" t="s">
        <v>1947</v>
      </c>
      <c r="E285" s="689" t="s">
        <v>1609</v>
      </c>
      <c r="F285" s="689"/>
      <c r="G285" s="689"/>
      <c r="H285" s="689"/>
      <c r="I285" s="690"/>
      <c r="J285" s="689"/>
      <c r="K285" s="689"/>
      <c r="L285" s="691"/>
    </row>
    <row r="286" spans="1:12">
      <c r="A286" s="687">
        <f t="shared" si="7"/>
        <v>278</v>
      </c>
      <c r="B286" s="679" t="s">
        <v>1578</v>
      </c>
      <c r="C286" s="494" t="s">
        <v>1948</v>
      </c>
      <c r="D286" s="496" t="s">
        <v>1949</v>
      </c>
      <c r="E286" s="689" t="s">
        <v>1609</v>
      </c>
      <c r="F286" s="689"/>
      <c r="G286" s="689"/>
      <c r="H286" s="689"/>
      <c r="I286" s="690"/>
      <c r="J286" s="689"/>
      <c r="K286" s="689"/>
      <c r="L286" s="691"/>
    </row>
    <row r="287" spans="1:12">
      <c r="A287" s="687">
        <f t="shared" si="7"/>
        <v>279</v>
      </c>
      <c r="B287" s="679" t="s">
        <v>1004</v>
      </c>
      <c r="C287" s="494" t="s">
        <v>1950</v>
      </c>
      <c r="D287" s="496" t="s">
        <v>1951</v>
      </c>
      <c r="E287" s="689" t="s">
        <v>1609</v>
      </c>
      <c r="F287" s="689"/>
      <c r="G287" s="689"/>
      <c r="H287" s="689"/>
      <c r="I287" s="690"/>
      <c r="J287" s="689"/>
      <c r="K287" s="689"/>
      <c r="L287" s="691"/>
    </row>
    <row r="288" spans="1:12">
      <c r="A288" s="687">
        <f t="shared" si="7"/>
        <v>280</v>
      </c>
      <c r="B288" s="679"/>
      <c r="D288" s="496" t="s">
        <v>1952</v>
      </c>
      <c r="E288" s="689" t="s">
        <v>1609</v>
      </c>
      <c r="F288" s="689"/>
      <c r="G288" s="689"/>
      <c r="H288" s="689"/>
      <c r="I288" s="690"/>
      <c r="J288" s="689"/>
      <c r="K288" s="689"/>
      <c r="L288" s="691"/>
    </row>
    <row r="289" spans="1:12">
      <c r="A289" s="687">
        <f t="shared" si="7"/>
        <v>281</v>
      </c>
      <c r="B289" s="679" t="s">
        <v>1006</v>
      </c>
      <c r="C289" s="494" t="s">
        <v>1953</v>
      </c>
      <c r="D289" s="496" t="s">
        <v>1954</v>
      </c>
      <c r="E289" s="689" t="s">
        <v>1609</v>
      </c>
      <c r="F289" s="689"/>
      <c r="G289" s="689"/>
      <c r="H289" s="689"/>
      <c r="I289" s="690"/>
      <c r="J289" s="689"/>
      <c r="K289" s="689"/>
      <c r="L289" s="691"/>
    </row>
    <row r="290" spans="1:12">
      <c r="A290" s="687">
        <f t="shared" si="7"/>
        <v>282</v>
      </c>
      <c r="B290" s="679"/>
      <c r="D290" s="496" t="s">
        <v>1955</v>
      </c>
      <c r="E290" s="689" t="s">
        <v>1609</v>
      </c>
      <c r="F290" s="689"/>
      <c r="G290" s="689"/>
      <c r="H290" s="689"/>
      <c r="I290" s="690"/>
      <c r="J290" s="689"/>
      <c r="K290" s="689"/>
      <c r="L290" s="691"/>
    </row>
    <row r="291" spans="1:12">
      <c r="A291" s="687">
        <f t="shared" si="7"/>
        <v>283</v>
      </c>
      <c r="B291" s="679"/>
      <c r="D291" s="496" t="s">
        <v>1956</v>
      </c>
      <c r="E291" s="689" t="s">
        <v>1609</v>
      </c>
      <c r="F291" s="689"/>
      <c r="G291" s="689"/>
      <c r="H291" s="689"/>
      <c r="I291" s="690"/>
      <c r="J291" s="689"/>
      <c r="K291" s="689"/>
      <c r="L291" s="691"/>
    </row>
    <row r="292" spans="1:12">
      <c r="A292" s="687">
        <f t="shared" si="7"/>
        <v>284</v>
      </c>
      <c r="B292" s="679"/>
      <c r="D292" s="496" t="s">
        <v>1957</v>
      </c>
      <c r="E292" s="689" t="s">
        <v>1609</v>
      </c>
      <c r="F292" s="689"/>
      <c r="G292" s="689"/>
      <c r="H292" s="689"/>
      <c r="I292" s="690"/>
      <c r="J292" s="689"/>
      <c r="K292" s="689"/>
      <c r="L292" s="691"/>
    </row>
    <row r="293" spans="1:12" ht="29">
      <c r="A293" s="687">
        <f t="shared" si="7"/>
        <v>285</v>
      </c>
      <c r="B293" s="679" t="s">
        <v>1012</v>
      </c>
      <c r="C293" s="494" t="s">
        <v>1958</v>
      </c>
      <c r="D293" s="496" t="s">
        <v>1959</v>
      </c>
      <c r="E293" s="689" t="s">
        <v>1609</v>
      </c>
      <c r="F293" s="689"/>
      <c r="G293" s="689"/>
      <c r="H293" s="689"/>
      <c r="I293" s="689"/>
      <c r="J293" s="689"/>
      <c r="K293" s="689"/>
      <c r="L293" s="691"/>
    </row>
    <row r="294" spans="1:12">
      <c r="A294" s="687">
        <f t="shared" si="7"/>
        <v>286</v>
      </c>
      <c r="B294" s="679"/>
      <c r="D294" s="496" t="s">
        <v>1960</v>
      </c>
      <c r="E294" s="689" t="s">
        <v>1609</v>
      </c>
      <c r="F294" s="689"/>
      <c r="G294" s="689"/>
      <c r="H294" s="689"/>
      <c r="I294" s="689"/>
      <c r="J294" s="689"/>
      <c r="K294" s="689"/>
      <c r="L294" s="691"/>
    </row>
    <row r="295" spans="1:12">
      <c r="A295" s="687">
        <f t="shared" si="7"/>
        <v>287</v>
      </c>
      <c r="B295" s="679"/>
      <c r="D295" s="496" t="s">
        <v>1961</v>
      </c>
      <c r="E295" s="689" t="s">
        <v>1609</v>
      </c>
      <c r="F295" s="689"/>
      <c r="G295" s="689"/>
      <c r="H295" s="689"/>
      <c r="I295" s="689"/>
      <c r="J295" s="689"/>
      <c r="K295" s="689"/>
      <c r="L295" s="691"/>
    </row>
    <row r="296" spans="1:12">
      <c r="A296" s="687">
        <f t="shared" si="7"/>
        <v>288</v>
      </c>
      <c r="B296" s="679"/>
      <c r="D296" s="496" t="s">
        <v>1962</v>
      </c>
      <c r="E296" s="689" t="s">
        <v>1609</v>
      </c>
      <c r="F296" s="689"/>
      <c r="G296" s="689"/>
      <c r="H296" s="689"/>
      <c r="I296" s="689"/>
      <c r="J296" s="689"/>
      <c r="K296" s="689"/>
      <c r="L296" s="691"/>
    </row>
    <row r="297" spans="1:12">
      <c r="A297" s="687">
        <f t="shared" si="7"/>
        <v>289</v>
      </c>
      <c r="B297" s="679" t="s">
        <v>558</v>
      </c>
      <c r="C297" s="494" t="s">
        <v>1963</v>
      </c>
      <c r="D297" s="496" t="s">
        <v>2599</v>
      </c>
      <c r="E297" s="689" t="s">
        <v>1609</v>
      </c>
      <c r="F297" s="689"/>
      <c r="G297" s="697"/>
      <c r="H297" s="697"/>
      <c r="I297" s="689"/>
      <c r="J297" s="698"/>
      <c r="K297" s="690"/>
      <c r="L297" s="691"/>
    </row>
    <row r="298" spans="1:12">
      <c r="A298" s="687">
        <f t="shared" si="7"/>
        <v>290</v>
      </c>
      <c r="B298" s="679"/>
      <c r="D298" s="496" t="s">
        <v>2600</v>
      </c>
      <c r="E298" s="689" t="s">
        <v>1609</v>
      </c>
      <c r="F298" s="689"/>
      <c r="G298" s="697"/>
      <c r="H298" s="697"/>
      <c r="I298" s="689"/>
      <c r="J298" s="698"/>
      <c r="K298" s="690"/>
      <c r="L298" s="691"/>
    </row>
    <row r="299" spans="1:12">
      <c r="A299" s="687">
        <f t="shared" si="7"/>
        <v>291</v>
      </c>
      <c r="B299" s="679"/>
      <c r="D299" s="496" t="s">
        <v>1964</v>
      </c>
      <c r="E299" s="689" t="s">
        <v>1609</v>
      </c>
      <c r="F299" s="689"/>
      <c r="G299" s="697"/>
      <c r="H299" s="697"/>
      <c r="I299" s="689"/>
      <c r="J299" s="698"/>
      <c r="K299" s="690"/>
      <c r="L299" s="691"/>
    </row>
    <row r="300" spans="1:12">
      <c r="A300" s="687">
        <f t="shared" si="7"/>
        <v>292</v>
      </c>
      <c r="B300" s="679" t="s">
        <v>1017</v>
      </c>
      <c r="C300" s="494" t="s">
        <v>1965</v>
      </c>
      <c r="D300" s="496" t="s">
        <v>1966</v>
      </c>
      <c r="E300" s="689" t="s">
        <v>1609</v>
      </c>
      <c r="F300" s="689"/>
      <c r="G300" s="689"/>
      <c r="H300" s="689"/>
      <c r="I300" s="689"/>
      <c r="J300" s="689"/>
      <c r="K300" s="689"/>
      <c r="L300" s="691"/>
    </row>
    <row r="301" spans="1:12">
      <c r="A301" s="687">
        <f t="shared" si="7"/>
        <v>293</v>
      </c>
      <c r="B301" s="679" t="s">
        <v>1019</v>
      </c>
      <c r="C301" s="494" t="s">
        <v>1967</v>
      </c>
      <c r="D301" s="496" t="s">
        <v>1968</v>
      </c>
      <c r="E301" s="689" t="s">
        <v>1609</v>
      </c>
      <c r="F301" s="689"/>
      <c r="G301" s="689"/>
      <c r="H301" s="689"/>
      <c r="I301" s="689"/>
      <c r="J301" s="689"/>
      <c r="K301" s="689"/>
      <c r="L301" s="691"/>
    </row>
    <row r="302" spans="1:12">
      <c r="A302" s="687">
        <f t="shared" si="7"/>
        <v>294</v>
      </c>
      <c r="B302" s="679"/>
      <c r="D302" s="496" t="s">
        <v>1969</v>
      </c>
      <c r="E302" s="689" t="s">
        <v>1609</v>
      </c>
      <c r="F302" s="689"/>
      <c r="G302" s="689"/>
      <c r="H302" s="689"/>
      <c r="I302" s="689"/>
      <c r="J302" s="689"/>
      <c r="K302" s="689"/>
      <c r="L302" s="691"/>
    </row>
    <row r="303" spans="1:12" ht="29">
      <c r="A303" s="687">
        <f t="shared" si="7"/>
        <v>295</v>
      </c>
      <c r="B303" s="679" t="s">
        <v>1021</v>
      </c>
      <c r="C303" s="494" t="s">
        <v>1970</v>
      </c>
      <c r="D303" s="496" t="s">
        <v>1971</v>
      </c>
      <c r="E303" s="689" t="s">
        <v>1609</v>
      </c>
      <c r="F303" s="689"/>
      <c r="G303" s="689"/>
      <c r="H303" s="689"/>
      <c r="I303" s="689"/>
      <c r="J303" s="689"/>
      <c r="K303" s="689"/>
      <c r="L303" s="691"/>
    </row>
    <row r="304" spans="1:12">
      <c r="A304" s="687">
        <f t="shared" si="7"/>
        <v>296</v>
      </c>
      <c r="B304" s="679"/>
      <c r="D304" s="496" t="s">
        <v>1972</v>
      </c>
      <c r="E304" s="689" t="s">
        <v>1609</v>
      </c>
      <c r="F304" s="689"/>
      <c r="G304" s="689"/>
      <c r="H304" s="689"/>
      <c r="I304" s="689"/>
      <c r="J304" s="689"/>
      <c r="K304" s="689"/>
      <c r="L304" s="691"/>
    </row>
    <row r="305" spans="1:12">
      <c r="A305" s="687">
        <f t="shared" si="7"/>
        <v>297</v>
      </c>
      <c r="B305" s="679"/>
      <c r="D305" s="496" t="s">
        <v>1973</v>
      </c>
      <c r="E305" s="689" t="s">
        <v>1609</v>
      </c>
      <c r="F305" s="689"/>
      <c r="G305" s="689"/>
      <c r="H305" s="689"/>
      <c r="I305" s="689"/>
      <c r="J305" s="689"/>
      <c r="K305" s="689"/>
      <c r="L305" s="691"/>
    </row>
    <row r="306" spans="1:12">
      <c r="A306" s="687">
        <f t="shared" si="7"/>
        <v>298</v>
      </c>
      <c r="B306" s="679"/>
      <c r="D306" s="496" t="s">
        <v>1974</v>
      </c>
      <c r="E306" s="689" t="s">
        <v>1609</v>
      </c>
      <c r="F306" s="689"/>
      <c r="G306" s="689"/>
      <c r="H306" s="689"/>
      <c r="I306" s="689"/>
      <c r="J306" s="689"/>
      <c r="K306" s="689"/>
      <c r="L306" s="691"/>
    </row>
    <row r="307" spans="1:12" ht="29">
      <c r="A307" s="687">
        <f t="shared" si="7"/>
        <v>299</v>
      </c>
      <c r="B307" s="679" t="s">
        <v>1027</v>
      </c>
      <c r="C307" s="494" t="s">
        <v>1975</v>
      </c>
      <c r="D307" s="496" t="s">
        <v>2739</v>
      </c>
      <c r="E307" s="689" t="s">
        <v>1609</v>
      </c>
      <c r="F307" s="689"/>
      <c r="G307" s="689"/>
      <c r="H307" s="689"/>
      <c r="I307" s="689"/>
      <c r="J307" s="689"/>
      <c r="K307" s="689"/>
      <c r="L307" s="691"/>
    </row>
    <row r="308" spans="1:12">
      <c r="A308" s="687">
        <f t="shared" si="7"/>
        <v>300</v>
      </c>
      <c r="B308" s="679"/>
      <c r="D308" s="496" t="s">
        <v>1894</v>
      </c>
      <c r="E308" s="689" t="s">
        <v>1609</v>
      </c>
      <c r="F308" s="689"/>
      <c r="G308" s="689"/>
      <c r="H308" s="689"/>
      <c r="I308" s="689"/>
      <c r="J308" s="689"/>
      <c r="K308" s="689"/>
      <c r="L308" s="691"/>
    </row>
    <row r="309" spans="1:12">
      <c r="A309" s="687">
        <f t="shared" si="7"/>
        <v>301</v>
      </c>
      <c r="B309" s="679"/>
      <c r="D309" s="496" t="s">
        <v>1976</v>
      </c>
      <c r="E309" s="689" t="s">
        <v>1609</v>
      </c>
      <c r="F309" s="689"/>
      <c r="G309" s="689"/>
      <c r="H309" s="689"/>
      <c r="I309" s="689"/>
      <c r="J309" s="689"/>
      <c r="K309" s="689"/>
      <c r="L309" s="691"/>
    </row>
    <row r="310" spans="1:12">
      <c r="A310" s="687">
        <f t="shared" si="7"/>
        <v>302</v>
      </c>
      <c r="B310" s="679"/>
      <c r="D310" s="496" t="s">
        <v>1709</v>
      </c>
      <c r="E310" s="689" t="s">
        <v>1609</v>
      </c>
      <c r="F310" s="689"/>
      <c r="G310" s="689"/>
      <c r="H310" s="689"/>
      <c r="I310" s="689"/>
      <c r="J310" s="689"/>
      <c r="K310" s="689"/>
      <c r="L310" s="691"/>
    </row>
    <row r="311" spans="1:12">
      <c r="A311" s="687">
        <f t="shared" si="7"/>
        <v>303</v>
      </c>
      <c r="B311" s="679"/>
      <c r="D311" s="496" t="s">
        <v>1977</v>
      </c>
      <c r="E311" s="689" t="s">
        <v>1609</v>
      </c>
      <c r="F311" s="689"/>
      <c r="G311" s="689"/>
      <c r="H311" s="689"/>
      <c r="I311" s="689"/>
      <c r="J311" s="689"/>
      <c r="K311" s="689"/>
      <c r="L311" s="691"/>
    </row>
    <row r="312" spans="1:12" ht="29">
      <c r="A312" s="687">
        <f t="shared" si="7"/>
        <v>304</v>
      </c>
      <c r="B312" s="679" t="s">
        <v>1978</v>
      </c>
      <c r="C312" s="494" t="s">
        <v>1979</v>
      </c>
      <c r="D312" s="496" t="s">
        <v>1980</v>
      </c>
      <c r="E312" s="689" t="s">
        <v>1609</v>
      </c>
      <c r="F312" s="689"/>
      <c r="G312" s="689"/>
      <c r="H312" s="689"/>
      <c r="I312" s="689"/>
      <c r="J312" s="689"/>
      <c r="K312" s="689"/>
      <c r="L312" s="691"/>
    </row>
    <row r="313" spans="1:12">
      <c r="A313" s="687">
        <f t="shared" si="7"/>
        <v>305</v>
      </c>
      <c r="B313" s="679"/>
      <c r="D313" s="496" t="s">
        <v>1981</v>
      </c>
      <c r="E313" s="689" t="s">
        <v>1609</v>
      </c>
      <c r="F313" s="689"/>
      <c r="G313" s="689"/>
      <c r="H313" s="689"/>
      <c r="I313" s="689"/>
      <c r="J313" s="689"/>
      <c r="K313" s="689"/>
      <c r="L313" s="691"/>
    </row>
    <row r="314" spans="1:12">
      <c r="A314" s="687">
        <f t="shared" si="7"/>
        <v>306</v>
      </c>
      <c r="B314" s="679"/>
      <c r="D314" s="496" t="s">
        <v>1982</v>
      </c>
      <c r="E314" s="689" t="s">
        <v>1609</v>
      </c>
      <c r="F314" s="689"/>
      <c r="G314" s="689"/>
      <c r="H314" s="689"/>
      <c r="I314" s="689"/>
      <c r="J314" s="689"/>
      <c r="K314" s="689"/>
      <c r="L314" s="691"/>
    </row>
    <row r="315" spans="1:12">
      <c r="A315" s="687">
        <f t="shared" si="7"/>
        <v>307</v>
      </c>
      <c r="B315" s="679"/>
      <c r="D315" s="496" t="s">
        <v>1983</v>
      </c>
      <c r="E315" s="689" t="s">
        <v>1609</v>
      </c>
      <c r="F315" s="689"/>
      <c r="G315" s="689"/>
      <c r="H315" s="689"/>
      <c r="I315" s="689"/>
      <c r="J315" s="689"/>
      <c r="K315" s="689"/>
      <c r="L315" s="691"/>
    </row>
    <row r="316" spans="1:12">
      <c r="A316" s="687">
        <f t="shared" ref="A316:A379" si="8">A315+1</f>
        <v>308</v>
      </c>
      <c r="B316" s="679"/>
      <c r="D316" s="496" t="s">
        <v>1984</v>
      </c>
      <c r="E316" s="689" t="s">
        <v>1609</v>
      </c>
      <c r="F316" s="689"/>
      <c r="G316" s="689"/>
      <c r="H316" s="689"/>
      <c r="I316" s="689"/>
      <c r="J316" s="689"/>
      <c r="K316" s="689"/>
      <c r="L316" s="691"/>
    </row>
    <row r="317" spans="1:12">
      <c r="A317" s="687">
        <f t="shared" si="8"/>
        <v>309</v>
      </c>
      <c r="B317" s="679"/>
      <c r="D317" s="496" t="s">
        <v>1985</v>
      </c>
      <c r="E317" s="689" t="s">
        <v>1609</v>
      </c>
      <c r="F317" s="689" t="s">
        <v>1609</v>
      </c>
      <c r="G317" s="689"/>
      <c r="H317" s="689"/>
      <c r="I317" s="689"/>
      <c r="J317" s="689"/>
      <c r="K317" s="689"/>
      <c r="L317" s="691" t="s">
        <v>1986</v>
      </c>
    </row>
    <row r="318" spans="1:12">
      <c r="A318" s="687">
        <f t="shared" si="8"/>
        <v>310</v>
      </c>
      <c r="B318" s="679" t="s">
        <v>1031</v>
      </c>
      <c r="C318" s="494" t="s">
        <v>1987</v>
      </c>
      <c r="D318" s="496" t="s">
        <v>1988</v>
      </c>
      <c r="E318" s="689" t="s">
        <v>1609</v>
      </c>
      <c r="F318" s="689"/>
      <c r="G318" s="689"/>
      <c r="H318" s="689"/>
      <c r="I318" s="689"/>
      <c r="J318" s="689"/>
      <c r="K318" s="689"/>
      <c r="L318" s="691"/>
    </row>
    <row r="319" spans="1:12">
      <c r="A319" s="687">
        <f t="shared" si="8"/>
        <v>311</v>
      </c>
      <c r="B319" s="679"/>
      <c r="D319" s="496" t="s">
        <v>1989</v>
      </c>
      <c r="E319" s="689" t="s">
        <v>1609</v>
      </c>
      <c r="F319" s="689"/>
      <c r="G319" s="689"/>
      <c r="H319" s="689"/>
      <c r="I319" s="689"/>
      <c r="J319" s="689"/>
      <c r="K319" s="689"/>
      <c r="L319" s="691"/>
    </row>
    <row r="320" spans="1:12">
      <c r="A320" s="687">
        <f t="shared" si="8"/>
        <v>312</v>
      </c>
      <c r="B320" s="679"/>
      <c r="D320" s="496" t="s">
        <v>2740</v>
      </c>
      <c r="E320" s="689" t="s">
        <v>1609</v>
      </c>
      <c r="F320" s="689"/>
      <c r="G320" s="689"/>
      <c r="H320" s="689"/>
      <c r="I320" s="689"/>
      <c r="J320" s="689"/>
      <c r="K320" s="689"/>
      <c r="L320" s="691"/>
    </row>
    <row r="321" spans="1:12">
      <c r="A321" s="687">
        <f t="shared" si="8"/>
        <v>313</v>
      </c>
      <c r="B321" s="679"/>
      <c r="D321" s="496" t="s">
        <v>1990</v>
      </c>
      <c r="E321" s="689" t="s">
        <v>1609</v>
      </c>
      <c r="F321" s="689"/>
      <c r="G321" s="689"/>
      <c r="H321" s="689"/>
      <c r="I321" s="689"/>
      <c r="J321" s="689"/>
      <c r="K321" s="689"/>
      <c r="L321" s="691"/>
    </row>
    <row r="322" spans="1:12">
      <c r="A322" s="687">
        <f t="shared" si="8"/>
        <v>314</v>
      </c>
      <c r="B322" s="679"/>
      <c r="D322" s="496" t="s">
        <v>1991</v>
      </c>
      <c r="E322" s="689" t="s">
        <v>1609</v>
      </c>
      <c r="F322" s="689"/>
      <c r="G322" s="689"/>
      <c r="H322" s="689"/>
      <c r="I322" s="689"/>
      <c r="J322" s="689"/>
      <c r="K322" s="689"/>
      <c r="L322" s="691"/>
    </row>
    <row r="323" spans="1:12">
      <c r="A323" s="687">
        <f t="shared" si="8"/>
        <v>315</v>
      </c>
      <c r="B323" s="679"/>
      <c r="D323" s="496" t="s">
        <v>1992</v>
      </c>
      <c r="E323" s="689" t="s">
        <v>1609</v>
      </c>
      <c r="F323" s="689"/>
      <c r="G323" s="689"/>
      <c r="H323" s="689"/>
      <c r="I323" s="689"/>
      <c r="J323" s="689"/>
      <c r="K323" s="689"/>
      <c r="L323" s="691"/>
    </row>
    <row r="324" spans="1:12" ht="29">
      <c r="A324" s="687">
        <f t="shared" si="8"/>
        <v>316</v>
      </c>
      <c r="B324" s="679" t="s">
        <v>1035</v>
      </c>
      <c r="C324" s="494" t="s">
        <v>1993</v>
      </c>
      <c r="D324" s="496" t="s">
        <v>1994</v>
      </c>
      <c r="E324" s="689" t="s">
        <v>1609</v>
      </c>
      <c r="F324" s="689"/>
      <c r="G324" s="689"/>
      <c r="H324" s="689"/>
      <c r="I324" s="689"/>
      <c r="J324" s="689"/>
      <c r="K324" s="689"/>
      <c r="L324" s="691"/>
    </row>
    <row r="325" spans="1:12">
      <c r="A325" s="687">
        <f t="shared" si="8"/>
        <v>317</v>
      </c>
      <c r="B325" s="679"/>
      <c r="D325" s="496" t="s">
        <v>1995</v>
      </c>
      <c r="E325" s="689" t="s">
        <v>1609</v>
      </c>
      <c r="F325" s="689"/>
      <c r="G325" s="689"/>
      <c r="H325" s="689"/>
      <c r="I325" s="689"/>
      <c r="J325" s="689"/>
      <c r="K325" s="689"/>
      <c r="L325" s="691"/>
    </row>
    <row r="326" spans="1:12">
      <c r="A326" s="687">
        <f t="shared" si="8"/>
        <v>318</v>
      </c>
      <c r="B326" s="679"/>
      <c r="D326" s="496" t="s">
        <v>1996</v>
      </c>
      <c r="E326" s="689" t="s">
        <v>1609</v>
      </c>
      <c r="F326" s="689"/>
      <c r="G326" s="689"/>
      <c r="H326" s="689"/>
      <c r="I326" s="689"/>
      <c r="J326" s="689"/>
      <c r="K326" s="689"/>
      <c r="L326" s="691"/>
    </row>
    <row r="327" spans="1:12">
      <c r="A327" s="687">
        <f t="shared" si="8"/>
        <v>319</v>
      </c>
      <c r="B327" s="679"/>
      <c r="D327" s="496" t="s">
        <v>1997</v>
      </c>
      <c r="E327" s="689" t="s">
        <v>1609</v>
      </c>
      <c r="F327" s="689"/>
      <c r="G327" s="689"/>
      <c r="H327" s="689"/>
      <c r="I327" s="689"/>
      <c r="J327" s="689"/>
      <c r="K327" s="689"/>
      <c r="L327" s="691"/>
    </row>
    <row r="328" spans="1:12">
      <c r="A328" s="687">
        <f t="shared" si="8"/>
        <v>320</v>
      </c>
      <c r="B328" s="679"/>
      <c r="D328" s="496" t="s">
        <v>1998</v>
      </c>
      <c r="E328" s="689" t="s">
        <v>1609</v>
      </c>
      <c r="F328" s="689"/>
      <c r="G328" s="689"/>
      <c r="H328" s="689"/>
      <c r="I328" s="689"/>
      <c r="J328" s="689"/>
      <c r="K328" s="689"/>
      <c r="L328" s="691"/>
    </row>
    <row r="329" spans="1:12" ht="29">
      <c r="A329" s="687">
        <f t="shared" si="8"/>
        <v>321</v>
      </c>
      <c r="B329" s="679"/>
      <c r="D329" s="496" t="s">
        <v>2741</v>
      </c>
      <c r="E329" s="689" t="s">
        <v>1609</v>
      </c>
      <c r="F329" s="689"/>
      <c r="G329" s="689"/>
      <c r="H329" s="689"/>
      <c r="I329" s="689"/>
      <c r="J329" s="689"/>
      <c r="K329" s="689"/>
      <c r="L329" s="691"/>
    </row>
    <row r="330" spans="1:12">
      <c r="A330" s="687">
        <f t="shared" si="8"/>
        <v>322</v>
      </c>
      <c r="B330" s="679" t="s">
        <v>1037</v>
      </c>
      <c r="C330" s="494" t="s">
        <v>1999</v>
      </c>
      <c r="D330" s="496" t="s">
        <v>2000</v>
      </c>
      <c r="E330" s="689" t="s">
        <v>1609</v>
      </c>
      <c r="F330" s="689"/>
      <c r="G330" s="689"/>
      <c r="H330" s="689"/>
      <c r="I330" s="689"/>
      <c r="J330" s="689"/>
      <c r="K330" s="689"/>
      <c r="L330" s="691"/>
    </row>
    <row r="331" spans="1:12">
      <c r="A331" s="687">
        <f t="shared" si="8"/>
        <v>323</v>
      </c>
      <c r="B331" s="679"/>
      <c r="D331" s="496" t="s">
        <v>2001</v>
      </c>
      <c r="E331" s="689" t="s">
        <v>1609</v>
      </c>
      <c r="F331" s="689"/>
      <c r="G331" s="689"/>
      <c r="H331" s="689"/>
      <c r="I331" s="689"/>
      <c r="J331" s="689"/>
      <c r="K331" s="689"/>
      <c r="L331" s="691"/>
    </row>
    <row r="332" spans="1:12">
      <c r="A332" s="687">
        <f t="shared" si="8"/>
        <v>324</v>
      </c>
      <c r="B332" s="679"/>
      <c r="D332" s="496" t="s">
        <v>2002</v>
      </c>
      <c r="E332" s="689" t="s">
        <v>1609</v>
      </c>
      <c r="F332" s="689"/>
      <c r="G332" s="689"/>
      <c r="H332" s="689"/>
      <c r="I332" s="689"/>
      <c r="J332" s="689"/>
      <c r="K332" s="689"/>
      <c r="L332" s="691"/>
    </row>
    <row r="333" spans="1:12">
      <c r="A333" s="687">
        <f t="shared" si="8"/>
        <v>325</v>
      </c>
      <c r="B333" s="679"/>
      <c r="D333" s="496" t="s">
        <v>2003</v>
      </c>
      <c r="E333" s="689" t="s">
        <v>1609</v>
      </c>
      <c r="F333" s="689" t="s">
        <v>1609</v>
      </c>
      <c r="G333" s="689"/>
      <c r="H333" s="689"/>
      <c r="I333" s="689"/>
      <c r="J333" s="689"/>
      <c r="K333" s="689"/>
      <c r="L333" s="691" t="s">
        <v>2004</v>
      </c>
    </row>
    <row r="334" spans="1:12">
      <c r="A334" s="687">
        <f t="shared" si="8"/>
        <v>326</v>
      </c>
      <c r="B334" s="679"/>
      <c r="D334" s="496" t="s">
        <v>2005</v>
      </c>
      <c r="E334" s="689" t="s">
        <v>1609</v>
      </c>
      <c r="F334" s="689"/>
      <c r="G334" s="689"/>
      <c r="H334" s="689"/>
      <c r="I334" s="689"/>
      <c r="J334" s="689"/>
      <c r="K334" s="689"/>
      <c r="L334" s="691"/>
    </row>
    <row r="335" spans="1:12">
      <c r="A335" s="687">
        <f t="shared" si="8"/>
        <v>327</v>
      </c>
      <c r="B335" s="679" t="s">
        <v>1571</v>
      </c>
      <c r="C335" s="494" t="s">
        <v>2006</v>
      </c>
      <c r="D335" s="497" t="s">
        <v>2007</v>
      </c>
      <c r="E335" s="689" t="s">
        <v>1609</v>
      </c>
      <c r="F335" s="689"/>
      <c r="G335" s="689"/>
      <c r="H335" s="689"/>
      <c r="I335" s="689"/>
      <c r="J335" s="689"/>
      <c r="K335" s="689"/>
      <c r="L335" s="691"/>
    </row>
    <row r="336" spans="1:12">
      <c r="A336" s="687">
        <f t="shared" si="8"/>
        <v>328</v>
      </c>
      <c r="B336" s="679"/>
      <c r="D336" s="497" t="s">
        <v>2008</v>
      </c>
      <c r="E336" s="689" t="s">
        <v>1609</v>
      </c>
      <c r="F336" s="689"/>
      <c r="G336" s="689"/>
      <c r="H336" s="689"/>
      <c r="I336" s="689"/>
      <c r="J336" s="689"/>
      <c r="K336" s="689"/>
      <c r="L336" s="691"/>
    </row>
    <row r="337" spans="1:12">
      <c r="A337" s="687">
        <f t="shared" si="8"/>
        <v>329</v>
      </c>
      <c r="B337" s="679" t="s">
        <v>1043</v>
      </c>
      <c r="C337" s="494" t="s">
        <v>2601</v>
      </c>
      <c r="D337" s="497" t="s">
        <v>2602</v>
      </c>
      <c r="E337" s="689" t="s">
        <v>1609</v>
      </c>
      <c r="F337" s="689"/>
      <c r="G337" s="689"/>
      <c r="H337" s="689"/>
      <c r="I337" s="689"/>
      <c r="J337" s="689"/>
      <c r="K337" s="689"/>
      <c r="L337" s="691"/>
    </row>
    <row r="338" spans="1:12" ht="18" customHeight="1">
      <c r="A338" s="687">
        <f t="shared" si="8"/>
        <v>330</v>
      </c>
      <c r="B338" s="679"/>
      <c r="D338" s="497" t="s">
        <v>2603</v>
      </c>
      <c r="E338" s="689" t="s">
        <v>1609</v>
      </c>
      <c r="F338" s="689"/>
      <c r="G338" s="689"/>
      <c r="H338" s="689"/>
      <c r="I338" s="689"/>
      <c r="J338" s="689"/>
      <c r="K338" s="689"/>
      <c r="L338" s="691"/>
    </row>
    <row r="339" spans="1:12">
      <c r="A339" s="687">
        <f t="shared" si="8"/>
        <v>331</v>
      </c>
      <c r="B339" s="679" t="s">
        <v>1045</v>
      </c>
      <c r="C339" s="494" t="s">
        <v>2009</v>
      </c>
      <c r="D339" s="496" t="s">
        <v>2010</v>
      </c>
      <c r="E339" s="689" t="s">
        <v>1609</v>
      </c>
      <c r="F339" s="689"/>
      <c r="G339" s="689"/>
      <c r="H339" s="689"/>
      <c r="I339" s="689"/>
      <c r="J339" s="689"/>
      <c r="K339" s="689"/>
      <c r="L339" s="691"/>
    </row>
    <row r="340" spans="1:12">
      <c r="A340" s="687">
        <f t="shared" si="8"/>
        <v>332</v>
      </c>
      <c r="B340" s="679"/>
      <c r="D340" s="496" t="s">
        <v>2011</v>
      </c>
      <c r="E340" s="689" t="s">
        <v>1609</v>
      </c>
      <c r="F340" s="689"/>
      <c r="G340" s="689"/>
      <c r="H340" s="689"/>
      <c r="I340" s="689"/>
      <c r="J340" s="689"/>
      <c r="K340" s="689"/>
      <c r="L340" s="691"/>
    </row>
    <row r="341" spans="1:12" ht="29">
      <c r="A341" s="687">
        <f t="shared" si="8"/>
        <v>333</v>
      </c>
      <c r="B341" s="679"/>
      <c r="D341" s="496" t="s">
        <v>1616</v>
      </c>
      <c r="E341" s="689"/>
      <c r="F341" s="689" t="s">
        <v>1609</v>
      </c>
      <c r="G341" s="689"/>
      <c r="H341" s="689"/>
      <c r="I341" s="689"/>
      <c r="J341" s="689"/>
      <c r="K341" s="689"/>
      <c r="L341" s="691" t="s">
        <v>2012</v>
      </c>
    </row>
    <row r="342" spans="1:12" ht="29">
      <c r="A342" s="687">
        <f t="shared" si="8"/>
        <v>334</v>
      </c>
      <c r="B342" s="679"/>
      <c r="D342" s="496" t="s">
        <v>2013</v>
      </c>
      <c r="E342" s="689"/>
      <c r="F342" s="689" t="s">
        <v>1609</v>
      </c>
      <c r="G342" s="689"/>
      <c r="H342" s="689"/>
      <c r="I342" s="689"/>
      <c r="J342" s="689"/>
      <c r="K342" s="689"/>
      <c r="L342" s="691" t="s">
        <v>2014</v>
      </c>
    </row>
    <row r="343" spans="1:12">
      <c r="A343" s="687">
        <f t="shared" si="8"/>
        <v>335</v>
      </c>
      <c r="B343" s="679" t="s">
        <v>1562</v>
      </c>
      <c r="C343" s="494" t="s">
        <v>2015</v>
      </c>
      <c r="D343" s="496" t="s">
        <v>2016</v>
      </c>
      <c r="E343" s="689"/>
      <c r="F343" s="689" t="s">
        <v>1609</v>
      </c>
      <c r="G343" s="689"/>
      <c r="H343" s="689"/>
      <c r="I343" s="689"/>
      <c r="J343" s="689"/>
      <c r="K343" s="689"/>
      <c r="L343" s="691" t="s">
        <v>2017</v>
      </c>
    </row>
    <row r="344" spans="1:12">
      <c r="A344" s="687">
        <f t="shared" si="8"/>
        <v>336</v>
      </c>
      <c r="B344" s="679" t="s">
        <v>1051</v>
      </c>
      <c r="C344" s="494" t="s">
        <v>2018</v>
      </c>
      <c r="D344" s="496" t="s">
        <v>2604</v>
      </c>
      <c r="E344" s="689" t="s">
        <v>1609</v>
      </c>
      <c r="F344" s="689"/>
      <c r="G344" s="689"/>
      <c r="H344" s="689"/>
      <c r="I344" s="689"/>
      <c r="J344" s="689"/>
      <c r="K344" s="689"/>
      <c r="L344" s="691"/>
    </row>
    <row r="345" spans="1:12">
      <c r="A345" s="687">
        <f t="shared" si="8"/>
        <v>337</v>
      </c>
      <c r="B345" s="679"/>
      <c r="D345" s="496" t="s">
        <v>2019</v>
      </c>
      <c r="E345" s="689" t="s">
        <v>1609</v>
      </c>
      <c r="F345" s="689"/>
      <c r="G345" s="689"/>
      <c r="H345" s="689"/>
      <c r="I345" s="689"/>
      <c r="J345" s="689"/>
      <c r="K345" s="689"/>
      <c r="L345" s="691"/>
    </row>
    <row r="346" spans="1:12">
      <c r="A346" s="687">
        <f t="shared" si="8"/>
        <v>338</v>
      </c>
      <c r="B346" s="679" t="s">
        <v>1053</v>
      </c>
      <c r="C346" s="494" t="s">
        <v>2020</v>
      </c>
      <c r="D346" s="496" t="s">
        <v>2021</v>
      </c>
      <c r="E346" s="689" t="s">
        <v>1609</v>
      </c>
      <c r="F346" s="689"/>
      <c r="G346" s="689"/>
      <c r="H346" s="689"/>
      <c r="I346" s="689"/>
      <c r="J346" s="689"/>
      <c r="K346" s="689"/>
      <c r="L346" s="691"/>
    </row>
    <row r="347" spans="1:12" ht="16.5" customHeight="1">
      <c r="A347" s="687">
        <f t="shared" si="8"/>
        <v>339</v>
      </c>
      <c r="B347" s="679"/>
      <c r="D347" s="496" t="s">
        <v>2022</v>
      </c>
      <c r="E347" s="689" t="s">
        <v>1609</v>
      </c>
      <c r="F347" s="689"/>
      <c r="G347" s="689"/>
      <c r="H347" s="689"/>
      <c r="I347" s="689"/>
      <c r="J347" s="689"/>
      <c r="K347" s="689"/>
      <c r="L347" s="691"/>
    </row>
    <row r="348" spans="1:12">
      <c r="A348" s="687">
        <f t="shared" si="8"/>
        <v>340</v>
      </c>
      <c r="B348" s="679" t="s">
        <v>1055</v>
      </c>
      <c r="C348" s="494" t="s">
        <v>2023</v>
      </c>
      <c r="D348" s="496" t="s">
        <v>2024</v>
      </c>
      <c r="E348" s="689" t="s">
        <v>1609</v>
      </c>
      <c r="F348" s="689"/>
      <c r="G348" s="689"/>
      <c r="H348" s="689"/>
      <c r="I348" s="689"/>
      <c r="J348" s="689"/>
      <c r="K348" s="689"/>
      <c r="L348" s="691"/>
    </row>
    <row r="349" spans="1:12">
      <c r="A349" s="687">
        <f t="shared" si="8"/>
        <v>341</v>
      </c>
      <c r="B349" s="679"/>
      <c r="D349" s="496" t="s">
        <v>1894</v>
      </c>
      <c r="E349" s="689" t="s">
        <v>1609</v>
      </c>
      <c r="F349" s="689"/>
      <c r="G349" s="689"/>
      <c r="H349" s="689"/>
      <c r="I349" s="689"/>
      <c r="J349" s="689"/>
      <c r="K349" s="689"/>
      <c r="L349" s="691"/>
    </row>
    <row r="350" spans="1:12">
      <c r="A350" s="687">
        <f t="shared" si="8"/>
        <v>342</v>
      </c>
      <c r="B350" s="679"/>
      <c r="D350" s="496" t="s">
        <v>2025</v>
      </c>
      <c r="E350" s="689" t="s">
        <v>1609</v>
      </c>
      <c r="F350" s="689"/>
      <c r="G350" s="689"/>
      <c r="H350" s="689"/>
      <c r="I350" s="689"/>
      <c r="J350" s="689"/>
      <c r="K350" s="689"/>
      <c r="L350" s="691"/>
    </row>
    <row r="351" spans="1:12">
      <c r="A351" s="687">
        <f t="shared" si="8"/>
        <v>343</v>
      </c>
      <c r="B351" s="679"/>
      <c r="D351" s="496" t="s">
        <v>2026</v>
      </c>
      <c r="E351" s="689" t="s">
        <v>1609</v>
      </c>
      <c r="F351" s="689"/>
      <c r="G351" s="689"/>
      <c r="H351" s="689"/>
      <c r="I351" s="689"/>
      <c r="J351" s="689"/>
      <c r="K351" s="689"/>
      <c r="L351" s="691"/>
    </row>
    <row r="352" spans="1:12">
      <c r="A352" s="687">
        <f t="shared" si="8"/>
        <v>344</v>
      </c>
      <c r="B352" s="679" t="s">
        <v>1059</v>
      </c>
      <c r="C352" s="494" t="s">
        <v>2027</v>
      </c>
      <c r="D352" s="496" t="s">
        <v>2028</v>
      </c>
      <c r="E352" s="689" t="s">
        <v>1609</v>
      </c>
      <c r="F352" s="689"/>
      <c r="G352" s="689"/>
      <c r="H352" s="689"/>
      <c r="I352" s="689"/>
      <c r="J352" s="689"/>
      <c r="K352" s="689"/>
      <c r="L352" s="691"/>
    </row>
    <row r="353" spans="1:12">
      <c r="A353" s="687">
        <f t="shared" si="8"/>
        <v>345</v>
      </c>
      <c r="B353" s="679"/>
      <c r="D353" s="496" t="s">
        <v>1775</v>
      </c>
      <c r="E353" s="689"/>
      <c r="F353" s="689" t="s">
        <v>1609</v>
      </c>
      <c r="G353" s="689" t="s">
        <v>1609</v>
      </c>
      <c r="H353" s="689"/>
      <c r="I353" s="689"/>
      <c r="J353" s="689"/>
      <c r="K353" s="689"/>
      <c r="L353" s="691" t="s">
        <v>2029</v>
      </c>
    </row>
    <row r="354" spans="1:12">
      <c r="A354" s="687">
        <f t="shared" si="8"/>
        <v>346</v>
      </c>
      <c r="B354" s="679"/>
      <c r="D354" s="496" t="s">
        <v>2030</v>
      </c>
      <c r="E354" s="689" t="s">
        <v>1609</v>
      </c>
      <c r="F354" s="689"/>
      <c r="G354" s="689"/>
      <c r="H354" s="689"/>
      <c r="I354" s="689"/>
      <c r="J354" s="689"/>
      <c r="K354" s="689"/>
      <c r="L354" s="691"/>
    </row>
    <row r="355" spans="1:12">
      <c r="A355" s="687">
        <f t="shared" si="8"/>
        <v>347</v>
      </c>
      <c r="B355" s="679" t="s">
        <v>1065</v>
      </c>
      <c r="C355" s="494" t="s">
        <v>2031</v>
      </c>
      <c r="D355" s="496" t="s">
        <v>2032</v>
      </c>
      <c r="E355" s="689" t="s">
        <v>1609</v>
      </c>
      <c r="F355" s="689"/>
      <c r="G355" s="689"/>
      <c r="H355" s="689"/>
      <c r="I355" s="689"/>
      <c r="J355" s="689"/>
      <c r="K355" s="689"/>
      <c r="L355" s="691"/>
    </row>
    <row r="356" spans="1:12">
      <c r="A356" s="687">
        <f t="shared" si="8"/>
        <v>348</v>
      </c>
      <c r="B356" s="679"/>
      <c r="D356" s="496" t="s">
        <v>2033</v>
      </c>
      <c r="E356" s="689" t="s">
        <v>1609</v>
      </c>
      <c r="F356" s="689"/>
      <c r="G356" s="689"/>
      <c r="H356" s="689"/>
      <c r="I356" s="689"/>
      <c r="J356" s="689"/>
      <c r="K356" s="689"/>
      <c r="L356" s="691"/>
    </row>
    <row r="357" spans="1:12">
      <c r="A357" s="687">
        <f t="shared" si="8"/>
        <v>349</v>
      </c>
      <c r="B357" s="679" t="s">
        <v>1057</v>
      </c>
      <c r="C357" s="494" t="s">
        <v>2034</v>
      </c>
      <c r="D357" s="496" t="s">
        <v>2035</v>
      </c>
      <c r="E357" s="689" t="s">
        <v>1609</v>
      </c>
      <c r="F357" s="689"/>
      <c r="G357" s="689"/>
      <c r="H357" s="689"/>
      <c r="I357" s="689"/>
      <c r="J357" s="689"/>
      <c r="K357" s="689"/>
      <c r="L357" s="691"/>
    </row>
    <row r="358" spans="1:12">
      <c r="A358" s="687">
        <f t="shared" si="8"/>
        <v>350</v>
      </c>
      <c r="B358" s="679"/>
      <c r="D358" s="496" t="s">
        <v>2036</v>
      </c>
      <c r="E358" s="689" t="s">
        <v>1609</v>
      </c>
      <c r="F358" s="689"/>
      <c r="G358" s="689"/>
      <c r="H358" s="689"/>
      <c r="I358" s="689"/>
      <c r="J358" s="689"/>
      <c r="K358" s="689"/>
      <c r="L358" s="691"/>
    </row>
    <row r="359" spans="1:12">
      <c r="A359" s="687">
        <f t="shared" si="8"/>
        <v>351</v>
      </c>
      <c r="B359" s="679"/>
      <c r="D359" s="496" t="s">
        <v>2037</v>
      </c>
      <c r="E359" s="689" t="s">
        <v>1609</v>
      </c>
      <c r="F359" s="689"/>
      <c r="G359" s="689"/>
      <c r="H359" s="689"/>
      <c r="I359" s="689"/>
      <c r="J359" s="689"/>
      <c r="K359" s="689"/>
      <c r="L359" s="691"/>
    </row>
    <row r="360" spans="1:12">
      <c r="A360" s="687">
        <f t="shared" si="8"/>
        <v>352</v>
      </c>
      <c r="B360" s="679"/>
      <c r="D360" s="496" t="s">
        <v>2038</v>
      </c>
      <c r="E360" s="689" t="s">
        <v>1609</v>
      </c>
      <c r="F360" s="689"/>
      <c r="G360" s="689"/>
      <c r="H360" s="689"/>
      <c r="I360" s="689"/>
      <c r="J360" s="689"/>
      <c r="K360" s="689"/>
      <c r="L360" s="691"/>
    </row>
    <row r="361" spans="1:12">
      <c r="A361" s="687">
        <f t="shared" si="8"/>
        <v>353</v>
      </c>
      <c r="B361" s="679" t="s">
        <v>1067</v>
      </c>
      <c r="C361" s="494" t="s">
        <v>2039</v>
      </c>
      <c r="D361" s="496" t="s">
        <v>2040</v>
      </c>
      <c r="E361" s="689" t="s">
        <v>1609</v>
      </c>
      <c r="F361" s="689"/>
      <c r="G361" s="689"/>
      <c r="H361" s="689"/>
      <c r="I361" s="689"/>
      <c r="J361" s="689"/>
      <c r="K361" s="689"/>
      <c r="L361" s="691"/>
    </row>
    <row r="362" spans="1:12">
      <c r="A362" s="687">
        <f t="shared" si="8"/>
        <v>354</v>
      </c>
      <c r="B362" s="679"/>
      <c r="D362" s="496" t="s">
        <v>2041</v>
      </c>
      <c r="E362" s="689" t="s">
        <v>1609</v>
      </c>
      <c r="F362" s="689"/>
      <c r="G362" s="689"/>
      <c r="H362" s="689"/>
      <c r="I362" s="689"/>
      <c r="J362" s="689"/>
      <c r="K362" s="689"/>
      <c r="L362" s="691"/>
    </row>
    <row r="363" spans="1:12">
      <c r="A363" s="687">
        <f t="shared" si="8"/>
        <v>355</v>
      </c>
      <c r="B363" s="679"/>
      <c r="C363" s="494" t="s">
        <v>2042</v>
      </c>
      <c r="D363" s="496" t="s">
        <v>2043</v>
      </c>
      <c r="E363" s="694" t="s">
        <v>1609</v>
      </c>
      <c r="F363" s="694"/>
      <c r="G363" s="695"/>
      <c r="H363" s="695"/>
      <c r="I363" s="694"/>
      <c r="J363" s="696"/>
      <c r="K363" s="699"/>
      <c r="L363" s="700" t="s">
        <v>2044</v>
      </c>
    </row>
    <row r="364" spans="1:12">
      <c r="A364" s="687">
        <f t="shared" si="8"/>
        <v>356</v>
      </c>
      <c r="B364" s="679" t="s">
        <v>1070</v>
      </c>
      <c r="C364" s="494" t="s">
        <v>2045</v>
      </c>
      <c r="D364" s="496" t="s">
        <v>2046</v>
      </c>
      <c r="E364" s="694" t="s">
        <v>1609</v>
      </c>
      <c r="F364" s="694"/>
      <c r="G364" s="694"/>
      <c r="H364" s="694"/>
      <c r="I364" s="699"/>
      <c r="J364" s="694"/>
      <c r="K364" s="694"/>
      <c r="L364" s="701"/>
    </row>
    <row r="365" spans="1:12">
      <c r="A365" s="687">
        <f t="shared" si="8"/>
        <v>357</v>
      </c>
      <c r="B365" s="679"/>
      <c r="D365" s="496" t="s">
        <v>2047</v>
      </c>
      <c r="E365" s="694" t="s">
        <v>1609</v>
      </c>
      <c r="F365" s="694"/>
      <c r="G365" s="695"/>
      <c r="H365" s="695"/>
      <c r="I365" s="699"/>
      <c r="J365" s="696"/>
      <c r="K365" s="699"/>
      <c r="L365" s="701" t="s">
        <v>2044</v>
      </c>
    </row>
    <row r="366" spans="1:12">
      <c r="A366" s="687">
        <f t="shared" si="8"/>
        <v>358</v>
      </c>
      <c r="B366" s="679" t="s">
        <v>1072</v>
      </c>
      <c r="C366" s="494" t="s">
        <v>2048</v>
      </c>
      <c r="D366" s="496" t="s">
        <v>2049</v>
      </c>
      <c r="E366" s="689" t="s">
        <v>1609</v>
      </c>
      <c r="F366" s="689"/>
      <c r="G366" s="689"/>
      <c r="H366" s="694"/>
      <c r="I366" s="690"/>
      <c r="J366" s="694"/>
      <c r="K366" s="689"/>
      <c r="L366" s="691"/>
    </row>
    <row r="367" spans="1:12">
      <c r="A367" s="687">
        <f t="shared" si="8"/>
        <v>359</v>
      </c>
      <c r="B367" s="679"/>
      <c r="D367" s="496" t="s">
        <v>2050</v>
      </c>
      <c r="E367" s="689" t="s">
        <v>1609</v>
      </c>
      <c r="F367" s="689"/>
      <c r="G367" s="689"/>
      <c r="H367" s="689"/>
      <c r="I367" s="690"/>
      <c r="J367" s="689"/>
      <c r="K367" s="689"/>
      <c r="L367" s="691"/>
    </row>
    <row r="368" spans="1:12" ht="29">
      <c r="A368" s="687">
        <f t="shared" si="8"/>
        <v>360</v>
      </c>
      <c r="B368" s="679" t="s">
        <v>1078</v>
      </c>
      <c r="C368" s="494" t="s">
        <v>2051</v>
      </c>
      <c r="D368" s="496" t="s">
        <v>2742</v>
      </c>
      <c r="E368" s="689" t="s">
        <v>1609</v>
      </c>
      <c r="F368" s="689"/>
      <c r="G368" s="689"/>
      <c r="H368" s="689"/>
      <c r="I368" s="690"/>
      <c r="J368" s="689"/>
      <c r="K368" s="689"/>
      <c r="L368" s="691"/>
    </row>
    <row r="369" spans="1:12">
      <c r="A369" s="687">
        <f t="shared" si="8"/>
        <v>361</v>
      </c>
      <c r="B369" s="679"/>
      <c r="D369" s="496" t="s">
        <v>2052</v>
      </c>
      <c r="E369" s="689" t="s">
        <v>1609</v>
      </c>
      <c r="F369" s="689"/>
      <c r="G369" s="689"/>
      <c r="H369" s="689"/>
      <c r="I369" s="690"/>
      <c r="J369" s="689"/>
      <c r="K369" s="689"/>
      <c r="L369" s="691"/>
    </row>
    <row r="370" spans="1:12">
      <c r="A370" s="687">
        <f t="shared" si="8"/>
        <v>362</v>
      </c>
      <c r="B370" s="679"/>
      <c r="D370" s="496" t="s">
        <v>2053</v>
      </c>
      <c r="E370" s="689" t="s">
        <v>1609</v>
      </c>
      <c r="F370" s="689"/>
      <c r="G370" s="689"/>
      <c r="H370" s="689"/>
      <c r="I370" s="690"/>
      <c r="J370" s="689"/>
      <c r="K370" s="689"/>
      <c r="L370" s="691"/>
    </row>
    <row r="371" spans="1:12">
      <c r="A371" s="687">
        <f t="shared" si="8"/>
        <v>363</v>
      </c>
      <c r="B371" s="679"/>
      <c r="D371" s="496" t="s">
        <v>2054</v>
      </c>
      <c r="E371" s="689" t="s">
        <v>1609</v>
      </c>
      <c r="F371" s="689"/>
      <c r="G371" s="689"/>
      <c r="H371" s="689"/>
      <c r="I371" s="690"/>
      <c r="J371" s="689"/>
      <c r="K371" s="689"/>
      <c r="L371" s="691"/>
    </row>
    <row r="372" spans="1:12" ht="29">
      <c r="A372" s="687">
        <f t="shared" si="8"/>
        <v>364</v>
      </c>
      <c r="B372" s="679"/>
      <c r="D372" s="496" t="s">
        <v>2055</v>
      </c>
      <c r="E372" s="689" t="s">
        <v>1609</v>
      </c>
      <c r="F372" s="689" t="s">
        <v>1609</v>
      </c>
      <c r="G372" s="689"/>
      <c r="H372" s="689"/>
      <c r="I372" s="690"/>
      <c r="J372" s="689"/>
      <c r="K372" s="689"/>
      <c r="L372" s="691" t="s">
        <v>2056</v>
      </c>
    </row>
    <row r="373" spans="1:12">
      <c r="A373" s="687">
        <f t="shared" si="8"/>
        <v>365</v>
      </c>
      <c r="B373" s="679"/>
      <c r="D373" s="496" t="s">
        <v>2057</v>
      </c>
      <c r="E373" s="689" t="s">
        <v>1609</v>
      </c>
      <c r="F373" s="689"/>
      <c r="G373" s="689"/>
      <c r="H373" s="689"/>
      <c r="I373" s="690"/>
      <c r="J373" s="689"/>
      <c r="K373" s="689"/>
      <c r="L373" s="691"/>
    </row>
    <row r="374" spans="1:12">
      <c r="A374" s="687">
        <f t="shared" si="8"/>
        <v>366</v>
      </c>
      <c r="B374" s="679"/>
      <c r="D374" s="496" t="s">
        <v>2058</v>
      </c>
      <c r="E374" s="689" t="s">
        <v>1609</v>
      </c>
      <c r="F374" s="689"/>
      <c r="G374" s="689"/>
      <c r="H374" s="689"/>
      <c r="I374" s="690"/>
      <c r="J374" s="689"/>
      <c r="K374" s="689"/>
      <c r="L374" s="691"/>
    </row>
    <row r="375" spans="1:12" ht="17.25" customHeight="1">
      <c r="A375" s="687">
        <f t="shared" si="8"/>
        <v>367</v>
      </c>
      <c r="B375" s="679"/>
      <c r="D375" s="496" t="s">
        <v>2059</v>
      </c>
      <c r="E375" s="689" t="s">
        <v>1609</v>
      </c>
      <c r="F375" s="689"/>
      <c r="G375" s="689"/>
      <c r="H375" s="689"/>
      <c r="I375" s="690"/>
      <c r="J375" s="689"/>
      <c r="K375" s="689"/>
      <c r="L375" s="691"/>
    </row>
    <row r="376" spans="1:12">
      <c r="A376" s="687">
        <f t="shared" si="8"/>
        <v>368</v>
      </c>
      <c r="B376" s="679"/>
      <c r="D376" s="496" t="s">
        <v>2060</v>
      </c>
      <c r="E376" s="689"/>
      <c r="F376" s="689" t="s">
        <v>1609</v>
      </c>
      <c r="G376" s="689"/>
      <c r="H376" s="689"/>
      <c r="I376" s="690"/>
      <c r="J376" s="689"/>
      <c r="K376" s="689"/>
      <c r="L376" s="692" t="s">
        <v>2061</v>
      </c>
    </row>
    <row r="377" spans="1:12">
      <c r="A377" s="687">
        <f t="shared" si="8"/>
        <v>369</v>
      </c>
      <c r="B377" s="679"/>
      <c r="D377" s="496" t="s">
        <v>2062</v>
      </c>
      <c r="E377" s="689"/>
      <c r="F377" s="689" t="s">
        <v>1609</v>
      </c>
      <c r="G377" s="689"/>
      <c r="H377" s="689"/>
      <c r="I377" s="690"/>
      <c r="J377" s="689"/>
      <c r="K377" s="689"/>
      <c r="L377" s="691" t="s">
        <v>2063</v>
      </c>
    </row>
    <row r="378" spans="1:12">
      <c r="A378" s="687">
        <f t="shared" si="8"/>
        <v>370</v>
      </c>
      <c r="B378" s="679" t="s">
        <v>1074</v>
      </c>
      <c r="C378" s="494" t="s">
        <v>2064</v>
      </c>
      <c r="D378" s="496" t="s">
        <v>2065</v>
      </c>
      <c r="E378" s="689" t="s">
        <v>1609</v>
      </c>
      <c r="F378" s="689"/>
      <c r="G378" s="689"/>
      <c r="H378" s="689"/>
      <c r="I378" s="690"/>
      <c r="J378" s="689"/>
      <c r="K378" s="689"/>
      <c r="L378" s="691"/>
    </row>
    <row r="379" spans="1:12">
      <c r="A379" s="687">
        <f t="shared" si="8"/>
        <v>371</v>
      </c>
      <c r="B379" s="679"/>
      <c r="D379" s="496" t="s">
        <v>2066</v>
      </c>
      <c r="E379" s="689" t="s">
        <v>1609</v>
      </c>
      <c r="F379" s="689"/>
      <c r="G379" s="689"/>
      <c r="H379" s="689"/>
      <c r="I379" s="690"/>
      <c r="J379" s="689"/>
      <c r="K379" s="689"/>
      <c r="L379" s="691"/>
    </row>
    <row r="380" spans="1:12">
      <c r="A380" s="687">
        <f t="shared" ref="A380:A443" si="9">A379+1</f>
        <v>372</v>
      </c>
      <c r="B380" s="679" t="s">
        <v>1076</v>
      </c>
      <c r="C380" s="494" t="s">
        <v>2067</v>
      </c>
      <c r="D380" s="496" t="s">
        <v>1916</v>
      </c>
      <c r="E380" s="689" t="s">
        <v>1609</v>
      </c>
      <c r="F380" s="689"/>
      <c r="G380" s="689"/>
      <c r="H380" s="689"/>
      <c r="I380" s="690"/>
      <c r="J380" s="689"/>
      <c r="K380" s="689"/>
      <c r="L380" s="691"/>
    </row>
    <row r="381" spans="1:12">
      <c r="A381" s="687">
        <f t="shared" si="9"/>
        <v>373</v>
      </c>
      <c r="B381" s="679" t="s">
        <v>1080</v>
      </c>
      <c r="C381" s="494" t="s">
        <v>2068</v>
      </c>
      <c r="D381" s="496" t="s">
        <v>2605</v>
      </c>
      <c r="E381" s="689" t="s">
        <v>1609</v>
      </c>
      <c r="F381" s="689"/>
      <c r="G381" s="689"/>
      <c r="H381" s="689"/>
      <c r="I381" s="690"/>
      <c r="J381" s="689"/>
      <c r="K381" s="689"/>
      <c r="L381" s="691"/>
    </row>
    <row r="382" spans="1:12">
      <c r="A382" s="687">
        <f t="shared" si="9"/>
        <v>374</v>
      </c>
      <c r="B382" s="679"/>
      <c r="D382" s="496" t="s">
        <v>2069</v>
      </c>
      <c r="E382" s="689" t="s">
        <v>1609</v>
      </c>
      <c r="F382" s="689"/>
      <c r="G382" s="689"/>
      <c r="H382" s="689"/>
      <c r="I382" s="690"/>
      <c r="J382" s="689"/>
      <c r="K382" s="689"/>
      <c r="L382" s="691"/>
    </row>
    <row r="383" spans="1:12">
      <c r="A383" s="687">
        <f t="shared" si="9"/>
        <v>375</v>
      </c>
      <c r="B383" s="679"/>
      <c r="D383" s="496" t="s">
        <v>2070</v>
      </c>
      <c r="E383" s="689" t="s">
        <v>1609</v>
      </c>
      <c r="F383" s="689"/>
      <c r="G383" s="689"/>
      <c r="H383" s="689"/>
      <c r="I383" s="690"/>
      <c r="J383" s="689"/>
      <c r="K383" s="689"/>
      <c r="L383" s="691"/>
    </row>
    <row r="384" spans="1:12">
      <c r="A384" s="687">
        <f t="shared" si="9"/>
        <v>376</v>
      </c>
      <c r="B384" s="679"/>
      <c r="D384" s="496" t="s">
        <v>2071</v>
      </c>
      <c r="E384" s="689" t="s">
        <v>1609</v>
      </c>
      <c r="F384" s="689"/>
      <c r="G384" s="689"/>
      <c r="H384" s="689"/>
      <c r="I384" s="690"/>
      <c r="J384" s="689"/>
      <c r="K384" s="689"/>
      <c r="L384" s="691"/>
    </row>
    <row r="385" spans="1:12">
      <c r="A385" s="687">
        <f t="shared" si="9"/>
        <v>377</v>
      </c>
      <c r="B385" s="679"/>
      <c r="D385" s="496" t="s">
        <v>2072</v>
      </c>
      <c r="E385" s="689" t="s">
        <v>1609</v>
      </c>
      <c r="F385" s="689"/>
      <c r="G385" s="689"/>
      <c r="H385" s="689"/>
      <c r="I385" s="690"/>
      <c r="J385" s="689"/>
      <c r="K385" s="689"/>
      <c r="L385" s="691"/>
    </row>
    <row r="386" spans="1:12">
      <c r="A386" s="687">
        <f t="shared" si="9"/>
        <v>378</v>
      </c>
      <c r="B386" s="679"/>
      <c r="D386" s="496" t="s">
        <v>2073</v>
      </c>
      <c r="E386" s="689" t="s">
        <v>1609</v>
      </c>
      <c r="F386" s="689"/>
      <c r="G386" s="689"/>
      <c r="H386" s="689"/>
      <c r="I386" s="690"/>
      <c r="J386" s="689"/>
      <c r="K386" s="689"/>
      <c r="L386" s="691"/>
    </row>
    <row r="387" spans="1:12">
      <c r="A387" s="687">
        <f t="shared" si="9"/>
        <v>379</v>
      </c>
      <c r="B387" s="679"/>
      <c r="D387" s="496" t="s">
        <v>2074</v>
      </c>
      <c r="E387" s="689" t="s">
        <v>1609</v>
      </c>
      <c r="F387" s="689"/>
      <c r="G387" s="689"/>
      <c r="H387" s="689"/>
      <c r="I387" s="690"/>
      <c r="J387" s="689"/>
      <c r="K387" s="689"/>
      <c r="L387" s="691"/>
    </row>
    <row r="388" spans="1:12">
      <c r="A388" s="687">
        <f t="shared" si="9"/>
        <v>380</v>
      </c>
      <c r="B388" s="679"/>
      <c r="D388" s="496" t="s">
        <v>2075</v>
      </c>
      <c r="E388" s="689" t="s">
        <v>1609</v>
      </c>
      <c r="F388" s="689"/>
      <c r="G388" s="689"/>
      <c r="H388" s="689"/>
      <c r="I388" s="690"/>
      <c r="J388" s="689"/>
      <c r="K388" s="689"/>
      <c r="L388" s="691"/>
    </row>
    <row r="389" spans="1:12">
      <c r="A389" s="687">
        <f t="shared" si="9"/>
        <v>381</v>
      </c>
      <c r="B389" s="679" t="s">
        <v>1082</v>
      </c>
      <c r="C389" s="494" t="s">
        <v>2076</v>
      </c>
      <c r="D389" s="496" t="s">
        <v>2077</v>
      </c>
      <c r="E389" s="689" t="s">
        <v>1609</v>
      </c>
      <c r="F389" s="689"/>
      <c r="G389" s="689"/>
      <c r="H389" s="689"/>
      <c r="I389" s="689"/>
      <c r="J389" s="689"/>
      <c r="K389" s="689"/>
      <c r="L389" s="691"/>
    </row>
    <row r="390" spans="1:12">
      <c r="A390" s="687">
        <f t="shared" si="9"/>
        <v>382</v>
      </c>
      <c r="B390" s="679"/>
      <c r="D390" s="496" t="s">
        <v>2078</v>
      </c>
      <c r="E390" s="689" t="s">
        <v>1609</v>
      </c>
      <c r="F390" s="689"/>
      <c r="G390" s="689"/>
      <c r="H390" s="689"/>
      <c r="I390" s="689"/>
      <c r="J390" s="689"/>
      <c r="K390" s="689"/>
      <c r="L390" s="691"/>
    </row>
    <row r="391" spans="1:12">
      <c r="A391" s="687">
        <f t="shared" si="9"/>
        <v>383</v>
      </c>
      <c r="B391" s="679" t="s">
        <v>2079</v>
      </c>
      <c r="C391" s="494" t="s">
        <v>2080</v>
      </c>
      <c r="D391" s="655" t="s">
        <v>2081</v>
      </c>
      <c r="E391" s="689" t="s">
        <v>1609</v>
      </c>
      <c r="F391" s="689"/>
      <c r="G391" s="689"/>
      <c r="H391" s="689"/>
      <c r="I391" s="689"/>
      <c r="J391" s="689"/>
      <c r="K391" s="689"/>
      <c r="L391" s="691"/>
    </row>
    <row r="392" spans="1:12" ht="17.25" customHeight="1">
      <c r="A392" s="687">
        <f t="shared" si="9"/>
        <v>384</v>
      </c>
      <c r="B392" s="679" t="s">
        <v>1088</v>
      </c>
      <c r="C392" s="494" t="s">
        <v>2082</v>
      </c>
      <c r="D392" s="496" t="s">
        <v>2083</v>
      </c>
      <c r="E392" s="689" t="s">
        <v>1609</v>
      </c>
      <c r="F392" s="689"/>
      <c r="G392" s="689"/>
      <c r="H392" s="689"/>
      <c r="I392" s="689"/>
      <c r="J392" s="689"/>
      <c r="K392" s="689"/>
      <c r="L392" s="691"/>
    </row>
    <row r="393" spans="1:12">
      <c r="A393" s="687">
        <f t="shared" si="9"/>
        <v>385</v>
      </c>
      <c r="B393" s="679"/>
      <c r="D393" s="496" t="s">
        <v>2743</v>
      </c>
      <c r="E393" s="689" t="s">
        <v>1609</v>
      </c>
      <c r="F393" s="689"/>
      <c r="G393" s="689"/>
      <c r="H393" s="689"/>
      <c r="I393" s="689"/>
      <c r="J393" s="689"/>
      <c r="K393" s="689"/>
      <c r="L393" s="691"/>
    </row>
    <row r="394" spans="1:12">
      <c r="A394" s="687">
        <f t="shared" si="9"/>
        <v>386</v>
      </c>
      <c r="B394" s="679"/>
      <c r="D394" s="496" t="s">
        <v>2084</v>
      </c>
      <c r="E394" s="689" t="s">
        <v>1609</v>
      </c>
      <c r="F394" s="689"/>
      <c r="G394" s="689"/>
      <c r="H394" s="689"/>
      <c r="I394" s="689"/>
      <c r="J394" s="689"/>
      <c r="K394" s="689"/>
      <c r="L394" s="691"/>
    </row>
    <row r="395" spans="1:12">
      <c r="A395" s="687">
        <f t="shared" si="9"/>
        <v>387</v>
      </c>
      <c r="B395" s="679"/>
      <c r="D395" s="496" t="s">
        <v>2085</v>
      </c>
      <c r="E395" s="689" t="s">
        <v>1609</v>
      </c>
      <c r="F395" s="689"/>
      <c r="G395" s="689"/>
      <c r="H395" s="689"/>
      <c r="I395" s="689"/>
      <c r="J395" s="689"/>
      <c r="K395" s="689"/>
      <c r="L395" s="691"/>
    </row>
    <row r="396" spans="1:12">
      <c r="A396" s="687">
        <f t="shared" si="9"/>
        <v>388</v>
      </c>
      <c r="B396" s="679"/>
      <c r="D396" s="496" t="s">
        <v>1902</v>
      </c>
      <c r="E396" s="689" t="s">
        <v>1609</v>
      </c>
      <c r="F396" s="689"/>
      <c r="G396" s="689"/>
      <c r="H396" s="689"/>
      <c r="I396" s="689"/>
      <c r="J396" s="689"/>
      <c r="K396" s="689"/>
      <c r="L396" s="691"/>
    </row>
    <row r="397" spans="1:12">
      <c r="A397" s="687">
        <f t="shared" si="9"/>
        <v>389</v>
      </c>
      <c r="B397" s="679"/>
      <c r="D397" s="496" t="s">
        <v>2744</v>
      </c>
      <c r="E397" s="689" t="s">
        <v>1609</v>
      </c>
      <c r="F397" s="689"/>
      <c r="G397" s="689"/>
      <c r="H397" s="689"/>
      <c r="I397" s="689"/>
      <c r="J397" s="689"/>
      <c r="K397" s="689"/>
      <c r="L397" s="691"/>
    </row>
    <row r="398" spans="1:12">
      <c r="A398" s="687">
        <f t="shared" si="9"/>
        <v>390</v>
      </c>
      <c r="B398" s="679" t="s">
        <v>1090</v>
      </c>
      <c r="C398" s="494" t="s">
        <v>2086</v>
      </c>
      <c r="D398" s="496" t="s">
        <v>2087</v>
      </c>
      <c r="E398" s="689" t="s">
        <v>1609</v>
      </c>
      <c r="F398" s="689"/>
      <c r="G398" s="689"/>
      <c r="H398" s="689"/>
      <c r="I398" s="689"/>
      <c r="J398" s="689"/>
      <c r="K398" s="689"/>
      <c r="L398" s="691"/>
    </row>
    <row r="399" spans="1:12" ht="29">
      <c r="A399" s="687">
        <f t="shared" si="9"/>
        <v>391</v>
      </c>
      <c r="B399" s="679" t="s">
        <v>561</v>
      </c>
      <c r="C399" s="494" t="s">
        <v>2088</v>
      </c>
      <c r="D399" s="496" t="s">
        <v>2745</v>
      </c>
      <c r="E399" s="689" t="s">
        <v>1609</v>
      </c>
      <c r="F399" s="689"/>
      <c r="G399" s="689"/>
      <c r="H399" s="689"/>
      <c r="I399" s="689"/>
      <c r="J399" s="689"/>
      <c r="K399" s="689"/>
      <c r="L399" s="691"/>
    </row>
    <row r="400" spans="1:12">
      <c r="A400" s="687">
        <f t="shared" si="9"/>
        <v>392</v>
      </c>
      <c r="B400" s="679"/>
      <c r="D400" s="496" t="s">
        <v>2089</v>
      </c>
      <c r="E400" s="689"/>
      <c r="F400" s="689"/>
      <c r="G400" s="689" t="s">
        <v>1609</v>
      </c>
      <c r="H400" s="689"/>
      <c r="I400" s="689"/>
      <c r="J400" s="689"/>
      <c r="K400" s="689"/>
      <c r="L400" s="691" t="s">
        <v>2090</v>
      </c>
    </row>
    <row r="401" spans="1:12">
      <c r="A401" s="687">
        <f t="shared" si="9"/>
        <v>393</v>
      </c>
      <c r="B401" s="679"/>
      <c r="D401" s="496" t="s">
        <v>2091</v>
      </c>
      <c r="E401" s="689"/>
      <c r="F401" s="689"/>
      <c r="G401" s="689" t="s">
        <v>1609</v>
      </c>
      <c r="H401" s="689"/>
      <c r="I401" s="689"/>
      <c r="J401" s="689"/>
      <c r="K401" s="689"/>
      <c r="L401" s="691" t="s">
        <v>2090</v>
      </c>
    </row>
    <row r="402" spans="1:12">
      <c r="A402" s="687">
        <f t="shared" si="9"/>
        <v>394</v>
      </c>
      <c r="B402" s="679" t="s">
        <v>1092</v>
      </c>
      <c r="C402" s="494" t="s">
        <v>2092</v>
      </c>
      <c r="D402" s="496" t="s">
        <v>2093</v>
      </c>
      <c r="E402" s="689" t="s">
        <v>1609</v>
      </c>
      <c r="F402" s="689"/>
      <c r="G402" s="689"/>
      <c r="H402" s="689"/>
      <c r="I402" s="689"/>
      <c r="J402" s="689"/>
      <c r="K402" s="689"/>
      <c r="L402" s="691"/>
    </row>
    <row r="403" spans="1:12" ht="29">
      <c r="A403" s="687">
        <f t="shared" si="9"/>
        <v>395</v>
      </c>
      <c r="B403" s="679"/>
      <c r="D403" s="496" t="s">
        <v>2094</v>
      </c>
      <c r="E403" s="689" t="s">
        <v>1609</v>
      </c>
      <c r="F403" s="689"/>
      <c r="G403" s="689"/>
      <c r="H403" s="689"/>
      <c r="I403" s="689"/>
      <c r="J403" s="689"/>
      <c r="K403" s="689"/>
      <c r="L403" s="691"/>
    </row>
    <row r="404" spans="1:12" ht="29">
      <c r="A404" s="687">
        <f t="shared" si="9"/>
        <v>396</v>
      </c>
      <c r="B404" s="679"/>
      <c r="D404" s="496" t="s">
        <v>2095</v>
      </c>
      <c r="E404" s="689" t="s">
        <v>1609</v>
      </c>
      <c r="F404" s="689"/>
      <c r="G404" s="689"/>
      <c r="H404" s="689"/>
      <c r="I404" s="689"/>
      <c r="J404" s="689"/>
      <c r="K404" s="689"/>
      <c r="L404" s="691"/>
    </row>
    <row r="405" spans="1:12">
      <c r="A405" s="687">
        <f t="shared" si="9"/>
        <v>397</v>
      </c>
      <c r="B405" s="679"/>
      <c r="D405" s="496" t="s">
        <v>2096</v>
      </c>
      <c r="E405" s="689" t="s">
        <v>1609</v>
      </c>
      <c r="F405" s="689"/>
      <c r="G405" s="689"/>
      <c r="H405" s="689"/>
      <c r="I405" s="689"/>
      <c r="J405" s="689"/>
      <c r="K405" s="689"/>
      <c r="L405" s="691"/>
    </row>
    <row r="406" spans="1:12" ht="17.25" customHeight="1">
      <c r="A406" s="687">
        <f t="shared" si="9"/>
        <v>398</v>
      </c>
      <c r="B406" s="679" t="s">
        <v>1094</v>
      </c>
      <c r="C406" s="494" t="s">
        <v>2097</v>
      </c>
      <c r="D406" s="496" t="s">
        <v>2098</v>
      </c>
      <c r="E406" s="689" t="s">
        <v>1609</v>
      </c>
      <c r="F406" s="689"/>
      <c r="G406" s="689"/>
      <c r="H406" s="689"/>
      <c r="I406" s="689"/>
      <c r="J406" s="689"/>
      <c r="K406" s="689"/>
      <c r="L406" s="691"/>
    </row>
    <row r="407" spans="1:12">
      <c r="A407" s="687">
        <f t="shared" si="9"/>
        <v>399</v>
      </c>
      <c r="B407" s="679"/>
      <c r="D407" s="496" t="s">
        <v>2099</v>
      </c>
      <c r="E407" s="689" t="s">
        <v>1609</v>
      </c>
      <c r="F407" s="689"/>
      <c r="G407" s="689"/>
      <c r="H407" s="689"/>
      <c r="I407" s="689"/>
      <c r="J407" s="689"/>
      <c r="K407" s="689"/>
      <c r="L407" s="691"/>
    </row>
    <row r="408" spans="1:12">
      <c r="A408" s="687">
        <f t="shared" si="9"/>
        <v>400</v>
      </c>
      <c r="B408" s="679"/>
      <c r="D408" s="496" t="s">
        <v>2100</v>
      </c>
      <c r="E408" s="689" t="s">
        <v>1609</v>
      </c>
      <c r="F408" s="689"/>
      <c r="G408" s="689"/>
      <c r="H408" s="689"/>
      <c r="I408" s="689"/>
      <c r="J408" s="689"/>
      <c r="K408" s="689"/>
      <c r="L408" s="691"/>
    </row>
    <row r="409" spans="1:12" ht="29">
      <c r="A409" s="687">
        <f t="shared" si="9"/>
        <v>401</v>
      </c>
      <c r="B409" s="679" t="s">
        <v>1098</v>
      </c>
      <c r="C409" s="494" t="s">
        <v>2101</v>
      </c>
      <c r="D409" s="496" t="s">
        <v>2102</v>
      </c>
      <c r="E409" s="689" t="s">
        <v>1609</v>
      </c>
      <c r="F409" s="689"/>
      <c r="G409" s="689"/>
      <c r="H409" s="689"/>
      <c r="I409" s="689"/>
      <c r="J409" s="689"/>
      <c r="K409" s="689"/>
      <c r="L409" s="691"/>
    </row>
    <row r="410" spans="1:12">
      <c r="A410" s="687">
        <f t="shared" si="9"/>
        <v>402</v>
      </c>
      <c r="B410" s="679"/>
      <c r="D410" s="496" t="s">
        <v>2103</v>
      </c>
      <c r="E410" s="689" t="s">
        <v>1609</v>
      </c>
      <c r="F410" s="689"/>
      <c r="G410" s="689"/>
      <c r="H410" s="689"/>
      <c r="I410" s="689"/>
      <c r="J410" s="689"/>
      <c r="K410" s="689"/>
      <c r="L410" s="691"/>
    </row>
    <row r="411" spans="1:12">
      <c r="A411" s="687">
        <f t="shared" si="9"/>
        <v>403</v>
      </c>
      <c r="B411" s="679" t="s">
        <v>1100</v>
      </c>
      <c r="C411" s="494" t="s">
        <v>2104</v>
      </c>
      <c r="D411" s="496" t="s">
        <v>2105</v>
      </c>
      <c r="E411" s="689" t="s">
        <v>1609</v>
      </c>
      <c r="F411" s="689"/>
      <c r="G411" s="689"/>
      <c r="H411" s="689"/>
      <c r="I411" s="689"/>
      <c r="J411" s="689"/>
      <c r="K411" s="689"/>
      <c r="L411" s="691"/>
    </row>
    <row r="412" spans="1:12">
      <c r="A412" s="687">
        <f t="shared" si="9"/>
        <v>404</v>
      </c>
      <c r="B412" s="679"/>
      <c r="D412" s="496" t="s">
        <v>2106</v>
      </c>
      <c r="E412" s="689" t="s">
        <v>1609</v>
      </c>
      <c r="F412" s="689"/>
      <c r="G412" s="689"/>
      <c r="H412" s="689"/>
      <c r="I412" s="689"/>
      <c r="J412" s="689"/>
      <c r="K412" s="689"/>
      <c r="L412" s="691"/>
    </row>
    <row r="413" spans="1:12">
      <c r="A413" s="687">
        <f t="shared" si="9"/>
        <v>405</v>
      </c>
      <c r="B413" s="679"/>
      <c r="D413" s="496"/>
      <c r="E413" s="689"/>
      <c r="F413" s="689"/>
      <c r="G413" s="689"/>
      <c r="H413" s="689"/>
      <c r="I413" s="689"/>
      <c r="J413" s="689"/>
      <c r="K413" s="689"/>
      <c r="L413" s="691"/>
    </row>
    <row r="414" spans="1:12">
      <c r="A414" s="687">
        <f t="shared" si="9"/>
        <v>406</v>
      </c>
      <c r="B414" s="679"/>
      <c r="C414" s="702" t="s">
        <v>2107</v>
      </c>
      <c r="D414" s="496"/>
      <c r="E414" s="689"/>
      <c r="F414" s="689"/>
      <c r="G414" s="689"/>
      <c r="H414" s="689"/>
      <c r="I414" s="689"/>
      <c r="J414" s="689"/>
      <c r="K414" s="689"/>
      <c r="L414" s="691"/>
    </row>
    <row r="415" spans="1:12" ht="29">
      <c r="A415" s="687">
        <f t="shared" si="9"/>
        <v>407</v>
      </c>
      <c r="B415" s="679"/>
      <c r="C415" s="703" t="s">
        <v>592</v>
      </c>
      <c r="D415" s="496"/>
      <c r="E415" s="689" t="s">
        <v>1609</v>
      </c>
      <c r="F415" s="689"/>
      <c r="G415" s="689"/>
      <c r="H415" s="689"/>
      <c r="I415" s="689"/>
      <c r="J415" s="689"/>
      <c r="K415" s="689"/>
      <c r="L415" s="691"/>
    </row>
    <row r="416" spans="1:12" ht="29">
      <c r="A416" s="687">
        <f t="shared" si="9"/>
        <v>408</v>
      </c>
      <c r="B416" s="679"/>
      <c r="C416" s="703" t="s">
        <v>594</v>
      </c>
      <c r="D416" s="496"/>
      <c r="E416" s="689" t="s">
        <v>1609</v>
      </c>
      <c r="F416" s="689"/>
      <c r="G416" s="689"/>
      <c r="H416" s="689"/>
      <c r="I416" s="689"/>
      <c r="J416" s="689"/>
      <c r="K416" s="689"/>
      <c r="L416" s="691"/>
    </row>
    <row r="417" spans="1:12">
      <c r="A417" s="687">
        <f t="shared" si="9"/>
        <v>409</v>
      </c>
      <c r="B417" s="679"/>
      <c r="C417" s="703" t="s">
        <v>596</v>
      </c>
      <c r="D417" s="496"/>
      <c r="E417" s="689" t="s">
        <v>1609</v>
      </c>
      <c r="F417" s="689"/>
      <c r="G417" s="689"/>
      <c r="H417" s="689"/>
      <c r="I417" s="689"/>
      <c r="J417" s="689"/>
      <c r="K417" s="689"/>
      <c r="L417" s="691"/>
    </row>
    <row r="418" spans="1:12">
      <c r="A418" s="687">
        <f t="shared" si="9"/>
        <v>410</v>
      </c>
      <c r="B418" s="679"/>
      <c r="C418" s="703" t="s">
        <v>598</v>
      </c>
      <c r="D418" s="496"/>
      <c r="E418" s="689" t="s">
        <v>1609</v>
      </c>
      <c r="F418" s="689"/>
      <c r="G418" s="689"/>
      <c r="H418" s="689"/>
      <c r="I418" s="689"/>
      <c r="J418" s="689"/>
      <c r="K418" s="689"/>
      <c r="L418" s="691"/>
    </row>
    <row r="419" spans="1:12">
      <c r="A419" s="687">
        <f t="shared" si="9"/>
        <v>411</v>
      </c>
      <c r="B419" s="679"/>
      <c r="C419" s="703" t="s">
        <v>600</v>
      </c>
      <c r="D419" s="496"/>
      <c r="E419" s="689" t="s">
        <v>1609</v>
      </c>
      <c r="F419" s="689"/>
      <c r="G419" s="689"/>
      <c r="H419" s="689"/>
      <c r="I419" s="689"/>
      <c r="J419" s="689"/>
      <c r="K419" s="689"/>
      <c r="L419" s="691"/>
    </row>
    <row r="420" spans="1:12" ht="15.75" customHeight="1">
      <c r="A420" s="687">
        <f t="shared" si="9"/>
        <v>412</v>
      </c>
      <c r="B420" s="679"/>
      <c r="C420" s="703" t="s">
        <v>602</v>
      </c>
      <c r="D420" s="496"/>
      <c r="E420" s="689" t="s">
        <v>1609</v>
      </c>
      <c r="F420" s="689"/>
      <c r="G420" s="689"/>
      <c r="H420" s="689"/>
      <c r="I420" s="689"/>
      <c r="J420" s="689"/>
      <c r="K420" s="689"/>
      <c r="L420" s="691"/>
    </row>
    <row r="421" spans="1:12" ht="15.75" customHeight="1">
      <c r="A421" s="687">
        <f t="shared" si="9"/>
        <v>413</v>
      </c>
      <c r="B421" s="679"/>
      <c r="C421" s="703" t="s">
        <v>604</v>
      </c>
      <c r="D421" s="496"/>
      <c r="E421" s="689" t="s">
        <v>1609</v>
      </c>
      <c r="F421" s="689"/>
      <c r="G421" s="689"/>
      <c r="H421" s="689"/>
      <c r="I421" s="689"/>
      <c r="J421" s="689"/>
      <c r="K421" s="689"/>
      <c r="L421" s="691"/>
    </row>
    <row r="422" spans="1:12">
      <c r="A422" s="687">
        <f t="shared" si="9"/>
        <v>414</v>
      </c>
      <c r="B422" s="679"/>
      <c r="C422" s="703" t="s">
        <v>606</v>
      </c>
      <c r="D422" s="496"/>
      <c r="E422" s="689" t="s">
        <v>1609</v>
      </c>
      <c r="F422" s="689"/>
      <c r="G422" s="689"/>
      <c r="H422" s="689"/>
      <c r="I422" s="689"/>
      <c r="J422" s="689"/>
      <c r="K422" s="689"/>
      <c r="L422" s="691"/>
    </row>
    <row r="423" spans="1:12">
      <c r="A423" s="687">
        <f t="shared" si="9"/>
        <v>415</v>
      </c>
      <c r="B423" s="679"/>
      <c r="C423" s="703" t="s">
        <v>608</v>
      </c>
      <c r="D423" s="496"/>
      <c r="E423" s="689" t="s">
        <v>1609</v>
      </c>
      <c r="F423" s="689"/>
      <c r="G423" s="689"/>
      <c r="H423" s="689"/>
      <c r="I423" s="689"/>
      <c r="J423" s="689"/>
      <c r="K423" s="689"/>
      <c r="L423" s="691"/>
    </row>
    <row r="424" spans="1:12" ht="29">
      <c r="A424" s="687">
        <f t="shared" si="9"/>
        <v>416</v>
      </c>
      <c r="B424" s="679"/>
      <c r="C424" s="703" t="s">
        <v>610</v>
      </c>
      <c r="D424" s="496"/>
      <c r="E424" s="689" t="s">
        <v>1609</v>
      </c>
      <c r="F424" s="689"/>
      <c r="G424" s="689"/>
      <c r="H424" s="689"/>
      <c r="I424" s="689"/>
      <c r="J424" s="689"/>
      <c r="K424" s="689"/>
      <c r="L424" s="691"/>
    </row>
    <row r="425" spans="1:12" ht="29">
      <c r="A425" s="687">
        <f t="shared" si="9"/>
        <v>417</v>
      </c>
      <c r="B425" s="679"/>
      <c r="C425" s="703" t="s">
        <v>612</v>
      </c>
      <c r="D425" s="496"/>
      <c r="E425" s="689" t="s">
        <v>1609</v>
      </c>
      <c r="F425" s="689"/>
      <c r="G425" s="689"/>
      <c r="H425" s="689"/>
      <c r="I425" s="689"/>
      <c r="J425" s="689"/>
      <c r="K425" s="689"/>
      <c r="L425" s="691"/>
    </row>
    <row r="426" spans="1:12" ht="29">
      <c r="A426" s="687">
        <f t="shared" si="9"/>
        <v>418</v>
      </c>
      <c r="B426" s="679"/>
      <c r="C426" s="703" t="s">
        <v>614</v>
      </c>
      <c r="D426" s="496"/>
      <c r="E426" s="689" t="s">
        <v>1609</v>
      </c>
      <c r="F426" s="689"/>
      <c r="G426" s="689"/>
      <c r="H426" s="689"/>
      <c r="I426" s="689"/>
      <c r="J426" s="689"/>
      <c r="K426" s="689"/>
      <c r="L426" s="691"/>
    </row>
    <row r="427" spans="1:12" ht="16.5" customHeight="1">
      <c r="A427" s="687">
        <f t="shared" si="9"/>
        <v>419</v>
      </c>
      <c r="B427" s="679"/>
      <c r="C427" s="703" t="s">
        <v>2108</v>
      </c>
      <c r="D427" s="496"/>
      <c r="E427" s="689" t="s">
        <v>1609</v>
      </c>
      <c r="F427" s="689"/>
      <c r="G427" s="689"/>
      <c r="H427" s="689"/>
      <c r="I427" s="689"/>
      <c r="J427" s="689"/>
      <c r="K427" s="689"/>
      <c r="L427" s="691"/>
    </row>
    <row r="428" spans="1:12">
      <c r="A428" s="687">
        <f t="shared" si="9"/>
        <v>420</v>
      </c>
      <c r="B428" s="679"/>
      <c r="C428" s="703" t="s">
        <v>616</v>
      </c>
      <c r="D428" s="496"/>
      <c r="E428" s="689" t="s">
        <v>1609</v>
      </c>
      <c r="F428" s="689"/>
      <c r="G428" s="689"/>
      <c r="H428" s="689"/>
      <c r="I428" s="689"/>
      <c r="J428" s="689"/>
      <c r="K428" s="689"/>
      <c r="L428" s="691"/>
    </row>
    <row r="429" spans="1:12" ht="29">
      <c r="A429" s="687">
        <f t="shared" si="9"/>
        <v>421</v>
      </c>
      <c r="B429" s="679"/>
      <c r="C429" s="703" t="s">
        <v>618</v>
      </c>
      <c r="D429" s="496"/>
      <c r="E429" s="689" t="s">
        <v>1609</v>
      </c>
      <c r="F429" s="689"/>
      <c r="G429" s="689"/>
      <c r="H429" s="689"/>
      <c r="I429" s="689"/>
      <c r="J429" s="689"/>
      <c r="K429" s="689"/>
      <c r="L429" s="691"/>
    </row>
    <row r="430" spans="1:12">
      <c r="A430" s="687">
        <f t="shared" si="9"/>
        <v>422</v>
      </c>
      <c r="B430" s="679"/>
      <c r="C430" s="703" t="s">
        <v>620</v>
      </c>
      <c r="D430" s="496"/>
      <c r="E430" s="689" t="s">
        <v>1609</v>
      </c>
      <c r="F430" s="689"/>
      <c r="G430" s="689"/>
      <c r="H430" s="689"/>
      <c r="I430" s="689"/>
      <c r="J430" s="689"/>
      <c r="K430" s="689"/>
      <c r="L430" s="691"/>
    </row>
    <row r="431" spans="1:12">
      <c r="A431" s="687">
        <f t="shared" si="9"/>
        <v>423</v>
      </c>
      <c r="B431" s="679"/>
      <c r="C431" s="703" t="s">
        <v>2109</v>
      </c>
      <c r="D431" s="496"/>
      <c r="E431" s="689" t="s">
        <v>1609</v>
      </c>
      <c r="F431" s="689"/>
      <c r="G431" s="689"/>
      <c r="H431" s="689"/>
      <c r="I431" s="689"/>
      <c r="J431" s="689"/>
      <c r="K431" s="689"/>
      <c r="L431" s="691"/>
    </row>
    <row r="432" spans="1:12">
      <c r="A432" s="687">
        <f t="shared" si="9"/>
        <v>424</v>
      </c>
      <c r="B432" s="679"/>
      <c r="C432" s="703" t="s">
        <v>624</v>
      </c>
      <c r="D432" s="496" t="s">
        <v>2110</v>
      </c>
      <c r="E432" s="689" t="s">
        <v>1609</v>
      </c>
      <c r="F432" s="689"/>
      <c r="G432" s="689"/>
      <c r="H432" s="689"/>
      <c r="I432" s="689"/>
      <c r="J432" s="689"/>
      <c r="K432" s="689"/>
      <c r="L432" s="691"/>
    </row>
    <row r="433" spans="1:12">
      <c r="A433" s="687">
        <f t="shared" si="9"/>
        <v>425</v>
      </c>
      <c r="B433" s="679"/>
      <c r="C433" s="703" t="s">
        <v>626</v>
      </c>
      <c r="D433" s="496"/>
      <c r="E433" s="689" t="s">
        <v>1609</v>
      </c>
      <c r="F433" s="689"/>
      <c r="G433" s="689"/>
      <c r="H433" s="689"/>
      <c r="I433" s="689"/>
      <c r="J433" s="689"/>
      <c r="K433" s="689"/>
      <c r="L433" s="691"/>
    </row>
    <row r="434" spans="1:12" ht="29">
      <c r="A434" s="687">
        <f t="shared" si="9"/>
        <v>426</v>
      </c>
      <c r="B434" s="679"/>
      <c r="C434" s="703" t="s">
        <v>628</v>
      </c>
      <c r="D434" s="496"/>
      <c r="E434" s="689" t="s">
        <v>1609</v>
      </c>
      <c r="F434" s="689"/>
      <c r="G434" s="689"/>
      <c r="H434" s="689"/>
      <c r="I434" s="689"/>
      <c r="J434" s="689"/>
      <c r="K434" s="689"/>
      <c r="L434" s="691"/>
    </row>
    <row r="435" spans="1:12">
      <c r="A435" s="687">
        <f t="shared" si="9"/>
        <v>427</v>
      </c>
      <c r="B435" s="679"/>
      <c r="C435" s="703" t="s">
        <v>630</v>
      </c>
      <c r="D435" s="496"/>
      <c r="E435" s="689" t="s">
        <v>1609</v>
      </c>
      <c r="F435" s="689"/>
      <c r="G435" s="689"/>
      <c r="H435" s="689"/>
      <c r="I435" s="689"/>
      <c r="J435" s="689"/>
      <c r="K435" s="689"/>
      <c r="L435" s="691"/>
    </row>
    <row r="436" spans="1:12">
      <c r="A436" s="687">
        <f t="shared" si="9"/>
        <v>428</v>
      </c>
      <c r="B436" s="679"/>
      <c r="C436" s="703" t="s">
        <v>632</v>
      </c>
      <c r="D436" s="496"/>
      <c r="E436" s="689" t="s">
        <v>1609</v>
      </c>
      <c r="F436" s="689"/>
      <c r="G436" s="689"/>
      <c r="H436" s="689"/>
      <c r="I436" s="689"/>
      <c r="J436" s="689"/>
      <c r="K436" s="689"/>
      <c r="L436" s="691"/>
    </row>
    <row r="437" spans="1:12">
      <c r="A437" s="687">
        <f t="shared" si="9"/>
        <v>429</v>
      </c>
      <c r="B437" s="679"/>
      <c r="C437" s="703" t="s">
        <v>634</v>
      </c>
      <c r="D437" s="496"/>
      <c r="E437" s="689" t="s">
        <v>1609</v>
      </c>
      <c r="F437" s="689"/>
      <c r="G437" s="689"/>
      <c r="H437" s="689"/>
      <c r="I437" s="689"/>
      <c r="J437" s="689"/>
      <c r="K437" s="689"/>
      <c r="L437" s="691"/>
    </row>
    <row r="438" spans="1:12">
      <c r="A438" s="687">
        <f t="shared" si="9"/>
        <v>430</v>
      </c>
      <c r="B438" s="679"/>
      <c r="C438" s="703" t="s">
        <v>636</v>
      </c>
      <c r="D438" s="496"/>
      <c r="E438" s="689" t="s">
        <v>1609</v>
      </c>
      <c r="F438" s="689"/>
      <c r="G438" s="689"/>
      <c r="H438" s="689"/>
      <c r="I438" s="689"/>
      <c r="J438" s="689"/>
      <c r="K438" s="689"/>
      <c r="L438" s="691"/>
    </row>
    <row r="439" spans="1:12">
      <c r="A439" s="687">
        <f t="shared" si="9"/>
        <v>431</v>
      </c>
      <c r="B439" s="679"/>
      <c r="C439" s="703" t="s">
        <v>638</v>
      </c>
      <c r="D439" s="496"/>
      <c r="E439" s="689" t="s">
        <v>1609</v>
      </c>
      <c r="F439" s="689"/>
      <c r="G439" s="689"/>
      <c r="H439" s="689"/>
      <c r="I439" s="689"/>
      <c r="J439" s="689"/>
      <c r="K439" s="689"/>
      <c r="L439" s="691"/>
    </row>
    <row r="440" spans="1:12">
      <c r="A440" s="687">
        <f t="shared" si="9"/>
        <v>432</v>
      </c>
      <c r="B440" s="679"/>
      <c r="C440" s="703" t="s">
        <v>640</v>
      </c>
      <c r="D440" s="496"/>
      <c r="E440" s="689" t="s">
        <v>1609</v>
      </c>
      <c r="F440" s="689"/>
      <c r="G440" s="689"/>
      <c r="H440" s="689"/>
      <c r="I440" s="689"/>
      <c r="J440" s="689"/>
      <c r="K440" s="689"/>
      <c r="L440" s="691"/>
    </row>
    <row r="441" spans="1:12">
      <c r="A441" s="687">
        <f t="shared" si="9"/>
        <v>433</v>
      </c>
      <c r="B441" s="679"/>
      <c r="C441" s="703" t="s">
        <v>642</v>
      </c>
      <c r="D441" s="496"/>
      <c r="E441" s="689" t="s">
        <v>1609</v>
      </c>
      <c r="F441" s="689"/>
      <c r="G441" s="689"/>
      <c r="H441" s="689"/>
      <c r="I441" s="689"/>
      <c r="J441" s="689"/>
      <c r="K441" s="689"/>
      <c r="L441" s="691"/>
    </row>
    <row r="442" spans="1:12">
      <c r="A442" s="687">
        <f t="shared" si="9"/>
        <v>434</v>
      </c>
      <c r="B442" s="679"/>
      <c r="C442" s="703" t="s">
        <v>644</v>
      </c>
      <c r="D442" s="496"/>
      <c r="E442" s="689" t="s">
        <v>1609</v>
      </c>
      <c r="F442" s="689"/>
      <c r="G442" s="689"/>
      <c r="H442" s="689"/>
      <c r="I442" s="689"/>
      <c r="J442" s="689"/>
      <c r="K442" s="689"/>
      <c r="L442" s="691"/>
    </row>
    <row r="443" spans="1:12">
      <c r="A443" s="687">
        <f t="shared" si="9"/>
        <v>435</v>
      </c>
      <c r="B443" s="679"/>
      <c r="C443" s="703" t="s">
        <v>646</v>
      </c>
      <c r="D443" s="496"/>
      <c r="E443" s="689" t="s">
        <v>1609</v>
      </c>
      <c r="F443" s="689"/>
      <c r="G443" s="689"/>
      <c r="H443" s="689"/>
      <c r="I443" s="689"/>
      <c r="J443" s="689"/>
      <c r="K443" s="689"/>
      <c r="L443" s="691"/>
    </row>
    <row r="444" spans="1:12" ht="29">
      <c r="A444" s="687">
        <f t="shared" ref="A444:A507" si="10">A443+1</f>
        <v>436</v>
      </c>
      <c r="B444" s="679"/>
      <c r="C444" s="703" t="s">
        <v>648</v>
      </c>
      <c r="D444" s="496"/>
      <c r="E444" s="689" t="s">
        <v>1609</v>
      </c>
      <c r="F444" s="689"/>
      <c r="G444" s="689"/>
      <c r="H444" s="689"/>
      <c r="I444" s="689"/>
      <c r="J444" s="689"/>
      <c r="K444" s="689"/>
      <c r="L444" s="691"/>
    </row>
    <row r="445" spans="1:12">
      <c r="A445" s="687">
        <f t="shared" si="10"/>
        <v>437</v>
      </c>
      <c r="B445" s="679"/>
      <c r="C445" s="703" t="s">
        <v>650</v>
      </c>
      <c r="D445" s="496"/>
      <c r="E445" s="689" t="s">
        <v>1609</v>
      </c>
      <c r="F445" s="689"/>
      <c r="G445" s="689"/>
      <c r="H445" s="689"/>
      <c r="I445" s="689"/>
      <c r="J445" s="689"/>
      <c r="K445" s="689"/>
      <c r="L445" s="691"/>
    </row>
    <row r="446" spans="1:12">
      <c r="A446" s="687">
        <f t="shared" si="10"/>
        <v>438</v>
      </c>
      <c r="B446" s="679"/>
      <c r="C446" s="703" t="s">
        <v>652</v>
      </c>
      <c r="D446" s="496"/>
      <c r="E446" s="689" t="s">
        <v>1609</v>
      </c>
      <c r="F446" s="689"/>
      <c r="G446" s="689"/>
      <c r="H446" s="689"/>
      <c r="I446" s="689"/>
      <c r="J446" s="689"/>
      <c r="K446" s="689"/>
      <c r="L446" s="691"/>
    </row>
    <row r="447" spans="1:12" ht="29">
      <c r="A447" s="687">
        <f t="shared" si="10"/>
        <v>439</v>
      </c>
      <c r="B447" s="679"/>
      <c r="C447" s="703" t="s">
        <v>656</v>
      </c>
      <c r="D447" s="496"/>
      <c r="E447" s="689" t="s">
        <v>1609</v>
      </c>
      <c r="F447" s="689"/>
      <c r="G447" s="689"/>
      <c r="H447" s="689"/>
      <c r="I447" s="689"/>
      <c r="J447" s="689"/>
      <c r="K447" s="689"/>
      <c r="L447" s="691"/>
    </row>
    <row r="448" spans="1:12" ht="16.5" customHeight="1">
      <c r="A448" s="687">
        <f t="shared" si="10"/>
        <v>440</v>
      </c>
      <c r="B448" s="679"/>
      <c r="C448" s="703" t="s">
        <v>658</v>
      </c>
      <c r="D448" s="496"/>
      <c r="E448" s="689" t="s">
        <v>1609</v>
      </c>
      <c r="F448" s="689"/>
      <c r="G448" s="689"/>
      <c r="H448" s="689"/>
      <c r="I448" s="689"/>
      <c r="J448" s="689"/>
      <c r="K448" s="689"/>
      <c r="L448" s="691"/>
    </row>
    <row r="449" spans="1:12">
      <c r="A449" s="687">
        <f t="shared" si="10"/>
        <v>441</v>
      </c>
      <c r="B449" s="679"/>
      <c r="C449" s="703" t="s">
        <v>2111</v>
      </c>
      <c r="D449" s="496"/>
      <c r="E449" s="689" t="s">
        <v>1609</v>
      </c>
      <c r="F449" s="689"/>
      <c r="G449" s="689"/>
      <c r="H449" s="689"/>
      <c r="I449" s="689"/>
      <c r="J449" s="689"/>
      <c r="K449" s="689"/>
      <c r="L449" s="691"/>
    </row>
    <row r="450" spans="1:12">
      <c r="A450" s="687">
        <f t="shared" si="10"/>
        <v>442</v>
      </c>
      <c r="B450" s="679"/>
      <c r="C450" s="703" t="s">
        <v>2112</v>
      </c>
      <c r="D450" s="496"/>
      <c r="E450" s="689" t="s">
        <v>1609</v>
      </c>
      <c r="F450" s="689"/>
      <c r="G450" s="689"/>
      <c r="H450" s="689"/>
      <c r="I450" s="689"/>
      <c r="J450" s="689"/>
      <c r="K450" s="689"/>
      <c r="L450" s="691"/>
    </row>
    <row r="451" spans="1:12">
      <c r="A451" s="687">
        <f t="shared" si="10"/>
        <v>443</v>
      </c>
      <c r="B451" s="679"/>
      <c r="C451" s="703" t="s">
        <v>664</v>
      </c>
      <c r="D451" s="496" t="s">
        <v>2113</v>
      </c>
      <c r="E451" s="689" t="s">
        <v>1609</v>
      </c>
      <c r="F451" s="689"/>
      <c r="G451" s="689"/>
      <c r="H451" s="689"/>
      <c r="I451" s="689"/>
      <c r="J451" s="689"/>
      <c r="K451" s="689"/>
      <c r="L451" s="691"/>
    </row>
    <row r="452" spans="1:12">
      <c r="A452" s="687">
        <f t="shared" si="10"/>
        <v>444</v>
      </c>
      <c r="B452" s="679"/>
      <c r="C452" s="703" t="s">
        <v>666</v>
      </c>
      <c r="D452" s="496" t="s">
        <v>2114</v>
      </c>
      <c r="E452" s="689" t="s">
        <v>1609</v>
      </c>
      <c r="F452" s="689"/>
      <c r="G452" s="689"/>
      <c r="H452" s="689"/>
      <c r="I452" s="689"/>
      <c r="J452" s="689"/>
      <c r="K452" s="689"/>
      <c r="L452" s="691"/>
    </row>
    <row r="453" spans="1:12">
      <c r="A453" s="687">
        <f t="shared" si="10"/>
        <v>445</v>
      </c>
      <c r="B453" s="679"/>
      <c r="C453" s="703" t="s">
        <v>668</v>
      </c>
      <c r="D453" s="496"/>
      <c r="E453" s="689" t="s">
        <v>1609</v>
      </c>
      <c r="F453" s="689"/>
      <c r="G453" s="689"/>
      <c r="H453" s="689"/>
      <c r="I453" s="689"/>
      <c r="J453" s="689"/>
      <c r="K453" s="689"/>
      <c r="L453" s="691"/>
    </row>
    <row r="454" spans="1:12">
      <c r="A454" s="687">
        <f t="shared" si="10"/>
        <v>446</v>
      </c>
      <c r="B454" s="679"/>
      <c r="C454" s="703" t="s">
        <v>670</v>
      </c>
      <c r="D454" s="496"/>
      <c r="E454" s="689" t="s">
        <v>1609</v>
      </c>
      <c r="F454" s="689"/>
      <c r="G454" s="689"/>
      <c r="H454" s="689"/>
      <c r="I454" s="689"/>
      <c r="J454" s="689"/>
      <c r="K454" s="689"/>
      <c r="L454" s="691"/>
    </row>
    <row r="455" spans="1:12" ht="29">
      <c r="A455" s="687">
        <f t="shared" si="10"/>
        <v>447</v>
      </c>
      <c r="B455" s="679"/>
      <c r="C455" s="703" t="s">
        <v>672</v>
      </c>
      <c r="D455" s="496"/>
      <c r="E455" s="689" t="s">
        <v>1609</v>
      </c>
      <c r="F455" s="689"/>
      <c r="G455" s="689"/>
      <c r="H455" s="689"/>
      <c r="I455" s="689"/>
      <c r="J455" s="689"/>
      <c r="K455" s="689"/>
      <c r="L455" s="691"/>
    </row>
    <row r="456" spans="1:12" ht="15.75" customHeight="1">
      <c r="A456" s="687">
        <f t="shared" si="10"/>
        <v>448</v>
      </c>
      <c r="B456" s="679"/>
      <c r="C456" s="703" t="s">
        <v>674</v>
      </c>
      <c r="D456" s="496"/>
      <c r="E456" s="689" t="s">
        <v>1609</v>
      </c>
      <c r="F456" s="689"/>
      <c r="G456" s="689"/>
      <c r="H456" s="689"/>
      <c r="I456" s="689"/>
      <c r="J456" s="689"/>
      <c r="K456" s="689"/>
      <c r="L456" s="691"/>
    </row>
    <row r="457" spans="1:12">
      <c r="A457" s="687">
        <f t="shared" si="10"/>
        <v>449</v>
      </c>
      <c r="B457" s="679"/>
      <c r="C457" s="703" t="s">
        <v>676</v>
      </c>
      <c r="D457" s="496"/>
      <c r="E457" s="689" t="s">
        <v>1609</v>
      </c>
      <c r="F457" s="689"/>
      <c r="G457" s="689"/>
      <c r="H457" s="689"/>
      <c r="I457" s="689"/>
      <c r="J457" s="689"/>
      <c r="K457" s="689"/>
      <c r="L457" s="691"/>
    </row>
    <row r="458" spans="1:12" ht="18" customHeight="1">
      <c r="A458" s="687">
        <f t="shared" si="10"/>
        <v>450</v>
      </c>
      <c r="B458" s="679"/>
      <c r="C458" s="703" t="s">
        <v>678</v>
      </c>
      <c r="D458" s="496"/>
      <c r="E458" s="689" t="s">
        <v>1609</v>
      </c>
      <c r="F458" s="689"/>
      <c r="G458" s="689"/>
      <c r="H458" s="689"/>
      <c r="I458" s="689"/>
      <c r="J458" s="689"/>
      <c r="K458" s="689"/>
      <c r="L458" s="691"/>
    </row>
    <row r="459" spans="1:12">
      <c r="A459" s="687">
        <f t="shared" si="10"/>
        <v>451</v>
      </c>
      <c r="B459" s="679"/>
      <c r="C459" s="703" t="s">
        <v>680</v>
      </c>
      <c r="D459" s="496"/>
      <c r="E459" s="689" t="s">
        <v>1609</v>
      </c>
      <c r="F459" s="689"/>
      <c r="G459" s="689"/>
      <c r="H459" s="689"/>
      <c r="I459" s="689"/>
      <c r="J459" s="689"/>
      <c r="K459" s="689"/>
      <c r="L459" s="691"/>
    </row>
    <row r="460" spans="1:12" ht="29">
      <c r="A460" s="687">
        <f t="shared" si="10"/>
        <v>452</v>
      </c>
      <c r="B460" s="679"/>
      <c r="C460" s="703" t="s">
        <v>682</v>
      </c>
      <c r="D460" s="496"/>
      <c r="E460" s="689" t="s">
        <v>1609</v>
      </c>
      <c r="F460" s="689"/>
      <c r="G460" s="689"/>
      <c r="H460" s="689"/>
      <c r="I460" s="689"/>
      <c r="J460" s="689"/>
      <c r="K460" s="689"/>
      <c r="L460" s="691"/>
    </row>
    <row r="461" spans="1:12" ht="29">
      <c r="A461" s="687">
        <f t="shared" si="10"/>
        <v>453</v>
      </c>
      <c r="B461" s="679"/>
      <c r="C461" s="703" t="s">
        <v>684</v>
      </c>
      <c r="D461" s="496"/>
      <c r="E461" s="689" t="s">
        <v>1609</v>
      </c>
      <c r="F461" s="689"/>
      <c r="G461" s="689"/>
      <c r="H461" s="689"/>
      <c r="I461" s="689"/>
      <c r="J461" s="689"/>
      <c r="K461" s="689"/>
      <c r="L461" s="691"/>
    </row>
    <row r="462" spans="1:12" ht="29">
      <c r="A462" s="687">
        <f t="shared" si="10"/>
        <v>454</v>
      </c>
      <c r="B462" s="679"/>
      <c r="C462" s="703" t="s">
        <v>686</v>
      </c>
      <c r="D462" s="496"/>
      <c r="E462" s="689" t="s">
        <v>1609</v>
      </c>
      <c r="F462" s="689"/>
      <c r="G462" s="689"/>
      <c r="H462" s="689"/>
      <c r="I462" s="689"/>
      <c r="J462" s="689"/>
      <c r="K462" s="689"/>
      <c r="L462" s="691"/>
    </row>
    <row r="463" spans="1:12" ht="29">
      <c r="A463" s="687">
        <f t="shared" si="10"/>
        <v>455</v>
      </c>
      <c r="B463" s="679"/>
      <c r="C463" s="703" t="s">
        <v>688</v>
      </c>
      <c r="D463" s="496"/>
      <c r="E463" s="689" t="s">
        <v>1609</v>
      </c>
      <c r="F463" s="689"/>
      <c r="G463" s="689"/>
      <c r="H463" s="689"/>
      <c r="I463" s="689"/>
      <c r="J463" s="689"/>
      <c r="K463" s="689"/>
      <c r="L463" s="691"/>
    </row>
    <row r="464" spans="1:12" ht="29">
      <c r="A464" s="687">
        <f t="shared" si="10"/>
        <v>456</v>
      </c>
      <c r="B464" s="679"/>
      <c r="C464" s="703" t="s">
        <v>690</v>
      </c>
      <c r="D464" s="496"/>
      <c r="E464" s="689" t="s">
        <v>1609</v>
      </c>
      <c r="F464" s="689"/>
      <c r="G464" s="689"/>
      <c r="H464" s="689"/>
      <c r="I464" s="689"/>
      <c r="J464" s="689"/>
      <c r="K464" s="689"/>
      <c r="L464" s="691"/>
    </row>
    <row r="465" spans="1:12">
      <c r="A465" s="687">
        <f t="shared" si="10"/>
        <v>457</v>
      </c>
      <c r="B465" s="679"/>
      <c r="C465" s="703" t="s">
        <v>692</v>
      </c>
      <c r="D465" s="496"/>
      <c r="E465" s="689" t="s">
        <v>1609</v>
      </c>
      <c r="F465" s="689"/>
      <c r="G465" s="689"/>
      <c r="H465" s="689"/>
      <c r="I465" s="689"/>
      <c r="J465" s="689"/>
      <c r="K465" s="689"/>
      <c r="L465" s="691"/>
    </row>
    <row r="466" spans="1:12">
      <c r="A466" s="687">
        <f t="shared" si="10"/>
        <v>458</v>
      </c>
      <c r="B466" s="679"/>
      <c r="C466" s="703" t="s">
        <v>694</v>
      </c>
      <c r="D466" s="496"/>
      <c r="E466" s="689" t="s">
        <v>1609</v>
      </c>
      <c r="F466" s="689"/>
      <c r="G466" s="689"/>
      <c r="H466" s="689"/>
      <c r="I466" s="689"/>
      <c r="J466" s="689"/>
      <c r="K466" s="689"/>
      <c r="L466" s="691"/>
    </row>
    <row r="467" spans="1:12">
      <c r="A467" s="687">
        <f t="shared" si="10"/>
        <v>459</v>
      </c>
      <c r="B467" s="679"/>
      <c r="C467" s="703" t="s">
        <v>696</v>
      </c>
      <c r="D467" s="496"/>
      <c r="E467" s="689" t="s">
        <v>1609</v>
      </c>
      <c r="F467" s="689"/>
      <c r="G467" s="689"/>
      <c r="H467" s="689"/>
      <c r="I467" s="689"/>
      <c r="J467" s="689"/>
      <c r="K467" s="689"/>
      <c r="L467" s="691"/>
    </row>
    <row r="468" spans="1:12">
      <c r="A468" s="687">
        <f t="shared" si="10"/>
        <v>460</v>
      </c>
      <c r="B468" s="679"/>
      <c r="C468" s="703" t="s">
        <v>698</v>
      </c>
      <c r="D468" s="496"/>
      <c r="E468" s="689" t="s">
        <v>1609</v>
      </c>
      <c r="F468" s="689"/>
      <c r="G468" s="689"/>
      <c r="H468" s="689"/>
      <c r="I468" s="689"/>
      <c r="J468" s="689"/>
      <c r="K468" s="689"/>
      <c r="L468" s="691"/>
    </row>
    <row r="469" spans="1:12" ht="16.5" customHeight="1">
      <c r="A469" s="687">
        <f t="shared" si="10"/>
        <v>461</v>
      </c>
      <c r="B469" s="679"/>
      <c r="C469" s="703" t="s">
        <v>700</v>
      </c>
      <c r="D469" s="496"/>
      <c r="E469" s="689" t="s">
        <v>1609</v>
      </c>
      <c r="F469" s="689"/>
      <c r="G469" s="689"/>
      <c r="H469" s="689"/>
      <c r="I469" s="689"/>
      <c r="J469" s="689"/>
      <c r="K469" s="689"/>
      <c r="L469" s="691"/>
    </row>
    <row r="470" spans="1:12">
      <c r="A470" s="687">
        <f t="shared" si="10"/>
        <v>462</v>
      </c>
      <c r="B470" s="679"/>
      <c r="C470" s="703" t="s">
        <v>702</v>
      </c>
      <c r="D470" s="496"/>
      <c r="E470" s="689" t="s">
        <v>1609</v>
      </c>
      <c r="F470" s="689"/>
      <c r="G470" s="689"/>
      <c r="H470" s="689"/>
      <c r="I470" s="689"/>
      <c r="J470" s="689"/>
      <c r="K470" s="689"/>
      <c r="L470" s="691"/>
    </row>
    <row r="471" spans="1:12" ht="29">
      <c r="A471" s="687">
        <f t="shared" si="10"/>
        <v>463</v>
      </c>
      <c r="B471" s="679"/>
      <c r="C471" s="703" t="s">
        <v>704</v>
      </c>
      <c r="D471" s="496"/>
      <c r="E471" s="689" t="s">
        <v>1609</v>
      </c>
      <c r="F471" s="689"/>
      <c r="G471" s="689"/>
      <c r="H471" s="689"/>
      <c r="I471" s="689"/>
      <c r="J471" s="689"/>
      <c r="K471" s="689"/>
      <c r="L471" s="691"/>
    </row>
    <row r="472" spans="1:12">
      <c r="A472" s="687">
        <f t="shared" si="10"/>
        <v>464</v>
      </c>
      <c r="B472" s="679"/>
      <c r="C472" s="703" t="s">
        <v>706</v>
      </c>
      <c r="D472" s="496" t="s">
        <v>2110</v>
      </c>
      <c r="E472" s="689" t="s">
        <v>1609</v>
      </c>
      <c r="F472" s="689"/>
      <c r="G472" s="689"/>
      <c r="H472" s="689"/>
      <c r="I472" s="689"/>
      <c r="J472" s="689"/>
      <c r="K472" s="689"/>
      <c r="L472" s="691"/>
    </row>
    <row r="473" spans="1:12">
      <c r="A473" s="687">
        <f t="shared" si="10"/>
        <v>465</v>
      </c>
      <c r="B473" s="679"/>
      <c r="C473" s="703" t="s">
        <v>708</v>
      </c>
      <c r="D473" s="496"/>
      <c r="E473" s="689" t="s">
        <v>1609</v>
      </c>
      <c r="F473" s="689"/>
      <c r="G473" s="689"/>
      <c r="H473" s="689"/>
      <c r="I473" s="689"/>
      <c r="J473" s="689"/>
      <c r="K473" s="689"/>
      <c r="L473" s="691"/>
    </row>
    <row r="474" spans="1:12">
      <c r="A474" s="687">
        <f t="shared" si="10"/>
        <v>466</v>
      </c>
      <c r="B474" s="679"/>
      <c r="C474" s="703" t="s">
        <v>710</v>
      </c>
      <c r="D474" s="496"/>
      <c r="E474" s="689" t="s">
        <v>1609</v>
      </c>
      <c r="F474" s="689"/>
      <c r="G474" s="689"/>
      <c r="H474" s="689"/>
      <c r="I474" s="689"/>
      <c r="J474" s="689"/>
      <c r="K474" s="689"/>
      <c r="L474" s="691"/>
    </row>
    <row r="475" spans="1:12">
      <c r="A475" s="687">
        <f t="shared" si="10"/>
        <v>467</v>
      </c>
      <c r="B475" s="679"/>
      <c r="C475" s="703" t="s">
        <v>712</v>
      </c>
      <c r="D475" s="496"/>
      <c r="E475" s="689" t="s">
        <v>1609</v>
      </c>
      <c r="F475" s="689"/>
      <c r="G475" s="689"/>
      <c r="H475" s="689"/>
      <c r="I475" s="689"/>
      <c r="J475" s="689"/>
      <c r="K475" s="689"/>
      <c r="L475" s="691"/>
    </row>
    <row r="476" spans="1:12">
      <c r="A476" s="687">
        <f t="shared" si="10"/>
        <v>468</v>
      </c>
      <c r="B476" s="679"/>
      <c r="C476" s="703" t="s">
        <v>2115</v>
      </c>
      <c r="D476" s="496" t="s">
        <v>2113</v>
      </c>
      <c r="E476" s="689" t="s">
        <v>1609</v>
      </c>
      <c r="F476" s="689"/>
      <c r="G476" s="689"/>
      <c r="H476" s="689"/>
      <c r="I476" s="689"/>
      <c r="J476" s="689"/>
      <c r="K476" s="689"/>
      <c r="L476" s="691"/>
    </row>
    <row r="477" spans="1:12">
      <c r="A477" s="687">
        <f t="shared" si="10"/>
        <v>469</v>
      </c>
      <c r="B477" s="679"/>
      <c r="C477" s="703" t="s">
        <v>716</v>
      </c>
      <c r="D477" s="496" t="s">
        <v>2116</v>
      </c>
      <c r="E477" s="689" t="s">
        <v>1609</v>
      </c>
      <c r="F477" s="689"/>
      <c r="G477" s="689"/>
      <c r="H477" s="689"/>
      <c r="I477" s="689"/>
      <c r="J477" s="689"/>
      <c r="K477" s="689"/>
      <c r="L477" s="691"/>
    </row>
    <row r="478" spans="1:12">
      <c r="A478" s="687">
        <f t="shared" si="10"/>
        <v>470</v>
      </c>
      <c r="B478" s="679"/>
      <c r="C478" s="703" t="s">
        <v>718</v>
      </c>
      <c r="D478" s="496"/>
      <c r="E478" s="689" t="s">
        <v>1609</v>
      </c>
      <c r="F478" s="689"/>
      <c r="G478" s="689"/>
      <c r="H478" s="689"/>
      <c r="I478" s="689"/>
      <c r="J478" s="689"/>
      <c r="K478" s="689"/>
      <c r="L478" s="691"/>
    </row>
    <row r="479" spans="1:12" ht="29">
      <c r="A479" s="687">
        <f t="shared" si="10"/>
        <v>471</v>
      </c>
      <c r="B479" s="679"/>
      <c r="C479" s="703" t="s">
        <v>720</v>
      </c>
      <c r="D479" s="496"/>
      <c r="E479" s="689" t="s">
        <v>1609</v>
      </c>
      <c r="F479" s="689"/>
      <c r="G479" s="689"/>
      <c r="H479" s="689"/>
      <c r="I479" s="689"/>
      <c r="J479" s="689"/>
      <c r="K479" s="689"/>
      <c r="L479" s="691"/>
    </row>
    <row r="480" spans="1:12">
      <c r="A480" s="687">
        <f t="shared" si="10"/>
        <v>472</v>
      </c>
      <c r="B480" s="679"/>
      <c r="C480" s="703" t="s">
        <v>722</v>
      </c>
      <c r="D480" s="496"/>
      <c r="E480" s="689" t="s">
        <v>1609</v>
      </c>
      <c r="F480" s="689"/>
      <c r="G480" s="689"/>
      <c r="H480" s="689"/>
      <c r="I480" s="689"/>
      <c r="J480" s="689"/>
      <c r="K480" s="689"/>
      <c r="L480" s="691"/>
    </row>
    <row r="481" spans="1:12" ht="29">
      <c r="A481" s="687">
        <f t="shared" si="10"/>
        <v>473</v>
      </c>
      <c r="B481" s="679"/>
      <c r="C481" s="703" t="s">
        <v>724</v>
      </c>
      <c r="D481" s="496"/>
      <c r="E481" s="689" t="s">
        <v>1609</v>
      </c>
      <c r="F481" s="689"/>
      <c r="G481" s="689"/>
      <c r="H481" s="689"/>
      <c r="I481" s="689"/>
      <c r="J481" s="689"/>
      <c r="K481" s="689"/>
      <c r="L481" s="691"/>
    </row>
    <row r="482" spans="1:12">
      <c r="A482" s="687">
        <f t="shared" si="10"/>
        <v>474</v>
      </c>
      <c r="B482" s="679"/>
      <c r="C482" s="703" t="s">
        <v>726</v>
      </c>
      <c r="D482" s="496"/>
      <c r="E482" s="689" t="s">
        <v>1609</v>
      </c>
      <c r="F482" s="689"/>
      <c r="G482" s="689"/>
      <c r="H482" s="689"/>
      <c r="I482" s="689"/>
      <c r="J482" s="689"/>
      <c r="K482" s="689"/>
      <c r="L482" s="691"/>
    </row>
    <row r="483" spans="1:12">
      <c r="A483" s="687">
        <f t="shared" si="10"/>
        <v>475</v>
      </c>
      <c r="B483" s="679"/>
      <c r="C483" s="703" t="s">
        <v>728</v>
      </c>
      <c r="D483" s="496"/>
      <c r="E483" s="689" t="s">
        <v>1609</v>
      </c>
      <c r="F483" s="689"/>
      <c r="G483" s="689"/>
      <c r="H483" s="689"/>
      <c r="I483" s="689"/>
      <c r="J483" s="689"/>
      <c r="K483" s="689"/>
      <c r="L483" s="691"/>
    </row>
    <row r="484" spans="1:12">
      <c r="A484" s="687">
        <f t="shared" si="10"/>
        <v>476</v>
      </c>
      <c r="B484" s="679"/>
      <c r="C484" s="703" t="s">
        <v>730</v>
      </c>
      <c r="D484" s="496"/>
      <c r="E484" s="689" t="s">
        <v>1609</v>
      </c>
      <c r="F484" s="689"/>
      <c r="G484" s="689"/>
      <c r="H484" s="689"/>
      <c r="I484" s="689"/>
      <c r="J484" s="689"/>
      <c r="K484" s="689"/>
      <c r="L484" s="691"/>
    </row>
    <row r="485" spans="1:12" ht="17.25" customHeight="1">
      <c r="A485" s="687">
        <f t="shared" si="10"/>
        <v>477</v>
      </c>
      <c r="B485" s="679"/>
      <c r="C485" s="703" t="s">
        <v>732</v>
      </c>
      <c r="D485" s="496"/>
      <c r="E485" s="689" t="s">
        <v>1609</v>
      </c>
      <c r="F485" s="689"/>
      <c r="G485" s="689"/>
      <c r="H485" s="689"/>
      <c r="I485" s="689"/>
      <c r="J485" s="689"/>
      <c r="K485" s="689"/>
      <c r="L485" s="691"/>
    </row>
    <row r="486" spans="1:12">
      <c r="A486" s="687">
        <f t="shared" si="10"/>
        <v>478</v>
      </c>
      <c r="B486" s="679"/>
      <c r="C486" s="703" t="s">
        <v>734</v>
      </c>
      <c r="D486" s="496"/>
      <c r="E486" s="689" t="s">
        <v>1609</v>
      </c>
      <c r="F486" s="689"/>
      <c r="G486" s="689"/>
      <c r="H486" s="689"/>
      <c r="I486" s="689"/>
      <c r="J486" s="689"/>
      <c r="K486" s="689"/>
      <c r="L486" s="691"/>
    </row>
    <row r="487" spans="1:12">
      <c r="A487" s="687">
        <f t="shared" si="10"/>
        <v>479</v>
      </c>
      <c r="B487" s="679"/>
      <c r="C487" s="703" t="s">
        <v>740</v>
      </c>
      <c r="D487" s="496"/>
      <c r="E487" s="689" t="s">
        <v>1609</v>
      </c>
      <c r="F487" s="689"/>
      <c r="G487" s="689"/>
      <c r="H487" s="689"/>
      <c r="I487" s="689"/>
      <c r="J487" s="689"/>
      <c r="K487" s="689"/>
      <c r="L487" s="691"/>
    </row>
    <row r="488" spans="1:12">
      <c r="A488" s="687">
        <f t="shared" si="10"/>
        <v>480</v>
      </c>
      <c r="B488" s="679"/>
      <c r="C488" s="703" t="s">
        <v>742</v>
      </c>
      <c r="D488" s="496"/>
      <c r="E488" s="689" t="s">
        <v>1609</v>
      </c>
      <c r="F488" s="689"/>
      <c r="G488" s="689"/>
      <c r="H488" s="689"/>
      <c r="I488" s="689"/>
      <c r="J488" s="689"/>
      <c r="K488" s="689"/>
      <c r="L488" s="691"/>
    </row>
    <row r="489" spans="1:12">
      <c r="A489" s="687">
        <f t="shared" si="10"/>
        <v>481</v>
      </c>
      <c r="B489" s="679"/>
      <c r="C489" s="703" t="s">
        <v>744</v>
      </c>
      <c r="D489" s="496"/>
      <c r="E489" s="689" t="s">
        <v>1609</v>
      </c>
      <c r="F489" s="689"/>
      <c r="G489" s="689"/>
      <c r="H489" s="689"/>
      <c r="I489" s="689"/>
      <c r="J489" s="689"/>
      <c r="K489" s="689"/>
      <c r="L489" s="691"/>
    </row>
    <row r="490" spans="1:12">
      <c r="A490" s="687">
        <f t="shared" si="10"/>
        <v>482</v>
      </c>
      <c r="B490" s="679"/>
      <c r="C490" s="703" t="s">
        <v>746</v>
      </c>
      <c r="D490" s="496"/>
      <c r="E490" s="689" t="s">
        <v>1609</v>
      </c>
      <c r="F490" s="689"/>
      <c r="G490" s="689"/>
      <c r="H490" s="689"/>
      <c r="I490" s="689"/>
      <c r="J490" s="689"/>
      <c r="K490" s="689"/>
      <c r="L490" s="691"/>
    </row>
    <row r="491" spans="1:12">
      <c r="A491" s="687">
        <f t="shared" si="10"/>
        <v>483</v>
      </c>
      <c r="B491" s="679"/>
      <c r="C491" s="703" t="s">
        <v>748</v>
      </c>
      <c r="D491" s="496"/>
      <c r="E491" s="689" t="s">
        <v>1609</v>
      </c>
      <c r="F491" s="689"/>
      <c r="G491" s="689"/>
      <c r="H491" s="689"/>
      <c r="I491" s="689"/>
      <c r="J491" s="689"/>
      <c r="K491" s="689"/>
      <c r="L491" s="691"/>
    </row>
    <row r="492" spans="1:12">
      <c r="A492" s="687">
        <f t="shared" si="10"/>
        <v>484</v>
      </c>
      <c r="B492" s="679"/>
      <c r="C492" s="703" t="s">
        <v>750</v>
      </c>
      <c r="D492" s="496"/>
      <c r="E492" s="689" t="s">
        <v>1609</v>
      </c>
      <c r="F492" s="689"/>
      <c r="G492" s="689"/>
      <c r="H492" s="689"/>
      <c r="I492" s="689"/>
      <c r="J492" s="689"/>
      <c r="K492" s="689"/>
      <c r="L492" s="691"/>
    </row>
    <row r="493" spans="1:12">
      <c r="A493" s="687">
        <f t="shared" si="10"/>
        <v>485</v>
      </c>
      <c r="B493" s="679"/>
      <c r="C493" s="703" t="s">
        <v>752</v>
      </c>
      <c r="D493" s="496"/>
      <c r="E493" s="689" t="s">
        <v>1609</v>
      </c>
      <c r="F493" s="689"/>
      <c r="G493" s="689"/>
      <c r="H493" s="689"/>
      <c r="I493" s="689"/>
      <c r="J493" s="689"/>
      <c r="K493" s="689"/>
      <c r="L493" s="691"/>
    </row>
    <row r="494" spans="1:12">
      <c r="A494" s="687">
        <f t="shared" si="10"/>
        <v>486</v>
      </c>
      <c r="B494" s="679"/>
      <c r="C494" s="703" t="s">
        <v>754</v>
      </c>
      <c r="D494" s="496" t="s">
        <v>2110</v>
      </c>
      <c r="E494" s="689" t="s">
        <v>1609</v>
      </c>
      <c r="F494" s="689"/>
      <c r="G494" s="689"/>
      <c r="H494" s="689"/>
      <c r="I494" s="689"/>
      <c r="J494" s="689"/>
      <c r="K494" s="689"/>
      <c r="L494" s="691"/>
    </row>
    <row r="495" spans="1:12">
      <c r="A495" s="687">
        <f t="shared" si="10"/>
        <v>487</v>
      </c>
      <c r="B495" s="679"/>
      <c r="C495" s="703" t="s">
        <v>756</v>
      </c>
      <c r="D495" s="496"/>
      <c r="E495" s="689" t="s">
        <v>1609</v>
      </c>
      <c r="F495" s="689"/>
      <c r="G495" s="689"/>
      <c r="H495" s="689"/>
      <c r="I495" s="689"/>
      <c r="J495" s="689"/>
      <c r="K495" s="689"/>
      <c r="L495" s="691"/>
    </row>
    <row r="496" spans="1:12" ht="29">
      <c r="A496" s="687">
        <f t="shared" si="10"/>
        <v>488</v>
      </c>
      <c r="B496" s="679"/>
      <c r="C496" s="703" t="s">
        <v>758</v>
      </c>
      <c r="D496" s="496"/>
      <c r="E496" s="689" t="s">
        <v>1609</v>
      </c>
      <c r="F496" s="689"/>
      <c r="G496" s="689"/>
      <c r="H496" s="689"/>
      <c r="I496" s="689"/>
      <c r="J496" s="689"/>
      <c r="K496" s="689"/>
      <c r="L496" s="691"/>
    </row>
    <row r="497" spans="1:12" ht="29">
      <c r="A497" s="687">
        <f t="shared" si="10"/>
        <v>489</v>
      </c>
      <c r="B497" s="679"/>
      <c r="C497" s="703" t="s">
        <v>760</v>
      </c>
      <c r="D497" s="496"/>
      <c r="E497" s="689" t="s">
        <v>1609</v>
      </c>
      <c r="F497" s="689"/>
      <c r="G497" s="689"/>
      <c r="H497" s="689"/>
      <c r="I497" s="689"/>
      <c r="J497" s="689"/>
      <c r="K497" s="689"/>
      <c r="L497" s="691"/>
    </row>
    <row r="498" spans="1:12" ht="29">
      <c r="A498" s="687">
        <f t="shared" si="10"/>
        <v>490</v>
      </c>
      <c r="B498" s="679"/>
      <c r="C498" s="703" t="s">
        <v>762</v>
      </c>
      <c r="D498" s="496"/>
      <c r="E498" s="689" t="s">
        <v>1609</v>
      </c>
      <c r="F498" s="689"/>
      <c r="G498" s="689"/>
      <c r="H498" s="689"/>
      <c r="I498" s="689"/>
      <c r="J498" s="689"/>
      <c r="K498" s="689"/>
      <c r="L498" s="691"/>
    </row>
    <row r="499" spans="1:12" ht="29">
      <c r="A499" s="687">
        <f t="shared" si="10"/>
        <v>491</v>
      </c>
      <c r="B499" s="679"/>
      <c r="C499" s="703" t="s">
        <v>764</v>
      </c>
      <c r="D499" s="496"/>
      <c r="E499" s="689" t="s">
        <v>1609</v>
      </c>
      <c r="F499" s="689"/>
      <c r="G499" s="689"/>
      <c r="H499" s="689"/>
      <c r="I499" s="689"/>
      <c r="J499" s="689"/>
      <c r="K499" s="689"/>
      <c r="L499" s="691"/>
    </row>
    <row r="500" spans="1:12" ht="29">
      <c r="A500" s="687">
        <f t="shared" si="10"/>
        <v>492</v>
      </c>
      <c r="B500" s="679"/>
      <c r="C500" s="703" t="s">
        <v>766</v>
      </c>
      <c r="D500" s="496"/>
      <c r="E500" s="689" t="s">
        <v>1609</v>
      </c>
      <c r="F500" s="689"/>
      <c r="G500" s="689"/>
      <c r="H500" s="689"/>
      <c r="I500" s="689"/>
      <c r="J500" s="689"/>
      <c r="K500" s="689"/>
      <c r="L500" s="691"/>
    </row>
    <row r="501" spans="1:12">
      <c r="A501" s="687">
        <f t="shared" si="10"/>
        <v>493</v>
      </c>
      <c r="B501" s="679"/>
      <c r="C501" s="703" t="s">
        <v>768</v>
      </c>
      <c r="D501" s="496"/>
      <c r="E501" s="689" t="s">
        <v>1609</v>
      </c>
      <c r="F501" s="689"/>
      <c r="G501" s="689"/>
      <c r="H501" s="689"/>
      <c r="I501" s="689"/>
      <c r="J501" s="689"/>
      <c r="K501" s="689"/>
      <c r="L501" s="691"/>
    </row>
    <row r="502" spans="1:12">
      <c r="A502" s="687">
        <f t="shared" si="10"/>
        <v>494</v>
      </c>
      <c r="B502" s="679"/>
      <c r="C502" s="703" t="s">
        <v>770</v>
      </c>
      <c r="D502" s="496"/>
      <c r="E502" s="689" t="s">
        <v>1609</v>
      </c>
      <c r="F502" s="689"/>
      <c r="G502" s="689"/>
      <c r="H502" s="689"/>
      <c r="I502" s="689"/>
      <c r="J502" s="689"/>
      <c r="K502" s="689"/>
      <c r="L502" s="691"/>
    </row>
    <row r="503" spans="1:12">
      <c r="A503" s="687">
        <f t="shared" si="10"/>
        <v>495</v>
      </c>
      <c r="B503" s="679"/>
      <c r="C503" s="703" t="s">
        <v>772</v>
      </c>
      <c r="D503" s="496"/>
      <c r="E503" s="689" t="s">
        <v>1609</v>
      </c>
      <c r="F503" s="689"/>
      <c r="G503" s="689"/>
      <c r="H503" s="689"/>
      <c r="I503" s="689"/>
      <c r="J503" s="689"/>
      <c r="K503" s="689"/>
      <c r="L503" s="691"/>
    </row>
    <row r="504" spans="1:12">
      <c r="A504" s="687">
        <f t="shared" si="10"/>
        <v>496</v>
      </c>
      <c r="B504" s="679"/>
      <c r="C504" s="703" t="s">
        <v>774</v>
      </c>
      <c r="D504" s="496"/>
      <c r="E504" s="689" t="s">
        <v>1609</v>
      </c>
      <c r="F504" s="689"/>
      <c r="G504" s="689"/>
      <c r="H504" s="689"/>
      <c r="I504" s="689"/>
      <c r="J504" s="689"/>
      <c r="K504" s="689"/>
      <c r="L504" s="691"/>
    </row>
    <row r="505" spans="1:12" ht="16.5" customHeight="1">
      <c r="A505" s="687">
        <f t="shared" si="10"/>
        <v>497</v>
      </c>
      <c r="B505" s="679"/>
      <c r="C505" s="703" t="s">
        <v>776</v>
      </c>
      <c r="D505" s="496"/>
      <c r="E505" s="689" t="s">
        <v>1609</v>
      </c>
      <c r="F505" s="689"/>
      <c r="G505" s="689"/>
      <c r="H505" s="689"/>
      <c r="I505" s="689"/>
      <c r="J505" s="689"/>
      <c r="K505" s="689"/>
      <c r="L505" s="691"/>
    </row>
    <row r="506" spans="1:12">
      <c r="A506" s="687">
        <f t="shared" si="10"/>
        <v>498</v>
      </c>
      <c r="B506" s="679"/>
      <c r="C506" s="703" t="s">
        <v>778</v>
      </c>
      <c r="D506" s="496"/>
      <c r="E506" s="689" t="s">
        <v>1609</v>
      </c>
      <c r="F506" s="689"/>
      <c r="G506" s="689"/>
      <c r="H506" s="689"/>
      <c r="I506" s="689"/>
      <c r="J506" s="689"/>
      <c r="K506" s="689"/>
      <c r="L506" s="691"/>
    </row>
    <row r="507" spans="1:12">
      <c r="A507" s="687">
        <f t="shared" si="10"/>
        <v>499</v>
      </c>
      <c r="B507" s="679"/>
      <c r="C507" s="703" t="s">
        <v>780</v>
      </c>
      <c r="D507" s="496"/>
      <c r="E507" s="689" t="s">
        <v>1609</v>
      </c>
      <c r="F507" s="689"/>
      <c r="G507" s="689"/>
      <c r="H507" s="689"/>
      <c r="I507" s="689"/>
      <c r="J507" s="689"/>
      <c r="K507" s="689"/>
      <c r="L507" s="691"/>
    </row>
    <row r="508" spans="1:12" ht="29">
      <c r="A508" s="687">
        <f t="shared" ref="A508:A571" si="11">A507+1</f>
        <v>500</v>
      </c>
      <c r="B508" s="679"/>
      <c r="C508" s="703" t="s">
        <v>782</v>
      </c>
      <c r="D508" s="496"/>
      <c r="E508" s="689" t="s">
        <v>1609</v>
      </c>
      <c r="F508" s="689"/>
      <c r="G508" s="689"/>
      <c r="H508" s="689"/>
      <c r="I508" s="689"/>
      <c r="J508" s="689"/>
      <c r="K508" s="689"/>
      <c r="L508" s="691"/>
    </row>
    <row r="509" spans="1:12">
      <c r="A509" s="687">
        <f t="shared" si="11"/>
        <v>501</v>
      </c>
      <c r="B509" s="679"/>
      <c r="C509" s="703" t="s">
        <v>786</v>
      </c>
      <c r="D509" s="496"/>
      <c r="E509" s="689" t="s">
        <v>1609</v>
      </c>
      <c r="F509" s="689"/>
      <c r="G509" s="689"/>
      <c r="H509" s="689"/>
      <c r="I509" s="689"/>
      <c r="J509" s="689"/>
      <c r="K509" s="689"/>
      <c r="L509" s="691"/>
    </row>
    <row r="510" spans="1:12">
      <c r="A510" s="687">
        <f t="shared" si="11"/>
        <v>502</v>
      </c>
      <c r="B510" s="679"/>
      <c r="C510" s="703" t="s">
        <v>790</v>
      </c>
      <c r="D510" s="496"/>
      <c r="E510" s="689" t="s">
        <v>1609</v>
      </c>
      <c r="F510" s="689"/>
      <c r="G510" s="689"/>
      <c r="H510" s="689"/>
      <c r="I510" s="689"/>
      <c r="J510" s="689"/>
      <c r="K510" s="689"/>
      <c r="L510" s="691"/>
    </row>
    <row r="511" spans="1:12">
      <c r="A511" s="687">
        <f t="shared" si="11"/>
        <v>503</v>
      </c>
      <c r="B511" s="679"/>
      <c r="C511" s="703" t="s">
        <v>792</v>
      </c>
      <c r="D511" s="496"/>
      <c r="E511" s="689" t="s">
        <v>1609</v>
      </c>
      <c r="F511" s="689"/>
      <c r="G511" s="689"/>
      <c r="H511" s="689"/>
      <c r="I511" s="689"/>
      <c r="J511" s="689"/>
      <c r="K511" s="689"/>
      <c r="L511" s="691"/>
    </row>
    <row r="512" spans="1:12">
      <c r="A512" s="687">
        <f t="shared" si="11"/>
        <v>504</v>
      </c>
      <c r="B512" s="679"/>
      <c r="C512" s="703" t="s">
        <v>794</v>
      </c>
      <c r="D512" s="496"/>
      <c r="E512" s="689" t="s">
        <v>1609</v>
      </c>
      <c r="F512" s="689"/>
      <c r="G512" s="689"/>
      <c r="H512" s="689"/>
      <c r="I512" s="689"/>
      <c r="J512" s="689"/>
      <c r="K512" s="689"/>
      <c r="L512" s="691"/>
    </row>
    <row r="513" spans="1:12" ht="29">
      <c r="A513" s="687">
        <f t="shared" si="11"/>
        <v>505</v>
      </c>
      <c r="B513" s="679"/>
      <c r="C513" s="703" t="s">
        <v>796</v>
      </c>
      <c r="D513" s="496"/>
      <c r="E513" s="689" t="s">
        <v>1609</v>
      </c>
      <c r="F513" s="689"/>
      <c r="G513" s="689"/>
      <c r="H513" s="689"/>
      <c r="I513" s="689"/>
      <c r="J513" s="689"/>
      <c r="K513" s="689"/>
      <c r="L513" s="691"/>
    </row>
    <row r="514" spans="1:12">
      <c r="A514" s="687">
        <f t="shared" si="11"/>
        <v>506</v>
      </c>
      <c r="B514" s="679"/>
      <c r="C514" s="703" t="s">
        <v>798</v>
      </c>
      <c r="D514" s="496"/>
      <c r="E514" s="689" t="s">
        <v>1609</v>
      </c>
      <c r="F514" s="689"/>
      <c r="G514" s="689"/>
      <c r="H514" s="689"/>
      <c r="I514" s="689"/>
      <c r="J514" s="689"/>
      <c r="K514" s="689"/>
      <c r="L514" s="691"/>
    </row>
    <row r="515" spans="1:12">
      <c r="A515" s="687">
        <f t="shared" si="11"/>
        <v>507</v>
      </c>
      <c r="B515" s="679"/>
      <c r="C515" s="703" t="s">
        <v>800</v>
      </c>
      <c r="D515" s="496" t="s">
        <v>2116</v>
      </c>
      <c r="E515" s="689" t="s">
        <v>1609</v>
      </c>
      <c r="F515" s="689" t="s">
        <v>1609</v>
      </c>
      <c r="G515" s="689"/>
      <c r="H515" s="689"/>
      <c r="I515" s="689"/>
      <c r="J515" s="689"/>
      <c r="K515" s="689"/>
      <c r="L515" s="691"/>
    </row>
    <row r="516" spans="1:12">
      <c r="A516" s="687">
        <f t="shared" si="11"/>
        <v>508</v>
      </c>
      <c r="B516" s="679"/>
      <c r="C516" s="703" t="s">
        <v>802</v>
      </c>
      <c r="D516" s="496"/>
      <c r="E516" s="689" t="s">
        <v>1609</v>
      </c>
      <c r="F516" s="689"/>
      <c r="G516" s="689"/>
      <c r="H516" s="689"/>
      <c r="I516" s="689"/>
      <c r="J516" s="689"/>
      <c r="K516" s="689"/>
      <c r="L516" s="691"/>
    </row>
    <row r="517" spans="1:12">
      <c r="A517" s="687">
        <f t="shared" si="11"/>
        <v>509</v>
      </c>
      <c r="B517" s="679"/>
      <c r="C517" s="703" t="s">
        <v>804</v>
      </c>
      <c r="D517" s="496"/>
      <c r="E517" s="689" t="s">
        <v>1609</v>
      </c>
      <c r="F517" s="689"/>
      <c r="G517" s="689"/>
      <c r="H517" s="689"/>
      <c r="I517" s="689"/>
      <c r="J517" s="689"/>
      <c r="K517" s="689"/>
      <c r="L517" s="691"/>
    </row>
    <row r="518" spans="1:12">
      <c r="A518" s="687">
        <f t="shared" si="11"/>
        <v>510</v>
      </c>
      <c r="B518" s="679"/>
      <c r="C518" s="703" t="s">
        <v>2117</v>
      </c>
      <c r="D518" s="496" t="s">
        <v>2113</v>
      </c>
      <c r="E518" s="689" t="s">
        <v>1609</v>
      </c>
      <c r="F518" s="689"/>
      <c r="G518" s="689"/>
      <c r="H518" s="689"/>
      <c r="I518" s="689"/>
      <c r="J518" s="689"/>
      <c r="K518" s="689"/>
      <c r="L518" s="691"/>
    </row>
    <row r="519" spans="1:12" ht="43.5">
      <c r="A519" s="687">
        <f t="shared" si="11"/>
        <v>511</v>
      </c>
      <c r="B519" s="679"/>
      <c r="C519" s="703" t="s">
        <v>808</v>
      </c>
      <c r="D519" s="496"/>
      <c r="E519" s="689" t="s">
        <v>1609</v>
      </c>
      <c r="F519" s="689"/>
      <c r="G519" s="689"/>
      <c r="H519" s="689"/>
      <c r="I519" s="689"/>
      <c r="J519" s="689"/>
      <c r="K519" s="689"/>
      <c r="L519" s="691"/>
    </row>
    <row r="520" spans="1:12" ht="29">
      <c r="A520" s="687">
        <f t="shared" si="11"/>
        <v>512</v>
      </c>
      <c r="B520" s="679"/>
      <c r="C520" s="703" t="s">
        <v>810</v>
      </c>
      <c r="D520" s="496"/>
      <c r="E520" s="689" t="s">
        <v>1609</v>
      </c>
      <c r="F520" s="689"/>
      <c r="G520" s="689"/>
      <c r="H520" s="689"/>
      <c r="I520" s="689"/>
      <c r="J520" s="689"/>
      <c r="K520" s="689"/>
      <c r="L520" s="691"/>
    </row>
    <row r="521" spans="1:12">
      <c r="A521" s="687">
        <f t="shared" si="11"/>
        <v>513</v>
      </c>
      <c r="B521" s="679"/>
      <c r="C521" s="703" t="s">
        <v>812</v>
      </c>
      <c r="D521" s="496"/>
      <c r="E521" s="689" t="s">
        <v>1609</v>
      </c>
      <c r="F521" s="689"/>
      <c r="G521" s="689"/>
      <c r="H521" s="689"/>
      <c r="I521" s="689"/>
      <c r="J521" s="689"/>
      <c r="K521" s="689"/>
      <c r="L521" s="691"/>
    </row>
    <row r="522" spans="1:12">
      <c r="A522" s="687">
        <f t="shared" si="11"/>
        <v>514</v>
      </c>
      <c r="B522" s="679"/>
      <c r="C522" s="703" t="s">
        <v>813</v>
      </c>
      <c r="D522" s="496"/>
      <c r="E522" s="689" t="s">
        <v>1609</v>
      </c>
      <c r="F522" s="689"/>
      <c r="G522" s="689"/>
      <c r="H522" s="689"/>
      <c r="I522" s="689"/>
      <c r="J522" s="689"/>
      <c r="K522" s="689"/>
      <c r="L522" s="691"/>
    </row>
    <row r="523" spans="1:12">
      <c r="A523" s="687">
        <f t="shared" si="11"/>
        <v>515</v>
      </c>
      <c r="B523" s="679"/>
      <c r="C523" s="703" t="s">
        <v>815</v>
      </c>
      <c r="D523" s="496"/>
      <c r="E523" s="689" t="s">
        <v>1609</v>
      </c>
      <c r="F523" s="689"/>
      <c r="G523" s="689"/>
      <c r="H523" s="689"/>
      <c r="I523" s="689"/>
      <c r="J523" s="689"/>
      <c r="K523" s="689"/>
      <c r="L523" s="691"/>
    </row>
    <row r="524" spans="1:12">
      <c r="A524" s="687">
        <f t="shared" si="11"/>
        <v>516</v>
      </c>
      <c r="B524" s="679"/>
      <c r="C524" s="703" t="s">
        <v>817</v>
      </c>
      <c r="D524" s="496"/>
      <c r="E524" s="689" t="s">
        <v>1609</v>
      </c>
      <c r="F524" s="689"/>
      <c r="G524" s="689"/>
      <c r="H524" s="689"/>
      <c r="I524" s="689"/>
      <c r="J524" s="689"/>
      <c r="K524" s="689"/>
      <c r="L524" s="691"/>
    </row>
    <row r="525" spans="1:12">
      <c r="A525" s="687">
        <f t="shared" si="11"/>
        <v>517</v>
      </c>
      <c r="B525" s="679"/>
      <c r="C525" s="703" t="s">
        <v>819</v>
      </c>
      <c r="D525" s="496"/>
      <c r="E525" s="689" t="s">
        <v>1609</v>
      </c>
      <c r="F525" s="689"/>
      <c r="G525" s="689"/>
      <c r="H525" s="689"/>
      <c r="I525" s="689"/>
      <c r="J525" s="689"/>
      <c r="K525" s="689"/>
      <c r="L525" s="691"/>
    </row>
    <row r="526" spans="1:12">
      <c r="A526" s="687">
        <f t="shared" si="11"/>
        <v>518</v>
      </c>
      <c r="B526" s="679"/>
      <c r="C526" s="703" t="s">
        <v>821</v>
      </c>
      <c r="D526" s="496" t="s">
        <v>2110</v>
      </c>
      <c r="E526" s="689" t="s">
        <v>1609</v>
      </c>
      <c r="F526" s="689"/>
      <c r="G526" s="689"/>
      <c r="H526" s="689"/>
      <c r="I526" s="689"/>
      <c r="J526" s="689"/>
      <c r="K526" s="689"/>
      <c r="L526" s="691"/>
    </row>
    <row r="527" spans="1:12" ht="29">
      <c r="A527" s="687">
        <f t="shared" si="11"/>
        <v>519</v>
      </c>
      <c r="B527" s="679"/>
      <c r="C527" s="703" t="s">
        <v>2118</v>
      </c>
      <c r="D527" s="496" t="s">
        <v>2119</v>
      </c>
      <c r="E527" s="689" t="s">
        <v>1609</v>
      </c>
      <c r="F527" s="689"/>
      <c r="G527" s="689"/>
      <c r="H527" s="689"/>
      <c r="I527" s="689"/>
      <c r="J527" s="689"/>
      <c r="K527" s="689"/>
      <c r="L527" s="691"/>
    </row>
    <row r="528" spans="1:12">
      <c r="A528" s="687">
        <f t="shared" si="11"/>
        <v>520</v>
      </c>
      <c r="B528" s="679"/>
      <c r="C528" s="703"/>
      <c r="D528" s="496"/>
      <c r="E528" s="689"/>
      <c r="F528" s="689"/>
      <c r="G528" s="689"/>
      <c r="H528" s="689"/>
      <c r="I528" s="689"/>
      <c r="J528" s="689"/>
      <c r="K528" s="689"/>
      <c r="L528" s="691"/>
    </row>
    <row r="529" spans="1:12">
      <c r="A529" s="687">
        <f t="shared" si="11"/>
        <v>521</v>
      </c>
      <c r="B529" s="679"/>
      <c r="C529" s="702" t="s">
        <v>2120</v>
      </c>
      <c r="D529" s="496"/>
      <c r="E529" s="689"/>
      <c r="F529" s="689"/>
      <c r="G529" s="689"/>
      <c r="H529" s="689"/>
      <c r="I529" s="689"/>
      <c r="J529" s="689"/>
      <c r="K529" s="689"/>
      <c r="L529" s="691"/>
    </row>
    <row r="530" spans="1:12">
      <c r="A530" s="687">
        <f t="shared" si="11"/>
        <v>522</v>
      </c>
      <c r="B530" s="679" t="s">
        <v>863</v>
      </c>
      <c r="C530" s="494" t="s">
        <v>1681</v>
      </c>
      <c r="D530" s="496" t="s">
        <v>1682</v>
      </c>
      <c r="E530" s="689" t="s">
        <v>1609</v>
      </c>
      <c r="F530" s="689"/>
      <c r="G530" s="689"/>
      <c r="H530" s="689"/>
      <c r="I530" s="689"/>
      <c r="J530" s="689"/>
      <c r="K530" s="689"/>
      <c r="L530" s="691"/>
    </row>
    <row r="531" spans="1:12">
      <c r="A531" s="687">
        <f t="shared" si="11"/>
        <v>523</v>
      </c>
      <c r="B531" s="679" t="s">
        <v>881</v>
      </c>
      <c r="C531" s="494" t="s">
        <v>2121</v>
      </c>
      <c r="D531" s="496" t="s">
        <v>2122</v>
      </c>
      <c r="E531" s="689" t="s">
        <v>1609</v>
      </c>
      <c r="F531" s="689"/>
      <c r="G531" s="689"/>
      <c r="H531" s="689"/>
      <c r="I531" s="689"/>
      <c r="J531" s="689"/>
      <c r="K531" s="689"/>
      <c r="L531" s="691"/>
    </row>
    <row r="532" spans="1:12">
      <c r="A532" s="687">
        <f t="shared" si="11"/>
        <v>524</v>
      </c>
      <c r="B532" s="679" t="s">
        <v>1000</v>
      </c>
      <c r="C532" s="494" t="s">
        <v>2123</v>
      </c>
      <c r="D532" s="496" t="s">
        <v>2124</v>
      </c>
      <c r="E532" s="689" t="s">
        <v>1609</v>
      </c>
      <c r="F532" s="689"/>
      <c r="G532" s="689"/>
      <c r="H532" s="689"/>
      <c r="I532" s="689"/>
      <c r="J532" s="689"/>
      <c r="K532" s="689"/>
      <c r="L532" s="691"/>
    </row>
    <row r="533" spans="1:12">
      <c r="A533" s="687">
        <f t="shared" si="11"/>
        <v>525</v>
      </c>
      <c r="B533" s="679" t="s">
        <v>1002</v>
      </c>
      <c r="C533" s="494" t="s">
        <v>2125</v>
      </c>
      <c r="D533" s="496" t="s">
        <v>1748</v>
      </c>
      <c r="E533" s="689" t="s">
        <v>1609</v>
      </c>
      <c r="F533" s="689"/>
      <c r="G533" s="689"/>
      <c r="H533" s="689"/>
      <c r="I533" s="689"/>
      <c r="J533" s="689"/>
      <c r="K533" s="689"/>
      <c r="L533" s="691"/>
    </row>
    <row r="534" spans="1:12">
      <c r="A534" s="687">
        <f t="shared" si="11"/>
        <v>526</v>
      </c>
      <c r="B534" s="679" t="s">
        <v>1008</v>
      </c>
      <c r="C534" s="494" t="s">
        <v>2126</v>
      </c>
      <c r="D534" s="496" t="s">
        <v>2127</v>
      </c>
      <c r="E534" s="689" t="s">
        <v>1609</v>
      </c>
      <c r="F534" s="689"/>
      <c r="G534" s="689"/>
      <c r="H534" s="689"/>
      <c r="I534" s="689"/>
      <c r="J534" s="689"/>
      <c r="K534" s="689"/>
      <c r="L534" s="691"/>
    </row>
    <row r="535" spans="1:12">
      <c r="A535" s="687">
        <f t="shared" si="11"/>
        <v>527</v>
      </c>
      <c r="B535" s="679" t="s">
        <v>1029</v>
      </c>
      <c r="C535" s="494" t="s">
        <v>2128</v>
      </c>
      <c r="D535" s="496" t="s">
        <v>2129</v>
      </c>
      <c r="E535" s="689" t="s">
        <v>1609</v>
      </c>
      <c r="F535" s="689"/>
      <c r="G535" s="689"/>
      <c r="H535" s="689"/>
      <c r="I535" s="689"/>
      <c r="J535" s="689"/>
      <c r="K535" s="689"/>
      <c r="L535" s="691"/>
    </row>
    <row r="536" spans="1:12">
      <c r="A536" s="687">
        <f t="shared" si="11"/>
        <v>528</v>
      </c>
      <c r="B536" s="679" t="s">
        <v>1047</v>
      </c>
      <c r="C536" s="494" t="s">
        <v>2130</v>
      </c>
      <c r="D536" s="496" t="s">
        <v>2131</v>
      </c>
      <c r="E536" s="689" t="s">
        <v>1609</v>
      </c>
      <c r="F536" s="689"/>
      <c r="G536" s="689"/>
      <c r="H536" s="689"/>
      <c r="I536" s="689"/>
      <c r="J536" s="689"/>
      <c r="K536" s="689"/>
      <c r="L536" s="691"/>
    </row>
    <row r="537" spans="1:12">
      <c r="A537" s="687">
        <f t="shared" si="11"/>
        <v>529</v>
      </c>
      <c r="B537" s="679" t="s">
        <v>1049</v>
      </c>
      <c r="C537" s="494" t="s">
        <v>2132</v>
      </c>
      <c r="D537" s="496" t="s">
        <v>2133</v>
      </c>
      <c r="E537" s="689" t="s">
        <v>1609</v>
      </c>
      <c r="F537" s="689" t="s">
        <v>1609</v>
      </c>
      <c r="G537" s="689"/>
      <c r="H537" s="689"/>
      <c r="I537" s="689"/>
      <c r="J537" s="689"/>
      <c r="K537" s="689"/>
      <c r="L537" s="691" t="s">
        <v>2134</v>
      </c>
    </row>
    <row r="538" spans="1:12">
      <c r="A538" s="687">
        <f t="shared" si="11"/>
        <v>530</v>
      </c>
      <c r="B538" s="679" t="s">
        <v>1063</v>
      </c>
      <c r="C538" s="494" t="s">
        <v>2135</v>
      </c>
      <c r="D538" s="496" t="s">
        <v>1706</v>
      </c>
      <c r="E538" s="689" t="s">
        <v>1609</v>
      </c>
      <c r="F538" s="689"/>
      <c r="G538" s="689"/>
      <c r="H538" s="689"/>
      <c r="I538" s="689"/>
      <c r="J538" s="689"/>
      <c r="K538" s="689"/>
      <c r="L538" s="691"/>
    </row>
    <row r="539" spans="1:12">
      <c r="A539" s="687">
        <f t="shared" si="11"/>
        <v>531</v>
      </c>
      <c r="B539" s="679"/>
      <c r="D539" s="496"/>
      <c r="E539" s="689"/>
      <c r="F539" s="689"/>
      <c r="G539" s="689"/>
      <c r="H539" s="689"/>
      <c r="I539" s="689"/>
      <c r="J539" s="689"/>
      <c r="K539" s="689"/>
      <c r="L539" s="691"/>
    </row>
    <row r="540" spans="1:12" ht="29">
      <c r="A540" s="687">
        <f t="shared" si="11"/>
        <v>532</v>
      </c>
      <c r="B540" s="679"/>
      <c r="C540" s="680" t="s">
        <v>2136</v>
      </c>
      <c r="D540" s="496"/>
      <c r="E540" s="689"/>
      <c r="F540" s="689"/>
      <c r="G540" s="689"/>
      <c r="H540" s="689"/>
      <c r="I540" s="689"/>
      <c r="J540" s="689"/>
      <c r="K540" s="689"/>
      <c r="L540" s="691"/>
    </row>
    <row r="541" spans="1:12">
      <c r="A541" s="687">
        <f t="shared" si="11"/>
        <v>533</v>
      </c>
      <c r="B541" s="679"/>
      <c r="C541" s="494" t="s">
        <v>1109</v>
      </c>
      <c r="D541" s="496"/>
      <c r="E541" s="689"/>
      <c r="F541" s="689"/>
      <c r="G541" s="689"/>
      <c r="H541" s="689" t="s">
        <v>1609</v>
      </c>
      <c r="I541" s="689"/>
      <c r="J541" s="689"/>
      <c r="K541" s="689"/>
      <c r="L541" s="691"/>
    </row>
    <row r="542" spans="1:12">
      <c r="A542" s="687">
        <f t="shared" si="11"/>
        <v>534</v>
      </c>
      <c r="B542" s="679"/>
      <c r="C542" s="494" t="s">
        <v>1111</v>
      </c>
      <c r="D542" s="496"/>
      <c r="E542" s="689"/>
      <c r="F542" s="689"/>
      <c r="G542" s="689"/>
      <c r="H542" s="689" t="s">
        <v>1609</v>
      </c>
      <c r="I542" s="689"/>
      <c r="J542" s="689"/>
      <c r="K542" s="689"/>
      <c r="L542" s="691"/>
    </row>
    <row r="543" spans="1:12">
      <c r="A543" s="687">
        <f t="shared" si="11"/>
        <v>535</v>
      </c>
      <c r="B543" s="679"/>
      <c r="C543" s="494" t="s">
        <v>1113</v>
      </c>
      <c r="D543" s="496"/>
      <c r="E543" s="689"/>
      <c r="F543" s="689"/>
      <c r="G543" s="689"/>
      <c r="H543" s="689" t="s">
        <v>1609</v>
      </c>
      <c r="I543" s="689"/>
      <c r="J543" s="689"/>
      <c r="K543" s="689"/>
      <c r="L543" s="691"/>
    </row>
    <row r="544" spans="1:12" ht="17.25" customHeight="1">
      <c r="A544" s="687">
        <f t="shared" si="11"/>
        <v>536</v>
      </c>
      <c r="B544" s="679"/>
      <c r="C544" s="494" t="s">
        <v>1115</v>
      </c>
      <c r="D544" s="496"/>
      <c r="E544" s="689"/>
      <c r="F544" s="689"/>
      <c r="G544" s="689"/>
      <c r="H544" s="689" t="s">
        <v>1609</v>
      </c>
      <c r="I544" s="689"/>
      <c r="J544" s="689"/>
      <c r="K544" s="689"/>
      <c r="L544" s="691"/>
    </row>
    <row r="545" spans="1:12" ht="29">
      <c r="A545" s="687">
        <f t="shared" si="11"/>
        <v>537</v>
      </c>
      <c r="B545" s="679"/>
      <c r="C545" s="494" t="s">
        <v>1117</v>
      </c>
      <c r="D545" s="496"/>
      <c r="E545" s="689"/>
      <c r="F545" s="689"/>
      <c r="G545" s="689"/>
      <c r="H545" s="689" t="s">
        <v>1609</v>
      </c>
      <c r="I545" s="689"/>
      <c r="J545" s="689"/>
      <c r="K545" s="689"/>
      <c r="L545" s="691"/>
    </row>
    <row r="546" spans="1:12">
      <c r="A546" s="687">
        <f t="shared" si="11"/>
        <v>538</v>
      </c>
      <c r="B546" s="679"/>
      <c r="C546" s="494" t="s">
        <v>1119</v>
      </c>
      <c r="D546" s="496"/>
      <c r="E546" s="689"/>
      <c r="F546" s="689"/>
      <c r="G546" s="689"/>
      <c r="H546" s="689" t="s">
        <v>1609</v>
      </c>
      <c r="I546" s="689"/>
      <c r="J546" s="689"/>
      <c r="K546" s="689"/>
      <c r="L546" s="691"/>
    </row>
    <row r="547" spans="1:12">
      <c r="A547" s="687">
        <f t="shared" si="11"/>
        <v>539</v>
      </c>
      <c r="B547" s="679"/>
      <c r="C547" s="494" t="s">
        <v>1121</v>
      </c>
      <c r="D547" s="496"/>
      <c r="E547" s="689"/>
      <c r="F547" s="689"/>
      <c r="G547" s="689"/>
      <c r="H547" s="689" t="s">
        <v>1609</v>
      </c>
      <c r="I547" s="689"/>
      <c r="J547" s="689"/>
      <c r="K547" s="689"/>
      <c r="L547" s="691"/>
    </row>
    <row r="548" spans="1:12" ht="16.5" customHeight="1">
      <c r="A548" s="687">
        <f t="shared" si="11"/>
        <v>540</v>
      </c>
      <c r="B548" s="679"/>
      <c r="C548" s="494" t="s">
        <v>1123</v>
      </c>
      <c r="D548" s="496"/>
      <c r="E548" s="689"/>
      <c r="F548" s="689"/>
      <c r="G548" s="689"/>
      <c r="H548" s="689" t="s">
        <v>1609</v>
      </c>
      <c r="I548" s="689"/>
      <c r="J548" s="689"/>
      <c r="K548" s="689"/>
      <c r="L548" s="691"/>
    </row>
    <row r="549" spans="1:12">
      <c r="A549" s="687">
        <f t="shared" si="11"/>
        <v>541</v>
      </c>
      <c r="B549" s="679"/>
      <c r="C549" s="494" t="s">
        <v>1125</v>
      </c>
      <c r="D549" s="496"/>
      <c r="E549" s="689"/>
      <c r="F549" s="689"/>
      <c r="G549" s="689"/>
      <c r="H549" s="689" t="s">
        <v>1609</v>
      </c>
      <c r="I549" s="689"/>
      <c r="J549" s="689"/>
      <c r="K549" s="689"/>
      <c r="L549" s="691"/>
    </row>
    <row r="550" spans="1:12">
      <c r="A550" s="687">
        <f t="shared" si="11"/>
        <v>542</v>
      </c>
      <c r="B550" s="679"/>
      <c r="C550" s="494" t="s">
        <v>1127</v>
      </c>
      <c r="D550" s="496"/>
      <c r="E550" s="689"/>
      <c r="F550" s="689"/>
      <c r="G550" s="689"/>
      <c r="H550" s="689" t="s">
        <v>1609</v>
      </c>
      <c r="I550" s="689"/>
      <c r="J550" s="689"/>
      <c r="K550" s="689"/>
      <c r="L550" s="691"/>
    </row>
    <row r="551" spans="1:12" ht="15.75" customHeight="1">
      <c r="A551" s="687">
        <f t="shared" si="11"/>
        <v>543</v>
      </c>
      <c r="B551" s="679"/>
      <c r="C551" s="494" t="s">
        <v>1129</v>
      </c>
      <c r="D551" s="496"/>
      <c r="E551" s="689"/>
      <c r="F551" s="689"/>
      <c r="G551" s="689"/>
      <c r="H551" s="689" t="s">
        <v>1609</v>
      </c>
      <c r="I551" s="689"/>
      <c r="J551" s="689"/>
      <c r="K551" s="689"/>
      <c r="L551" s="691"/>
    </row>
    <row r="552" spans="1:12">
      <c r="A552" s="687">
        <f t="shared" si="11"/>
        <v>544</v>
      </c>
      <c r="B552" s="679"/>
      <c r="C552" s="494" t="s">
        <v>1131</v>
      </c>
      <c r="D552" s="496"/>
      <c r="E552" s="689"/>
      <c r="F552" s="689"/>
      <c r="G552" s="689"/>
      <c r="H552" s="689" t="s">
        <v>1609</v>
      </c>
      <c r="I552" s="689"/>
      <c r="J552" s="689"/>
      <c r="K552" s="689"/>
      <c r="L552" s="691"/>
    </row>
    <row r="553" spans="1:12">
      <c r="A553" s="687">
        <f t="shared" si="11"/>
        <v>545</v>
      </c>
      <c r="B553" s="679"/>
      <c r="C553" s="494" t="s">
        <v>1131</v>
      </c>
      <c r="D553" s="496"/>
      <c r="E553" s="689"/>
      <c r="F553" s="689"/>
      <c r="G553" s="689"/>
      <c r="H553" s="689" t="s">
        <v>1609</v>
      </c>
      <c r="I553" s="689"/>
      <c r="J553" s="689"/>
      <c r="K553" s="689"/>
      <c r="L553" s="691"/>
    </row>
    <row r="554" spans="1:12" ht="17.25" customHeight="1">
      <c r="A554" s="687">
        <f t="shared" si="11"/>
        <v>546</v>
      </c>
      <c r="B554" s="679"/>
      <c r="C554" s="494" t="s">
        <v>1133</v>
      </c>
      <c r="D554" s="496"/>
      <c r="E554" s="689"/>
      <c r="F554" s="689"/>
      <c r="G554" s="689"/>
      <c r="H554" s="689" t="s">
        <v>1609</v>
      </c>
      <c r="I554" s="689"/>
      <c r="J554" s="689"/>
      <c r="K554" s="689"/>
      <c r="L554" s="691"/>
    </row>
    <row r="555" spans="1:12">
      <c r="A555" s="687">
        <f t="shared" si="11"/>
        <v>547</v>
      </c>
      <c r="B555" s="679"/>
      <c r="C555" s="494" t="s">
        <v>1135</v>
      </c>
      <c r="D555" s="496"/>
      <c r="E555" s="689"/>
      <c r="F555" s="689"/>
      <c r="G555" s="689"/>
      <c r="H555" s="689" t="s">
        <v>1609</v>
      </c>
      <c r="I555" s="689"/>
      <c r="J555" s="689"/>
      <c r="K555" s="689"/>
      <c r="L555" s="691"/>
    </row>
    <row r="556" spans="1:12">
      <c r="A556" s="687">
        <f t="shared" si="11"/>
        <v>548</v>
      </c>
      <c r="B556" s="679"/>
      <c r="C556" s="494" t="s">
        <v>1137</v>
      </c>
      <c r="D556" s="496"/>
      <c r="E556" s="689"/>
      <c r="F556" s="689"/>
      <c r="G556" s="689"/>
      <c r="H556" s="689" t="s">
        <v>1609</v>
      </c>
      <c r="I556" s="689"/>
      <c r="J556" s="689"/>
      <c r="K556" s="689"/>
      <c r="L556" s="691"/>
    </row>
    <row r="557" spans="1:12" ht="16.5" customHeight="1">
      <c r="A557" s="687">
        <f t="shared" si="11"/>
        <v>549</v>
      </c>
      <c r="B557" s="679"/>
      <c r="C557" s="494" t="s">
        <v>1139</v>
      </c>
      <c r="D557" s="496"/>
      <c r="E557" s="689"/>
      <c r="F557" s="689"/>
      <c r="G557" s="689"/>
      <c r="H557" s="689" t="s">
        <v>1609</v>
      </c>
      <c r="I557" s="689"/>
      <c r="J557" s="689"/>
      <c r="K557" s="689"/>
      <c r="L557" s="691"/>
    </row>
    <row r="558" spans="1:12">
      <c r="A558" s="687">
        <f t="shared" si="11"/>
        <v>550</v>
      </c>
      <c r="B558" s="679"/>
      <c r="C558" s="494" t="s">
        <v>1141</v>
      </c>
      <c r="D558" s="496"/>
      <c r="E558" s="689"/>
      <c r="F558" s="689"/>
      <c r="G558" s="689"/>
      <c r="H558" s="689" t="s">
        <v>1609</v>
      </c>
      <c r="I558" s="689"/>
      <c r="J558" s="689"/>
      <c r="K558" s="689"/>
      <c r="L558" s="691"/>
    </row>
    <row r="559" spans="1:12" ht="16.5" customHeight="1">
      <c r="A559" s="687">
        <f t="shared" si="11"/>
        <v>551</v>
      </c>
      <c r="B559" s="679"/>
      <c r="C559" s="494" t="s">
        <v>1143</v>
      </c>
      <c r="D559" s="496"/>
      <c r="E559" s="689"/>
      <c r="F559" s="689"/>
      <c r="G559" s="689"/>
      <c r="H559" s="689" t="s">
        <v>1609</v>
      </c>
      <c r="I559" s="689"/>
      <c r="J559" s="689"/>
      <c r="K559" s="689"/>
      <c r="L559" s="691"/>
    </row>
    <row r="560" spans="1:12">
      <c r="A560" s="687">
        <f t="shared" si="11"/>
        <v>552</v>
      </c>
      <c r="B560" s="679"/>
      <c r="C560" s="494" t="s">
        <v>1145</v>
      </c>
      <c r="D560" s="496"/>
      <c r="E560" s="689"/>
      <c r="F560" s="689"/>
      <c r="G560" s="689"/>
      <c r="H560" s="689" t="s">
        <v>1609</v>
      </c>
      <c r="I560" s="689"/>
      <c r="J560" s="689"/>
      <c r="K560" s="689"/>
      <c r="L560" s="691"/>
    </row>
    <row r="561" spans="1:12">
      <c r="A561" s="687">
        <f t="shared" si="11"/>
        <v>553</v>
      </c>
      <c r="B561" s="679"/>
      <c r="D561" s="496"/>
      <c r="E561" s="689"/>
      <c r="F561" s="689"/>
      <c r="G561" s="689"/>
      <c r="H561" s="689"/>
      <c r="I561" s="689"/>
      <c r="J561" s="689"/>
      <c r="K561" s="689"/>
      <c r="L561" s="691"/>
    </row>
    <row r="562" spans="1:12">
      <c r="A562" s="687">
        <f t="shared" si="11"/>
        <v>554</v>
      </c>
      <c r="B562" s="679"/>
      <c r="C562" s="680" t="s">
        <v>2137</v>
      </c>
      <c r="D562" s="496"/>
      <c r="E562" s="689"/>
      <c r="F562" s="689"/>
      <c r="G562" s="689"/>
      <c r="H562" s="689"/>
      <c r="I562" s="689"/>
      <c r="J562" s="689"/>
      <c r="K562" s="689"/>
      <c r="L562" s="691"/>
    </row>
    <row r="563" spans="1:12" ht="29">
      <c r="A563" s="687">
        <f t="shared" si="11"/>
        <v>555</v>
      </c>
      <c r="B563" s="679"/>
      <c r="C563" s="494" t="s">
        <v>1150</v>
      </c>
      <c r="D563" s="496"/>
      <c r="E563" s="689"/>
      <c r="F563" s="689"/>
      <c r="G563" s="689"/>
      <c r="H563" s="689" t="s">
        <v>1609</v>
      </c>
      <c r="I563" s="689"/>
      <c r="J563" s="689"/>
      <c r="K563" s="689"/>
      <c r="L563" s="691"/>
    </row>
    <row r="564" spans="1:12" ht="29">
      <c r="A564" s="687">
        <f t="shared" si="11"/>
        <v>556</v>
      </c>
      <c r="B564" s="679"/>
      <c r="C564" s="494" t="s">
        <v>1153</v>
      </c>
      <c r="D564" s="496"/>
      <c r="E564" s="689"/>
      <c r="F564" s="689"/>
      <c r="G564" s="689"/>
      <c r="H564" s="689" t="s">
        <v>1609</v>
      </c>
      <c r="I564" s="689"/>
      <c r="J564" s="689"/>
      <c r="K564" s="689"/>
      <c r="L564" s="691"/>
    </row>
    <row r="565" spans="1:12" ht="29">
      <c r="A565" s="687">
        <f t="shared" si="11"/>
        <v>557</v>
      </c>
      <c r="B565" s="679"/>
      <c r="C565" s="494" t="s">
        <v>1155</v>
      </c>
      <c r="D565" s="496"/>
      <c r="E565" s="689"/>
      <c r="F565" s="689"/>
      <c r="G565" s="689"/>
      <c r="H565" s="689" t="s">
        <v>1609</v>
      </c>
      <c r="I565" s="689"/>
      <c r="J565" s="689"/>
      <c r="K565" s="689"/>
      <c r="L565" s="691"/>
    </row>
    <row r="566" spans="1:12">
      <c r="A566" s="687">
        <f t="shared" si="11"/>
        <v>558</v>
      </c>
      <c r="B566" s="679"/>
      <c r="D566" s="496"/>
      <c r="E566" s="689"/>
      <c r="F566" s="689"/>
      <c r="G566" s="689"/>
      <c r="H566" s="689"/>
      <c r="I566" s="689"/>
      <c r="J566" s="689"/>
      <c r="K566" s="689"/>
      <c r="L566" s="691"/>
    </row>
    <row r="567" spans="1:12">
      <c r="A567" s="687">
        <f t="shared" si="11"/>
        <v>559</v>
      </c>
      <c r="B567" s="679"/>
      <c r="C567" s="680" t="s">
        <v>2138</v>
      </c>
      <c r="D567" s="496"/>
      <c r="E567" s="689"/>
      <c r="F567" s="689"/>
      <c r="G567" s="689"/>
      <c r="H567" s="689"/>
      <c r="I567" s="689"/>
      <c r="J567" s="689"/>
      <c r="K567" s="689"/>
      <c r="L567" s="691"/>
    </row>
    <row r="568" spans="1:12" ht="16.5" customHeight="1">
      <c r="A568" s="687">
        <f t="shared" si="11"/>
        <v>560</v>
      </c>
      <c r="B568" s="679"/>
      <c r="C568" s="494" t="s">
        <v>1160</v>
      </c>
      <c r="D568" s="496"/>
      <c r="E568" s="689" t="s">
        <v>1609</v>
      </c>
      <c r="F568" s="689"/>
      <c r="G568" s="689"/>
      <c r="H568" s="689"/>
      <c r="I568" s="689"/>
      <c r="J568" s="689"/>
      <c r="K568" s="689"/>
      <c r="L568" s="691"/>
    </row>
    <row r="569" spans="1:12" ht="17.25" customHeight="1">
      <c r="A569" s="687">
        <f t="shared" si="11"/>
        <v>561</v>
      </c>
      <c r="B569" s="679"/>
      <c r="C569" s="494" t="s">
        <v>1160</v>
      </c>
      <c r="D569" s="496"/>
      <c r="E569" s="689" t="s">
        <v>1609</v>
      </c>
      <c r="F569" s="689"/>
      <c r="G569" s="689"/>
      <c r="H569" s="689"/>
      <c r="I569" s="689"/>
      <c r="J569" s="689"/>
      <c r="K569" s="689"/>
      <c r="L569" s="691"/>
    </row>
    <row r="570" spans="1:12">
      <c r="A570" s="687">
        <f t="shared" si="11"/>
        <v>562</v>
      </c>
      <c r="B570" s="679"/>
      <c r="C570" s="494" t="s">
        <v>1161</v>
      </c>
      <c r="D570" s="496"/>
      <c r="E570" s="689" t="s">
        <v>1609</v>
      </c>
      <c r="F570" s="689"/>
      <c r="G570" s="689"/>
      <c r="H570" s="689"/>
      <c r="I570" s="689"/>
      <c r="J570" s="689"/>
      <c r="K570" s="689"/>
      <c r="L570" s="691"/>
    </row>
    <row r="571" spans="1:12">
      <c r="A571" s="687">
        <f t="shared" si="11"/>
        <v>563</v>
      </c>
      <c r="B571" s="679"/>
      <c r="C571" s="494" t="s">
        <v>1163</v>
      </c>
      <c r="D571" s="496"/>
      <c r="E571" s="689" t="s">
        <v>1609</v>
      </c>
      <c r="F571" s="689"/>
      <c r="G571" s="689"/>
      <c r="H571" s="689"/>
      <c r="I571" s="689"/>
      <c r="J571" s="689"/>
      <c r="K571" s="689"/>
      <c r="L571" s="691"/>
    </row>
    <row r="572" spans="1:12">
      <c r="A572" s="687">
        <f t="shared" ref="A572:A635" si="12">A571+1</f>
        <v>564</v>
      </c>
      <c r="B572" s="679"/>
      <c r="C572" s="494" t="s">
        <v>1163</v>
      </c>
      <c r="D572" s="496"/>
      <c r="E572" s="689" t="s">
        <v>1609</v>
      </c>
      <c r="F572" s="689"/>
      <c r="G572" s="689"/>
      <c r="H572" s="689"/>
      <c r="I572" s="689"/>
      <c r="J572" s="689"/>
      <c r="K572" s="689"/>
      <c r="L572" s="691"/>
    </row>
    <row r="573" spans="1:12">
      <c r="A573" s="687">
        <f t="shared" si="12"/>
        <v>565</v>
      </c>
      <c r="B573" s="679"/>
      <c r="C573" s="494" t="s">
        <v>1165</v>
      </c>
      <c r="D573" s="496"/>
      <c r="E573" s="689" t="s">
        <v>1609</v>
      </c>
      <c r="F573" s="689"/>
      <c r="G573" s="689"/>
      <c r="H573" s="689"/>
      <c r="I573" s="689"/>
      <c r="J573" s="689"/>
      <c r="K573" s="689"/>
      <c r="L573" s="691"/>
    </row>
    <row r="574" spans="1:12">
      <c r="A574" s="687">
        <f t="shared" si="12"/>
        <v>566</v>
      </c>
      <c r="B574" s="679"/>
      <c r="C574" s="494" t="s">
        <v>1167</v>
      </c>
      <c r="D574" s="496"/>
      <c r="E574" s="689" t="s">
        <v>1609</v>
      </c>
      <c r="F574" s="689"/>
      <c r="G574" s="689"/>
      <c r="H574" s="689"/>
      <c r="I574" s="689"/>
      <c r="J574" s="689"/>
      <c r="K574" s="689"/>
      <c r="L574" s="691"/>
    </row>
    <row r="575" spans="1:12" ht="18" customHeight="1">
      <c r="A575" s="687">
        <f t="shared" si="12"/>
        <v>567</v>
      </c>
      <c r="B575" s="679"/>
      <c r="C575" s="494" t="s">
        <v>1169</v>
      </c>
      <c r="D575" s="496"/>
      <c r="E575" s="689" t="s">
        <v>1609</v>
      </c>
      <c r="F575" s="689"/>
      <c r="G575" s="689"/>
      <c r="H575" s="689"/>
      <c r="I575" s="689"/>
      <c r="J575" s="689"/>
      <c r="K575" s="689"/>
      <c r="L575" s="691"/>
    </row>
    <row r="576" spans="1:12" ht="29">
      <c r="A576" s="687">
        <f t="shared" si="12"/>
        <v>568</v>
      </c>
      <c r="B576" s="679"/>
      <c r="C576" s="494" t="s">
        <v>1171</v>
      </c>
      <c r="D576" s="496"/>
      <c r="E576" s="689" t="s">
        <v>1609</v>
      </c>
      <c r="F576" s="689"/>
      <c r="G576" s="689"/>
      <c r="H576" s="689"/>
      <c r="I576" s="689"/>
      <c r="J576" s="689"/>
      <c r="K576" s="689"/>
      <c r="L576" s="691"/>
    </row>
    <row r="577" spans="1:12" ht="18.75" customHeight="1">
      <c r="A577" s="687">
        <f t="shared" si="12"/>
        <v>569</v>
      </c>
      <c r="B577" s="679"/>
      <c r="C577" s="494" t="s">
        <v>1173</v>
      </c>
      <c r="D577" s="496"/>
      <c r="E577" s="689" t="s">
        <v>1609</v>
      </c>
      <c r="F577" s="689"/>
      <c r="G577" s="689"/>
      <c r="H577" s="689"/>
      <c r="I577" s="689"/>
      <c r="J577" s="689"/>
      <c r="K577" s="689"/>
      <c r="L577" s="691"/>
    </row>
    <row r="578" spans="1:12">
      <c r="A578" s="687">
        <f t="shared" si="12"/>
        <v>570</v>
      </c>
      <c r="B578" s="679"/>
      <c r="C578" s="494" t="s">
        <v>1175</v>
      </c>
      <c r="D578" s="496"/>
      <c r="E578" s="689" t="s">
        <v>1609</v>
      </c>
      <c r="F578" s="689"/>
      <c r="G578" s="689"/>
      <c r="H578" s="689"/>
      <c r="I578" s="689"/>
      <c r="J578" s="689"/>
      <c r="K578" s="689"/>
      <c r="L578" s="691"/>
    </row>
    <row r="579" spans="1:12">
      <c r="A579" s="687">
        <f t="shared" si="12"/>
        <v>571</v>
      </c>
      <c r="B579" s="679"/>
      <c r="C579" s="494" t="s">
        <v>1177</v>
      </c>
      <c r="D579" s="496"/>
      <c r="E579" s="689" t="s">
        <v>1609</v>
      </c>
      <c r="F579" s="689"/>
      <c r="G579" s="689"/>
      <c r="H579" s="689"/>
      <c r="I579" s="689"/>
      <c r="J579" s="689"/>
      <c r="K579" s="689"/>
      <c r="L579" s="691"/>
    </row>
    <row r="580" spans="1:12">
      <c r="A580" s="687">
        <f t="shared" si="12"/>
        <v>572</v>
      </c>
      <c r="B580" s="679"/>
      <c r="C580" s="494" t="s">
        <v>1179</v>
      </c>
      <c r="D580" s="496"/>
      <c r="E580" s="689" t="s">
        <v>1609</v>
      </c>
      <c r="F580" s="689"/>
      <c r="G580" s="689"/>
      <c r="H580" s="689"/>
      <c r="I580" s="689"/>
      <c r="J580" s="689"/>
      <c r="K580" s="689"/>
      <c r="L580" s="691"/>
    </row>
    <row r="581" spans="1:12">
      <c r="A581" s="687">
        <f t="shared" si="12"/>
        <v>573</v>
      </c>
      <c r="B581" s="679"/>
      <c r="C581" s="494" t="s">
        <v>1183</v>
      </c>
      <c r="D581" s="496"/>
      <c r="E581" s="689" t="s">
        <v>1609</v>
      </c>
      <c r="F581" s="689"/>
      <c r="G581" s="689"/>
      <c r="H581" s="689"/>
      <c r="I581" s="689"/>
      <c r="J581" s="689"/>
      <c r="K581" s="689"/>
      <c r="L581" s="691"/>
    </row>
    <row r="582" spans="1:12">
      <c r="A582" s="687">
        <f t="shared" si="12"/>
        <v>574</v>
      </c>
      <c r="B582" s="679"/>
      <c r="C582" s="494" t="s">
        <v>1185</v>
      </c>
      <c r="D582" s="496"/>
      <c r="E582" s="689" t="s">
        <v>1609</v>
      </c>
      <c r="F582" s="689"/>
      <c r="G582" s="689"/>
      <c r="H582" s="689"/>
      <c r="I582" s="689"/>
      <c r="J582" s="689"/>
      <c r="K582" s="689"/>
      <c r="L582" s="691"/>
    </row>
    <row r="583" spans="1:12">
      <c r="A583" s="687">
        <f t="shared" si="12"/>
        <v>575</v>
      </c>
      <c r="B583" s="679"/>
      <c r="C583" s="494" t="s">
        <v>1187</v>
      </c>
      <c r="D583" s="496"/>
      <c r="E583" s="689" t="s">
        <v>1609</v>
      </c>
      <c r="F583" s="689"/>
      <c r="G583" s="689"/>
      <c r="H583" s="689"/>
      <c r="I583" s="689"/>
      <c r="J583" s="689"/>
      <c r="K583" s="689"/>
      <c r="L583" s="691"/>
    </row>
    <row r="584" spans="1:12">
      <c r="A584" s="687">
        <f t="shared" si="12"/>
        <v>576</v>
      </c>
      <c r="B584" s="679"/>
      <c r="D584" s="496"/>
      <c r="E584" s="689"/>
      <c r="F584" s="689"/>
      <c r="G584" s="689"/>
      <c r="H584" s="689"/>
      <c r="I584" s="689"/>
      <c r="J584" s="689"/>
      <c r="K584" s="689"/>
      <c r="L584" s="691"/>
    </row>
    <row r="585" spans="1:12" ht="29">
      <c r="A585" s="687">
        <f t="shared" si="12"/>
        <v>577</v>
      </c>
      <c r="B585" s="679"/>
      <c r="C585" s="680" t="s">
        <v>2139</v>
      </c>
      <c r="D585" s="496"/>
      <c r="E585" s="689"/>
      <c r="F585" s="689"/>
      <c r="G585" s="689"/>
      <c r="H585" s="689"/>
      <c r="I585" s="689"/>
      <c r="J585" s="689"/>
      <c r="K585" s="689"/>
      <c r="L585" s="691"/>
    </row>
    <row r="586" spans="1:12" ht="29">
      <c r="A586" s="687">
        <f t="shared" si="12"/>
        <v>578</v>
      </c>
      <c r="B586" s="679"/>
      <c r="C586" s="494" t="s">
        <v>1196</v>
      </c>
      <c r="D586" s="496"/>
      <c r="E586" s="689" t="s">
        <v>1609</v>
      </c>
      <c r="F586" s="689"/>
      <c r="G586" s="689"/>
      <c r="H586" s="689"/>
      <c r="I586" s="689"/>
      <c r="J586" s="689"/>
      <c r="K586" s="689"/>
      <c r="L586" s="691"/>
    </row>
    <row r="587" spans="1:12" ht="29">
      <c r="A587" s="687">
        <f t="shared" si="12"/>
        <v>579</v>
      </c>
      <c r="B587" s="679"/>
      <c r="C587" s="494" t="s">
        <v>1198</v>
      </c>
      <c r="D587" s="496"/>
      <c r="E587" s="689" t="s">
        <v>1609</v>
      </c>
      <c r="F587" s="689"/>
      <c r="G587" s="689"/>
      <c r="H587" s="689"/>
      <c r="I587" s="689"/>
      <c r="J587" s="689"/>
      <c r="K587" s="689"/>
      <c r="L587" s="691"/>
    </row>
    <row r="588" spans="1:12">
      <c r="A588" s="687">
        <f t="shared" si="12"/>
        <v>580</v>
      </c>
      <c r="B588" s="679"/>
      <c r="D588" s="496"/>
      <c r="E588" s="689"/>
      <c r="F588" s="689"/>
      <c r="G588" s="689"/>
      <c r="H588" s="689"/>
      <c r="I588" s="689"/>
      <c r="J588" s="689"/>
      <c r="K588" s="689"/>
      <c r="L588" s="691"/>
    </row>
    <row r="589" spans="1:12">
      <c r="A589" s="687">
        <f t="shared" si="12"/>
        <v>581</v>
      </c>
      <c r="B589" s="679"/>
      <c r="C589" s="680" t="s">
        <v>2140</v>
      </c>
      <c r="D589" s="496"/>
      <c r="E589" s="689"/>
      <c r="F589" s="689"/>
      <c r="G589" s="689"/>
      <c r="H589" s="689"/>
      <c r="I589" s="689"/>
      <c r="J589" s="689"/>
      <c r="K589" s="689"/>
      <c r="L589" s="691"/>
    </row>
    <row r="590" spans="1:12">
      <c r="A590" s="687">
        <f t="shared" si="12"/>
        <v>582</v>
      </c>
      <c r="B590" s="679"/>
      <c r="C590" s="703" t="s">
        <v>825</v>
      </c>
      <c r="D590" s="496" t="s">
        <v>2141</v>
      </c>
      <c r="E590" s="689"/>
      <c r="F590" s="689"/>
      <c r="G590" s="689"/>
      <c r="H590" s="689" t="s">
        <v>1609</v>
      </c>
      <c r="I590" s="689"/>
      <c r="J590" s="689"/>
      <c r="K590" s="689"/>
      <c r="L590" s="691"/>
    </row>
    <row r="591" spans="1:12">
      <c r="A591" s="687">
        <f t="shared" si="12"/>
        <v>583</v>
      </c>
      <c r="B591" s="679" t="s">
        <v>832</v>
      </c>
      <c r="C591" s="703" t="s">
        <v>833</v>
      </c>
      <c r="D591" s="496" t="s">
        <v>2142</v>
      </c>
      <c r="E591" s="689"/>
      <c r="F591" s="689"/>
      <c r="G591" s="689"/>
      <c r="H591" s="689" t="s">
        <v>1609</v>
      </c>
      <c r="I591" s="689"/>
      <c r="J591" s="689"/>
      <c r="K591" s="689"/>
      <c r="L591" s="691"/>
    </row>
    <row r="592" spans="1:12">
      <c r="A592" s="687">
        <f t="shared" si="12"/>
        <v>584</v>
      </c>
      <c r="B592" s="679"/>
      <c r="C592" s="703" t="s">
        <v>837</v>
      </c>
      <c r="D592" s="496" t="s">
        <v>2143</v>
      </c>
      <c r="E592" s="689"/>
      <c r="F592" s="689"/>
      <c r="G592" s="689"/>
      <c r="H592" s="689" t="s">
        <v>1609</v>
      </c>
      <c r="I592" s="689"/>
      <c r="J592" s="689"/>
      <c r="K592" s="689"/>
      <c r="L592" s="691"/>
    </row>
    <row r="593" spans="1:12" ht="29">
      <c r="A593" s="687">
        <f t="shared" si="12"/>
        <v>585</v>
      </c>
      <c r="B593" s="679"/>
      <c r="C593" s="494" t="s">
        <v>1203</v>
      </c>
      <c r="D593" s="496"/>
      <c r="E593" s="689"/>
      <c r="F593" s="689"/>
      <c r="G593" s="689"/>
      <c r="H593" s="689" t="s">
        <v>1609</v>
      </c>
      <c r="I593" s="689"/>
      <c r="J593" s="689"/>
      <c r="K593" s="689"/>
      <c r="L593" s="691"/>
    </row>
    <row r="594" spans="1:12">
      <c r="A594" s="687">
        <f t="shared" si="12"/>
        <v>586</v>
      </c>
      <c r="B594" s="679"/>
      <c r="C594" s="494" t="s">
        <v>1206</v>
      </c>
      <c r="D594" s="496"/>
      <c r="E594" s="689"/>
      <c r="F594" s="689"/>
      <c r="G594" s="689"/>
      <c r="H594" s="689" t="s">
        <v>1609</v>
      </c>
      <c r="I594" s="689"/>
      <c r="J594" s="689"/>
      <c r="K594" s="689"/>
      <c r="L594" s="691"/>
    </row>
    <row r="595" spans="1:12">
      <c r="A595" s="687">
        <f t="shared" si="12"/>
        <v>587</v>
      </c>
      <c r="B595" s="679"/>
      <c r="C595" s="494" t="s">
        <v>1208</v>
      </c>
      <c r="D595" s="496"/>
      <c r="E595" s="689"/>
      <c r="F595" s="689"/>
      <c r="G595" s="689"/>
      <c r="H595" s="689" t="s">
        <v>1609</v>
      </c>
      <c r="I595" s="689"/>
      <c r="J595" s="689"/>
      <c r="K595" s="689"/>
      <c r="L595" s="691"/>
    </row>
    <row r="596" spans="1:12">
      <c r="A596" s="687">
        <f t="shared" si="12"/>
        <v>588</v>
      </c>
      <c r="B596" s="679"/>
      <c r="C596" s="494" t="s">
        <v>1210</v>
      </c>
      <c r="D596" s="496"/>
      <c r="E596" s="689"/>
      <c r="F596" s="689"/>
      <c r="G596" s="689"/>
      <c r="H596" s="689" t="s">
        <v>1609</v>
      </c>
      <c r="I596" s="689"/>
      <c r="J596" s="689"/>
      <c r="K596" s="689"/>
      <c r="L596" s="691"/>
    </row>
    <row r="597" spans="1:12">
      <c r="A597" s="687">
        <f t="shared" si="12"/>
        <v>589</v>
      </c>
      <c r="B597" s="679"/>
      <c r="C597" s="494" t="s">
        <v>1212</v>
      </c>
      <c r="D597" s="496"/>
      <c r="E597" s="689"/>
      <c r="F597" s="689"/>
      <c r="G597" s="689"/>
      <c r="H597" s="689" t="s">
        <v>1609</v>
      </c>
      <c r="I597" s="689"/>
      <c r="J597" s="689"/>
      <c r="K597" s="689"/>
      <c r="L597" s="691"/>
    </row>
    <row r="598" spans="1:12">
      <c r="A598" s="687">
        <f t="shared" si="12"/>
        <v>590</v>
      </c>
      <c r="B598" s="679"/>
      <c r="C598" s="494" t="s">
        <v>1214</v>
      </c>
      <c r="D598" s="496"/>
      <c r="E598" s="689"/>
      <c r="F598" s="689"/>
      <c r="G598" s="689"/>
      <c r="H598" s="689" t="s">
        <v>1609</v>
      </c>
      <c r="I598" s="689"/>
      <c r="J598" s="689"/>
      <c r="K598" s="689"/>
      <c r="L598" s="691"/>
    </row>
    <row r="599" spans="1:12">
      <c r="A599" s="687">
        <f t="shared" si="12"/>
        <v>591</v>
      </c>
      <c r="B599" s="679"/>
      <c r="C599" s="494" t="s">
        <v>1216</v>
      </c>
      <c r="D599" s="496"/>
      <c r="E599" s="689"/>
      <c r="F599" s="689"/>
      <c r="G599" s="689"/>
      <c r="H599" s="689" t="s">
        <v>1609</v>
      </c>
      <c r="I599" s="689"/>
      <c r="J599" s="689"/>
      <c r="K599" s="689"/>
      <c r="L599" s="691"/>
    </row>
    <row r="600" spans="1:12">
      <c r="A600" s="687">
        <f t="shared" si="12"/>
        <v>592</v>
      </c>
      <c r="B600" s="679"/>
      <c r="C600" s="494" t="s">
        <v>1218</v>
      </c>
      <c r="D600" s="496"/>
      <c r="E600" s="689"/>
      <c r="F600" s="689"/>
      <c r="G600" s="689"/>
      <c r="H600" s="689" t="s">
        <v>1609</v>
      </c>
      <c r="I600" s="689"/>
      <c r="J600" s="689"/>
      <c r="K600" s="689"/>
      <c r="L600" s="691"/>
    </row>
    <row r="601" spans="1:12">
      <c r="A601" s="687">
        <f t="shared" si="12"/>
        <v>593</v>
      </c>
      <c r="B601" s="679"/>
      <c r="C601" s="494" t="s">
        <v>1220</v>
      </c>
      <c r="D601" s="496"/>
      <c r="E601" s="689"/>
      <c r="F601" s="689"/>
      <c r="G601" s="689"/>
      <c r="H601" s="689" t="s">
        <v>1609</v>
      </c>
      <c r="I601" s="689"/>
      <c r="J601" s="689"/>
      <c r="K601" s="689"/>
      <c r="L601" s="691"/>
    </row>
    <row r="602" spans="1:12">
      <c r="A602" s="687">
        <f t="shared" si="12"/>
        <v>594</v>
      </c>
      <c r="B602" s="679"/>
      <c r="C602" s="494" t="s">
        <v>1222</v>
      </c>
      <c r="D602" s="496"/>
      <c r="E602" s="689"/>
      <c r="F602" s="689"/>
      <c r="G602" s="689"/>
      <c r="H602" s="689" t="s">
        <v>1609</v>
      </c>
      <c r="I602" s="689"/>
      <c r="J602" s="689"/>
      <c r="K602" s="689"/>
      <c r="L602" s="691"/>
    </row>
    <row r="603" spans="1:12">
      <c r="A603" s="687">
        <f t="shared" si="12"/>
        <v>595</v>
      </c>
      <c r="B603" s="679"/>
      <c r="C603" s="494" t="s">
        <v>1226</v>
      </c>
      <c r="D603" s="496"/>
      <c r="E603" s="689"/>
      <c r="F603" s="689"/>
      <c r="G603" s="689"/>
      <c r="H603" s="689" t="s">
        <v>1609</v>
      </c>
      <c r="I603" s="689"/>
      <c r="J603" s="689"/>
      <c r="K603" s="689"/>
      <c r="L603" s="691"/>
    </row>
    <row r="604" spans="1:12">
      <c r="A604" s="687">
        <f t="shared" si="12"/>
        <v>596</v>
      </c>
      <c r="B604" s="679" t="s">
        <v>847</v>
      </c>
      <c r="C604" s="494" t="s">
        <v>2144</v>
      </c>
      <c r="D604" s="496" t="s">
        <v>2145</v>
      </c>
      <c r="E604" s="689"/>
      <c r="F604" s="689"/>
      <c r="G604" s="689"/>
      <c r="H604" s="689" t="s">
        <v>1609</v>
      </c>
      <c r="I604" s="689"/>
      <c r="J604" s="689"/>
      <c r="K604" s="689"/>
      <c r="L604" s="691"/>
    </row>
    <row r="605" spans="1:12">
      <c r="A605" s="687">
        <f t="shared" si="12"/>
        <v>597</v>
      </c>
      <c r="B605" s="679"/>
      <c r="C605" s="494" t="s">
        <v>1228</v>
      </c>
      <c r="D605" s="496"/>
      <c r="E605" s="689"/>
      <c r="F605" s="689"/>
      <c r="G605" s="689"/>
      <c r="H605" s="689" t="s">
        <v>1609</v>
      </c>
      <c r="I605" s="689"/>
      <c r="J605" s="689"/>
      <c r="K605" s="689"/>
      <c r="L605" s="691"/>
    </row>
    <row r="606" spans="1:12">
      <c r="A606" s="687">
        <f t="shared" si="12"/>
        <v>598</v>
      </c>
      <c r="B606" s="679"/>
      <c r="C606" s="494" t="s">
        <v>1230</v>
      </c>
      <c r="D606" s="496"/>
      <c r="E606" s="689"/>
      <c r="F606" s="689"/>
      <c r="G606" s="689"/>
      <c r="H606" s="689" t="s">
        <v>1609</v>
      </c>
      <c r="I606" s="689"/>
      <c r="J606" s="689"/>
      <c r="K606" s="689"/>
      <c r="L606" s="691"/>
    </row>
    <row r="607" spans="1:12">
      <c r="A607" s="687">
        <f t="shared" si="12"/>
        <v>599</v>
      </c>
      <c r="B607" s="679"/>
      <c r="C607" s="494" t="s">
        <v>1232</v>
      </c>
      <c r="D607" s="496"/>
      <c r="E607" s="689"/>
      <c r="F607" s="689"/>
      <c r="G607" s="689"/>
      <c r="H607" s="689" t="s">
        <v>1609</v>
      </c>
      <c r="I607" s="689"/>
      <c r="J607" s="689"/>
      <c r="K607" s="689"/>
      <c r="L607" s="691"/>
    </row>
    <row r="608" spans="1:12">
      <c r="A608" s="687">
        <f t="shared" si="12"/>
        <v>600</v>
      </c>
      <c r="B608" s="679"/>
      <c r="C608" s="494" t="s">
        <v>1234</v>
      </c>
      <c r="D608" s="496"/>
      <c r="E608" s="689"/>
      <c r="F608" s="689"/>
      <c r="G608" s="689"/>
      <c r="H608" s="689" t="s">
        <v>1609</v>
      </c>
      <c r="I608" s="689"/>
      <c r="J608" s="689"/>
      <c r="K608" s="689"/>
      <c r="L608" s="691"/>
    </row>
    <row r="609" spans="1:12">
      <c r="A609" s="687">
        <f t="shared" si="12"/>
        <v>601</v>
      </c>
      <c r="B609" s="679"/>
      <c r="C609" s="494" t="s">
        <v>1236</v>
      </c>
      <c r="D609" s="496"/>
      <c r="E609" s="689"/>
      <c r="F609" s="689"/>
      <c r="G609" s="689"/>
      <c r="H609" s="689" t="s">
        <v>1609</v>
      </c>
      <c r="I609" s="689"/>
      <c r="J609" s="689"/>
      <c r="K609" s="689"/>
      <c r="L609" s="691"/>
    </row>
    <row r="610" spans="1:12">
      <c r="A610" s="687">
        <f t="shared" si="12"/>
        <v>602</v>
      </c>
      <c r="B610" s="679"/>
      <c r="C610" s="494" t="s">
        <v>1238</v>
      </c>
      <c r="D610" s="496"/>
      <c r="E610" s="689"/>
      <c r="F610" s="689"/>
      <c r="G610" s="689"/>
      <c r="H610" s="689" t="s">
        <v>1609</v>
      </c>
      <c r="I610" s="689"/>
      <c r="J610" s="689"/>
      <c r="K610" s="689"/>
      <c r="L610" s="691"/>
    </row>
    <row r="611" spans="1:12">
      <c r="A611" s="687">
        <f t="shared" si="12"/>
        <v>603</v>
      </c>
      <c r="B611" s="679"/>
      <c r="C611" s="494" t="s">
        <v>1240</v>
      </c>
      <c r="D611" s="496"/>
      <c r="E611" s="689"/>
      <c r="F611" s="689"/>
      <c r="G611" s="689"/>
      <c r="H611" s="689" t="s">
        <v>1609</v>
      </c>
      <c r="I611" s="689"/>
      <c r="J611" s="689"/>
      <c r="K611" s="689"/>
      <c r="L611" s="691"/>
    </row>
    <row r="612" spans="1:12">
      <c r="A612" s="687">
        <f t="shared" si="12"/>
        <v>604</v>
      </c>
      <c r="B612" s="679"/>
      <c r="C612" s="494" t="s">
        <v>1242</v>
      </c>
      <c r="D612" s="496"/>
      <c r="E612" s="689"/>
      <c r="F612" s="689"/>
      <c r="G612" s="689"/>
      <c r="H612" s="689" t="s">
        <v>1609</v>
      </c>
      <c r="I612" s="689"/>
      <c r="J612" s="689"/>
      <c r="K612" s="689"/>
      <c r="L612" s="691"/>
    </row>
    <row r="613" spans="1:12">
      <c r="A613" s="687">
        <f t="shared" si="12"/>
        <v>605</v>
      </c>
      <c r="B613" s="679"/>
      <c r="C613" s="494" t="s">
        <v>1244</v>
      </c>
      <c r="D613" s="496"/>
      <c r="E613" s="689"/>
      <c r="F613" s="689"/>
      <c r="G613" s="689"/>
      <c r="H613" s="689" t="s">
        <v>1609</v>
      </c>
      <c r="I613" s="689"/>
      <c r="J613" s="689"/>
      <c r="K613" s="689"/>
      <c r="L613" s="691"/>
    </row>
    <row r="614" spans="1:12">
      <c r="A614" s="687">
        <f t="shared" si="12"/>
        <v>606</v>
      </c>
      <c r="B614" s="679"/>
      <c r="C614" s="494" t="s">
        <v>1246</v>
      </c>
      <c r="D614" s="496"/>
      <c r="E614" s="689"/>
      <c r="F614" s="689"/>
      <c r="G614" s="689"/>
      <c r="H614" s="689" t="s">
        <v>1609</v>
      </c>
      <c r="I614" s="689"/>
      <c r="J614" s="689"/>
      <c r="K614" s="689"/>
      <c r="L614" s="691"/>
    </row>
    <row r="615" spans="1:12">
      <c r="A615" s="687">
        <f t="shared" si="12"/>
        <v>607</v>
      </c>
      <c r="B615" s="679"/>
      <c r="C615" s="494" t="s">
        <v>1248</v>
      </c>
      <c r="D615" s="496"/>
      <c r="E615" s="689"/>
      <c r="F615" s="689"/>
      <c r="G615" s="689"/>
      <c r="H615" s="689" t="s">
        <v>1609</v>
      </c>
      <c r="I615" s="689"/>
      <c r="J615" s="689"/>
      <c r="K615" s="689"/>
      <c r="L615" s="691"/>
    </row>
    <row r="616" spans="1:12">
      <c r="A616" s="687">
        <f t="shared" si="12"/>
        <v>608</v>
      </c>
      <c r="B616" s="679"/>
      <c r="C616" s="494" t="s">
        <v>1250</v>
      </c>
      <c r="D616" s="496"/>
      <c r="E616" s="689"/>
      <c r="F616" s="689"/>
      <c r="G616" s="689"/>
      <c r="H616" s="689" t="s">
        <v>1609</v>
      </c>
      <c r="I616" s="689"/>
      <c r="J616" s="689"/>
      <c r="K616" s="689"/>
      <c r="L616" s="691"/>
    </row>
    <row r="617" spans="1:12">
      <c r="A617" s="687">
        <f t="shared" si="12"/>
        <v>609</v>
      </c>
      <c r="B617" s="679"/>
      <c r="C617" s="494" t="s">
        <v>1252</v>
      </c>
      <c r="D617" s="496"/>
      <c r="E617" s="689"/>
      <c r="F617" s="689"/>
      <c r="G617" s="689"/>
      <c r="H617" s="689" t="s">
        <v>1609</v>
      </c>
      <c r="I617" s="689"/>
      <c r="J617" s="689"/>
      <c r="K617" s="689"/>
      <c r="L617" s="691"/>
    </row>
    <row r="618" spans="1:12">
      <c r="A618" s="687">
        <f t="shared" si="12"/>
        <v>610</v>
      </c>
      <c r="B618" s="679"/>
      <c r="C618" s="494" t="s">
        <v>1254</v>
      </c>
      <c r="D618" s="496"/>
      <c r="E618" s="689"/>
      <c r="F618" s="689"/>
      <c r="G618" s="689"/>
      <c r="H618" s="689" t="s">
        <v>1609</v>
      </c>
      <c r="I618" s="689"/>
      <c r="J618" s="689"/>
      <c r="K618" s="689"/>
      <c r="L618" s="691"/>
    </row>
    <row r="619" spans="1:12">
      <c r="A619" s="687">
        <f t="shared" si="12"/>
        <v>611</v>
      </c>
      <c r="B619" s="679"/>
      <c r="C619" s="494" t="s">
        <v>1256</v>
      </c>
      <c r="D619" s="496"/>
      <c r="E619" s="689"/>
      <c r="F619" s="689"/>
      <c r="G619" s="689"/>
      <c r="H619" s="689" t="s">
        <v>1609</v>
      </c>
      <c r="I619" s="689"/>
      <c r="J619" s="689"/>
      <c r="K619" s="689"/>
      <c r="L619" s="691"/>
    </row>
    <row r="620" spans="1:12">
      <c r="A620" s="687">
        <f t="shared" si="12"/>
        <v>612</v>
      </c>
      <c r="B620" s="679"/>
      <c r="C620" s="494" t="s">
        <v>1258</v>
      </c>
      <c r="D620" s="496"/>
      <c r="E620" s="689"/>
      <c r="F620" s="689"/>
      <c r="G620" s="689"/>
      <c r="H620" s="689" t="s">
        <v>1609</v>
      </c>
      <c r="I620" s="689"/>
      <c r="J620" s="689"/>
      <c r="K620" s="689"/>
      <c r="L620" s="691"/>
    </row>
    <row r="621" spans="1:12">
      <c r="A621" s="687">
        <f t="shared" si="12"/>
        <v>613</v>
      </c>
      <c r="B621" s="679"/>
      <c r="C621" s="494" t="s">
        <v>1260</v>
      </c>
      <c r="D621" s="496" t="s">
        <v>2146</v>
      </c>
      <c r="E621" s="689"/>
      <c r="F621" s="689"/>
      <c r="G621" s="689"/>
      <c r="H621" s="689" t="s">
        <v>1609</v>
      </c>
      <c r="I621" s="689"/>
      <c r="J621" s="689"/>
      <c r="K621" s="689"/>
      <c r="L621" s="691"/>
    </row>
    <row r="622" spans="1:12">
      <c r="A622" s="687">
        <f t="shared" si="12"/>
        <v>614</v>
      </c>
      <c r="B622" s="679"/>
      <c r="C622" s="494" t="s">
        <v>1262</v>
      </c>
      <c r="D622" s="496"/>
      <c r="E622" s="689"/>
      <c r="F622" s="689"/>
      <c r="G622" s="689"/>
      <c r="H622" s="689" t="s">
        <v>1609</v>
      </c>
      <c r="I622" s="689"/>
      <c r="J622" s="689"/>
      <c r="K622" s="689"/>
      <c r="L622" s="691"/>
    </row>
    <row r="623" spans="1:12">
      <c r="A623" s="687">
        <f t="shared" si="12"/>
        <v>615</v>
      </c>
      <c r="B623" s="679"/>
      <c r="C623" s="494" t="s">
        <v>1264</v>
      </c>
      <c r="D623" s="496"/>
      <c r="E623" s="689"/>
      <c r="F623" s="689"/>
      <c r="G623" s="689"/>
      <c r="H623" s="689" t="s">
        <v>1609</v>
      </c>
      <c r="I623" s="689"/>
      <c r="J623" s="689"/>
      <c r="K623" s="689"/>
      <c r="L623" s="691"/>
    </row>
    <row r="624" spans="1:12">
      <c r="A624" s="687">
        <f t="shared" si="12"/>
        <v>616</v>
      </c>
      <c r="B624" s="679"/>
      <c r="C624" s="494" t="s">
        <v>1266</v>
      </c>
      <c r="D624" s="496"/>
      <c r="E624" s="689"/>
      <c r="F624" s="689"/>
      <c r="G624" s="689"/>
      <c r="H624" s="689" t="s">
        <v>1609</v>
      </c>
      <c r="I624" s="689"/>
      <c r="J624" s="689"/>
      <c r="K624" s="689"/>
      <c r="L624" s="691"/>
    </row>
    <row r="625" spans="1:12" ht="29">
      <c r="A625" s="687">
        <f t="shared" si="12"/>
        <v>617</v>
      </c>
      <c r="B625" s="679"/>
      <c r="C625" s="494" t="s">
        <v>1268</v>
      </c>
      <c r="D625" s="496"/>
      <c r="E625" s="689"/>
      <c r="F625" s="689"/>
      <c r="G625" s="689"/>
      <c r="H625" s="689" t="s">
        <v>1609</v>
      </c>
      <c r="I625" s="689"/>
      <c r="J625" s="689"/>
      <c r="K625" s="689"/>
      <c r="L625" s="691"/>
    </row>
    <row r="626" spans="1:12">
      <c r="A626" s="687">
        <f t="shared" si="12"/>
        <v>618</v>
      </c>
      <c r="B626" s="679"/>
      <c r="C626" s="494" t="s">
        <v>1272</v>
      </c>
      <c r="D626" s="496"/>
      <c r="E626" s="689"/>
      <c r="F626" s="689"/>
      <c r="G626" s="689"/>
      <c r="H626" s="689" t="s">
        <v>1609</v>
      </c>
      <c r="I626" s="689"/>
      <c r="J626" s="689"/>
      <c r="K626" s="689"/>
      <c r="L626" s="691"/>
    </row>
    <row r="627" spans="1:12">
      <c r="A627" s="687">
        <f t="shared" si="12"/>
        <v>619</v>
      </c>
      <c r="B627" s="679"/>
      <c r="C627" s="494" t="s">
        <v>1274</v>
      </c>
      <c r="D627" s="496"/>
      <c r="E627" s="689"/>
      <c r="F627" s="689"/>
      <c r="G627" s="689"/>
      <c r="H627" s="689" t="s">
        <v>1609</v>
      </c>
      <c r="I627" s="689"/>
      <c r="J627" s="689"/>
      <c r="K627" s="689"/>
      <c r="L627" s="691"/>
    </row>
    <row r="628" spans="1:12">
      <c r="A628" s="687">
        <f t="shared" si="12"/>
        <v>620</v>
      </c>
      <c r="B628" s="679"/>
      <c r="C628" s="494" t="s">
        <v>1276</v>
      </c>
      <c r="D628" s="496"/>
      <c r="E628" s="689"/>
      <c r="F628" s="689"/>
      <c r="G628" s="689"/>
      <c r="H628" s="689" t="s">
        <v>1609</v>
      </c>
      <c r="I628" s="689"/>
      <c r="J628" s="689"/>
      <c r="K628" s="689"/>
      <c r="L628" s="691"/>
    </row>
    <row r="629" spans="1:12">
      <c r="A629" s="687">
        <f t="shared" si="12"/>
        <v>621</v>
      </c>
      <c r="B629" s="679"/>
      <c r="C629" s="494" t="s">
        <v>1278</v>
      </c>
      <c r="D629" s="496"/>
      <c r="E629" s="689"/>
      <c r="F629" s="689"/>
      <c r="G629" s="689"/>
      <c r="H629" s="689" t="s">
        <v>1609</v>
      </c>
      <c r="I629" s="689"/>
      <c r="J629" s="689"/>
      <c r="K629" s="689"/>
      <c r="L629" s="691"/>
    </row>
    <row r="630" spans="1:12">
      <c r="A630" s="687">
        <f t="shared" si="12"/>
        <v>622</v>
      </c>
      <c r="B630" s="679"/>
      <c r="C630" s="494" t="s">
        <v>890</v>
      </c>
      <c r="D630" s="496" t="s">
        <v>2147</v>
      </c>
      <c r="E630" s="689"/>
      <c r="F630" s="689"/>
      <c r="G630" s="689"/>
      <c r="H630" s="689" t="s">
        <v>1609</v>
      </c>
      <c r="I630" s="689"/>
      <c r="J630" s="689"/>
      <c r="K630" s="689"/>
      <c r="L630" s="691"/>
    </row>
    <row r="631" spans="1:12">
      <c r="A631" s="687">
        <f t="shared" si="12"/>
        <v>623</v>
      </c>
      <c r="B631" s="679"/>
      <c r="C631" s="494" t="s">
        <v>1280</v>
      </c>
      <c r="D631" s="496"/>
      <c r="E631" s="689"/>
      <c r="F631" s="689"/>
      <c r="G631" s="689"/>
      <c r="H631" s="689" t="s">
        <v>1609</v>
      </c>
      <c r="I631" s="689"/>
      <c r="J631" s="689"/>
      <c r="K631" s="689"/>
      <c r="L631" s="691"/>
    </row>
    <row r="632" spans="1:12">
      <c r="A632" s="687">
        <f t="shared" si="12"/>
        <v>624</v>
      </c>
      <c r="B632" s="679"/>
      <c r="C632" s="494" t="s">
        <v>1282</v>
      </c>
      <c r="D632" s="496"/>
      <c r="E632" s="689"/>
      <c r="F632" s="689"/>
      <c r="G632" s="689"/>
      <c r="H632" s="689" t="s">
        <v>1609</v>
      </c>
      <c r="I632" s="689"/>
      <c r="J632" s="689"/>
      <c r="K632" s="689"/>
      <c r="L632" s="691"/>
    </row>
    <row r="633" spans="1:12">
      <c r="A633" s="687">
        <f t="shared" si="12"/>
        <v>625</v>
      </c>
      <c r="B633" s="679"/>
      <c r="C633" s="494" t="s">
        <v>1284</v>
      </c>
      <c r="D633" s="496"/>
      <c r="E633" s="689"/>
      <c r="F633" s="689"/>
      <c r="G633" s="689"/>
      <c r="H633" s="689" t="s">
        <v>1609</v>
      </c>
      <c r="I633" s="689"/>
      <c r="J633" s="689"/>
      <c r="K633" s="689"/>
      <c r="L633" s="691"/>
    </row>
    <row r="634" spans="1:12">
      <c r="A634" s="687">
        <f t="shared" si="12"/>
        <v>626</v>
      </c>
      <c r="B634" s="679"/>
      <c r="C634" s="494" t="s">
        <v>1286</v>
      </c>
      <c r="D634" s="496"/>
      <c r="E634" s="689"/>
      <c r="F634" s="689"/>
      <c r="G634" s="689"/>
      <c r="H634" s="689" t="s">
        <v>1609</v>
      </c>
      <c r="I634" s="689"/>
      <c r="J634" s="689"/>
      <c r="K634" s="689"/>
      <c r="L634" s="691"/>
    </row>
    <row r="635" spans="1:12">
      <c r="A635" s="687">
        <f t="shared" si="12"/>
        <v>627</v>
      </c>
      <c r="B635" s="679"/>
      <c r="C635" s="494" t="s">
        <v>1288</v>
      </c>
      <c r="D635" s="496"/>
      <c r="E635" s="689"/>
      <c r="F635" s="689"/>
      <c r="G635" s="689"/>
      <c r="H635" s="689" t="s">
        <v>1609</v>
      </c>
      <c r="I635" s="689"/>
      <c r="J635" s="689"/>
      <c r="K635" s="689"/>
      <c r="L635" s="691"/>
    </row>
    <row r="636" spans="1:12">
      <c r="A636" s="687">
        <f t="shared" ref="A636:A699" si="13">A635+1</f>
        <v>628</v>
      </c>
      <c r="B636" s="679"/>
      <c r="C636" s="494" t="s">
        <v>894</v>
      </c>
      <c r="D636" s="496" t="s">
        <v>2148</v>
      </c>
      <c r="E636" s="689"/>
      <c r="F636" s="689"/>
      <c r="G636" s="689"/>
      <c r="H636" s="689" t="s">
        <v>1609</v>
      </c>
      <c r="I636" s="689"/>
      <c r="J636" s="689"/>
      <c r="K636" s="689"/>
      <c r="L636" s="691"/>
    </row>
    <row r="637" spans="1:12">
      <c r="A637" s="687">
        <f t="shared" si="13"/>
        <v>629</v>
      </c>
      <c r="B637" s="679"/>
      <c r="C637" s="494" t="s">
        <v>1290</v>
      </c>
      <c r="D637" s="496"/>
      <c r="E637" s="689"/>
      <c r="F637" s="689"/>
      <c r="G637" s="689"/>
      <c r="H637" s="689" t="s">
        <v>1609</v>
      </c>
      <c r="I637" s="689"/>
      <c r="J637" s="689"/>
      <c r="K637" s="689"/>
      <c r="L637" s="691"/>
    </row>
    <row r="638" spans="1:12">
      <c r="A638" s="687">
        <f t="shared" si="13"/>
        <v>630</v>
      </c>
      <c r="B638" s="679"/>
      <c r="C638" s="494" t="s">
        <v>1292</v>
      </c>
      <c r="D638" s="496"/>
      <c r="E638" s="689"/>
      <c r="F638" s="689"/>
      <c r="G638" s="689"/>
      <c r="H638" s="689" t="s">
        <v>1609</v>
      </c>
      <c r="I638" s="689"/>
      <c r="J638" s="689"/>
      <c r="K638" s="689"/>
      <c r="L638" s="691"/>
    </row>
    <row r="639" spans="1:12">
      <c r="A639" s="687">
        <f t="shared" si="13"/>
        <v>631</v>
      </c>
      <c r="B639" s="679"/>
      <c r="C639" s="494" t="s">
        <v>892</v>
      </c>
      <c r="D639" s="496" t="s">
        <v>2149</v>
      </c>
      <c r="E639" s="689"/>
      <c r="F639" s="689"/>
      <c r="G639" s="689"/>
      <c r="H639" s="689" t="s">
        <v>1609</v>
      </c>
      <c r="I639" s="689"/>
      <c r="J639" s="689"/>
      <c r="K639" s="689"/>
      <c r="L639" s="691"/>
    </row>
    <row r="640" spans="1:12">
      <c r="A640" s="687">
        <f t="shared" si="13"/>
        <v>632</v>
      </c>
      <c r="B640" s="679"/>
      <c r="C640" s="494" t="s">
        <v>1294</v>
      </c>
      <c r="D640" s="496"/>
      <c r="E640" s="689"/>
      <c r="F640" s="689"/>
      <c r="G640" s="689"/>
      <c r="H640" s="689" t="s">
        <v>1609</v>
      </c>
      <c r="I640" s="689"/>
      <c r="J640" s="689"/>
      <c r="K640" s="689"/>
      <c r="L640" s="691"/>
    </row>
    <row r="641" spans="1:12">
      <c r="A641" s="687">
        <f t="shared" si="13"/>
        <v>633</v>
      </c>
      <c r="B641" s="679"/>
      <c r="C641" s="494" t="s">
        <v>1296</v>
      </c>
      <c r="D641" s="496"/>
      <c r="E641" s="689"/>
      <c r="F641" s="689"/>
      <c r="G641" s="689"/>
      <c r="H641" s="689" t="s">
        <v>1609</v>
      </c>
      <c r="I641" s="689"/>
      <c r="J641" s="689"/>
      <c r="K641" s="689"/>
      <c r="L641" s="691"/>
    </row>
    <row r="642" spans="1:12">
      <c r="A642" s="687">
        <f t="shared" si="13"/>
        <v>634</v>
      </c>
      <c r="B642" s="679"/>
      <c r="C642" s="494" t="s">
        <v>1298</v>
      </c>
      <c r="D642" s="496"/>
      <c r="E642" s="689"/>
      <c r="F642" s="689"/>
      <c r="G642" s="689"/>
      <c r="H642" s="689" t="s">
        <v>1609</v>
      </c>
      <c r="I642" s="689"/>
      <c r="J642" s="689"/>
      <c r="K642" s="689"/>
      <c r="L642" s="691"/>
    </row>
    <row r="643" spans="1:12">
      <c r="A643" s="687">
        <f t="shared" si="13"/>
        <v>635</v>
      </c>
      <c r="B643" s="679"/>
      <c r="C643" s="494" t="s">
        <v>1300</v>
      </c>
      <c r="D643" s="496"/>
      <c r="E643" s="689"/>
      <c r="F643" s="689"/>
      <c r="G643" s="689"/>
      <c r="H643" s="689" t="s">
        <v>1609</v>
      </c>
      <c r="I643" s="689"/>
      <c r="J643" s="689"/>
      <c r="K643" s="689"/>
      <c r="L643" s="691"/>
    </row>
    <row r="644" spans="1:12">
      <c r="A644" s="687">
        <f t="shared" si="13"/>
        <v>636</v>
      </c>
      <c r="B644" s="679"/>
      <c r="C644" s="494" t="s">
        <v>1302</v>
      </c>
      <c r="D644" s="496"/>
      <c r="E644" s="689"/>
      <c r="F644" s="689"/>
      <c r="G644" s="689"/>
      <c r="H644" s="689" t="s">
        <v>1609</v>
      </c>
      <c r="I644" s="689"/>
      <c r="J644" s="689"/>
      <c r="K644" s="689"/>
      <c r="L644" s="691"/>
    </row>
    <row r="645" spans="1:12">
      <c r="A645" s="687">
        <f t="shared" si="13"/>
        <v>637</v>
      </c>
      <c r="B645" s="679"/>
      <c r="C645" s="494" t="s">
        <v>1304</v>
      </c>
      <c r="D645" s="496"/>
      <c r="E645" s="689"/>
      <c r="F645" s="689"/>
      <c r="G645" s="689"/>
      <c r="H645" s="689" t="s">
        <v>1609</v>
      </c>
      <c r="I645" s="689"/>
      <c r="J645" s="689"/>
      <c r="K645" s="689"/>
      <c r="L645" s="691"/>
    </row>
    <row r="646" spans="1:12">
      <c r="A646" s="687">
        <f t="shared" si="13"/>
        <v>638</v>
      </c>
      <c r="B646" s="679"/>
      <c r="C646" s="494" t="s">
        <v>1306</v>
      </c>
      <c r="D646" s="496"/>
      <c r="E646" s="689"/>
      <c r="F646" s="689"/>
      <c r="G646" s="689"/>
      <c r="H646" s="689" t="s">
        <v>1609</v>
      </c>
      <c r="I646" s="689"/>
      <c r="J646" s="689"/>
      <c r="K646" s="689"/>
      <c r="L646" s="691"/>
    </row>
    <row r="647" spans="1:12">
      <c r="A647" s="687">
        <f t="shared" si="13"/>
        <v>639</v>
      </c>
      <c r="B647" s="679"/>
      <c r="C647" s="494" t="s">
        <v>1308</v>
      </c>
      <c r="D647" s="496"/>
      <c r="E647" s="689"/>
      <c r="F647" s="689"/>
      <c r="G647" s="689"/>
      <c r="H647" s="689" t="s">
        <v>1609</v>
      </c>
      <c r="I647" s="689"/>
      <c r="J647" s="689"/>
      <c r="K647" s="689"/>
      <c r="L647" s="691"/>
    </row>
    <row r="648" spans="1:12" ht="29">
      <c r="A648" s="687">
        <f t="shared" si="13"/>
        <v>640</v>
      </c>
      <c r="B648" s="679"/>
      <c r="C648" s="494" t="s">
        <v>1312</v>
      </c>
      <c r="D648" s="496"/>
      <c r="E648" s="689"/>
      <c r="F648" s="689"/>
      <c r="G648" s="689"/>
      <c r="H648" s="689" t="s">
        <v>1609</v>
      </c>
      <c r="I648" s="689"/>
      <c r="J648" s="689"/>
      <c r="K648" s="689"/>
      <c r="L648" s="691"/>
    </row>
    <row r="649" spans="1:12">
      <c r="A649" s="687">
        <f t="shared" si="13"/>
        <v>641</v>
      </c>
      <c r="B649" s="679"/>
      <c r="C649" s="494" t="s">
        <v>1314</v>
      </c>
      <c r="D649" s="496"/>
      <c r="E649" s="689"/>
      <c r="F649" s="689"/>
      <c r="G649" s="689"/>
      <c r="H649" s="689" t="s">
        <v>1609</v>
      </c>
      <c r="I649" s="689"/>
      <c r="J649" s="689"/>
      <c r="K649" s="689"/>
      <c r="L649" s="691"/>
    </row>
    <row r="650" spans="1:12" ht="29">
      <c r="A650" s="687">
        <f t="shared" si="13"/>
        <v>642</v>
      </c>
      <c r="B650" s="679"/>
      <c r="C650" s="494" t="s">
        <v>1316</v>
      </c>
      <c r="D650" s="496"/>
      <c r="E650" s="689"/>
      <c r="F650" s="689"/>
      <c r="G650" s="689"/>
      <c r="H650" s="689" t="s">
        <v>1609</v>
      </c>
      <c r="I650" s="689"/>
      <c r="J650" s="689"/>
      <c r="K650" s="689"/>
      <c r="L650" s="691"/>
    </row>
    <row r="651" spans="1:12">
      <c r="A651" s="687">
        <f t="shared" si="13"/>
        <v>643</v>
      </c>
      <c r="B651" s="679"/>
      <c r="C651" s="494" t="s">
        <v>1318</v>
      </c>
      <c r="D651" s="496" t="s">
        <v>2150</v>
      </c>
      <c r="E651" s="689"/>
      <c r="F651" s="689"/>
      <c r="G651" s="689"/>
      <c r="H651" s="689" t="s">
        <v>1609</v>
      </c>
      <c r="I651" s="697"/>
      <c r="J651" s="689"/>
      <c r="K651" s="698"/>
      <c r="L651" s="704"/>
    </row>
    <row r="652" spans="1:12">
      <c r="A652" s="687">
        <f t="shared" si="13"/>
        <v>644</v>
      </c>
      <c r="B652" s="679"/>
      <c r="C652" s="494" t="s">
        <v>1320</v>
      </c>
      <c r="D652" s="496"/>
      <c r="E652" s="689"/>
      <c r="F652" s="689"/>
      <c r="G652" s="689"/>
      <c r="H652" s="689" t="s">
        <v>1609</v>
      </c>
      <c r="I652" s="689"/>
      <c r="J652" s="689"/>
      <c r="K652" s="689"/>
      <c r="L652" s="691"/>
    </row>
    <row r="653" spans="1:12" ht="43.5">
      <c r="A653" s="687">
        <f t="shared" si="13"/>
        <v>645</v>
      </c>
      <c r="B653" s="679"/>
      <c r="C653" s="494" t="s">
        <v>1322</v>
      </c>
      <c r="D653" s="496"/>
      <c r="E653" s="689"/>
      <c r="F653" s="689"/>
      <c r="G653" s="689"/>
      <c r="H653" s="689" t="s">
        <v>1609</v>
      </c>
      <c r="I653" s="689"/>
      <c r="J653" s="689"/>
      <c r="K653" s="689"/>
      <c r="L653" s="691"/>
    </row>
    <row r="654" spans="1:12">
      <c r="A654" s="687">
        <f t="shared" si="13"/>
        <v>646</v>
      </c>
      <c r="B654" s="679"/>
      <c r="C654" s="494" t="s">
        <v>1324</v>
      </c>
      <c r="D654" s="496"/>
      <c r="E654" s="689"/>
      <c r="F654" s="689"/>
      <c r="G654" s="689"/>
      <c r="H654" s="689" t="s">
        <v>1609</v>
      </c>
      <c r="I654" s="689"/>
      <c r="J654" s="689"/>
      <c r="K654" s="689"/>
      <c r="L654" s="691"/>
    </row>
    <row r="655" spans="1:12">
      <c r="A655" s="687">
        <f t="shared" si="13"/>
        <v>647</v>
      </c>
      <c r="B655" s="679" t="s">
        <v>919</v>
      </c>
      <c r="C655" s="494" t="s">
        <v>2151</v>
      </c>
      <c r="D655" s="496" t="s">
        <v>2152</v>
      </c>
      <c r="E655" s="689"/>
      <c r="F655" s="689"/>
      <c r="G655" s="689"/>
      <c r="H655" s="689" t="s">
        <v>1609</v>
      </c>
      <c r="I655" s="689"/>
      <c r="J655" s="689"/>
      <c r="K655" s="689"/>
      <c r="L655" s="691"/>
    </row>
    <row r="656" spans="1:12" ht="17.25" customHeight="1">
      <c r="A656" s="687">
        <f t="shared" si="13"/>
        <v>648</v>
      </c>
      <c r="B656" s="679"/>
      <c r="C656" s="494" t="s">
        <v>1328</v>
      </c>
      <c r="D656" s="496"/>
      <c r="E656" s="689"/>
      <c r="F656" s="689"/>
      <c r="G656" s="689"/>
      <c r="H656" s="689" t="s">
        <v>1609</v>
      </c>
      <c r="I656" s="689"/>
      <c r="J656" s="689"/>
      <c r="K656" s="689"/>
      <c r="L656" s="691"/>
    </row>
    <row r="657" spans="1:12" ht="29">
      <c r="A657" s="687">
        <f t="shared" si="13"/>
        <v>649</v>
      </c>
      <c r="B657" s="679"/>
      <c r="C657" s="494" t="s">
        <v>1330</v>
      </c>
      <c r="D657" s="496"/>
      <c r="E657" s="689"/>
      <c r="F657" s="689"/>
      <c r="G657" s="689"/>
      <c r="H657" s="689" t="s">
        <v>1609</v>
      </c>
      <c r="I657" s="689"/>
      <c r="J657" s="689"/>
      <c r="K657" s="689"/>
      <c r="L657" s="691"/>
    </row>
    <row r="658" spans="1:12">
      <c r="A658" s="687">
        <f t="shared" si="13"/>
        <v>650</v>
      </c>
      <c r="B658" s="679"/>
      <c r="C658" s="494" t="s">
        <v>1332</v>
      </c>
      <c r="D658" s="496"/>
      <c r="E658" s="689"/>
      <c r="F658" s="689"/>
      <c r="G658" s="689"/>
      <c r="H658" s="689" t="s">
        <v>1609</v>
      </c>
      <c r="I658" s="689"/>
      <c r="J658" s="689"/>
      <c r="K658" s="689"/>
      <c r="L658" s="691"/>
    </row>
    <row r="659" spans="1:12" ht="17.25" customHeight="1">
      <c r="A659" s="687">
        <f t="shared" si="13"/>
        <v>651</v>
      </c>
      <c r="B659" s="679"/>
      <c r="C659" s="494" t="s">
        <v>1334</v>
      </c>
      <c r="D659" s="496"/>
      <c r="E659" s="689"/>
      <c r="F659" s="689"/>
      <c r="G659" s="689"/>
      <c r="H659" s="689" t="s">
        <v>1609</v>
      </c>
      <c r="I659" s="689"/>
      <c r="J659" s="689"/>
      <c r="K659" s="689"/>
      <c r="L659" s="691"/>
    </row>
    <row r="660" spans="1:12">
      <c r="A660" s="687">
        <f t="shared" si="13"/>
        <v>652</v>
      </c>
      <c r="B660" s="679"/>
      <c r="C660" s="494" t="s">
        <v>1336</v>
      </c>
      <c r="D660" s="496"/>
      <c r="E660" s="689"/>
      <c r="F660" s="689"/>
      <c r="G660" s="689"/>
      <c r="H660" s="689" t="s">
        <v>1609</v>
      </c>
      <c r="I660" s="689"/>
      <c r="J660" s="689"/>
      <c r="K660" s="689"/>
      <c r="L660" s="691"/>
    </row>
    <row r="661" spans="1:12">
      <c r="A661" s="687">
        <f t="shared" si="13"/>
        <v>653</v>
      </c>
      <c r="B661" s="679"/>
      <c r="C661" s="494" t="s">
        <v>1338</v>
      </c>
      <c r="D661" s="496"/>
      <c r="E661" s="689"/>
      <c r="F661" s="689"/>
      <c r="G661" s="689"/>
      <c r="H661" s="689" t="s">
        <v>1609</v>
      </c>
      <c r="I661" s="689"/>
      <c r="J661" s="689"/>
      <c r="K661" s="689"/>
      <c r="L661" s="691"/>
    </row>
    <row r="662" spans="1:12">
      <c r="A662" s="687">
        <f t="shared" si="13"/>
        <v>654</v>
      </c>
      <c r="B662" s="679"/>
      <c r="C662" s="494" t="s">
        <v>1339</v>
      </c>
      <c r="D662" s="496"/>
      <c r="E662" s="689"/>
      <c r="F662" s="689"/>
      <c r="G662" s="689"/>
      <c r="H662" s="689" t="s">
        <v>1609</v>
      </c>
      <c r="I662" s="689"/>
      <c r="J662" s="689"/>
      <c r="K662" s="689"/>
      <c r="L662" s="691"/>
    </row>
    <row r="663" spans="1:12">
      <c r="A663" s="687">
        <f t="shared" si="13"/>
        <v>655</v>
      </c>
      <c r="B663" s="679"/>
      <c r="C663" s="494" t="s">
        <v>1341</v>
      </c>
      <c r="D663" s="496"/>
      <c r="E663" s="689"/>
      <c r="F663" s="689"/>
      <c r="G663" s="689"/>
      <c r="H663" s="689" t="s">
        <v>1609</v>
      </c>
      <c r="I663" s="689"/>
      <c r="J663" s="689"/>
      <c r="K663" s="689"/>
      <c r="L663" s="691"/>
    </row>
    <row r="664" spans="1:12">
      <c r="A664" s="687">
        <f t="shared" si="13"/>
        <v>656</v>
      </c>
      <c r="B664" s="679"/>
      <c r="C664" s="494" t="s">
        <v>1343</v>
      </c>
      <c r="D664" s="496"/>
      <c r="E664" s="689"/>
      <c r="F664" s="689"/>
      <c r="G664" s="689"/>
      <c r="H664" s="689" t="s">
        <v>1609</v>
      </c>
      <c r="I664" s="689"/>
      <c r="J664" s="689"/>
      <c r="K664" s="689"/>
      <c r="L664" s="691"/>
    </row>
    <row r="665" spans="1:12">
      <c r="A665" s="687">
        <f t="shared" si="13"/>
        <v>657</v>
      </c>
      <c r="B665" s="679"/>
      <c r="C665" s="494" t="s">
        <v>1345</v>
      </c>
      <c r="D665" s="496"/>
      <c r="E665" s="689"/>
      <c r="F665" s="689"/>
      <c r="G665" s="689"/>
      <c r="H665" s="689" t="s">
        <v>1609</v>
      </c>
      <c r="I665" s="689"/>
      <c r="J665" s="689"/>
      <c r="K665" s="689"/>
      <c r="L665" s="691"/>
    </row>
    <row r="666" spans="1:12" ht="29">
      <c r="A666" s="687">
        <f t="shared" si="13"/>
        <v>658</v>
      </c>
      <c r="B666" s="679"/>
      <c r="C666" s="494" t="s">
        <v>1347</v>
      </c>
      <c r="D666" s="496"/>
      <c r="E666" s="689"/>
      <c r="F666" s="689"/>
      <c r="G666" s="689"/>
      <c r="H666" s="689" t="s">
        <v>1609</v>
      </c>
      <c r="I666" s="689"/>
      <c r="J666" s="689"/>
      <c r="K666" s="689"/>
      <c r="L666" s="691"/>
    </row>
    <row r="667" spans="1:12">
      <c r="A667" s="687">
        <f t="shared" si="13"/>
        <v>659</v>
      </c>
      <c r="B667" s="679"/>
      <c r="C667" s="494" t="s">
        <v>1351</v>
      </c>
      <c r="D667" s="496"/>
      <c r="E667" s="689"/>
      <c r="F667" s="689"/>
      <c r="G667" s="689"/>
      <c r="H667" s="689" t="s">
        <v>1609</v>
      </c>
      <c r="I667" s="689"/>
      <c r="J667" s="689"/>
      <c r="K667" s="689"/>
      <c r="L667" s="691"/>
    </row>
    <row r="668" spans="1:12">
      <c r="A668" s="687">
        <f t="shared" si="13"/>
        <v>660</v>
      </c>
      <c r="B668" s="679"/>
      <c r="C668" s="494" t="s">
        <v>1353</v>
      </c>
      <c r="D668" s="496"/>
      <c r="E668" s="689"/>
      <c r="F668" s="689"/>
      <c r="G668" s="689"/>
      <c r="H668" s="689" t="s">
        <v>1609</v>
      </c>
      <c r="I668" s="689"/>
      <c r="J668" s="689"/>
      <c r="K668" s="689"/>
      <c r="L668" s="691"/>
    </row>
    <row r="669" spans="1:12">
      <c r="A669" s="687">
        <f t="shared" si="13"/>
        <v>661</v>
      </c>
      <c r="B669" s="679"/>
      <c r="C669" s="494" t="s">
        <v>944</v>
      </c>
      <c r="D669" s="496" t="s">
        <v>2143</v>
      </c>
      <c r="E669" s="689"/>
      <c r="F669" s="689"/>
      <c r="G669" s="689"/>
      <c r="H669" s="689" t="s">
        <v>1609</v>
      </c>
      <c r="I669" s="689"/>
      <c r="J669" s="689"/>
      <c r="K669" s="689"/>
      <c r="L669" s="691"/>
    </row>
    <row r="670" spans="1:12">
      <c r="A670" s="687">
        <f t="shared" si="13"/>
        <v>662</v>
      </c>
      <c r="B670" s="679"/>
      <c r="C670" s="494" t="s">
        <v>1355</v>
      </c>
      <c r="D670" s="496"/>
      <c r="E670" s="689"/>
      <c r="F670" s="689"/>
      <c r="G670" s="689"/>
      <c r="H670" s="689" t="s">
        <v>1609</v>
      </c>
      <c r="I670" s="689"/>
      <c r="J670" s="689"/>
      <c r="K670" s="689"/>
      <c r="L670" s="691"/>
    </row>
    <row r="671" spans="1:12">
      <c r="A671" s="687">
        <f t="shared" si="13"/>
        <v>663</v>
      </c>
      <c r="B671" s="679"/>
      <c r="C671" s="494" t="s">
        <v>1357</v>
      </c>
      <c r="D671" s="496"/>
      <c r="E671" s="689"/>
      <c r="F671" s="689"/>
      <c r="G671" s="689"/>
      <c r="H671" s="689" t="s">
        <v>1609</v>
      </c>
      <c r="I671" s="689"/>
      <c r="J671" s="689"/>
      <c r="K671" s="689"/>
      <c r="L671" s="691"/>
    </row>
    <row r="672" spans="1:12">
      <c r="A672" s="687">
        <f t="shared" si="13"/>
        <v>664</v>
      </c>
      <c r="B672" s="679"/>
      <c r="C672" s="494" t="s">
        <v>1359</v>
      </c>
      <c r="D672" s="496"/>
      <c r="E672" s="689"/>
      <c r="F672" s="689"/>
      <c r="G672" s="689"/>
      <c r="H672" s="689" t="s">
        <v>1609</v>
      </c>
      <c r="I672" s="689"/>
      <c r="J672" s="689"/>
      <c r="K672" s="689"/>
      <c r="L672" s="691"/>
    </row>
    <row r="673" spans="1:12">
      <c r="A673" s="687">
        <f t="shared" si="13"/>
        <v>665</v>
      </c>
      <c r="B673" s="679"/>
      <c r="C673" s="494" t="s">
        <v>950</v>
      </c>
      <c r="D673" s="496" t="s">
        <v>2153</v>
      </c>
      <c r="E673" s="689"/>
      <c r="F673" s="689"/>
      <c r="G673" s="689"/>
      <c r="H673" s="689" t="s">
        <v>1609</v>
      </c>
      <c r="I673" s="689"/>
      <c r="J673" s="689"/>
      <c r="K673" s="689"/>
      <c r="L673" s="691"/>
    </row>
    <row r="674" spans="1:12">
      <c r="A674" s="687">
        <f t="shared" si="13"/>
        <v>666</v>
      </c>
      <c r="B674" s="679"/>
      <c r="C674" s="494" t="s">
        <v>1360</v>
      </c>
      <c r="D674" s="496"/>
      <c r="E674" s="689"/>
      <c r="F674" s="689"/>
      <c r="G674" s="689"/>
      <c r="H674" s="689" t="s">
        <v>1609</v>
      </c>
      <c r="I674" s="689"/>
      <c r="J674" s="689"/>
      <c r="K674" s="689"/>
      <c r="L674" s="691"/>
    </row>
    <row r="675" spans="1:12">
      <c r="A675" s="687">
        <f t="shared" si="13"/>
        <v>667</v>
      </c>
      <c r="B675" s="679"/>
      <c r="C675" s="494" t="s">
        <v>1362</v>
      </c>
      <c r="D675" s="496"/>
      <c r="E675" s="689"/>
      <c r="F675" s="689"/>
      <c r="G675" s="689"/>
      <c r="H675" s="689" t="s">
        <v>1609</v>
      </c>
      <c r="I675" s="689"/>
      <c r="J675" s="689"/>
      <c r="K675" s="689"/>
      <c r="L675" s="691"/>
    </row>
    <row r="676" spans="1:12">
      <c r="A676" s="687">
        <f t="shared" si="13"/>
        <v>668</v>
      </c>
      <c r="B676" s="679"/>
      <c r="C676" s="494" t="s">
        <v>1364</v>
      </c>
      <c r="D676" s="496" t="s">
        <v>2154</v>
      </c>
      <c r="E676" s="689"/>
      <c r="F676" s="689"/>
      <c r="G676" s="689"/>
      <c r="H676" s="689" t="s">
        <v>1609</v>
      </c>
      <c r="I676" s="689"/>
      <c r="J676" s="689"/>
      <c r="K676" s="689"/>
      <c r="L676" s="691"/>
    </row>
    <row r="677" spans="1:12">
      <c r="A677" s="687">
        <f t="shared" si="13"/>
        <v>669</v>
      </c>
      <c r="B677" s="679"/>
      <c r="C677" s="494" t="s">
        <v>1366</v>
      </c>
      <c r="D677" s="496"/>
      <c r="E677" s="689"/>
      <c r="F677" s="689"/>
      <c r="G677" s="689"/>
      <c r="H677" s="689" t="s">
        <v>1609</v>
      </c>
      <c r="I677" s="689"/>
      <c r="J677" s="689"/>
      <c r="K677" s="689"/>
      <c r="L677" s="691"/>
    </row>
    <row r="678" spans="1:12">
      <c r="A678" s="687">
        <f t="shared" si="13"/>
        <v>670</v>
      </c>
      <c r="B678" s="679"/>
      <c r="C678" s="494" t="s">
        <v>1368</v>
      </c>
      <c r="D678" s="496"/>
      <c r="E678" s="689"/>
      <c r="F678" s="689"/>
      <c r="G678" s="689"/>
      <c r="H678" s="689" t="s">
        <v>1609</v>
      </c>
      <c r="I678" s="689"/>
      <c r="J678" s="689"/>
      <c r="K678" s="689"/>
      <c r="L678" s="691"/>
    </row>
    <row r="679" spans="1:12">
      <c r="A679" s="687">
        <f t="shared" si="13"/>
        <v>671</v>
      </c>
      <c r="B679" s="679"/>
      <c r="C679" s="494" t="s">
        <v>1370</v>
      </c>
      <c r="D679" s="496"/>
      <c r="E679" s="689"/>
      <c r="F679" s="689"/>
      <c r="G679" s="689"/>
      <c r="H679" s="689" t="s">
        <v>1609</v>
      </c>
      <c r="I679" s="689"/>
      <c r="J679" s="689"/>
      <c r="K679" s="689"/>
      <c r="L679" s="691"/>
    </row>
    <row r="680" spans="1:12">
      <c r="A680" s="687">
        <f t="shared" si="13"/>
        <v>672</v>
      </c>
      <c r="B680" s="679"/>
      <c r="C680" s="494" t="s">
        <v>1372</v>
      </c>
      <c r="D680" s="496"/>
      <c r="E680" s="689"/>
      <c r="F680" s="689"/>
      <c r="G680" s="689"/>
      <c r="H680" s="689" t="s">
        <v>1609</v>
      </c>
      <c r="I680" s="689"/>
      <c r="J680" s="689"/>
      <c r="K680" s="689"/>
      <c r="L680" s="691"/>
    </row>
    <row r="681" spans="1:12">
      <c r="A681" s="687">
        <f t="shared" si="13"/>
        <v>673</v>
      </c>
      <c r="B681" s="679"/>
      <c r="C681" s="494" t="s">
        <v>1374</v>
      </c>
      <c r="D681" s="496"/>
      <c r="E681" s="689"/>
      <c r="F681" s="689"/>
      <c r="G681" s="689"/>
      <c r="H681" s="689" t="s">
        <v>1609</v>
      </c>
      <c r="I681" s="689"/>
      <c r="J681" s="689"/>
      <c r="K681" s="689"/>
      <c r="L681" s="691"/>
    </row>
    <row r="682" spans="1:12">
      <c r="A682" s="687">
        <f t="shared" si="13"/>
        <v>674</v>
      </c>
      <c r="B682" s="679"/>
      <c r="C682" s="494" t="s">
        <v>1376</v>
      </c>
      <c r="D682" s="496"/>
      <c r="E682" s="689"/>
      <c r="F682" s="689"/>
      <c r="G682" s="689"/>
      <c r="H682" s="689" t="s">
        <v>1609</v>
      </c>
      <c r="I682" s="689"/>
      <c r="J682" s="689"/>
      <c r="K682" s="689"/>
      <c r="L682" s="691"/>
    </row>
    <row r="683" spans="1:12">
      <c r="A683" s="687">
        <f t="shared" si="13"/>
        <v>675</v>
      </c>
      <c r="B683" s="679"/>
      <c r="C683" s="494" t="s">
        <v>1378</v>
      </c>
      <c r="D683" s="496"/>
      <c r="E683" s="689"/>
      <c r="F683" s="689"/>
      <c r="G683" s="689"/>
      <c r="H683" s="689" t="s">
        <v>1609</v>
      </c>
      <c r="I683" s="689"/>
      <c r="J683" s="689"/>
      <c r="K683" s="689"/>
      <c r="L683" s="691"/>
    </row>
    <row r="684" spans="1:12">
      <c r="A684" s="687">
        <f t="shared" si="13"/>
        <v>676</v>
      </c>
      <c r="B684" s="679"/>
      <c r="C684" s="494" t="s">
        <v>1380</v>
      </c>
      <c r="D684" s="496"/>
      <c r="E684" s="689"/>
      <c r="F684" s="689"/>
      <c r="G684" s="689"/>
      <c r="H684" s="689" t="s">
        <v>1609</v>
      </c>
      <c r="I684" s="689"/>
      <c r="J684" s="689"/>
      <c r="K684" s="689"/>
      <c r="L684" s="691"/>
    </row>
    <row r="685" spans="1:12">
      <c r="A685" s="687">
        <f t="shared" si="13"/>
        <v>677</v>
      </c>
      <c r="B685" s="679"/>
      <c r="C685" s="494" t="s">
        <v>1382</v>
      </c>
      <c r="D685" s="496"/>
      <c r="E685" s="689"/>
      <c r="F685" s="689"/>
      <c r="G685" s="689"/>
      <c r="H685" s="689" t="s">
        <v>1609</v>
      </c>
      <c r="I685" s="689"/>
      <c r="J685" s="689"/>
      <c r="K685" s="689"/>
      <c r="L685" s="691"/>
    </row>
    <row r="686" spans="1:12">
      <c r="A686" s="687">
        <f t="shared" si="13"/>
        <v>678</v>
      </c>
      <c r="B686" s="679"/>
      <c r="C686" s="494" t="s">
        <v>1384</v>
      </c>
      <c r="D686" s="496"/>
      <c r="E686" s="689"/>
      <c r="F686" s="689"/>
      <c r="G686" s="689"/>
      <c r="H686" s="689" t="s">
        <v>1609</v>
      </c>
      <c r="I686" s="689"/>
      <c r="J686" s="689"/>
      <c r="K686" s="689"/>
      <c r="L686" s="691"/>
    </row>
    <row r="687" spans="1:12">
      <c r="A687" s="687">
        <f t="shared" si="13"/>
        <v>679</v>
      </c>
      <c r="B687" s="679"/>
      <c r="C687" s="494" t="s">
        <v>1386</v>
      </c>
      <c r="D687" s="496"/>
      <c r="E687" s="689"/>
      <c r="F687" s="689"/>
      <c r="G687" s="689"/>
      <c r="H687" s="689" t="s">
        <v>1609</v>
      </c>
      <c r="I687" s="689"/>
      <c r="J687" s="689"/>
      <c r="K687" s="689"/>
      <c r="L687" s="691"/>
    </row>
    <row r="688" spans="1:12">
      <c r="A688" s="687">
        <f t="shared" si="13"/>
        <v>680</v>
      </c>
      <c r="B688" s="679"/>
      <c r="C688" s="494" t="s">
        <v>1388</v>
      </c>
      <c r="D688" s="496"/>
      <c r="E688" s="689"/>
      <c r="F688" s="689"/>
      <c r="G688" s="689"/>
      <c r="H688" s="689" t="s">
        <v>1609</v>
      </c>
      <c r="I688" s="689"/>
      <c r="J688" s="689"/>
      <c r="K688" s="689"/>
      <c r="L688" s="691"/>
    </row>
    <row r="689" spans="1:12">
      <c r="A689" s="687">
        <f t="shared" si="13"/>
        <v>681</v>
      </c>
      <c r="B689" s="679"/>
      <c r="C689" s="494" t="s">
        <v>1390</v>
      </c>
      <c r="D689" s="496"/>
      <c r="E689" s="689"/>
      <c r="F689" s="689"/>
      <c r="G689" s="689"/>
      <c r="H689" s="689" t="s">
        <v>1609</v>
      </c>
      <c r="I689" s="689"/>
      <c r="J689" s="689"/>
      <c r="K689" s="689"/>
      <c r="L689" s="691"/>
    </row>
    <row r="690" spans="1:12">
      <c r="A690" s="687">
        <f t="shared" si="13"/>
        <v>682</v>
      </c>
      <c r="B690" s="679"/>
      <c r="C690" s="494" t="s">
        <v>1392</v>
      </c>
      <c r="D690" s="496"/>
      <c r="E690" s="689"/>
      <c r="F690" s="689"/>
      <c r="G690" s="689"/>
      <c r="H690" s="689" t="s">
        <v>1609</v>
      </c>
      <c r="I690" s="689"/>
      <c r="J690" s="689"/>
      <c r="K690" s="689"/>
      <c r="L690" s="691"/>
    </row>
    <row r="691" spans="1:12">
      <c r="A691" s="687">
        <f t="shared" si="13"/>
        <v>683</v>
      </c>
      <c r="B691" s="679"/>
      <c r="C691" s="494" t="s">
        <v>1394</v>
      </c>
      <c r="D691" s="496"/>
      <c r="E691" s="689"/>
      <c r="F691" s="689"/>
      <c r="G691" s="689"/>
      <c r="H691" s="689" t="s">
        <v>1609</v>
      </c>
      <c r="I691" s="689"/>
      <c r="J691" s="689"/>
      <c r="K691" s="689"/>
      <c r="L691" s="691"/>
    </row>
    <row r="692" spans="1:12" ht="29">
      <c r="A692" s="687">
        <f t="shared" si="13"/>
        <v>684</v>
      </c>
      <c r="B692" s="679"/>
      <c r="C692" s="494" t="s">
        <v>1396</v>
      </c>
      <c r="D692" s="496"/>
      <c r="E692" s="689"/>
      <c r="F692" s="689"/>
      <c r="G692" s="689"/>
      <c r="H692" s="689" t="s">
        <v>1609</v>
      </c>
      <c r="I692" s="689"/>
      <c r="J692" s="689"/>
      <c r="K692" s="689"/>
      <c r="L692" s="691"/>
    </row>
    <row r="693" spans="1:12" ht="16.5" customHeight="1">
      <c r="A693" s="687">
        <f t="shared" si="13"/>
        <v>685</v>
      </c>
      <c r="B693" s="679"/>
      <c r="C693" s="494" t="s">
        <v>1398</v>
      </c>
      <c r="D693" s="496"/>
      <c r="E693" s="689"/>
      <c r="F693" s="689"/>
      <c r="G693" s="689"/>
      <c r="H693" s="689" t="s">
        <v>1609</v>
      </c>
      <c r="I693" s="689"/>
      <c r="J693" s="689"/>
      <c r="K693" s="689"/>
      <c r="L693" s="691"/>
    </row>
    <row r="694" spans="1:12">
      <c r="A694" s="687">
        <f t="shared" si="13"/>
        <v>686</v>
      </c>
      <c r="B694" s="679"/>
      <c r="C694" s="494" t="s">
        <v>1399</v>
      </c>
      <c r="D694" s="496"/>
      <c r="E694" s="689"/>
      <c r="F694" s="689"/>
      <c r="G694" s="689"/>
      <c r="H694" s="689" t="s">
        <v>1609</v>
      </c>
      <c r="I694" s="689"/>
      <c r="J694" s="689"/>
      <c r="K694" s="689"/>
      <c r="L694" s="691"/>
    </row>
    <row r="695" spans="1:12">
      <c r="A695" s="687">
        <f t="shared" si="13"/>
        <v>687</v>
      </c>
      <c r="B695" s="679"/>
      <c r="C695" s="494" t="s">
        <v>966</v>
      </c>
      <c r="D695" s="496" t="s">
        <v>2155</v>
      </c>
      <c r="E695" s="689"/>
      <c r="F695" s="689"/>
      <c r="G695" s="689"/>
      <c r="H695" s="689" t="s">
        <v>1609</v>
      </c>
      <c r="I695" s="689"/>
      <c r="J695" s="689"/>
      <c r="K695" s="689"/>
      <c r="L695" s="691"/>
    </row>
    <row r="696" spans="1:12">
      <c r="A696" s="687">
        <f t="shared" si="13"/>
        <v>688</v>
      </c>
      <c r="B696" s="679"/>
      <c r="C696" s="494" t="s">
        <v>968</v>
      </c>
      <c r="D696" s="496" t="s">
        <v>2143</v>
      </c>
      <c r="E696" s="689"/>
      <c r="F696" s="689"/>
      <c r="G696" s="689"/>
      <c r="H696" s="689" t="s">
        <v>1609</v>
      </c>
      <c r="I696" s="689"/>
      <c r="J696" s="689"/>
      <c r="K696" s="689"/>
      <c r="L696" s="691"/>
    </row>
    <row r="697" spans="1:12">
      <c r="A697" s="687">
        <f t="shared" si="13"/>
        <v>689</v>
      </c>
      <c r="B697" s="679"/>
      <c r="C697" s="494" t="s">
        <v>1401</v>
      </c>
      <c r="D697" s="496"/>
      <c r="E697" s="689"/>
      <c r="F697" s="689"/>
      <c r="G697" s="689"/>
      <c r="H697" s="689" t="s">
        <v>1609</v>
      </c>
      <c r="I697" s="689"/>
      <c r="J697" s="689"/>
      <c r="K697" s="689"/>
      <c r="L697" s="691"/>
    </row>
    <row r="698" spans="1:12">
      <c r="A698" s="687">
        <f t="shared" si="13"/>
        <v>690</v>
      </c>
      <c r="B698" s="679" t="s">
        <v>969</v>
      </c>
      <c r="C698" s="494" t="s">
        <v>2156</v>
      </c>
      <c r="D698" s="496" t="s">
        <v>2157</v>
      </c>
      <c r="E698" s="689"/>
      <c r="F698" s="689"/>
      <c r="G698" s="689"/>
      <c r="H698" s="689" t="s">
        <v>1609</v>
      </c>
      <c r="I698" s="689"/>
      <c r="J698" s="689"/>
      <c r="K698" s="689"/>
      <c r="L698" s="691"/>
    </row>
    <row r="699" spans="1:12" ht="17.25" customHeight="1">
      <c r="A699" s="687">
        <f t="shared" si="13"/>
        <v>691</v>
      </c>
      <c r="B699" s="679"/>
      <c r="C699" s="494" t="s">
        <v>1403</v>
      </c>
      <c r="D699" s="496"/>
      <c r="E699" s="689"/>
      <c r="F699" s="689"/>
      <c r="G699" s="689"/>
      <c r="H699" s="689" t="s">
        <v>1609</v>
      </c>
      <c r="I699" s="689"/>
      <c r="J699" s="689"/>
      <c r="K699" s="689"/>
      <c r="L699" s="691"/>
    </row>
    <row r="700" spans="1:12">
      <c r="A700" s="687">
        <f t="shared" ref="A700:A763" si="14">A699+1</f>
        <v>692</v>
      </c>
      <c r="B700" s="679"/>
      <c r="C700" s="494" t="s">
        <v>1405</v>
      </c>
      <c r="D700" s="496"/>
      <c r="E700" s="689"/>
      <c r="F700" s="689"/>
      <c r="G700" s="689"/>
      <c r="H700" s="689" t="s">
        <v>1609</v>
      </c>
      <c r="I700" s="689"/>
      <c r="J700" s="689"/>
      <c r="K700" s="689"/>
      <c r="L700" s="691"/>
    </row>
    <row r="701" spans="1:12">
      <c r="A701" s="687">
        <f t="shared" si="14"/>
        <v>693</v>
      </c>
      <c r="B701" s="679"/>
      <c r="C701" s="494" t="s">
        <v>1407</v>
      </c>
      <c r="D701" s="496"/>
      <c r="E701" s="689"/>
      <c r="F701" s="689"/>
      <c r="G701" s="689"/>
      <c r="H701" s="689" t="s">
        <v>1609</v>
      </c>
      <c r="I701" s="689"/>
      <c r="J701" s="689"/>
      <c r="K701" s="689"/>
      <c r="L701" s="691"/>
    </row>
    <row r="702" spans="1:12">
      <c r="A702" s="687">
        <f t="shared" si="14"/>
        <v>694</v>
      </c>
      <c r="B702" s="679"/>
      <c r="C702" s="494" t="s">
        <v>1409</v>
      </c>
      <c r="D702" s="496"/>
      <c r="E702" s="689"/>
      <c r="F702" s="689"/>
      <c r="G702" s="689"/>
      <c r="H702" s="689" t="s">
        <v>1609</v>
      </c>
      <c r="I702" s="689"/>
      <c r="J702" s="689"/>
      <c r="K702" s="689"/>
      <c r="L702" s="691"/>
    </row>
    <row r="703" spans="1:12">
      <c r="A703" s="687">
        <f t="shared" si="14"/>
        <v>695</v>
      </c>
      <c r="B703" s="679"/>
      <c r="C703" s="494" t="s">
        <v>1411</v>
      </c>
      <c r="D703" s="496"/>
      <c r="E703" s="689"/>
      <c r="F703" s="689"/>
      <c r="G703" s="689"/>
      <c r="H703" s="689" t="s">
        <v>1609</v>
      </c>
      <c r="I703" s="689"/>
      <c r="J703" s="689"/>
      <c r="K703" s="689"/>
      <c r="L703" s="691"/>
    </row>
    <row r="704" spans="1:12">
      <c r="A704" s="687">
        <f t="shared" si="14"/>
        <v>696</v>
      </c>
      <c r="B704" s="679"/>
      <c r="C704" s="494" t="s">
        <v>2158</v>
      </c>
      <c r="D704" s="496"/>
      <c r="E704" s="689"/>
      <c r="F704" s="689"/>
      <c r="G704" s="689"/>
      <c r="H704" s="689" t="s">
        <v>1609</v>
      </c>
      <c r="I704" s="689"/>
      <c r="J704" s="689"/>
      <c r="K704" s="689"/>
      <c r="L704" s="691"/>
    </row>
    <row r="705" spans="1:12">
      <c r="A705" s="687">
        <f t="shared" si="14"/>
        <v>697</v>
      </c>
      <c r="B705" s="679"/>
      <c r="C705" s="494" t="s">
        <v>1413</v>
      </c>
      <c r="D705" s="496"/>
      <c r="E705" s="689"/>
      <c r="F705" s="689"/>
      <c r="G705" s="689"/>
      <c r="H705" s="689" t="s">
        <v>1609</v>
      </c>
      <c r="I705" s="689"/>
      <c r="J705" s="689"/>
      <c r="K705" s="689"/>
      <c r="L705" s="691"/>
    </row>
    <row r="706" spans="1:12">
      <c r="A706" s="687">
        <f t="shared" si="14"/>
        <v>698</v>
      </c>
      <c r="B706" s="679"/>
      <c r="C706" s="494" t="s">
        <v>1415</v>
      </c>
      <c r="D706" s="496"/>
      <c r="E706" s="689"/>
      <c r="F706" s="689"/>
      <c r="G706" s="689"/>
      <c r="H706" s="689" t="s">
        <v>1609</v>
      </c>
      <c r="I706" s="689"/>
      <c r="J706" s="689"/>
      <c r="K706" s="689"/>
      <c r="L706" s="691"/>
    </row>
    <row r="707" spans="1:12" ht="29">
      <c r="A707" s="687">
        <f t="shared" si="14"/>
        <v>699</v>
      </c>
      <c r="B707" s="679"/>
      <c r="C707" s="494" t="s">
        <v>1417</v>
      </c>
      <c r="D707" s="496"/>
      <c r="E707" s="689"/>
      <c r="F707" s="689"/>
      <c r="G707" s="689"/>
      <c r="H707" s="689" t="s">
        <v>1609</v>
      </c>
      <c r="I707" s="689"/>
      <c r="J707" s="689"/>
      <c r="K707" s="689"/>
      <c r="L707" s="691"/>
    </row>
    <row r="708" spans="1:12">
      <c r="A708" s="687">
        <f t="shared" si="14"/>
        <v>700</v>
      </c>
      <c r="B708" s="679"/>
      <c r="C708" s="494" t="s">
        <v>1419</v>
      </c>
      <c r="D708" s="496"/>
      <c r="E708" s="689"/>
      <c r="F708" s="689"/>
      <c r="G708" s="689"/>
      <c r="H708" s="689" t="s">
        <v>1609</v>
      </c>
      <c r="I708" s="689"/>
      <c r="J708" s="689"/>
      <c r="K708" s="689"/>
      <c r="L708" s="691"/>
    </row>
    <row r="709" spans="1:12">
      <c r="A709" s="687">
        <f t="shared" si="14"/>
        <v>701</v>
      </c>
      <c r="B709" s="679"/>
      <c r="C709" s="494" t="s">
        <v>1421</v>
      </c>
      <c r="D709" s="496"/>
      <c r="E709" s="689"/>
      <c r="F709" s="689"/>
      <c r="G709" s="689"/>
      <c r="H709" s="689" t="s">
        <v>1609</v>
      </c>
      <c r="I709" s="689"/>
      <c r="J709" s="689"/>
      <c r="K709" s="689"/>
      <c r="L709" s="691"/>
    </row>
    <row r="710" spans="1:12">
      <c r="A710" s="687">
        <f t="shared" si="14"/>
        <v>702</v>
      </c>
      <c r="B710" s="679"/>
      <c r="C710" s="494" t="s">
        <v>1423</v>
      </c>
      <c r="D710" s="496"/>
      <c r="E710" s="689"/>
      <c r="F710" s="689"/>
      <c r="G710" s="689"/>
      <c r="H710" s="689" t="s">
        <v>1609</v>
      </c>
      <c r="I710" s="689"/>
      <c r="J710" s="689"/>
      <c r="K710" s="689"/>
      <c r="L710" s="691"/>
    </row>
    <row r="711" spans="1:12">
      <c r="A711" s="687">
        <f t="shared" si="14"/>
        <v>703</v>
      </c>
      <c r="B711" s="679"/>
      <c r="C711" s="494" t="s">
        <v>1425</v>
      </c>
      <c r="D711" s="496"/>
      <c r="E711" s="689"/>
      <c r="F711" s="689"/>
      <c r="G711" s="689"/>
      <c r="H711" s="689" t="s">
        <v>1609</v>
      </c>
      <c r="I711" s="689"/>
      <c r="J711" s="689"/>
      <c r="K711" s="689"/>
      <c r="L711" s="691"/>
    </row>
    <row r="712" spans="1:12">
      <c r="A712" s="687">
        <f t="shared" si="14"/>
        <v>704</v>
      </c>
      <c r="B712" s="679"/>
      <c r="C712" s="494" t="s">
        <v>1427</v>
      </c>
      <c r="D712" s="496"/>
      <c r="E712" s="689"/>
      <c r="F712" s="689"/>
      <c r="G712" s="689"/>
      <c r="H712" s="689" t="s">
        <v>1609</v>
      </c>
      <c r="I712" s="689"/>
      <c r="J712" s="689"/>
      <c r="K712" s="689"/>
      <c r="L712" s="691"/>
    </row>
    <row r="713" spans="1:12" ht="29">
      <c r="A713" s="687">
        <f t="shared" si="14"/>
        <v>705</v>
      </c>
      <c r="B713" s="679"/>
      <c r="C713" s="494" t="s">
        <v>1429</v>
      </c>
      <c r="D713" s="496"/>
      <c r="E713" s="689"/>
      <c r="F713" s="689"/>
      <c r="G713" s="689"/>
      <c r="H713" s="689" t="s">
        <v>1609</v>
      </c>
      <c r="I713" s="689"/>
      <c r="J713" s="689"/>
      <c r="K713" s="689"/>
      <c r="L713" s="691"/>
    </row>
    <row r="714" spans="1:12">
      <c r="A714" s="687">
        <f t="shared" si="14"/>
        <v>706</v>
      </c>
      <c r="B714" s="679"/>
      <c r="C714" s="494" t="s">
        <v>1431</v>
      </c>
      <c r="D714" s="496"/>
      <c r="E714" s="689"/>
      <c r="F714" s="689"/>
      <c r="G714" s="689"/>
      <c r="H714" s="689" t="s">
        <v>1609</v>
      </c>
      <c r="I714" s="689"/>
      <c r="J714" s="689"/>
      <c r="K714" s="689"/>
      <c r="L714" s="691"/>
    </row>
    <row r="715" spans="1:12">
      <c r="A715" s="687">
        <f t="shared" si="14"/>
        <v>707</v>
      </c>
      <c r="B715" s="679"/>
      <c r="C715" s="494" t="s">
        <v>1433</v>
      </c>
      <c r="D715" s="496"/>
      <c r="E715" s="689"/>
      <c r="F715" s="689"/>
      <c r="G715" s="689"/>
      <c r="H715" s="689" t="s">
        <v>1609</v>
      </c>
      <c r="I715" s="689"/>
      <c r="J715" s="689"/>
      <c r="K715" s="689"/>
      <c r="L715" s="691"/>
    </row>
    <row r="716" spans="1:12">
      <c r="A716" s="687">
        <f t="shared" si="14"/>
        <v>708</v>
      </c>
      <c r="B716" s="679"/>
      <c r="C716" s="494" t="s">
        <v>1435</v>
      </c>
      <c r="D716" s="496"/>
      <c r="E716" s="689"/>
      <c r="F716" s="689"/>
      <c r="G716" s="689"/>
      <c r="H716" s="689" t="s">
        <v>1609</v>
      </c>
      <c r="I716" s="689"/>
      <c r="J716" s="689"/>
      <c r="K716" s="689"/>
      <c r="L716" s="691"/>
    </row>
    <row r="717" spans="1:12">
      <c r="A717" s="687">
        <f t="shared" si="14"/>
        <v>709</v>
      </c>
      <c r="B717" s="679"/>
      <c r="C717" s="494" t="s">
        <v>1437</v>
      </c>
      <c r="D717" s="496"/>
      <c r="E717" s="689"/>
      <c r="F717" s="689"/>
      <c r="G717" s="689"/>
      <c r="H717" s="689" t="s">
        <v>1609</v>
      </c>
      <c r="I717" s="689"/>
      <c r="J717" s="689"/>
      <c r="K717" s="689"/>
      <c r="L717" s="691"/>
    </row>
    <row r="718" spans="1:12">
      <c r="A718" s="687">
        <f t="shared" si="14"/>
        <v>710</v>
      </c>
      <c r="B718" s="679"/>
      <c r="C718" s="494" t="s">
        <v>1441</v>
      </c>
      <c r="D718" s="496"/>
      <c r="E718" s="689"/>
      <c r="F718" s="689"/>
      <c r="G718" s="689"/>
      <c r="H718" s="689" t="s">
        <v>1609</v>
      </c>
      <c r="I718" s="689"/>
      <c r="J718" s="689"/>
      <c r="K718" s="689"/>
      <c r="L718" s="691"/>
    </row>
    <row r="719" spans="1:12">
      <c r="A719" s="687">
        <f t="shared" si="14"/>
        <v>711</v>
      </c>
      <c r="B719" s="679"/>
      <c r="C719" s="494" t="s">
        <v>1443</v>
      </c>
      <c r="D719" s="496" t="s">
        <v>2159</v>
      </c>
      <c r="E719" s="689"/>
      <c r="F719" s="689"/>
      <c r="G719" s="689"/>
      <c r="H719" s="689" t="s">
        <v>1609</v>
      </c>
      <c r="I719" s="689"/>
      <c r="J719" s="689"/>
      <c r="K719" s="689"/>
      <c r="L719" s="691"/>
    </row>
    <row r="720" spans="1:12">
      <c r="A720" s="687">
        <f t="shared" si="14"/>
        <v>712</v>
      </c>
      <c r="B720" s="679"/>
      <c r="C720" s="494" t="s">
        <v>1445</v>
      </c>
      <c r="D720" s="496"/>
      <c r="E720" s="689"/>
      <c r="F720" s="689"/>
      <c r="G720" s="689"/>
      <c r="H720" s="689" t="s">
        <v>1609</v>
      </c>
      <c r="I720" s="689"/>
      <c r="J720" s="689"/>
      <c r="K720" s="689"/>
      <c r="L720" s="691"/>
    </row>
    <row r="721" spans="1:12">
      <c r="A721" s="687">
        <f t="shared" si="14"/>
        <v>713</v>
      </c>
      <c r="B721" s="679"/>
      <c r="C721" s="494" t="s">
        <v>1447</v>
      </c>
      <c r="D721" s="496"/>
      <c r="E721" s="689"/>
      <c r="F721" s="689"/>
      <c r="G721" s="689"/>
      <c r="H721" s="689" t="s">
        <v>1609</v>
      </c>
      <c r="I721" s="689"/>
      <c r="J721" s="689"/>
      <c r="K721" s="689"/>
      <c r="L721" s="691"/>
    </row>
    <row r="722" spans="1:12">
      <c r="A722" s="687">
        <f t="shared" si="14"/>
        <v>714</v>
      </c>
      <c r="B722" s="679"/>
      <c r="C722" s="494" t="s">
        <v>1449</v>
      </c>
      <c r="D722" s="496"/>
      <c r="E722" s="689"/>
      <c r="F722" s="689"/>
      <c r="G722" s="689"/>
      <c r="H722" s="689" t="s">
        <v>1609</v>
      </c>
      <c r="I722" s="689"/>
      <c r="J722" s="689"/>
      <c r="K722" s="689"/>
      <c r="L722" s="691"/>
    </row>
    <row r="723" spans="1:12">
      <c r="A723" s="687">
        <f t="shared" si="14"/>
        <v>715</v>
      </c>
      <c r="B723" s="679"/>
      <c r="C723" s="494" t="s">
        <v>1451</v>
      </c>
      <c r="D723" s="496"/>
      <c r="E723" s="689"/>
      <c r="F723" s="689"/>
      <c r="G723" s="689"/>
      <c r="H723" s="689" t="s">
        <v>1609</v>
      </c>
      <c r="I723" s="689"/>
      <c r="J723" s="689"/>
      <c r="K723" s="689"/>
      <c r="L723" s="691"/>
    </row>
    <row r="724" spans="1:12" ht="29">
      <c r="A724" s="687">
        <f t="shared" si="14"/>
        <v>716</v>
      </c>
      <c r="B724" s="679"/>
      <c r="C724" s="494" t="s">
        <v>1453</v>
      </c>
      <c r="D724" s="496"/>
      <c r="E724" s="689"/>
      <c r="F724" s="689"/>
      <c r="G724" s="689"/>
      <c r="H724" s="689" t="s">
        <v>1609</v>
      </c>
      <c r="I724" s="689"/>
      <c r="J724" s="689"/>
      <c r="K724" s="689"/>
      <c r="L724" s="691"/>
    </row>
    <row r="725" spans="1:12" ht="29">
      <c r="A725" s="687">
        <f t="shared" si="14"/>
        <v>717</v>
      </c>
      <c r="B725" s="679"/>
      <c r="C725" s="494" t="s">
        <v>1455</v>
      </c>
      <c r="D725" s="496"/>
      <c r="E725" s="689"/>
      <c r="F725" s="689"/>
      <c r="G725" s="689"/>
      <c r="H725" s="689" t="s">
        <v>1609</v>
      </c>
      <c r="I725" s="689"/>
      <c r="J725" s="689"/>
      <c r="K725" s="689"/>
      <c r="L725" s="691"/>
    </row>
    <row r="726" spans="1:12">
      <c r="A726" s="687">
        <f t="shared" si="14"/>
        <v>718</v>
      </c>
      <c r="B726" s="679"/>
      <c r="C726" s="494" t="s">
        <v>1457</v>
      </c>
      <c r="D726" s="496"/>
      <c r="E726" s="689"/>
      <c r="F726" s="689"/>
      <c r="G726" s="689"/>
      <c r="H726" s="689" t="s">
        <v>1609</v>
      </c>
      <c r="I726" s="689"/>
      <c r="J726" s="689"/>
      <c r="K726" s="689"/>
      <c r="L726" s="691"/>
    </row>
    <row r="727" spans="1:12">
      <c r="A727" s="687">
        <f t="shared" si="14"/>
        <v>719</v>
      </c>
      <c r="B727" s="679"/>
      <c r="C727" s="494" t="s">
        <v>1459</v>
      </c>
      <c r="D727" s="496"/>
      <c r="E727" s="689"/>
      <c r="F727" s="689"/>
      <c r="G727" s="689"/>
      <c r="H727" s="689" t="s">
        <v>1609</v>
      </c>
      <c r="I727" s="689"/>
      <c r="J727" s="689"/>
      <c r="K727" s="689"/>
      <c r="L727" s="691"/>
    </row>
    <row r="728" spans="1:12">
      <c r="A728" s="687">
        <f t="shared" si="14"/>
        <v>720</v>
      </c>
      <c r="B728" s="679"/>
      <c r="C728" s="494" t="s">
        <v>1461</v>
      </c>
      <c r="D728" s="496"/>
      <c r="E728" s="689"/>
      <c r="F728" s="689"/>
      <c r="G728" s="689"/>
      <c r="H728" s="689" t="s">
        <v>1609</v>
      </c>
      <c r="I728" s="689"/>
      <c r="J728" s="689"/>
      <c r="K728" s="689"/>
      <c r="L728" s="691"/>
    </row>
    <row r="729" spans="1:12">
      <c r="A729" s="687">
        <f t="shared" si="14"/>
        <v>721</v>
      </c>
      <c r="B729" s="679"/>
      <c r="C729" s="494" t="s">
        <v>1463</v>
      </c>
      <c r="D729" s="496"/>
      <c r="E729" s="689"/>
      <c r="F729" s="689"/>
      <c r="G729" s="689"/>
      <c r="H729" s="689" t="s">
        <v>1609</v>
      </c>
      <c r="I729" s="689"/>
      <c r="J729" s="689"/>
      <c r="K729" s="689"/>
      <c r="L729" s="691"/>
    </row>
    <row r="730" spans="1:12">
      <c r="A730" s="687">
        <f t="shared" si="14"/>
        <v>722</v>
      </c>
      <c r="B730" s="679"/>
      <c r="C730" s="494" t="s">
        <v>1465</v>
      </c>
      <c r="D730" s="496"/>
      <c r="E730" s="689"/>
      <c r="F730" s="689"/>
      <c r="G730" s="689"/>
      <c r="H730" s="689" t="s">
        <v>1609</v>
      </c>
      <c r="I730" s="689"/>
      <c r="J730" s="689"/>
      <c r="K730" s="689"/>
      <c r="L730" s="691"/>
    </row>
    <row r="731" spans="1:12">
      <c r="A731" s="687">
        <f t="shared" si="14"/>
        <v>723</v>
      </c>
      <c r="B731" s="679" t="s">
        <v>1023</v>
      </c>
      <c r="C731" s="494" t="s">
        <v>2160</v>
      </c>
      <c r="D731" s="496" t="s">
        <v>2161</v>
      </c>
      <c r="E731" s="689"/>
      <c r="F731" s="689"/>
      <c r="G731" s="689"/>
      <c r="H731" s="689" t="s">
        <v>1609</v>
      </c>
      <c r="I731" s="689"/>
      <c r="J731" s="689"/>
      <c r="K731" s="689"/>
      <c r="L731" s="691"/>
    </row>
    <row r="732" spans="1:12">
      <c r="A732" s="687">
        <f t="shared" si="14"/>
        <v>724</v>
      </c>
      <c r="B732" s="679"/>
      <c r="C732" s="494" t="s">
        <v>1467</v>
      </c>
      <c r="D732" s="496"/>
      <c r="E732" s="689"/>
      <c r="F732" s="689"/>
      <c r="G732" s="689"/>
      <c r="H732" s="689" t="s">
        <v>1609</v>
      </c>
      <c r="I732" s="689"/>
      <c r="J732" s="689"/>
      <c r="K732" s="689"/>
      <c r="L732" s="691"/>
    </row>
    <row r="733" spans="1:12">
      <c r="A733" s="687">
        <f t="shared" si="14"/>
        <v>725</v>
      </c>
      <c r="B733" s="679"/>
      <c r="C733" s="494" t="s">
        <v>1469</v>
      </c>
      <c r="D733" s="496"/>
      <c r="E733" s="689"/>
      <c r="F733" s="689"/>
      <c r="G733" s="689"/>
      <c r="H733" s="689" t="s">
        <v>1609</v>
      </c>
      <c r="I733" s="689"/>
      <c r="J733" s="689"/>
      <c r="K733" s="689"/>
      <c r="L733" s="691"/>
    </row>
    <row r="734" spans="1:12">
      <c r="A734" s="687">
        <f t="shared" si="14"/>
        <v>726</v>
      </c>
      <c r="B734" s="679"/>
      <c r="C734" s="494" t="s">
        <v>1471</v>
      </c>
      <c r="D734" s="496"/>
      <c r="E734" s="689"/>
      <c r="F734" s="689"/>
      <c r="G734" s="689"/>
      <c r="H734" s="689" t="s">
        <v>1609</v>
      </c>
      <c r="I734" s="689"/>
      <c r="J734" s="689"/>
      <c r="K734" s="689"/>
      <c r="L734" s="691"/>
    </row>
    <row r="735" spans="1:12">
      <c r="A735" s="687">
        <f t="shared" si="14"/>
        <v>727</v>
      </c>
      <c r="B735" s="679"/>
      <c r="C735" s="494" t="s">
        <v>1473</v>
      </c>
      <c r="D735" s="496"/>
      <c r="E735" s="689"/>
      <c r="F735" s="689"/>
      <c r="G735" s="689"/>
      <c r="H735" s="689" t="s">
        <v>1609</v>
      </c>
      <c r="I735" s="689"/>
      <c r="J735" s="689"/>
      <c r="K735" s="689"/>
      <c r="L735" s="691"/>
    </row>
    <row r="736" spans="1:12">
      <c r="A736" s="687">
        <f t="shared" si="14"/>
        <v>728</v>
      </c>
      <c r="B736" s="679"/>
      <c r="C736" s="494" t="s">
        <v>1475</v>
      </c>
      <c r="D736" s="496"/>
      <c r="E736" s="689"/>
      <c r="F736" s="689"/>
      <c r="G736" s="689"/>
      <c r="H736" s="689" t="s">
        <v>1609</v>
      </c>
      <c r="I736" s="689"/>
      <c r="J736" s="689"/>
      <c r="K736" s="689"/>
      <c r="L736" s="691"/>
    </row>
    <row r="737" spans="1:12">
      <c r="A737" s="687">
        <f t="shared" si="14"/>
        <v>729</v>
      </c>
      <c r="B737" s="679"/>
      <c r="C737" s="494" t="s">
        <v>1477</v>
      </c>
      <c r="D737" s="496"/>
      <c r="E737" s="689"/>
      <c r="F737" s="689"/>
      <c r="G737" s="689"/>
      <c r="H737" s="689" t="s">
        <v>1609</v>
      </c>
      <c r="I737" s="689"/>
      <c r="J737" s="689"/>
      <c r="K737" s="689"/>
      <c r="L737" s="691"/>
    </row>
    <row r="738" spans="1:12">
      <c r="A738" s="687">
        <f t="shared" si="14"/>
        <v>730</v>
      </c>
      <c r="B738" s="679"/>
      <c r="C738" s="494" t="s">
        <v>1479</v>
      </c>
      <c r="D738" s="496"/>
      <c r="E738" s="689"/>
      <c r="F738" s="689"/>
      <c r="G738" s="689"/>
      <c r="H738" s="689" t="s">
        <v>1609</v>
      </c>
      <c r="I738" s="689"/>
      <c r="J738" s="689"/>
      <c r="K738" s="689"/>
      <c r="L738" s="691"/>
    </row>
    <row r="739" spans="1:12">
      <c r="A739" s="687">
        <f t="shared" si="14"/>
        <v>731</v>
      </c>
      <c r="B739" s="679"/>
      <c r="C739" s="494" t="s">
        <v>1481</v>
      </c>
      <c r="D739" s="496"/>
      <c r="E739" s="689"/>
      <c r="F739" s="689"/>
      <c r="G739" s="689"/>
      <c r="H739" s="689" t="s">
        <v>1609</v>
      </c>
      <c r="I739" s="689"/>
      <c r="J739" s="689"/>
      <c r="K739" s="689"/>
      <c r="L739" s="691"/>
    </row>
    <row r="740" spans="1:12">
      <c r="A740" s="687">
        <f t="shared" si="14"/>
        <v>732</v>
      </c>
      <c r="B740" s="679"/>
      <c r="C740" s="494" t="s">
        <v>1040</v>
      </c>
      <c r="D740" s="496" t="s">
        <v>2162</v>
      </c>
      <c r="E740" s="689"/>
      <c r="F740" s="689"/>
      <c r="G740" s="689"/>
      <c r="H740" s="689" t="s">
        <v>1609</v>
      </c>
      <c r="I740" s="689"/>
      <c r="J740" s="689"/>
      <c r="K740" s="689"/>
      <c r="L740" s="691"/>
    </row>
    <row r="741" spans="1:12">
      <c r="A741" s="687">
        <f t="shared" si="14"/>
        <v>733</v>
      </c>
      <c r="B741" s="679"/>
      <c r="C741" s="494" t="s">
        <v>1483</v>
      </c>
      <c r="D741" s="496"/>
      <c r="E741" s="689"/>
      <c r="F741" s="689"/>
      <c r="G741" s="689"/>
      <c r="H741" s="689" t="s">
        <v>1609</v>
      </c>
      <c r="I741" s="689"/>
      <c r="J741" s="689"/>
      <c r="K741" s="689"/>
      <c r="L741" s="691"/>
    </row>
    <row r="742" spans="1:12">
      <c r="A742" s="687">
        <f t="shared" si="14"/>
        <v>734</v>
      </c>
      <c r="B742" s="679" t="s">
        <v>1041</v>
      </c>
      <c r="C742" s="494" t="s">
        <v>1042</v>
      </c>
      <c r="D742" s="496" t="s">
        <v>2163</v>
      </c>
      <c r="E742" s="689"/>
      <c r="F742" s="689"/>
      <c r="G742" s="689"/>
      <c r="H742" s="689" t="s">
        <v>1609</v>
      </c>
      <c r="I742" s="689"/>
      <c r="J742" s="689"/>
      <c r="K742" s="689"/>
      <c r="L742" s="691"/>
    </row>
    <row r="743" spans="1:12">
      <c r="A743" s="687">
        <f t="shared" si="14"/>
        <v>735</v>
      </c>
      <c r="B743" s="679"/>
      <c r="C743" s="494" t="s">
        <v>1485</v>
      </c>
      <c r="D743" s="496"/>
      <c r="E743" s="689"/>
      <c r="F743" s="689"/>
      <c r="G743" s="689"/>
      <c r="H743" s="689" t="s">
        <v>1609</v>
      </c>
      <c r="I743" s="689"/>
      <c r="J743" s="689"/>
      <c r="K743" s="689"/>
      <c r="L743" s="691"/>
    </row>
    <row r="744" spans="1:12" ht="29">
      <c r="A744" s="687">
        <f t="shared" si="14"/>
        <v>736</v>
      </c>
      <c r="B744" s="679"/>
      <c r="C744" s="494" t="s">
        <v>1487</v>
      </c>
      <c r="D744" s="496"/>
      <c r="E744" s="689"/>
      <c r="F744" s="689"/>
      <c r="G744" s="689"/>
      <c r="H744" s="689" t="s">
        <v>1609</v>
      </c>
      <c r="I744" s="689"/>
      <c r="J744" s="689"/>
      <c r="K744" s="689"/>
      <c r="L744" s="691"/>
    </row>
    <row r="745" spans="1:12">
      <c r="A745" s="687">
        <f t="shared" si="14"/>
        <v>737</v>
      </c>
      <c r="B745" s="679"/>
      <c r="C745" s="494" t="s">
        <v>1489</v>
      </c>
      <c r="D745" s="496"/>
      <c r="E745" s="689"/>
      <c r="F745" s="689"/>
      <c r="G745" s="689"/>
      <c r="H745" s="689" t="s">
        <v>1609</v>
      </c>
      <c r="I745" s="689"/>
      <c r="J745" s="689"/>
      <c r="K745" s="689"/>
      <c r="L745" s="691"/>
    </row>
    <row r="746" spans="1:12" ht="29">
      <c r="A746" s="687">
        <f t="shared" si="14"/>
        <v>738</v>
      </c>
      <c r="B746" s="679"/>
      <c r="C746" s="494" t="s">
        <v>1491</v>
      </c>
      <c r="D746" s="496"/>
      <c r="E746" s="689"/>
      <c r="F746" s="689"/>
      <c r="G746" s="689"/>
      <c r="H746" s="689" t="s">
        <v>1609</v>
      </c>
      <c r="I746" s="689"/>
      <c r="J746" s="689"/>
      <c r="K746" s="689"/>
      <c r="L746" s="691"/>
    </row>
    <row r="747" spans="1:12">
      <c r="A747" s="687">
        <f t="shared" si="14"/>
        <v>739</v>
      </c>
      <c r="B747" s="679"/>
      <c r="C747" s="494" t="s">
        <v>1493</v>
      </c>
      <c r="D747" s="496"/>
      <c r="E747" s="689"/>
      <c r="F747" s="689"/>
      <c r="G747" s="689"/>
      <c r="H747" s="689" t="s">
        <v>1609</v>
      </c>
      <c r="I747" s="689"/>
      <c r="J747" s="689"/>
      <c r="K747" s="689"/>
      <c r="L747" s="691"/>
    </row>
    <row r="748" spans="1:12">
      <c r="A748" s="687">
        <f t="shared" si="14"/>
        <v>740</v>
      </c>
      <c r="B748" s="679"/>
      <c r="C748" s="494" t="s">
        <v>1495</v>
      </c>
      <c r="D748" s="496"/>
      <c r="E748" s="689"/>
      <c r="F748" s="689"/>
      <c r="G748" s="689"/>
      <c r="H748" s="689" t="s">
        <v>1609</v>
      </c>
      <c r="I748" s="689"/>
      <c r="J748" s="689"/>
      <c r="K748" s="689"/>
      <c r="L748" s="691"/>
    </row>
    <row r="749" spans="1:12">
      <c r="A749" s="687">
        <f t="shared" si="14"/>
        <v>741</v>
      </c>
      <c r="B749" s="679"/>
      <c r="C749" s="494" t="s">
        <v>1497</v>
      </c>
      <c r="D749" s="496"/>
      <c r="E749" s="689"/>
      <c r="F749" s="689"/>
      <c r="G749" s="689"/>
      <c r="H749" s="689" t="s">
        <v>1609</v>
      </c>
      <c r="I749" s="689"/>
      <c r="J749" s="689"/>
      <c r="K749" s="689"/>
      <c r="L749" s="691"/>
    </row>
    <row r="750" spans="1:12">
      <c r="A750" s="687">
        <f t="shared" si="14"/>
        <v>742</v>
      </c>
      <c r="B750" s="679"/>
      <c r="C750" s="494" t="s">
        <v>1499</v>
      </c>
      <c r="D750" s="496"/>
      <c r="E750" s="689"/>
      <c r="F750" s="689"/>
      <c r="G750" s="689"/>
      <c r="H750" s="689" t="s">
        <v>1609</v>
      </c>
      <c r="I750" s="689"/>
      <c r="J750" s="689"/>
      <c r="K750" s="689"/>
      <c r="L750" s="691"/>
    </row>
    <row r="751" spans="1:12">
      <c r="A751" s="687">
        <f t="shared" si="14"/>
        <v>743</v>
      </c>
      <c r="B751" s="679" t="s">
        <v>1061</v>
      </c>
      <c r="C751" s="494" t="s">
        <v>2164</v>
      </c>
      <c r="D751" s="496" t="s">
        <v>2165</v>
      </c>
      <c r="E751" s="689"/>
      <c r="F751" s="689"/>
      <c r="G751" s="689"/>
      <c r="H751" s="689" t="s">
        <v>1609</v>
      </c>
      <c r="I751" s="689"/>
      <c r="J751" s="689"/>
      <c r="K751" s="689"/>
      <c r="L751" s="691"/>
    </row>
    <row r="752" spans="1:12">
      <c r="A752" s="687">
        <f t="shared" si="14"/>
        <v>744</v>
      </c>
      <c r="B752" s="679"/>
      <c r="C752" s="494" t="s">
        <v>1501</v>
      </c>
      <c r="D752" s="496"/>
      <c r="E752" s="689"/>
      <c r="F752" s="689"/>
      <c r="G752" s="689"/>
      <c r="H752" s="689" t="s">
        <v>1609</v>
      </c>
      <c r="I752" s="689"/>
      <c r="J752" s="689"/>
      <c r="K752" s="689"/>
      <c r="L752" s="691"/>
    </row>
    <row r="753" spans="1:12">
      <c r="A753" s="687">
        <f t="shared" si="14"/>
        <v>745</v>
      </c>
      <c r="B753" s="679"/>
      <c r="C753" s="494" t="s">
        <v>1503</v>
      </c>
      <c r="D753" s="496"/>
      <c r="E753" s="689"/>
      <c r="F753" s="689"/>
      <c r="G753" s="689"/>
      <c r="H753" s="689" t="s">
        <v>1609</v>
      </c>
      <c r="I753" s="689"/>
      <c r="J753" s="689"/>
      <c r="K753" s="689"/>
      <c r="L753" s="691"/>
    </row>
    <row r="754" spans="1:12">
      <c r="A754" s="687">
        <f t="shared" si="14"/>
        <v>746</v>
      </c>
      <c r="B754" s="679"/>
      <c r="C754" s="494" t="s">
        <v>1058</v>
      </c>
      <c r="D754" s="496" t="s">
        <v>2141</v>
      </c>
      <c r="E754" s="689"/>
      <c r="F754" s="689"/>
      <c r="G754" s="689"/>
      <c r="H754" s="689" t="s">
        <v>1609</v>
      </c>
      <c r="I754" s="689"/>
      <c r="J754" s="689"/>
      <c r="K754" s="689"/>
      <c r="L754" s="691"/>
    </row>
    <row r="755" spans="1:12">
      <c r="A755" s="687">
        <f t="shared" si="14"/>
        <v>747</v>
      </c>
      <c r="B755" s="679"/>
      <c r="C755" s="494" t="s">
        <v>1505</v>
      </c>
      <c r="D755" s="496"/>
      <c r="E755" s="689"/>
      <c r="F755" s="689"/>
      <c r="G755" s="689"/>
      <c r="H755" s="689" t="s">
        <v>1609</v>
      </c>
      <c r="I755" s="689"/>
      <c r="J755" s="689"/>
      <c r="K755" s="689"/>
      <c r="L755" s="691"/>
    </row>
    <row r="756" spans="1:12">
      <c r="A756" s="687">
        <f t="shared" si="14"/>
        <v>748</v>
      </c>
      <c r="B756" s="679"/>
      <c r="C756" s="494" t="s">
        <v>1507</v>
      </c>
      <c r="D756" s="496"/>
      <c r="E756" s="689"/>
      <c r="F756" s="689"/>
      <c r="G756" s="689"/>
      <c r="H756" s="689" t="s">
        <v>1609</v>
      </c>
      <c r="I756" s="689"/>
      <c r="J756" s="689"/>
      <c r="K756" s="689"/>
      <c r="L756" s="691"/>
    </row>
    <row r="757" spans="1:12">
      <c r="A757" s="687">
        <f t="shared" si="14"/>
        <v>749</v>
      </c>
      <c r="B757" s="679"/>
      <c r="C757" s="494" t="s">
        <v>1509</v>
      </c>
      <c r="D757" s="496"/>
      <c r="E757" s="689"/>
      <c r="F757" s="689"/>
      <c r="G757" s="689"/>
      <c r="H757" s="689" t="s">
        <v>1609</v>
      </c>
      <c r="I757" s="689"/>
      <c r="J757" s="689"/>
      <c r="K757" s="689"/>
      <c r="L757" s="691"/>
    </row>
    <row r="758" spans="1:12" ht="16.5" customHeight="1">
      <c r="A758" s="687">
        <f t="shared" si="14"/>
        <v>750</v>
      </c>
      <c r="B758" s="679"/>
      <c r="C758" s="494" t="s">
        <v>1511</v>
      </c>
      <c r="D758" s="496"/>
      <c r="E758" s="689"/>
      <c r="F758" s="689"/>
      <c r="G758" s="689"/>
      <c r="H758" s="689" t="s">
        <v>1609</v>
      </c>
      <c r="I758" s="689"/>
      <c r="J758" s="689"/>
      <c r="K758" s="689"/>
      <c r="L758" s="691"/>
    </row>
    <row r="759" spans="1:12">
      <c r="A759" s="687">
        <f t="shared" si="14"/>
        <v>751</v>
      </c>
      <c r="B759" s="679"/>
      <c r="C759" s="494" t="s">
        <v>1513</v>
      </c>
      <c r="D759" s="496"/>
      <c r="E759" s="689"/>
      <c r="F759" s="689"/>
      <c r="G759" s="689"/>
      <c r="H759" s="689" t="s">
        <v>1609</v>
      </c>
      <c r="I759" s="689"/>
      <c r="J759" s="689"/>
      <c r="K759" s="689"/>
      <c r="L759" s="691"/>
    </row>
    <row r="760" spans="1:12">
      <c r="A760" s="687">
        <f t="shared" si="14"/>
        <v>752</v>
      </c>
      <c r="B760" s="679" t="s">
        <v>1084</v>
      </c>
      <c r="C760" s="494" t="s">
        <v>2166</v>
      </c>
      <c r="D760" s="496" t="s">
        <v>2167</v>
      </c>
      <c r="E760" s="689"/>
      <c r="F760" s="689"/>
      <c r="G760" s="689"/>
      <c r="H760" s="689" t="s">
        <v>1609</v>
      </c>
      <c r="I760" s="689"/>
      <c r="J760" s="689"/>
      <c r="K760" s="689"/>
      <c r="L760" s="691"/>
    </row>
    <row r="761" spans="1:12">
      <c r="A761" s="687">
        <f t="shared" si="14"/>
        <v>753</v>
      </c>
      <c r="B761" s="679"/>
      <c r="C761" s="494" t="s">
        <v>1515</v>
      </c>
      <c r="D761" s="496"/>
      <c r="E761" s="689"/>
      <c r="F761" s="689"/>
      <c r="G761" s="689"/>
      <c r="H761" s="689" t="s">
        <v>1609</v>
      </c>
      <c r="I761" s="689"/>
      <c r="J761" s="689"/>
      <c r="K761" s="689"/>
      <c r="L761" s="691"/>
    </row>
    <row r="762" spans="1:12">
      <c r="A762" s="687">
        <f t="shared" si="14"/>
        <v>754</v>
      </c>
      <c r="B762" s="679"/>
      <c r="C762" s="494" t="s">
        <v>1517</v>
      </c>
      <c r="D762" s="496"/>
      <c r="E762" s="689"/>
      <c r="F762" s="689"/>
      <c r="G762" s="689"/>
      <c r="H762" s="689" t="s">
        <v>1609</v>
      </c>
      <c r="I762" s="689"/>
      <c r="J762" s="689"/>
      <c r="K762" s="689"/>
      <c r="L762" s="691"/>
    </row>
    <row r="763" spans="1:12">
      <c r="A763" s="687">
        <f t="shared" si="14"/>
        <v>755</v>
      </c>
      <c r="B763" s="679"/>
      <c r="C763" s="494" t="s">
        <v>1097</v>
      </c>
      <c r="D763" s="496" t="s">
        <v>2157</v>
      </c>
      <c r="E763" s="689"/>
      <c r="F763" s="689"/>
      <c r="G763" s="689"/>
      <c r="H763" s="689" t="s">
        <v>1609</v>
      </c>
      <c r="I763" s="689"/>
      <c r="J763" s="689"/>
      <c r="K763" s="689"/>
      <c r="L763" s="691"/>
    </row>
    <row r="764" spans="1:12">
      <c r="A764" s="687">
        <f t="shared" ref="A764:A793" si="15">A763+1</f>
        <v>756</v>
      </c>
      <c r="B764" s="679"/>
      <c r="C764" s="494" t="s">
        <v>1521</v>
      </c>
      <c r="D764" s="496"/>
      <c r="E764" s="689"/>
      <c r="F764" s="689"/>
      <c r="G764" s="689"/>
      <c r="H764" s="689" t="s">
        <v>1609</v>
      </c>
      <c r="I764" s="689"/>
      <c r="J764" s="689"/>
      <c r="K764" s="689"/>
      <c r="L764" s="691"/>
    </row>
    <row r="765" spans="1:12">
      <c r="A765" s="687">
        <f t="shared" si="15"/>
        <v>757</v>
      </c>
      <c r="B765" s="679"/>
      <c r="C765" s="494" t="s">
        <v>1103</v>
      </c>
      <c r="D765" s="496" t="s">
        <v>2168</v>
      </c>
      <c r="E765" s="689"/>
      <c r="F765" s="689"/>
      <c r="G765" s="689"/>
      <c r="H765" s="689" t="s">
        <v>1609</v>
      </c>
      <c r="I765" s="689"/>
      <c r="J765" s="689"/>
      <c r="K765" s="689"/>
      <c r="L765" s="691"/>
    </row>
    <row r="766" spans="1:12" ht="29">
      <c r="A766" s="687">
        <f t="shared" si="15"/>
        <v>758</v>
      </c>
      <c r="B766" s="679"/>
      <c r="C766" s="494" t="s">
        <v>1523</v>
      </c>
      <c r="D766" s="496"/>
      <c r="E766" s="689"/>
      <c r="F766" s="689"/>
      <c r="G766" s="689"/>
      <c r="H766" s="689" t="s">
        <v>1609</v>
      </c>
      <c r="I766" s="689"/>
      <c r="J766" s="689"/>
      <c r="K766" s="689"/>
      <c r="L766" s="691"/>
    </row>
    <row r="767" spans="1:12" ht="16.5" customHeight="1">
      <c r="A767" s="687">
        <f t="shared" si="15"/>
        <v>759</v>
      </c>
      <c r="B767" s="679"/>
      <c r="C767" s="680" t="s">
        <v>2169</v>
      </c>
      <c r="D767" s="496"/>
      <c r="E767" s="689"/>
      <c r="F767" s="689"/>
      <c r="G767" s="689"/>
      <c r="H767" s="689"/>
      <c r="I767" s="689"/>
      <c r="J767" s="689"/>
      <c r="K767" s="689"/>
      <c r="L767" s="691"/>
    </row>
    <row r="768" spans="1:12" ht="29">
      <c r="A768" s="687">
        <f t="shared" si="15"/>
        <v>760</v>
      </c>
      <c r="B768" s="679"/>
      <c r="C768" s="494" t="s">
        <v>1528</v>
      </c>
      <c r="D768" s="496"/>
      <c r="E768" s="689" t="s">
        <v>1609</v>
      </c>
      <c r="F768" s="689"/>
      <c r="G768" s="689"/>
      <c r="H768" s="689"/>
      <c r="I768" s="689"/>
      <c r="J768" s="689"/>
      <c r="K768" s="689"/>
      <c r="L768" s="691"/>
    </row>
    <row r="769" spans="1:12" ht="29">
      <c r="A769" s="687">
        <f t="shared" si="15"/>
        <v>761</v>
      </c>
      <c r="B769" s="679"/>
      <c r="C769" s="494" t="s">
        <v>1529</v>
      </c>
      <c r="D769" s="496"/>
      <c r="E769" s="689" t="s">
        <v>1609</v>
      </c>
      <c r="F769" s="689"/>
      <c r="G769" s="689"/>
      <c r="H769" s="689"/>
      <c r="I769" s="689"/>
      <c r="J769" s="689"/>
      <c r="K769" s="689"/>
      <c r="L769" s="691"/>
    </row>
    <row r="770" spans="1:12" ht="29">
      <c r="A770" s="687">
        <f t="shared" si="15"/>
        <v>762</v>
      </c>
      <c r="B770" s="679"/>
      <c r="C770" s="680" t="s">
        <v>2170</v>
      </c>
      <c r="D770" s="496"/>
      <c r="E770" s="689"/>
      <c r="F770" s="689"/>
      <c r="G770" s="689"/>
      <c r="H770" s="689"/>
      <c r="I770" s="689"/>
      <c r="J770" s="689"/>
      <c r="K770" s="689"/>
      <c r="L770" s="691"/>
    </row>
    <row r="771" spans="1:12" ht="17.25" customHeight="1">
      <c r="A771" s="687">
        <f t="shared" si="15"/>
        <v>763</v>
      </c>
      <c r="B771" s="679"/>
      <c r="C771" s="494" t="s">
        <v>1570</v>
      </c>
      <c r="D771" s="496"/>
      <c r="E771" s="689" t="s">
        <v>1609</v>
      </c>
      <c r="F771" s="689"/>
      <c r="G771" s="689"/>
      <c r="H771" s="689"/>
      <c r="I771" s="689"/>
      <c r="J771" s="689"/>
      <c r="K771" s="689"/>
      <c r="L771" s="691"/>
    </row>
    <row r="772" spans="1:12">
      <c r="A772" s="687">
        <f t="shared" si="15"/>
        <v>764</v>
      </c>
      <c r="B772" s="679" t="s">
        <v>2171</v>
      </c>
      <c r="C772" s="494" t="s">
        <v>1572</v>
      </c>
      <c r="D772" s="496"/>
      <c r="E772" s="689" t="s">
        <v>1609</v>
      </c>
      <c r="F772" s="689"/>
      <c r="G772" s="689"/>
      <c r="H772" s="689"/>
      <c r="I772" s="689"/>
      <c r="J772" s="689"/>
      <c r="K772" s="689"/>
      <c r="L772" s="691"/>
    </row>
    <row r="773" spans="1:12">
      <c r="A773" s="687">
        <f t="shared" si="15"/>
        <v>765</v>
      </c>
      <c r="B773" s="679"/>
      <c r="C773" s="494" t="s">
        <v>1574</v>
      </c>
      <c r="D773" s="496"/>
      <c r="E773" s="689" t="s">
        <v>1609</v>
      </c>
      <c r="F773" s="689"/>
      <c r="G773" s="689"/>
      <c r="H773" s="689"/>
      <c r="I773" s="689"/>
      <c r="J773" s="689"/>
      <c r="K773" s="689"/>
      <c r="L773" s="691"/>
    </row>
    <row r="774" spans="1:12">
      <c r="A774" s="687">
        <f t="shared" si="15"/>
        <v>766</v>
      </c>
      <c r="B774" s="679" t="s">
        <v>1581</v>
      </c>
      <c r="C774" s="494" t="s">
        <v>1580</v>
      </c>
      <c r="D774" s="496" t="s">
        <v>2172</v>
      </c>
      <c r="E774" s="689" t="s">
        <v>1609</v>
      </c>
      <c r="F774" s="689"/>
      <c r="G774" s="689"/>
      <c r="H774" s="689"/>
      <c r="I774" s="689"/>
      <c r="J774" s="689"/>
      <c r="K774" s="689"/>
      <c r="L774" s="691"/>
    </row>
    <row r="775" spans="1:12">
      <c r="A775" s="687">
        <f t="shared" si="15"/>
        <v>767</v>
      </c>
      <c r="B775" s="679"/>
      <c r="D775" s="496"/>
      <c r="E775" s="689"/>
      <c r="F775" s="689"/>
      <c r="G775" s="689"/>
      <c r="H775" s="689"/>
      <c r="I775" s="689"/>
      <c r="J775" s="689"/>
      <c r="K775" s="689"/>
      <c r="L775" s="691"/>
    </row>
    <row r="776" spans="1:12">
      <c r="A776" s="687">
        <f t="shared" si="15"/>
        <v>768</v>
      </c>
      <c r="B776" s="679"/>
      <c r="C776" s="680" t="s">
        <v>2173</v>
      </c>
      <c r="D776" s="496"/>
      <c r="E776" s="689"/>
      <c r="F776" s="689"/>
      <c r="G776" s="689"/>
      <c r="H776" s="689"/>
      <c r="I776" s="689"/>
      <c r="J776" s="689"/>
      <c r="K776" s="689"/>
      <c r="L776" s="691"/>
    </row>
    <row r="777" spans="1:12">
      <c r="A777" s="687">
        <f t="shared" si="15"/>
        <v>769</v>
      </c>
      <c r="B777" s="679" t="s">
        <v>1219</v>
      </c>
      <c r="C777" s="494" t="s">
        <v>2174</v>
      </c>
      <c r="D777" s="496" t="s">
        <v>2175</v>
      </c>
      <c r="E777" s="689" t="s">
        <v>1609</v>
      </c>
      <c r="F777" s="689"/>
      <c r="G777" s="697"/>
      <c r="H777" s="697"/>
      <c r="I777" s="689"/>
      <c r="J777" s="698"/>
      <c r="K777" s="690"/>
      <c r="L777" s="691"/>
    </row>
    <row r="778" spans="1:12">
      <c r="A778" s="687">
        <f t="shared" si="15"/>
        <v>770</v>
      </c>
      <c r="B778" s="679" t="s">
        <v>1193</v>
      </c>
      <c r="C778" s="494" t="s">
        <v>2176</v>
      </c>
      <c r="D778" s="496" t="s">
        <v>2177</v>
      </c>
      <c r="E778" s="689" t="s">
        <v>1609</v>
      </c>
      <c r="F778" s="689"/>
      <c r="G778" s="697"/>
      <c r="H778" s="697"/>
      <c r="I778" s="689"/>
      <c r="J778" s="698"/>
      <c r="K778" s="690"/>
      <c r="L778" s="691"/>
    </row>
    <row r="779" spans="1:12">
      <c r="A779" s="687">
        <f t="shared" si="15"/>
        <v>771</v>
      </c>
      <c r="B779" s="679"/>
      <c r="D779" s="496" t="s">
        <v>2178</v>
      </c>
      <c r="E779" s="689" t="s">
        <v>1609</v>
      </c>
      <c r="F779" s="689"/>
      <c r="G779" s="697"/>
      <c r="H779" s="697"/>
      <c r="I779" s="689"/>
      <c r="J779" s="698"/>
      <c r="K779" s="690"/>
      <c r="L779" s="691"/>
    </row>
    <row r="780" spans="1:12">
      <c r="A780" s="687">
        <f t="shared" si="15"/>
        <v>772</v>
      </c>
      <c r="B780" s="679"/>
      <c r="D780" s="496" t="s">
        <v>2179</v>
      </c>
      <c r="E780" s="689" t="s">
        <v>1609</v>
      </c>
      <c r="F780" s="689"/>
      <c r="G780" s="697"/>
      <c r="H780" s="697"/>
      <c r="I780" s="689"/>
      <c r="J780" s="698"/>
      <c r="K780" s="690"/>
      <c r="L780" s="691"/>
    </row>
    <row r="781" spans="1:12">
      <c r="A781" s="687">
        <f t="shared" si="15"/>
        <v>773</v>
      </c>
      <c r="B781" s="679"/>
      <c r="D781" s="496" t="s">
        <v>2180</v>
      </c>
      <c r="E781" s="689" t="s">
        <v>1609</v>
      </c>
      <c r="F781" s="689"/>
      <c r="G781" s="697"/>
      <c r="H781" s="697"/>
      <c r="I781" s="689"/>
      <c r="J781" s="698"/>
      <c r="K781" s="690"/>
      <c r="L781" s="691"/>
    </row>
    <row r="782" spans="1:12">
      <c r="A782" s="687">
        <f t="shared" si="15"/>
        <v>774</v>
      </c>
      <c r="B782" s="679"/>
      <c r="D782" s="496" t="s">
        <v>2181</v>
      </c>
      <c r="E782" s="689" t="s">
        <v>1609</v>
      </c>
      <c r="F782" s="689"/>
      <c r="G782" s="697"/>
      <c r="H782" s="697"/>
      <c r="I782" s="689"/>
      <c r="J782" s="698"/>
      <c r="K782" s="690"/>
      <c r="L782" s="691"/>
    </row>
    <row r="783" spans="1:12">
      <c r="A783" s="687">
        <f t="shared" si="15"/>
        <v>775</v>
      </c>
      <c r="B783" s="679"/>
      <c r="D783" s="496" t="s">
        <v>2182</v>
      </c>
      <c r="E783" s="689" t="s">
        <v>1609</v>
      </c>
      <c r="F783" s="689"/>
      <c r="G783" s="697"/>
      <c r="H783" s="697"/>
      <c r="I783" s="689"/>
      <c r="J783" s="698"/>
      <c r="K783" s="690"/>
      <c r="L783" s="691"/>
    </row>
    <row r="784" spans="1:12" ht="30" customHeight="1">
      <c r="A784" s="687">
        <f t="shared" si="15"/>
        <v>776</v>
      </c>
      <c r="B784" s="679" t="s">
        <v>919</v>
      </c>
      <c r="C784" s="494" t="s">
        <v>2151</v>
      </c>
      <c r="D784" s="496" t="s">
        <v>2183</v>
      </c>
      <c r="E784" s="689" t="s">
        <v>1609</v>
      </c>
      <c r="F784" s="689"/>
      <c r="G784" s="697"/>
      <c r="H784" s="697"/>
      <c r="I784" s="689"/>
      <c r="J784" s="698"/>
      <c r="K784" s="690"/>
      <c r="L784" s="691"/>
    </row>
    <row r="785" spans="1:12" ht="29">
      <c r="A785" s="687">
        <f t="shared" si="15"/>
        <v>777</v>
      </c>
      <c r="B785" s="679"/>
      <c r="D785" s="496" t="s">
        <v>2184</v>
      </c>
      <c r="E785" s="689" t="s">
        <v>1609</v>
      </c>
      <c r="F785" s="689"/>
      <c r="G785" s="697"/>
      <c r="H785" s="697"/>
      <c r="I785" s="689"/>
      <c r="J785" s="698"/>
      <c r="K785" s="690"/>
      <c r="L785" s="691"/>
    </row>
    <row r="786" spans="1:12">
      <c r="A786" s="687">
        <f t="shared" si="15"/>
        <v>778</v>
      </c>
      <c r="B786" s="679"/>
      <c r="D786" s="496" t="s">
        <v>2185</v>
      </c>
      <c r="E786" s="689" t="s">
        <v>1609</v>
      </c>
      <c r="F786" s="689"/>
      <c r="G786" s="697"/>
      <c r="H786" s="697"/>
      <c r="I786" s="689"/>
      <c r="J786" s="698"/>
      <c r="K786" s="690"/>
      <c r="L786" s="691"/>
    </row>
    <row r="787" spans="1:12" ht="29">
      <c r="A787" s="687">
        <f t="shared" si="15"/>
        <v>779</v>
      </c>
      <c r="B787" s="679" t="s">
        <v>1335</v>
      </c>
      <c r="C787" s="494" t="s">
        <v>2186</v>
      </c>
      <c r="D787" s="496" t="s">
        <v>2187</v>
      </c>
      <c r="E787" s="689" t="s">
        <v>1609</v>
      </c>
      <c r="F787" s="689"/>
      <c r="G787" s="697"/>
      <c r="H787" s="697"/>
      <c r="I787" s="689"/>
      <c r="J787" s="698"/>
      <c r="K787" s="690"/>
      <c r="L787" s="691"/>
    </row>
    <row r="788" spans="1:12" ht="29">
      <c r="A788" s="687">
        <f t="shared" si="15"/>
        <v>780</v>
      </c>
      <c r="B788" s="679"/>
      <c r="D788" s="496" t="s">
        <v>2188</v>
      </c>
      <c r="E788" s="689" t="s">
        <v>1609</v>
      </c>
      <c r="F788" s="689"/>
      <c r="G788" s="697"/>
      <c r="H788" s="697"/>
      <c r="I788" s="689"/>
      <c r="J788" s="698"/>
      <c r="K788" s="690"/>
      <c r="L788" s="691"/>
    </row>
    <row r="789" spans="1:12">
      <c r="A789" s="687">
        <f t="shared" si="15"/>
        <v>781</v>
      </c>
      <c r="B789" s="679"/>
      <c r="D789" s="496" t="s">
        <v>2181</v>
      </c>
      <c r="E789" s="689" t="s">
        <v>1609</v>
      </c>
      <c r="F789" s="689"/>
      <c r="G789" s="697"/>
      <c r="H789" s="697"/>
      <c r="I789" s="689"/>
      <c r="J789" s="698"/>
      <c r="K789" s="690"/>
      <c r="L789" s="691"/>
    </row>
    <row r="790" spans="1:12">
      <c r="A790" s="687">
        <f t="shared" si="15"/>
        <v>782</v>
      </c>
      <c r="B790" s="679" t="s">
        <v>138</v>
      </c>
      <c r="C790" s="494" t="s">
        <v>2189</v>
      </c>
      <c r="D790" s="496" t="s">
        <v>2190</v>
      </c>
      <c r="E790" s="689" t="s">
        <v>1609</v>
      </c>
      <c r="F790" s="689"/>
      <c r="G790" s="697"/>
      <c r="H790" s="697"/>
      <c r="I790" s="689"/>
      <c r="J790" s="698"/>
      <c r="K790" s="690"/>
      <c r="L790" s="691"/>
    </row>
    <row r="791" spans="1:12" ht="29">
      <c r="A791" s="687">
        <f t="shared" si="15"/>
        <v>783</v>
      </c>
      <c r="B791" s="679" t="s">
        <v>1420</v>
      </c>
      <c r="C791" s="494" t="s">
        <v>2191</v>
      </c>
      <c r="D791" s="496" t="s">
        <v>2192</v>
      </c>
      <c r="E791" s="689" t="s">
        <v>1609</v>
      </c>
      <c r="F791" s="689"/>
      <c r="G791" s="697"/>
      <c r="H791" s="697"/>
      <c r="I791" s="689"/>
      <c r="J791" s="698"/>
      <c r="K791" s="690"/>
      <c r="L791" s="691"/>
    </row>
    <row r="792" spans="1:12" ht="29">
      <c r="A792" s="687">
        <f t="shared" si="15"/>
        <v>784</v>
      </c>
      <c r="B792" s="679"/>
      <c r="D792" s="496" t="s">
        <v>2193</v>
      </c>
      <c r="E792" s="689" t="s">
        <v>1609</v>
      </c>
      <c r="F792" s="689"/>
      <c r="G792" s="697"/>
      <c r="H792" s="697"/>
      <c r="I792" s="689"/>
      <c r="J792" s="698"/>
      <c r="K792" s="690"/>
      <c r="L792" s="691"/>
    </row>
    <row r="793" spans="1:12">
      <c r="A793" s="687">
        <f t="shared" si="15"/>
        <v>785</v>
      </c>
      <c r="B793" s="679"/>
      <c r="D793" s="496" t="s">
        <v>2185</v>
      </c>
      <c r="E793" s="689" t="s">
        <v>1609</v>
      </c>
      <c r="F793" s="689"/>
      <c r="G793" s="697"/>
      <c r="H793" s="697"/>
      <c r="I793" s="689"/>
      <c r="J793" s="698"/>
      <c r="K793" s="690"/>
      <c r="L793" s="691"/>
    </row>
    <row r="794" spans="1:12">
      <c r="A794" s="705"/>
      <c r="B794" s="657"/>
      <c r="C794" s="658"/>
      <c r="D794" s="659"/>
      <c r="E794" s="659"/>
      <c r="F794" s="659"/>
      <c r="G794" s="657"/>
      <c r="H794" s="657"/>
      <c r="I794" s="659"/>
      <c r="J794" s="706"/>
      <c r="K794" s="707"/>
      <c r="L794" s="660"/>
    </row>
    <row r="795" spans="1:12">
      <c r="A795" s="705"/>
      <c r="B795" s="657"/>
      <c r="C795" s="708" t="s">
        <v>2194</v>
      </c>
      <c r="D795" s="709"/>
      <c r="E795" s="659"/>
      <c r="F795" s="659"/>
      <c r="G795" s="659"/>
      <c r="H795" s="659"/>
      <c r="I795" s="659"/>
      <c r="J795" s="659"/>
      <c r="K795" s="659"/>
      <c r="L795" s="660"/>
    </row>
    <row r="796" spans="1:12">
      <c r="A796" s="705"/>
      <c r="B796" s="657"/>
      <c r="C796" s="708" t="s">
        <v>2195</v>
      </c>
      <c r="D796" s="659"/>
      <c r="E796" s="659"/>
      <c r="F796" s="659"/>
      <c r="G796" s="659"/>
      <c r="H796" s="659"/>
      <c r="I796" s="659"/>
      <c r="J796" s="659"/>
      <c r="K796" s="659"/>
      <c r="L796" s="660"/>
    </row>
    <row r="797" spans="1:12">
      <c r="A797" s="705"/>
      <c r="B797" s="657"/>
      <c r="C797" s="708"/>
      <c r="D797" s="659"/>
      <c r="E797" s="659"/>
      <c r="F797" s="659"/>
      <c r="G797" s="659"/>
      <c r="H797" s="659"/>
      <c r="I797" s="659"/>
      <c r="J797" s="659"/>
      <c r="K797" s="659"/>
      <c r="L797" s="660"/>
    </row>
    <row r="798" spans="1:12">
      <c r="A798" s="705"/>
      <c r="B798" s="657"/>
      <c r="C798" s="657" t="s">
        <v>2196</v>
      </c>
      <c r="D798" s="659"/>
      <c r="E798" s="710"/>
      <c r="F798" s="710"/>
      <c r="G798" s="710"/>
      <c r="H798" s="710"/>
      <c r="I798" s="710"/>
      <c r="J798" s="710"/>
      <c r="K798" s="710"/>
      <c r="L798" s="660"/>
    </row>
    <row r="799" spans="1:12">
      <c r="A799" s="705"/>
      <c r="B799" s="657"/>
      <c r="C799" s="657" t="s">
        <v>2197</v>
      </c>
      <c r="D799" s="659"/>
      <c r="E799" s="659"/>
      <c r="F799" s="659"/>
      <c r="G799" s="659"/>
      <c r="H799" s="659"/>
      <c r="I799" s="659"/>
      <c r="J799" s="659"/>
      <c r="K799" s="659"/>
      <c r="L799" s="660"/>
    </row>
    <row r="800" spans="1:12">
      <c r="A800" s="705"/>
      <c r="B800" s="657"/>
      <c r="C800" s="657" t="s">
        <v>2198</v>
      </c>
      <c r="D800" s="659"/>
      <c r="E800" s="659"/>
      <c r="F800" s="659"/>
      <c r="G800" s="659"/>
      <c r="H800" s="659"/>
      <c r="I800" s="659"/>
      <c r="J800" s="659"/>
      <c r="K800" s="659"/>
      <c r="L800" s="660"/>
    </row>
    <row r="801" spans="1:12">
      <c r="A801" s="705"/>
      <c r="B801" s="657"/>
      <c r="C801" s="657" t="s">
        <v>2199</v>
      </c>
      <c r="D801" s="659"/>
      <c r="E801" s="659"/>
      <c r="F801" s="659"/>
      <c r="G801" s="659"/>
      <c r="H801" s="659"/>
      <c r="I801" s="659"/>
      <c r="J801" s="659"/>
      <c r="K801" s="659"/>
      <c r="L801" s="660"/>
    </row>
    <row r="802" spans="1:12">
      <c r="A802" s="705"/>
      <c r="B802" s="657"/>
      <c r="C802" s="657" t="s">
        <v>2200</v>
      </c>
      <c r="D802" s="659"/>
      <c r="E802" s="659"/>
      <c r="F802" s="659"/>
      <c r="G802" s="659"/>
      <c r="H802" s="659"/>
      <c r="I802" s="659"/>
      <c r="J802" s="659"/>
      <c r="K802" s="659"/>
      <c r="L802" s="660"/>
    </row>
    <row r="803" spans="1:12">
      <c r="A803" s="705"/>
      <c r="B803" s="657"/>
      <c r="C803" s="657" t="s">
        <v>2201</v>
      </c>
      <c r="D803" s="659"/>
      <c r="E803" s="659"/>
      <c r="F803" s="659"/>
      <c r="G803" s="659"/>
      <c r="H803" s="659"/>
      <c r="I803" s="659"/>
      <c r="J803" s="659"/>
      <c r="K803" s="659"/>
      <c r="L803" s="660"/>
    </row>
    <row r="804" spans="1:12">
      <c r="A804" s="711"/>
      <c r="B804" s="657"/>
      <c r="C804" s="657" t="s">
        <v>2746</v>
      </c>
      <c r="D804" s="659"/>
      <c r="E804" s="659"/>
      <c r="F804" s="659"/>
      <c r="G804" s="659"/>
      <c r="H804" s="659"/>
      <c r="I804" s="659"/>
      <c r="J804" s="659"/>
      <c r="K804" s="659"/>
      <c r="L804" s="660"/>
    </row>
    <row r="805" spans="1:12" ht="15" thickBot="1">
      <c r="A805" s="712"/>
      <c r="B805" s="713"/>
      <c r="C805" s="915" t="s">
        <v>2202</v>
      </c>
      <c r="D805" s="915"/>
      <c r="E805" s="915"/>
      <c r="F805" s="915"/>
      <c r="G805" s="915"/>
      <c r="H805" s="915"/>
      <c r="I805" s="915"/>
      <c r="J805" s="915"/>
      <c r="K805" s="915"/>
      <c r="L805" s="916"/>
    </row>
  </sheetData>
  <mergeCells count="2">
    <mergeCell ref="E4:K4"/>
    <mergeCell ref="C805:L805"/>
  </mergeCells>
  <hyperlinks>
    <hyperlink ref="L1" location="'Cover Sheets'!A16" display="(Back to Worksheet Links)" xr:uid="{3FA93BD3-6304-4613-938E-125B1A378F04}"/>
  </hyperlinks>
  <pageMargins left="0.7" right="0.7" top="0.75" bottom="0.75" header="0.3" footer="0.3"/>
  <pageSetup scale="44"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186"/>
  <sheetViews>
    <sheetView view="pageBreakPreview" zoomScale="80" zoomScaleNormal="100" zoomScaleSheetLayoutView="80" workbookViewId="0"/>
  </sheetViews>
  <sheetFormatPr defaultColWidth="9.453125" defaultRowHeight="13"/>
  <cols>
    <col min="1" max="1" width="9.453125" style="379"/>
    <col min="2" max="2" width="9.54296875" style="726" customWidth="1"/>
    <col min="3" max="3" width="25" style="726" bestFit="1" customWidth="1"/>
    <col min="4" max="4" width="75.453125" style="379" customWidth="1"/>
    <col min="5" max="5" width="68" style="379" customWidth="1"/>
    <col min="6" max="6" width="23" style="379" customWidth="1"/>
    <col min="7" max="16384" width="9.453125" style="379"/>
  </cols>
  <sheetData>
    <row r="1" spans="1:5" ht="14.5">
      <c r="A1" s="557" t="str">
        <f>'Cover Sheets'!A10:B10</f>
        <v>WAPA-UGP 2024 Rate Estimate Calculation</v>
      </c>
      <c r="B1" s="558"/>
      <c r="C1" s="558"/>
      <c r="D1" s="559"/>
      <c r="E1" s="560" t="s">
        <v>41</v>
      </c>
    </row>
    <row r="2" spans="1:5">
      <c r="A2" s="561" t="s">
        <v>2203</v>
      </c>
      <c r="B2" s="715"/>
      <c r="C2" s="715"/>
      <c r="D2" s="716"/>
      <c r="E2" s="562"/>
    </row>
    <row r="3" spans="1:5" ht="16" thickBot="1">
      <c r="A3" s="563" t="str">
        <f>'WS1-RateBase'!A4</f>
        <v>12 Months Ending 09/30/2024 ESTIMATE</v>
      </c>
      <c r="B3" s="564"/>
      <c r="C3" s="564"/>
      <c r="D3" s="565"/>
      <c r="E3" s="566"/>
    </row>
    <row r="4" spans="1:5" s="719" customFormat="1">
      <c r="A4" s="555"/>
      <c r="B4" s="717" t="s">
        <v>51</v>
      </c>
      <c r="C4" s="717" t="s">
        <v>52</v>
      </c>
      <c r="D4" s="718" t="s">
        <v>53</v>
      </c>
      <c r="E4" s="556" t="s">
        <v>54</v>
      </c>
    </row>
    <row r="5" spans="1:5" s="722" customFormat="1">
      <c r="A5" s="366" t="s">
        <v>380</v>
      </c>
      <c r="B5" s="720" t="s">
        <v>554</v>
      </c>
      <c r="C5" s="720" t="s">
        <v>1596</v>
      </c>
      <c r="D5" s="721" t="s">
        <v>2204</v>
      </c>
      <c r="E5" s="367" t="s">
        <v>1605</v>
      </c>
    </row>
    <row r="6" spans="1:5" s="724" customFormat="1">
      <c r="A6" s="284">
        <v>1</v>
      </c>
      <c r="B6" s="723"/>
      <c r="C6" s="723" t="s">
        <v>1606</v>
      </c>
      <c r="E6" s="725"/>
    </row>
    <row r="7" spans="1:5">
      <c r="A7" s="378">
        <f t="shared" ref="A7:A38" si="0">A6+1</f>
        <v>2</v>
      </c>
      <c r="D7" s="727"/>
      <c r="E7" s="380"/>
    </row>
    <row r="8" spans="1:5">
      <c r="A8" s="284">
        <f t="shared" si="0"/>
        <v>3</v>
      </c>
      <c r="B8" s="726" t="s">
        <v>828</v>
      </c>
      <c r="C8" s="726" t="s">
        <v>1611</v>
      </c>
      <c r="D8" s="379" t="s">
        <v>2205</v>
      </c>
      <c r="E8" s="380" t="s">
        <v>2206</v>
      </c>
    </row>
    <row r="9" spans="1:5">
      <c r="A9" s="378">
        <f t="shared" si="0"/>
        <v>4</v>
      </c>
      <c r="D9" s="379" t="s">
        <v>2207</v>
      </c>
      <c r="E9" s="380"/>
    </row>
    <row r="10" spans="1:5">
      <c r="A10" s="284">
        <f t="shared" si="0"/>
        <v>5</v>
      </c>
      <c r="D10" s="379" t="s">
        <v>2208</v>
      </c>
      <c r="E10" s="380"/>
    </row>
    <row r="11" spans="1:5">
      <c r="A11" s="378">
        <f t="shared" si="0"/>
        <v>6</v>
      </c>
      <c r="B11" s="726" t="s">
        <v>834</v>
      </c>
      <c r="C11" s="726" t="s">
        <v>1623</v>
      </c>
      <c r="D11" s="379" t="s">
        <v>2209</v>
      </c>
      <c r="E11" s="380"/>
    </row>
    <row r="12" spans="1:5">
      <c r="A12" s="284">
        <f t="shared" si="0"/>
        <v>7</v>
      </c>
      <c r="B12" s="726" t="s">
        <v>840</v>
      </c>
      <c r="C12" s="726" t="s">
        <v>1628</v>
      </c>
      <c r="D12" s="379" t="s">
        <v>2210</v>
      </c>
      <c r="E12" s="380"/>
    </row>
    <row r="13" spans="1:5">
      <c r="A13" s="378">
        <f t="shared" si="0"/>
        <v>8</v>
      </c>
      <c r="B13" s="726" t="s">
        <v>2211</v>
      </c>
      <c r="C13" s="726" t="s">
        <v>1633</v>
      </c>
      <c r="D13" s="379" t="s">
        <v>2212</v>
      </c>
      <c r="E13" s="380" t="s">
        <v>2213</v>
      </c>
    </row>
    <row r="14" spans="1:5">
      <c r="A14" s="284">
        <f t="shared" si="0"/>
        <v>9</v>
      </c>
      <c r="D14" s="379" t="s">
        <v>2214</v>
      </c>
      <c r="E14" s="380"/>
    </row>
    <row r="15" spans="1:5">
      <c r="A15" s="378">
        <f t="shared" si="0"/>
        <v>10</v>
      </c>
      <c r="D15" s="379" t="s">
        <v>2215</v>
      </c>
      <c r="E15" s="380" t="s">
        <v>2216</v>
      </c>
    </row>
    <row r="16" spans="1:5">
      <c r="A16" s="284">
        <f t="shared" si="0"/>
        <v>11</v>
      </c>
      <c r="B16" s="726" t="s">
        <v>1219</v>
      </c>
      <c r="C16" s="726" t="s">
        <v>2174</v>
      </c>
      <c r="D16" s="379" t="s">
        <v>2217</v>
      </c>
      <c r="E16" s="380"/>
    </row>
    <row r="17" spans="1:5">
      <c r="A17" s="378">
        <f t="shared" si="0"/>
        <v>12</v>
      </c>
      <c r="B17" s="726" t="s">
        <v>844</v>
      </c>
      <c r="C17" s="726" t="s">
        <v>1641</v>
      </c>
      <c r="D17" s="379" t="s">
        <v>2218</v>
      </c>
      <c r="E17" s="380"/>
    </row>
    <row r="18" spans="1:5">
      <c r="A18" s="284">
        <f t="shared" si="0"/>
        <v>13</v>
      </c>
      <c r="D18" s="379" t="s">
        <v>2219</v>
      </c>
      <c r="E18" s="380" t="s">
        <v>2220</v>
      </c>
    </row>
    <row r="19" spans="1:5">
      <c r="A19" s="378">
        <f t="shared" si="0"/>
        <v>14</v>
      </c>
      <c r="B19" s="726" t="s">
        <v>846</v>
      </c>
      <c r="C19" s="726" t="s">
        <v>1643</v>
      </c>
      <c r="D19" s="379" t="s">
        <v>2221</v>
      </c>
      <c r="E19" s="380" t="s">
        <v>2222</v>
      </c>
    </row>
    <row r="20" spans="1:5">
      <c r="A20" s="284">
        <f t="shared" si="0"/>
        <v>15</v>
      </c>
      <c r="D20" s="379" t="s">
        <v>2223</v>
      </c>
      <c r="E20" s="380" t="s">
        <v>2224</v>
      </c>
    </row>
    <row r="21" spans="1:5">
      <c r="A21" s="378">
        <f t="shared" si="0"/>
        <v>16</v>
      </c>
      <c r="B21" s="726" t="s">
        <v>849</v>
      </c>
      <c r="C21" s="726" t="s">
        <v>1649</v>
      </c>
      <c r="D21" s="379" t="s">
        <v>2225</v>
      </c>
      <c r="E21" s="380" t="s">
        <v>2226</v>
      </c>
    </row>
    <row r="22" spans="1:5">
      <c r="A22" s="284">
        <f t="shared" si="0"/>
        <v>17</v>
      </c>
      <c r="B22" s="726" t="s">
        <v>2227</v>
      </c>
      <c r="C22" s="726" t="s">
        <v>1656</v>
      </c>
      <c r="D22" s="379" t="s">
        <v>2228</v>
      </c>
      <c r="E22" s="380"/>
    </row>
    <row r="23" spans="1:5">
      <c r="A23" s="378">
        <f t="shared" si="0"/>
        <v>18</v>
      </c>
      <c r="D23" s="379" t="s">
        <v>2229</v>
      </c>
      <c r="E23" s="380"/>
    </row>
    <row r="24" spans="1:5">
      <c r="A24" s="284">
        <f t="shared" si="0"/>
        <v>19</v>
      </c>
      <c r="D24" s="379" t="s">
        <v>2230</v>
      </c>
      <c r="E24" s="380" t="s">
        <v>2231</v>
      </c>
    </row>
    <row r="25" spans="1:5">
      <c r="A25" s="378">
        <f t="shared" si="0"/>
        <v>20</v>
      </c>
      <c r="B25" s="726" t="s">
        <v>853</v>
      </c>
      <c r="C25" s="726" t="s">
        <v>1661</v>
      </c>
      <c r="D25" s="379" t="s">
        <v>2618</v>
      </c>
      <c r="E25" s="380" t="s">
        <v>2619</v>
      </c>
    </row>
    <row r="26" spans="1:5">
      <c r="A26" s="284">
        <f t="shared" si="0"/>
        <v>21</v>
      </c>
      <c r="B26" s="726" t="s">
        <v>2232</v>
      </c>
      <c r="C26" s="726" t="s">
        <v>2233</v>
      </c>
      <c r="D26" s="379" t="s">
        <v>2234</v>
      </c>
      <c r="E26" s="380"/>
    </row>
    <row r="27" spans="1:5">
      <c r="A27" s="378">
        <f t="shared" si="0"/>
        <v>22</v>
      </c>
      <c r="B27" s="726" t="s">
        <v>1535</v>
      </c>
      <c r="C27" s="726" t="s">
        <v>2235</v>
      </c>
      <c r="D27" s="379" t="s">
        <v>2234</v>
      </c>
      <c r="E27" s="380"/>
    </row>
    <row r="28" spans="1:5">
      <c r="A28" s="284">
        <f t="shared" si="0"/>
        <v>23</v>
      </c>
      <c r="B28" s="726" t="s">
        <v>1676</v>
      </c>
      <c r="C28" s="726" t="s">
        <v>1677</v>
      </c>
      <c r="D28" s="379" t="s">
        <v>2236</v>
      </c>
      <c r="E28" s="380" t="s">
        <v>2237</v>
      </c>
    </row>
    <row r="29" spans="1:5">
      <c r="A29" s="378">
        <f t="shared" si="0"/>
        <v>24</v>
      </c>
      <c r="D29" s="379" t="s">
        <v>2238</v>
      </c>
      <c r="E29" s="380" t="s">
        <v>2239</v>
      </c>
    </row>
    <row r="30" spans="1:5">
      <c r="A30" s="284">
        <f t="shared" si="0"/>
        <v>25</v>
      </c>
      <c r="B30" s="726" t="s">
        <v>865</v>
      </c>
      <c r="C30" s="726" t="s">
        <v>1684</v>
      </c>
      <c r="D30" s="379" t="s">
        <v>2240</v>
      </c>
      <c r="E30" s="380" t="s">
        <v>2241</v>
      </c>
    </row>
    <row r="31" spans="1:5">
      <c r="A31" s="378">
        <f t="shared" si="0"/>
        <v>26</v>
      </c>
      <c r="D31" s="379" t="s">
        <v>2242</v>
      </c>
      <c r="E31" s="380" t="s">
        <v>2243</v>
      </c>
    </row>
    <row r="32" spans="1:5">
      <c r="A32" s="284">
        <f t="shared" si="0"/>
        <v>27</v>
      </c>
      <c r="D32" s="379" t="s">
        <v>2244</v>
      </c>
      <c r="E32" s="380"/>
    </row>
    <row r="33" spans="1:5">
      <c r="A33" s="378">
        <f t="shared" si="0"/>
        <v>28</v>
      </c>
      <c r="D33" s="379" t="s">
        <v>2245</v>
      </c>
      <c r="E33" s="380" t="s">
        <v>2243</v>
      </c>
    </row>
    <row r="34" spans="1:5">
      <c r="A34" s="284">
        <f t="shared" si="0"/>
        <v>29</v>
      </c>
      <c r="B34" s="726" t="s">
        <v>867</v>
      </c>
      <c r="C34" s="726" t="s">
        <v>1688</v>
      </c>
      <c r="D34" s="379" t="s">
        <v>2246</v>
      </c>
      <c r="E34" s="380" t="s">
        <v>2247</v>
      </c>
    </row>
    <row r="35" spans="1:5">
      <c r="A35" s="378">
        <f t="shared" si="0"/>
        <v>30</v>
      </c>
      <c r="B35" s="726" t="s">
        <v>875</v>
      </c>
      <c r="C35" s="726" t="s">
        <v>1708</v>
      </c>
      <c r="D35" s="379" t="s">
        <v>2248</v>
      </c>
      <c r="E35" s="380" t="s">
        <v>2249</v>
      </c>
    </row>
    <row r="36" spans="1:5">
      <c r="A36" s="284">
        <f t="shared" si="0"/>
        <v>31</v>
      </c>
      <c r="B36" s="726" t="s">
        <v>877</v>
      </c>
      <c r="C36" s="726" t="s">
        <v>2250</v>
      </c>
      <c r="D36" s="379" t="s">
        <v>2234</v>
      </c>
      <c r="E36" s="380"/>
    </row>
    <row r="37" spans="1:5">
      <c r="A37" s="378">
        <f t="shared" si="0"/>
        <v>32</v>
      </c>
      <c r="B37" s="726" t="s">
        <v>879</v>
      </c>
      <c r="C37" s="726" t="s">
        <v>1713</v>
      </c>
      <c r="D37" s="379" t="s">
        <v>2251</v>
      </c>
      <c r="E37" s="380" t="s">
        <v>2237</v>
      </c>
    </row>
    <row r="38" spans="1:5">
      <c r="A38" s="284">
        <f t="shared" si="0"/>
        <v>33</v>
      </c>
      <c r="B38" s="726" t="s">
        <v>881</v>
      </c>
      <c r="C38" s="726" t="s">
        <v>2121</v>
      </c>
      <c r="D38" s="379" t="s">
        <v>2252</v>
      </c>
      <c r="E38" s="380"/>
    </row>
    <row r="39" spans="1:5">
      <c r="A39" s="729">
        <f t="shared" ref="A39:A102" si="1">A38+1</f>
        <v>34</v>
      </c>
      <c r="B39" s="726" t="s">
        <v>885</v>
      </c>
      <c r="C39" s="726" t="s">
        <v>2253</v>
      </c>
      <c r="D39" s="379" t="s">
        <v>2234</v>
      </c>
      <c r="E39" s="380"/>
    </row>
    <row r="40" spans="1:5">
      <c r="A40" s="730">
        <f t="shared" si="1"/>
        <v>35</v>
      </c>
      <c r="B40" s="726" t="s">
        <v>887</v>
      </c>
      <c r="C40" s="726" t="s">
        <v>1729</v>
      </c>
      <c r="D40" s="379" t="s">
        <v>2254</v>
      </c>
      <c r="E40" s="380" t="s">
        <v>2255</v>
      </c>
    </row>
    <row r="41" spans="1:5">
      <c r="A41" s="729">
        <f t="shared" si="1"/>
        <v>36</v>
      </c>
      <c r="D41" s="379" t="s">
        <v>2256</v>
      </c>
      <c r="E41" s="380" t="s">
        <v>2257</v>
      </c>
    </row>
    <row r="42" spans="1:5">
      <c r="A42" s="284">
        <f t="shared" si="1"/>
        <v>37</v>
      </c>
      <c r="B42" s="726" t="s">
        <v>895</v>
      </c>
      <c r="C42" s="726" t="s">
        <v>1734</v>
      </c>
      <c r="D42" s="379" t="s">
        <v>2258</v>
      </c>
      <c r="E42" s="380"/>
    </row>
    <row r="43" spans="1:5">
      <c r="A43" s="378">
        <f t="shared" si="1"/>
        <v>38</v>
      </c>
      <c r="D43" s="379" t="s">
        <v>2259</v>
      </c>
      <c r="E43" s="380" t="s">
        <v>2260</v>
      </c>
    </row>
    <row r="44" spans="1:5">
      <c r="A44" s="284">
        <f t="shared" si="1"/>
        <v>39</v>
      </c>
      <c r="B44" s="726" t="s">
        <v>897</v>
      </c>
      <c r="C44" s="726" t="s">
        <v>1737</v>
      </c>
      <c r="D44" s="379" t="s">
        <v>2261</v>
      </c>
      <c r="E44" s="380"/>
    </row>
    <row r="45" spans="1:5">
      <c r="A45" s="729">
        <f t="shared" si="1"/>
        <v>40</v>
      </c>
      <c r="D45" s="379" t="s">
        <v>2262</v>
      </c>
      <c r="E45" s="380"/>
    </row>
    <row r="46" spans="1:5">
      <c r="A46" s="730">
        <f t="shared" si="1"/>
        <v>41</v>
      </c>
      <c r="D46" s="379" t="s">
        <v>2263</v>
      </c>
      <c r="E46" s="380" t="s">
        <v>2264</v>
      </c>
    </row>
    <row r="47" spans="1:5">
      <c r="A47" s="729">
        <f t="shared" si="1"/>
        <v>42</v>
      </c>
      <c r="D47" s="379" t="s">
        <v>2265</v>
      </c>
      <c r="E47" s="380"/>
    </row>
    <row r="48" spans="1:5">
      <c r="A48" s="284">
        <f t="shared" si="1"/>
        <v>43</v>
      </c>
      <c r="B48" s="726" t="s">
        <v>899</v>
      </c>
      <c r="C48" s="726" t="s">
        <v>1742</v>
      </c>
      <c r="D48" s="379" t="s">
        <v>2266</v>
      </c>
      <c r="E48" s="380"/>
    </row>
    <row r="49" spans="1:5">
      <c r="A49" s="378">
        <f t="shared" si="1"/>
        <v>44</v>
      </c>
      <c r="B49" s="726" t="s">
        <v>903</v>
      </c>
      <c r="C49" s="726" t="s">
        <v>1745</v>
      </c>
      <c r="D49" s="379" t="s">
        <v>2267</v>
      </c>
      <c r="E49" s="380"/>
    </row>
    <row r="50" spans="1:5">
      <c r="A50" s="284">
        <f t="shared" si="1"/>
        <v>45</v>
      </c>
      <c r="B50" s="726" t="s">
        <v>905</v>
      </c>
      <c r="C50" s="726" t="s">
        <v>1747</v>
      </c>
      <c r="D50" s="379" t="s">
        <v>2268</v>
      </c>
      <c r="E50" s="380"/>
    </row>
    <row r="51" spans="1:5">
      <c r="A51" s="729">
        <f t="shared" si="1"/>
        <v>46</v>
      </c>
      <c r="B51" s="726" t="s">
        <v>907</v>
      </c>
      <c r="C51" s="726" t="s">
        <v>1749</v>
      </c>
      <c r="D51" s="379" t="s">
        <v>2269</v>
      </c>
      <c r="E51" s="380" t="s">
        <v>2270</v>
      </c>
    </row>
    <row r="52" spans="1:5">
      <c r="A52" s="730">
        <f t="shared" si="1"/>
        <v>47</v>
      </c>
      <c r="B52" s="726" t="s">
        <v>911</v>
      </c>
      <c r="C52" s="726" t="s">
        <v>1755</v>
      </c>
      <c r="D52" s="379" t="s">
        <v>2271</v>
      </c>
      <c r="E52" s="380"/>
    </row>
    <row r="53" spans="1:5">
      <c r="A53" s="729">
        <f t="shared" si="1"/>
        <v>48</v>
      </c>
      <c r="D53" s="379" t="s">
        <v>2272</v>
      </c>
      <c r="E53" s="380" t="s">
        <v>2273</v>
      </c>
    </row>
    <row r="54" spans="1:5">
      <c r="A54" s="284">
        <f t="shared" si="1"/>
        <v>49</v>
      </c>
      <c r="B54" s="726" t="s">
        <v>1537</v>
      </c>
      <c r="C54" s="726" t="s">
        <v>2274</v>
      </c>
      <c r="D54" s="379" t="s">
        <v>2234</v>
      </c>
      <c r="E54" s="380"/>
    </row>
    <row r="55" spans="1:5">
      <c r="A55" s="378">
        <f t="shared" si="1"/>
        <v>50</v>
      </c>
      <c r="B55" s="726" t="s">
        <v>1539</v>
      </c>
      <c r="C55" s="726" t="s">
        <v>2275</v>
      </c>
      <c r="D55" s="379" t="s">
        <v>2234</v>
      </c>
      <c r="E55" s="380"/>
    </row>
    <row r="56" spans="1:5">
      <c r="A56" s="284">
        <f t="shared" si="1"/>
        <v>51</v>
      </c>
      <c r="B56" s="726" t="s">
        <v>915</v>
      </c>
      <c r="C56" s="726" t="s">
        <v>1771</v>
      </c>
      <c r="D56" s="379" t="s">
        <v>2276</v>
      </c>
      <c r="E56" s="380" t="s">
        <v>2277</v>
      </c>
    </row>
    <row r="57" spans="1:5">
      <c r="A57" s="729">
        <f t="shared" si="1"/>
        <v>52</v>
      </c>
      <c r="B57" s="726" t="s">
        <v>917</v>
      </c>
      <c r="C57" s="726" t="s">
        <v>1778</v>
      </c>
      <c r="D57" s="379" t="s">
        <v>2278</v>
      </c>
      <c r="E57" s="380"/>
    </row>
    <row r="58" spans="1:5">
      <c r="A58" s="730">
        <f t="shared" si="1"/>
        <v>53</v>
      </c>
      <c r="D58" s="379" t="s">
        <v>2279</v>
      </c>
      <c r="E58" s="380"/>
    </row>
    <row r="59" spans="1:5">
      <c r="A59" s="729">
        <f t="shared" si="1"/>
        <v>54</v>
      </c>
      <c r="D59" s="379" t="s">
        <v>2280</v>
      </c>
      <c r="E59" s="380"/>
    </row>
    <row r="60" spans="1:5">
      <c r="A60" s="284">
        <f t="shared" si="1"/>
        <v>55</v>
      </c>
      <c r="D60" s="379" t="s">
        <v>2281</v>
      </c>
      <c r="E60" s="380" t="s">
        <v>2282</v>
      </c>
    </row>
    <row r="61" spans="1:5">
      <c r="A61" s="378">
        <f t="shared" si="1"/>
        <v>56</v>
      </c>
      <c r="D61" s="379" t="s">
        <v>2283</v>
      </c>
      <c r="E61" s="380"/>
    </row>
    <row r="62" spans="1:5">
      <c r="A62" s="284">
        <f t="shared" si="1"/>
        <v>57</v>
      </c>
      <c r="D62" s="379" t="s">
        <v>2284</v>
      </c>
      <c r="E62" s="380" t="s">
        <v>2285</v>
      </c>
    </row>
    <row r="63" spans="1:5">
      <c r="A63" s="729">
        <f t="shared" si="1"/>
        <v>58</v>
      </c>
      <c r="B63" s="726" t="s">
        <v>919</v>
      </c>
      <c r="C63" s="726" t="s">
        <v>2151</v>
      </c>
      <c r="D63" s="379" t="s">
        <v>2286</v>
      </c>
      <c r="E63" s="380"/>
    </row>
    <row r="64" spans="1:5">
      <c r="A64" s="730">
        <f t="shared" si="1"/>
        <v>59</v>
      </c>
      <c r="B64" s="726" t="s">
        <v>923</v>
      </c>
      <c r="C64" s="726" t="s">
        <v>1785</v>
      </c>
      <c r="D64" s="379" t="s">
        <v>2287</v>
      </c>
      <c r="E64" s="380" t="s">
        <v>2288</v>
      </c>
    </row>
    <row r="65" spans="1:5">
      <c r="A65" s="729">
        <f t="shared" si="1"/>
        <v>60</v>
      </c>
      <c r="B65" s="726" t="s">
        <v>1545</v>
      </c>
      <c r="C65" s="726" t="s">
        <v>2289</v>
      </c>
      <c r="D65" s="379" t="s">
        <v>2234</v>
      </c>
      <c r="E65" s="380"/>
    </row>
    <row r="66" spans="1:5">
      <c r="A66" s="284">
        <f t="shared" si="1"/>
        <v>61</v>
      </c>
      <c r="B66" s="726" t="s">
        <v>1335</v>
      </c>
      <c r="C66" s="726" t="s">
        <v>2186</v>
      </c>
      <c r="D66" s="379" t="s">
        <v>2290</v>
      </c>
      <c r="E66" s="380" t="s">
        <v>2291</v>
      </c>
    </row>
    <row r="67" spans="1:5">
      <c r="A67" s="378">
        <f t="shared" si="1"/>
        <v>62</v>
      </c>
      <c r="B67" s="726" t="s">
        <v>138</v>
      </c>
      <c r="C67" s="726" t="s">
        <v>2189</v>
      </c>
      <c r="D67" s="379" t="s">
        <v>2292</v>
      </c>
      <c r="E67" s="380" t="s">
        <v>2291</v>
      </c>
    </row>
    <row r="68" spans="1:5">
      <c r="A68" s="284">
        <f t="shared" si="1"/>
        <v>63</v>
      </c>
      <c r="B68" s="726" t="s">
        <v>2293</v>
      </c>
      <c r="C68" s="726" t="s">
        <v>2294</v>
      </c>
      <c r="D68" s="379" t="s">
        <v>2234</v>
      </c>
      <c r="E68" s="380"/>
    </row>
    <row r="69" spans="1:5">
      <c r="A69" s="729">
        <f t="shared" si="1"/>
        <v>64</v>
      </c>
      <c r="B69" s="726" t="s">
        <v>1549</v>
      </c>
      <c r="C69" s="726" t="s">
        <v>2295</v>
      </c>
      <c r="D69" s="379" t="s">
        <v>2234</v>
      </c>
      <c r="E69" s="380"/>
    </row>
    <row r="70" spans="1:5">
      <c r="A70" s="730">
        <f t="shared" si="1"/>
        <v>65</v>
      </c>
      <c r="B70" s="726" t="s">
        <v>933</v>
      </c>
      <c r="C70" s="726" t="s">
        <v>1824</v>
      </c>
      <c r="D70" s="379" t="s">
        <v>2296</v>
      </c>
      <c r="E70" s="380" t="s">
        <v>2297</v>
      </c>
    </row>
    <row r="71" spans="1:5">
      <c r="A71" s="729">
        <f t="shared" si="1"/>
        <v>66</v>
      </c>
      <c r="D71" s="379" t="s">
        <v>2298</v>
      </c>
      <c r="E71" s="380"/>
    </row>
    <row r="72" spans="1:5">
      <c r="A72" s="284">
        <f t="shared" si="1"/>
        <v>67</v>
      </c>
      <c r="D72" s="379" t="s">
        <v>2299</v>
      </c>
      <c r="E72" s="380"/>
    </row>
    <row r="73" spans="1:5">
      <c r="A73" s="378">
        <f t="shared" si="1"/>
        <v>68</v>
      </c>
      <c r="B73" s="726" t="s">
        <v>937</v>
      </c>
      <c r="C73" s="726" t="s">
        <v>1839</v>
      </c>
      <c r="D73" s="379" t="s">
        <v>2620</v>
      </c>
      <c r="E73" s="380" t="s">
        <v>2237</v>
      </c>
    </row>
    <row r="74" spans="1:5">
      <c r="A74" s="284">
        <f t="shared" si="1"/>
        <v>69</v>
      </c>
      <c r="B74" s="726" t="s">
        <v>939</v>
      </c>
      <c r="C74" s="726" t="s">
        <v>1840</v>
      </c>
      <c r="D74" s="379" t="s">
        <v>2212</v>
      </c>
      <c r="E74" s="380" t="s">
        <v>2213</v>
      </c>
    </row>
    <row r="75" spans="1:5">
      <c r="A75" s="729">
        <f t="shared" si="1"/>
        <v>70</v>
      </c>
      <c r="B75" s="726" t="s">
        <v>945</v>
      </c>
      <c r="C75" s="726" t="s">
        <v>1850</v>
      </c>
      <c r="D75" s="379" t="s">
        <v>2300</v>
      </c>
      <c r="E75" s="380" t="s">
        <v>2301</v>
      </c>
    </row>
    <row r="76" spans="1:5">
      <c r="A76" s="730">
        <f t="shared" si="1"/>
        <v>71</v>
      </c>
      <c r="B76" s="379" t="s">
        <v>947</v>
      </c>
      <c r="C76" s="379" t="s">
        <v>1858</v>
      </c>
      <c r="D76" s="379" t="s">
        <v>2302</v>
      </c>
      <c r="E76" s="728"/>
    </row>
    <row r="77" spans="1:5">
      <c r="A77" s="729">
        <f t="shared" si="1"/>
        <v>72</v>
      </c>
      <c r="B77" s="726" t="s">
        <v>951</v>
      </c>
      <c r="C77" s="726" t="s">
        <v>1860</v>
      </c>
      <c r="D77" s="379" t="s">
        <v>2303</v>
      </c>
      <c r="E77" s="380" t="s">
        <v>2304</v>
      </c>
    </row>
    <row r="78" spans="1:5">
      <c r="A78" s="284">
        <f t="shared" si="1"/>
        <v>73</v>
      </c>
      <c r="B78" s="726" t="s">
        <v>953</v>
      </c>
      <c r="C78" s="726" t="s">
        <v>1862</v>
      </c>
      <c r="D78" s="379" t="s">
        <v>2305</v>
      </c>
      <c r="E78" s="380"/>
    </row>
    <row r="79" spans="1:5">
      <c r="A79" s="378">
        <f t="shared" si="1"/>
        <v>74</v>
      </c>
      <c r="D79" s="379" t="s">
        <v>1775</v>
      </c>
      <c r="E79" s="380"/>
    </row>
    <row r="80" spans="1:5">
      <c r="A80" s="730">
        <f t="shared" si="1"/>
        <v>75</v>
      </c>
      <c r="D80" s="379" t="s">
        <v>2306</v>
      </c>
      <c r="E80" s="380" t="s">
        <v>2213</v>
      </c>
    </row>
    <row r="81" spans="1:5">
      <c r="A81" s="729">
        <f t="shared" si="1"/>
        <v>76</v>
      </c>
      <c r="B81" s="726" t="s">
        <v>1551</v>
      </c>
      <c r="C81" s="726" t="s">
        <v>2307</v>
      </c>
      <c r="D81" s="379" t="s">
        <v>2234</v>
      </c>
      <c r="E81" s="380"/>
    </row>
    <row r="82" spans="1:5">
      <c r="A82" s="730">
        <f t="shared" si="1"/>
        <v>77</v>
      </c>
      <c r="B82" s="726" t="s">
        <v>2308</v>
      </c>
      <c r="C82" s="726" t="s">
        <v>2309</v>
      </c>
      <c r="D82" s="379" t="s">
        <v>2234</v>
      </c>
      <c r="E82" s="380"/>
    </row>
    <row r="83" spans="1:5">
      <c r="A83" s="730">
        <f t="shared" si="1"/>
        <v>78</v>
      </c>
      <c r="B83" s="726" t="s">
        <v>955</v>
      </c>
      <c r="C83" s="726" t="s">
        <v>1867</v>
      </c>
      <c r="D83" s="379" t="s">
        <v>2310</v>
      </c>
      <c r="E83" s="380"/>
    </row>
    <row r="84" spans="1:5">
      <c r="A84" s="284">
        <f t="shared" si="1"/>
        <v>79</v>
      </c>
      <c r="D84" s="379" t="s">
        <v>2311</v>
      </c>
      <c r="E84" s="380"/>
    </row>
    <row r="85" spans="1:5">
      <c r="A85" s="378">
        <f t="shared" si="1"/>
        <v>80</v>
      </c>
      <c r="D85" s="379" t="s">
        <v>2312</v>
      </c>
      <c r="E85" s="380" t="s">
        <v>2313</v>
      </c>
    </row>
    <row r="86" spans="1:5">
      <c r="A86" s="284">
        <f t="shared" si="1"/>
        <v>81</v>
      </c>
      <c r="D86" s="379" t="s">
        <v>2314</v>
      </c>
      <c r="E86" s="380"/>
    </row>
    <row r="87" spans="1:5">
      <c r="A87" s="729">
        <f t="shared" si="1"/>
        <v>82</v>
      </c>
      <c r="B87" s="726" t="s">
        <v>957</v>
      </c>
      <c r="C87" s="726" t="s">
        <v>1878</v>
      </c>
      <c r="D87" s="379" t="s">
        <v>2315</v>
      </c>
      <c r="E87" s="380"/>
    </row>
    <row r="88" spans="1:5">
      <c r="A88" s="730">
        <f t="shared" si="1"/>
        <v>83</v>
      </c>
      <c r="D88" s="379" t="s">
        <v>2316</v>
      </c>
      <c r="E88" s="380" t="s">
        <v>2317</v>
      </c>
    </row>
    <row r="89" spans="1:5">
      <c r="A89" s="729">
        <f t="shared" si="1"/>
        <v>84</v>
      </c>
      <c r="B89" s="726" t="s">
        <v>959</v>
      </c>
      <c r="C89" s="726" t="s">
        <v>1882</v>
      </c>
      <c r="D89" s="379" t="s">
        <v>2318</v>
      </c>
      <c r="E89" s="380" t="s">
        <v>2319</v>
      </c>
    </row>
    <row r="90" spans="1:5">
      <c r="A90" s="284">
        <f t="shared" si="1"/>
        <v>85</v>
      </c>
      <c r="D90" s="379" t="s">
        <v>2320</v>
      </c>
      <c r="E90" s="380"/>
    </row>
    <row r="91" spans="1:5" ht="14.5">
      <c r="A91" s="378">
        <f t="shared" si="1"/>
        <v>86</v>
      </c>
      <c r="D91" s="495" t="s">
        <v>2321</v>
      </c>
      <c r="E91" s="380"/>
    </row>
    <row r="92" spans="1:5">
      <c r="A92" s="284">
        <f t="shared" si="1"/>
        <v>87</v>
      </c>
      <c r="B92" s="726" t="s">
        <v>961</v>
      </c>
      <c r="C92" s="726" t="s">
        <v>1885</v>
      </c>
      <c r="D92" s="379" t="s">
        <v>2322</v>
      </c>
      <c r="E92" s="380"/>
    </row>
    <row r="93" spans="1:5">
      <c r="A93" s="729">
        <f t="shared" si="1"/>
        <v>88</v>
      </c>
      <c r="D93" s="379" t="s">
        <v>2323</v>
      </c>
      <c r="E93" s="380" t="s">
        <v>2220</v>
      </c>
    </row>
    <row r="94" spans="1:5">
      <c r="A94" s="730">
        <f t="shared" si="1"/>
        <v>89</v>
      </c>
      <c r="B94" s="726" t="s">
        <v>971</v>
      </c>
      <c r="C94" s="726" t="s">
        <v>1897</v>
      </c>
      <c r="D94" s="379" t="s">
        <v>2621</v>
      </c>
      <c r="E94" s="380"/>
    </row>
    <row r="95" spans="1:5">
      <c r="A95" s="729">
        <f t="shared" si="1"/>
        <v>90</v>
      </c>
      <c r="D95" s="379" t="s">
        <v>2324</v>
      </c>
      <c r="E95" s="380"/>
    </row>
    <row r="96" spans="1:5">
      <c r="A96" s="284">
        <f t="shared" si="1"/>
        <v>91</v>
      </c>
      <c r="B96" s="726" t="s">
        <v>973</v>
      </c>
      <c r="C96" s="726" t="s">
        <v>1898</v>
      </c>
      <c r="D96" s="379" t="s">
        <v>2622</v>
      </c>
      <c r="E96" s="380"/>
    </row>
    <row r="97" spans="1:5">
      <c r="A97" s="378">
        <f t="shared" si="1"/>
        <v>92</v>
      </c>
      <c r="D97" s="379" t="s">
        <v>2325</v>
      </c>
      <c r="E97" s="380"/>
    </row>
    <row r="98" spans="1:5">
      <c r="A98" s="284">
        <f t="shared" si="1"/>
        <v>93</v>
      </c>
      <c r="D98" s="379" t="s">
        <v>2326</v>
      </c>
      <c r="E98" s="380" t="s">
        <v>2327</v>
      </c>
    </row>
    <row r="99" spans="1:5">
      <c r="A99" s="729">
        <f t="shared" si="1"/>
        <v>94</v>
      </c>
      <c r="B99" s="726" t="s">
        <v>975</v>
      </c>
      <c r="C99" s="726" t="s">
        <v>1904</v>
      </c>
      <c r="D99" s="379" t="s">
        <v>2328</v>
      </c>
      <c r="E99" s="380"/>
    </row>
    <row r="100" spans="1:5">
      <c r="A100" s="730">
        <f t="shared" si="1"/>
        <v>95</v>
      </c>
      <c r="B100" s="726" t="s">
        <v>985</v>
      </c>
      <c r="C100" s="726" t="s">
        <v>1920</v>
      </c>
      <c r="D100" s="379" t="s">
        <v>2329</v>
      </c>
      <c r="E100" s="380" t="s">
        <v>2330</v>
      </c>
    </row>
    <row r="101" spans="1:5">
      <c r="A101" s="729">
        <f t="shared" si="1"/>
        <v>96</v>
      </c>
      <c r="B101" s="726" t="s">
        <v>987</v>
      </c>
      <c r="C101" s="726" t="s">
        <v>1926</v>
      </c>
      <c r="D101" s="379" t="s">
        <v>2331</v>
      </c>
      <c r="E101" s="380"/>
    </row>
    <row r="102" spans="1:5">
      <c r="A102" s="284">
        <f t="shared" si="1"/>
        <v>97</v>
      </c>
      <c r="D102" s="379" t="s">
        <v>2332</v>
      </c>
      <c r="E102" s="380"/>
    </row>
    <row r="103" spans="1:5">
      <c r="A103" s="378">
        <f t="shared" ref="A103:A166" si="2">A102+1</f>
        <v>98</v>
      </c>
      <c r="D103" s="379" t="s">
        <v>2333</v>
      </c>
      <c r="E103" s="380"/>
    </row>
    <row r="104" spans="1:5">
      <c r="A104" s="284">
        <f t="shared" si="2"/>
        <v>99</v>
      </c>
      <c r="B104" s="726" t="s">
        <v>989</v>
      </c>
      <c r="C104" s="726" t="s">
        <v>1930</v>
      </c>
      <c r="D104" s="379" t="s">
        <v>2334</v>
      </c>
      <c r="E104" s="380" t="s">
        <v>2213</v>
      </c>
    </row>
    <row r="105" spans="1:5">
      <c r="A105" s="729">
        <f t="shared" si="2"/>
        <v>100</v>
      </c>
      <c r="B105" s="726" t="s">
        <v>2335</v>
      </c>
      <c r="C105" s="726" t="s">
        <v>2336</v>
      </c>
      <c r="D105" s="379" t="s">
        <v>2234</v>
      </c>
      <c r="E105" s="380"/>
    </row>
    <row r="106" spans="1:5">
      <c r="A106" s="730">
        <f t="shared" si="2"/>
        <v>101</v>
      </c>
      <c r="B106" s="726" t="s">
        <v>992</v>
      </c>
      <c r="C106" s="726" t="s">
        <v>1932</v>
      </c>
      <c r="D106" s="379" t="s">
        <v>2337</v>
      </c>
      <c r="E106" s="380"/>
    </row>
    <row r="107" spans="1:5">
      <c r="A107" s="729">
        <f t="shared" si="2"/>
        <v>102</v>
      </c>
      <c r="B107" s="726" t="s">
        <v>996</v>
      </c>
      <c r="C107" s="726" t="s">
        <v>1940</v>
      </c>
      <c r="D107" s="379" t="s">
        <v>2338</v>
      </c>
      <c r="E107" s="380" t="s">
        <v>2339</v>
      </c>
    </row>
    <row r="108" spans="1:5">
      <c r="A108" s="284">
        <f t="shared" si="2"/>
        <v>103</v>
      </c>
      <c r="B108" s="726" t="s">
        <v>994</v>
      </c>
      <c r="C108" s="726" t="s">
        <v>1933</v>
      </c>
      <c r="D108" s="379" t="s">
        <v>2340</v>
      </c>
      <c r="E108" s="380"/>
    </row>
    <row r="109" spans="1:5">
      <c r="A109" s="378">
        <f t="shared" si="2"/>
        <v>104</v>
      </c>
      <c r="D109" s="379" t="s">
        <v>2747</v>
      </c>
      <c r="E109" s="380" t="s">
        <v>2304</v>
      </c>
    </row>
    <row r="110" spans="1:5">
      <c r="A110" s="284">
        <f t="shared" si="2"/>
        <v>105</v>
      </c>
      <c r="B110" s="726" t="s">
        <v>1420</v>
      </c>
      <c r="C110" s="726" t="s">
        <v>2191</v>
      </c>
      <c r="D110" s="379" t="s">
        <v>2341</v>
      </c>
      <c r="E110" s="380" t="s">
        <v>2304</v>
      </c>
    </row>
    <row r="111" spans="1:5">
      <c r="A111" s="729">
        <f t="shared" si="2"/>
        <v>106</v>
      </c>
      <c r="D111" s="379" t="s">
        <v>2240</v>
      </c>
      <c r="E111" s="380" t="s">
        <v>2304</v>
      </c>
    </row>
    <row r="112" spans="1:5">
      <c r="A112" s="730">
        <f t="shared" si="2"/>
        <v>107</v>
      </c>
      <c r="B112" s="726" t="s">
        <v>998</v>
      </c>
      <c r="C112" s="726" t="s">
        <v>1943</v>
      </c>
      <c r="D112" s="379" t="s">
        <v>2342</v>
      </c>
      <c r="E112" s="380" t="s">
        <v>2343</v>
      </c>
    </row>
    <row r="113" spans="1:5">
      <c r="A113" s="729">
        <f t="shared" si="2"/>
        <v>108</v>
      </c>
      <c r="B113" s="726" t="s">
        <v>1002</v>
      </c>
      <c r="C113" s="726" t="s">
        <v>2125</v>
      </c>
      <c r="D113" s="379" t="s">
        <v>2344</v>
      </c>
      <c r="E113" s="380"/>
    </row>
    <row r="114" spans="1:5">
      <c r="A114" s="284">
        <f t="shared" si="2"/>
        <v>109</v>
      </c>
      <c r="B114" s="726" t="s">
        <v>1004</v>
      </c>
      <c r="C114" s="726" t="s">
        <v>1950</v>
      </c>
      <c r="D114" s="379" t="s">
        <v>2345</v>
      </c>
      <c r="E114" s="380"/>
    </row>
    <row r="115" spans="1:5">
      <c r="A115" s="378">
        <f t="shared" si="2"/>
        <v>110</v>
      </c>
      <c r="D115" s="379" t="s">
        <v>1777</v>
      </c>
      <c r="E115" s="380" t="s">
        <v>2288</v>
      </c>
    </row>
    <row r="116" spans="1:5">
      <c r="A116" s="284">
        <f t="shared" si="2"/>
        <v>111</v>
      </c>
      <c r="B116" s="726" t="s">
        <v>1006</v>
      </c>
      <c r="C116" s="726" t="s">
        <v>1953</v>
      </c>
      <c r="D116" s="379" t="s">
        <v>2346</v>
      </c>
      <c r="E116" s="380"/>
    </row>
    <row r="117" spans="1:5">
      <c r="A117" s="729">
        <f t="shared" si="2"/>
        <v>112</v>
      </c>
      <c r="D117" s="379" t="s">
        <v>2347</v>
      </c>
      <c r="E117" s="380" t="s">
        <v>2348</v>
      </c>
    </row>
    <row r="118" spans="1:5">
      <c r="A118" s="730">
        <f t="shared" si="2"/>
        <v>113</v>
      </c>
      <c r="B118" s="726" t="s">
        <v>1008</v>
      </c>
      <c r="C118" s="726" t="s">
        <v>2126</v>
      </c>
      <c r="D118" s="379" t="s">
        <v>2349</v>
      </c>
      <c r="E118" s="380"/>
    </row>
    <row r="119" spans="1:5">
      <c r="A119" s="729">
        <f t="shared" si="2"/>
        <v>114</v>
      </c>
      <c r="B119" s="726" t="s">
        <v>1012</v>
      </c>
      <c r="C119" s="726" t="s">
        <v>1958</v>
      </c>
      <c r="D119" s="379" t="s">
        <v>2350</v>
      </c>
      <c r="E119" s="380"/>
    </row>
    <row r="120" spans="1:5">
      <c r="A120" s="284">
        <f t="shared" si="2"/>
        <v>115</v>
      </c>
      <c r="B120" s="726" t="s">
        <v>1014</v>
      </c>
      <c r="C120" s="726" t="s">
        <v>2351</v>
      </c>
      <c r="D120" s="379" t="s">
        <v>2234</v>
      </c>
      <c r="E120" s="380"/>
    </row>
    <row r="121" spans="1:5">
      <c r="A121" s="378">
        <f t="shared" si="2"/>
        <v>116</v>
      </c>
      <c r="B121" s="726" t="s">
        <v>1019</v>
      </c>
      <c r="C121" s="726" t="s">
        <v>1967</v>
      </c>
      <c r="D121" s="379" t="s">
        <v>2352</v>
      </c>
      <c r="E121" s="380"/>
    </row>
    <row r="122" spans="1:5">
      <c r="A122" s="284">
        <f t="shared" si="2"/>
        <v>117</v>
      </c>
      <c r="D122" s="379" t="s">
        <v>2353</v>
      </c>
      <c r="E122" s="380" t="s">
        <v>2301</v>
      </c>
    </row>
    <row r="123" spans="1:5">
      <c r="A123" s="729">
        <f t="shared" si="2"/>
        <v>118</v>
      </c>
      <c r="D123" s="379" t="s">
        <v>2354</v>
      </c>
      <c r="E123" s="380" t="s">
        <v>2301</v>
      </c>
    </row>
    <row r="124" spans="1:5">
      <c r="A124" s="730">
        <f t="shared" si="2"/>
        <v>119</v>
      </c>
      <c r="B124" s="726" t="s">
        <v>1021</v>
      </c>
      <c r="C124" s="726" t="s">
        <v>1970</v>
      </c>
      <c r="D124" s="379" t="s">
        <v>2355</v>
      </c>
      <c r="E124" s="380"/>
    </row>
    <row r="125" spans="1:5">
      <c r="A125" s="729">
        <f t="shared" si="2"/>
        <v>120</v>
      </c>
      <c r="D125" s="379" t="s">
        <v>2281</v>
      </c>
      <c r="E125" s="380" t="s">
        <v>2264</v>
      </c>
    </row>
    <row r="126" spans="1:5">
      <c r="A126" s="284">
        <f t="shared" si="2"/>
        <v>121</v>
      </c>
      <c r="B126" s="726" t="s">
        <v>1555</v>
      </c>
      <c r="C126" s="726" t="s">
        <v>2356</v>
      </c>
      <c r="D126" s="379" t="s">
        <v>2234</v>
      </c>
      <c r="E126" s="380"/>
    </row>
    <row r="127" spans="1:5">
      <c r="A127" s="378">
        <f t="shared" si="2"/>
        <v>122</v>
      </c>
      <c r="B127" s="726" t="s">
        <v>1027</v>
      </c>
      <c r="C127" s="726" t="s">
        <v>2357</v>
      </c>
      <c r="D127" s="379" t="s">
        <v>2234</v>
      </c>
      <c r="E127" s="380"/>
    </row>
    <row r="128" spans="1:5">
      <c r="A128" s="284">
        <f t="shared" si="2"/>
        <v>123</v>
      </c>
      <c r="B128" s="726" t="s">
        <v>1027</v>
      </c>
      <c r="C128" s="726" t="s">
        <v>1975</v>
      </c>
      <c r="D128" s="379" t="s">
        <v>2240</v>
      </c>
      <c r="E128" s="380" t="s">
        <v>2358</v>
      </c>
    </row>
    <row r="129" spans="1:5">
      <c r="A129" s="729">
        <f t="shared" si="2"/>
        <v>124</v>
      </c>
      <c r="B129" s="726" t="s">
        <v>1557</v>
      </c>
      <c r="C129" s="726" t="s">
        <v>2359</v>
      </c>
      <c r="D129" s="379" t="s">
        <v>2234</v>
      </c>
      <c r="E129" s="380"/>
    </row>
    <row r="130" spans="1:5">
      <c r="A130" s="730">
        <f t="shared" si="2"/>
        <v>125</v>
      </c>
      <c r="B130" s="726" t="s">
        <v>1035</v>
      </c>
      <c r="C130" s="726" t="s">
        <v>1993</v>
      </c>
      <c r="D130" s="379" t="s">
        <v>2360</v>
      </c>
      <c r="E130" s="380" t="s">
        <v>2213</v>
      </c>
    </row>
    <row r="131" spans="1:5">
      <c r="A131" s="729">
        <f t="shared" si="2"/>
        <v>126</v>
      </c>
      <c r="D131" s="379" t="s">
        <v>2212</v>
      </c>
      <c r="E131" s="380" t="s">
        <v>2213</v>
      </c>
    </row>
    <row r="132" spans="1:5">
      <c r="A132" s="284">
        <f t="shared" si="2"/>
        <v>127</v>
      </c>
      <c r="B132" s="726" t="s">
        <v>1037</v>
      </c>
      <c r="C132" s="726" t="s">
        <v>1999</v>
      </c>
      <c r="D132" s="379" t="s">
        <v>2361</v>
      </c>
      <c r="E132" s="380" t="s">
        <v>2362</v>
      </c>
    </row>
    <row r="133" spans="1:5">
      <c r="A133" s="378">
        <f t="shared" si="2"/>
        <v>128</v>
      </c>
      <c r="B133" s="726" t="s">
        <v>1045</v>
      </c>
      <c r="C133" s="726" t="s">
        <v>2009</v>
      </c>
      <c r="D133" s="379" t="s">
        <v>2363</v>
      </c>
      <c r="E133" s="380"/>
    </row>
    <row r="134" spans="1:5">
      <c r="A134" s="284">
        <f t="shared" si="2"/>
        <v>129</v>
      </c>
      <c r="D134" s="379" t="s">
        <v>2364</v>
      </c>
      <c r="E134" s="380"/>
    </row>
    <row r="135" spans="1:5">
      <c r="A135" s="729">
        <f t="shared" si="2"/>
        <v>130</v>
      </c>
      <c r="D135" s="379" t="s">
        <v>2365</v>
      </c>
      <c r="E135" s="380"/>
    </row>
    <row r="136" spans="1:5">
      <c r="A136" s="730">
        <f t="shared" si="2"/>
        <v>131</v>
      </c>
      <c r="B136" s="726" t="s">
        <v>135</v>
      </c>
      <c r="C136" s="726" t="s">
        <v>2366</v>
      </c>
      <c r="D136" s="379" t="s">
        <v>2234</v>
      </c>
      <c r="E136" s="380"/>
    </row>
    <row r="137" spans="1:5">
      <c r="A137" s="729">
        <f t="shared" si="2"/>
        <v>132</v>
      </c>
      <c r="B137" s="726" t="s">
        <v>1047</v>
      </c>
      <c r="C137" s="726" t="s">
        <v>2130</v>
      </c>
      <c r="D137" s="379" t="s">
        <v>2367</v>
      </c>
      <c r="E137" s="380"/>
    </row>
    <row r="138" spans="1:5">
      <c r="A138" s="284">
        <f t="shared" si="2"/>
        <v>133</v>
      </c>
      <c r="D138" s="379" t="s">
        <v>2368</v>
      </c>
      <c r="E138" s="380" t="s">
        <v>2369</v>
      </c>
    </row>
    <row r="139" spans="1:5">
      <c r="A139" s="378">
        <f t="shared" si="2"/>
        <v>134</v>
      </c>
      <c r="B139" s="726" t="s">
        <v>1562</v>
      </c>
      <c r="C139" s="726" t="s">
        <v>2015</v>
      </c>
      <c r="D139" s="379" t="s">
        <v>2370</v>
      </c>
      <c r="E139" s="380"/>
    </row>
    <row r="140" spans="1:5">
      <c r="A140" s="284">
        <f t="shared" si="2"/>
        <v>135</v>
      </c>
      <c r="D140" s="379" t="s">
        <v>2371</v>
      </c>
      <c r="E140" s="380" t="s">
        <v>2224</v>
      </c>
    </row>
    <row r="141" spans="1:5">
      <c r="A141" s="729">
        <f t="shared" si="2"/>
        <v>136</v>
      </c>
      <c r="B141" s="726" t="s">
        <v>1053</v>
      </c>
      <c r="C141" s="726" t="s">
        <v>2020</v>
      </c>
      <c r="D141" s="379" t="s">
        <v>2278</v>
      </c>
      <c r="E141" s="380" t="s">
        <v>2213</v>
      </c>
    </row>
    <row r="142" spans="1:5">
      <c r="A142" s="730">
        <f t="shared" si="2"/>
        <v>137</v>
      </c>
      <c r="D142" s="379" t="s">
        <v>2372</v>
      </c>
      <c r="E142" s="380" t="s">
        <v>2237</v>
      </c>
    </row>
    <row r="143" spans="1:5">
      <c r="A143" s="729">
        <f t="shared" si="2"/>
        <v>138</v>
      </c>
      <c r="B143" s="726" t="s">
        <v>1059</v>
      </c>
      <c r="C143" s="726" t="s">
        <v>2027</v>
      </c>
      <c r="D143" s="379" t="s">
        <v>2373</v>
      </c>
      <c r="E143" s="380" t="s">
        <v>2374</v>
      </c>
    </row>
    <row r="144" spans="1:5">
      <c r="A144" s="284">
        <f t="shared" si="2"/>
        <v>139</v>
      </c>
      <c r="B144" s="726" t="s">
        <v>1067</v>
      </c>
      <c r="C144" s="726" t="s">
        <v>2039</v>
      </c>
      <c r="D144" s="379" t="s">
        <v>2375</v>
      </c>
      <c r="E144" s="380"/>
    </row>
    <row r="145" spans="1:5">
      <c r="A145" s="378">
        <f t="shared" si="2"/>
        <v>140</v>
      </c>
      <c r="D145" s="379" t="s">
        <v>2376</v>
      </c>
      <c r="E145" s="380" t="s">
        <v>2377</v>
      </c>
    </row>
    <row r="146" spans="1:5">
      <c r="A146" s="284">
        <f t="shared" si="2"/>
        <v>141</v>
      </c>
      <c r="B146" s="726" t="s">
        <v>1069</v>
      </c>
      <c r="C146" s="726" t="s">
        <v>2378</v>
      </c>
      <c r="D146" s="379" t="s">
        <v>2379</v>
      </c>
      <c r="E146" s="380"/>
    </row>
    <row r="147" spans="1:5">
      <c r="A147" s="729">
        <f t="shared" si="2"/>
        <v>142</v>
      </c>
      <c r="B147" s="726" t="s">
        <v>1070</v>
      </c>
      <c r="C147" s="726" t="s">
        <v>2045</v>
      </c>
      <c r="D147" s="379" t="s">
        <v>2380</v>
      </c>
      <c r="E147" s="380"/>
    </row>
    <row r="148" spans="1:5">
      <c r="A148" s="730">
        <f t="shared" si="2"/>
        <v>143</v>
      </c>
      <c r="B148" s="726" t="s">
        <v>1072</v>
      </c>
      <c r="C148" s="726" t="s">
        <v>2048</v>
      </c>
      <c r="D148" s="379" t="s">
        <v>2381</v>
      </c>
      <c r="E148" s="380"/>
    </row>
    <row r="149" spans="1:5">
      <c r="A149" s="729">
        <f t="shared" si="2"/>
        <v>144</v>
      </c>
      <c r="D149" s="379" t="s">
        <v>2382</v>
      </c>
      <c r="E149" s="380" t="s">
        <v>2383</v>
      </c>
    </row>
    <row r="150" spans="1:5">
      <c r="A150" s="284">
        <f t="shared" si="2"/>
        <v>145</v>
      </c>
      <c r="D150" s="379" t="s">
        <v>2384</v>
      </c>
      <c r="E150" s="380" t="s">
        <v>2385</v>
      </c>
    </row>
    <row r="151" spans="1:5">
      <c r="A151" s="378">
        <f t="shared" si="2"/>
        <v>146</v>
      </c>
      <c r="B151" s="726" t="s">
        <v>1078</v>
      </c>
      <c r="C151" s="726" t="s">
        <v>2051</v>
      </c>
      <c r="D151" s="379" t="s">
        <v>2748</v>
      </c>
      <c r="E151" s="380"/>
    </row>
    <row r="152" spans="1:5">
      <c r="A152" s="284">
        <f t="shared" si="2"/>
        <v>147</v>
      </c>
      <c r="B152" s="726" t="s">
        <v>1080</v>
      </c>
      <c r="C152" s="726" t="s">
        <v>2068</v>
      </c>
      <c r="D152" s="379" t="s">
        <v>2236</v>
      </c>
      <c r="E152" s="380" t="s">
        <v>2237</v>
      </c>
    </row>
    <row r="153" spans="1:5">
      <c r="A153" s="729">
        <f t="shared" si="2"/>
        <v>148</v>
      </c>
      <c r="B153" s="726" t="s">
        <v>1082</v>
      </c>
      <c r="C153" s="726" t="s">
        <v>2076</v>
      </c>
      <c r="D153" s="379" t="s">
        <v>2386</v>
      </c>
      <c r="E153" s="380" t="s">
        <v>2387</v>
      </c>
    </row>
    <row r="154" spans="1:5">
      <c r="A154" s="730">
        <f t="shared" si="2"/>
        <v>149</v>
      </c>
      <c r="B154" s="726" t="s">
        <v>2079</v>
      </c>
      <c r="C154" s="726" t="s">
        <v>2080</v>
      </c>
      <c r="D154" s="379" t="s">
        <v>2388</v>
      </c>
      <c r="E154" s="380"/>
    </row>
    <row r="155" spans="1:5">
      <c r="A155" s="729">
        <f t="shared" si="2"/>
        <v>150</v>
      </c>
      <c r="D155" s="379" t="s">
        <v>2389</v>
      </c>
      <c r="E155" s="380" t="s">
        <v>2390</v>
      </c>
    </row>
    <row r="156" spans="1:5">
      <c r="A156" s="284">
        <f t="shared" si="2"/>
        <v>151</v>
      </c>
      <c r="B156" s="726" t="s">
        <v>1090</v>
      </c>
      <c r="C156" s="726" t="s">
        <v>2086</v>
      </c>
      <c r="D156" s="379" t="s">
        <v>2372</v>
      </c>
      <c r="E156" s="380" t="s">
        <v>2237</v>
      </c>
    </row>
    <row r="157" spans="1:5">
      <c r="A157" s="378">
        <f t="shared" si="2"/>
        <v>152</v>
      </c>
      <c r="D157" s="379" t="s">
        <v>2391</v>
      </c>
      <c r="E157" s="380" t="s">
        <v>2377</v>
      </c>
    </row>
    <row r="158" spans="1:5">
      <c r="A158" s="284">
        <f t="shared" si="2"/>
        <v>153</v>
      </c>
      <c r="B158" s="726" t="s">
        <v>561</v>
      </c>
      <c r="C158" s="726" t="s">
        <v>2088</v>
      </c>
      <c r="D158" s="379" t="s">
        <v>2392</v>
      </c>
      <c r="E158" s="380" t="s">
        <v>2393</v>
      </c>
    </row>
    <row r="159" spans="1:5">
      <c r="A159" s="729">
        <f t="shared" si="2"/>
        <v>154</v>
      </c>
      <c r="B159" s="726" t="s">
        <v>1092</v>
      </c>
      <c r="C159" s="726" t="s">
        <v>2092</v>
      </c>
      <c r="D159" s="379" t="s">
        <v>2394</v>
      </c>
      <c r="E159" s="380"/>
    </row>
    <row r="160" spans="1:5">
      <c r="A160" s="730">
        <f t="shared" si="2"/>
        <v>155</v>
      </c>
      <c r="B160" s="726" t="s">
        <v>1094</v>
      </c>
      <c r="C160" s="726" t="s">
        <v>2097</v>
      </c>
      <c r="D160" s="379" t="s">
        <v>2395</v>
      </c>
      <c r="E160" s="380" t="s">
        <v>2396</v>
      </c>
    </row>
    <row r="161" spans="1:5">
      <c r="A161" s="729">
        <f t="shared" si="2"/>
        <v>156</v>
      </c>
      <c r="B161" s="726" t="s">
        <v>2397</v>
      </c>
      <c r="C161" s="726" t="s">
        <v>2398</v>
      </c>
      <c r="D161" s="379" t="s">
        <v>2234</v>
      </c>
      <c r="E161" s="380"/>
    </row>
    <row r="162" spans="1:5">
      <c r="A162" s="284">
        <f t="shared" si="2"/>
        <v>157</v>
      </c>
      <c r="B162" s="726" t="s">
        <v>2397</v>
      </c>
      <c r="C162" s="726" t="s">
        <v>2399</v>
      </c>
      <c r="D162" s="379" t="s">
        <v>2234</v>
      </c>
      <c r="E162" s="380"/>
    </row>
    <row r="163" spans="1:5">
      <c r="A163" s="378">
        <f t="shared" si="2"/>
        <v>158</v>
      </c>
      <c r="B163" s="726" t="s">
        <v>1098</v>
      </c>
      <c r="C163" s="726" t="s">
        <v>2101</v>
      </c>
      <c r="D163" s="379" t="s">
        <v>2400</v>
      </c>
      <c r="E163" s="380"/>
    </row>
    <row r="164" spans="1:5">
      <c r="A164" s="284">
        <f t="shared" si="2"/>
        <v>159</v>
      </c>
      <c r="D164" s="379" t="s">
        <v>2401</v>
      </c>
      <c r="E164" s="380" t="s">
        <v>2402</v>
      </c>
    </row>
    <row r="165" spans="1:5">
      <c r="A165" s="729">
        <f t="shared" si="2"/>
        <v>160</v>
      </c>
      <c r="D165" s="379" t="s">
        <v>2403</v>
      </c>
      <c r="E165" s="380" t="s">
        <v>2404</v>
      </c>
    </row>
    <row r="166" spans="1:5">
      <c r="A166" s="730">
        <f t="shared" si="2"/>
        <v>161</v>
      </c>
      <c r="B166" s="726" t="s">
        <v>1100</v>
      </c>
      <c r="C166" s="726" t="s">
        <v>2104</v>
      </c>
      <c r="D166" s="379" t="s">
        <v>2405</v>
      </c>
      <c r="E166" s="380" t="s">
        <v>2406</v>
      </c>
    </row>
    <row r="167" spans="1:5">
      <c r="A167" s="729">
        <f t="shared" ref="A167:A183" si="3">A166+1</f>
        <v>162</v>
      </c>
      <c r="D167" s="379" t="s">
        <v>2407</v>
      </c>
      <c r="E167" s="380"/>
    </row>
    <row r="168" spans="1:5">
      <c r="A168" s="284">
        <f t="shared" si="3"/>
        <v>163</v>
      </c>
      <c r="D168" s="379" t="s">
        <v>2408</v>
      </c>
      <c r="E168" s="380"/>
    </row>
    <row r="169" spans="1:5">
      <c r="A169" s="378">
        <f t="shared" si="3"/>
        <v>164</v>
      </c>
      <c r="D169" s="379" t="s">
        <v>2409</v>
      </c>
      <c r="E169" s="380"/>
    </row>
    <row r="170" spans="1:5">
      <c r="A170" s="284">
        <f t="shared" si="3"/>
        <v>165</v>
      </c>
      <c r="C170" s="723" t="s">
        <v>2107</v>
      </c>
      <c r="E170" s="380"/>
    </row>
    <row r="171" spans="1:5">
      <c r="A171" s="729">
        <f t="shared" si="3"/>
        <v>166</v>
      </c>
      <c r="C171" s="726" t="s">
        <v>2410</v>
      </c>
      <c r="D171" s="379" t="s">
        <v>2116</v>
      </c>
      <c r="E171" s="380"/>
    </row>
    <row r="172" spans="1:5">
      <c r="A172" s="730">
        <f t="shared" si="3"/>
        <v>167</v>
      </c>
      <c r="C172" s="723" t="s">
        <v>2173</v>
      </c>
      <c r="E172" s="380"/>
    </row>
    <row r="173" spans="1:5">
      <c r="A173" s="729">
        <f t="shared" si="3"/>
        <v>168</v>
      </c>
      <c r="C173" s="726" t="s">
        <v>2174</v>
      </c>
      <c r="D173" s="379" t="s">
        <v>2411</v>
      </c>
      <c r="E173" s="380"/>
    </row>
    <row r="174" spans="1:5">
      <c r="A174" s="284">
        <f t="shared" si="3"/>
        <v>169</v>
      </c>
      <c r="C174" s="726" t="s">
        <v>2176</v>
      </c>
      <c r="D174" s="379" t="s">
        <v>2412</v>
      </c>
      <c r="E174" s="380"/>
    </row>
    <row r="175" spans="1:5">
      <c r="A175" s="378">
        <f t="shared" si="3"/>
        <v>170</v>
      </c>
      <c r="D175" s="379" t="s">
        <v>2413</v>
      </c>
      <c r="E175" s="380"/>
    </row>
    <row r="176" spans="1:5">
      <c r="A176" s="284">
        <f t="shared" si="3"/>
        <v>171</v>
      </c>
      <c r="C176" s="726" t="s">
        <v>2151</v>
      </c>
      <c r="D176" s="379" t="s">
        <v>2414</v>
      </c>
      <c r="E176" s="380"/>
    </row>
    <row r="177" spans="1:5">
      <c r="A177" s="729">
        <f t="shared" si="3"/>
        <v>172</v>
      </c>
      <c r="D177" s="379" t="s">
        <v>2415</v>
      </c>
      <c r="E177" s="380"/>
    </row>
    <row r="178" spans="1:5">
      <c r="A178" s="730">
        <f t="shared" si="3"/>
        <v>173</v>
      </c>
      <c r="C178" s="726" t="s">
        <v>2186</v>
      </c>
      <c r="D178" s="379" t="s">
        <v>2416</v>
      </c>
      <c r="E178" s="380"/>
    </row>
    <row r="179" spans="1:5">
      <c r="A179" s="729">
        <f t="shared" si="3"/>
        <v>174</v>
      </c>
      <c r="D179" s="379" t="s">
        <v>2417</v>
      </c>
      <c r="E179" s="380"/>
    </row>
    <row r="180" spans="1:5">
      <c r="A180" s="284">
        <f t="shared" si="3"/>
        <v>175</v>
      </c>
      <c r="D180" s="379" t="s">
        <v>2418</v>
      </c>
      <c r="E180" s="380"/>
    </row>
    <row r="181" spans="1:5">
      <c r="A181" s="378">
        <f t="shared" si="3"/>
        <v>176</v>
      </c>
      <c r="C181" s="726" t="s">
        <v>2189</v>
      </c>
      <c r="D181" s="379" t="s">
        <v>2292</v>
      </c>
      <c r="E181" s="380"/>
    </row>
    <row r="182" spans="1:5">
      <c r="A182" s="284">
        <f t="shared" si="3"/>
        <v>177</v>
      </c>
      <c r="C182" s="726" t="s">
        <v>2191</v>
      </c>
      <c r="D182" s="379" t="s">
        <v>2240</v>
      </c>
      <c r="E182" s="380"/>
    </row>
    <row r="183" spans="1:5">
      <c r="A183" s="729">
        <f t="shared" si="3"/>
        <v>178</v>
      </c>
      <c r="D183" s="379" t="s">
        <v>2419</v>
      </c>
      <c r="E183" s="380"/>
    </row>
    <row r="184" spans="1:5">
      <c r="A184" s="284"/>
      <c r="E184" s="380"/>
    </row>
    <row r="185" spans="1:5" ht="14.5">
      <c r="A185" s="378" t="s">
        <v>2420</v>
      </c>
      <c r="E185" s="380"/>
    </row>
    <row r="186" spans="1:5" ht="13.5" thickBot="1">
      <c r="A186" s="404" t="s">
        <v>2421</v>
      </c>
      <c r="B186" s="405"/>
      <c r="C186" s="405"/>
      <c r="D186" s="406"/>
      <c r="E186" s="407"/>
    </row>
  </sheetData>
  <hyperlinks>
    <hyperlink ref="E1" location="'Cover Sheets'!A16" display="(Back to Worksheet Links)" xr:uid="{5B00FDC6-DB4B-42E6-AB87-EE21C4E78473}"/>
  </hyperlinks>
  <pageMargins left="0.7" right="0.7" top="0.75" bottom="0.75" header="0.3" footer="0.3"/>
  <pageSetup scale="48" fitToHeight="0"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F26"/>
  <sheetViews>
    <sheetView view="pageBreakPreview" zoomScaleNormal="100" zoomScaleSheetLayoutView="100" workbookViewId="0">
      <selection activeCell="C23" sqref="C23"/>
    </sheetView>
  </sheetViews>
  <sheetFormatPr defaultColWidth="9.1796875" defaultRowHeight="14.5"/>
  <cols>
    <col min="1" max="1" width="9.1796875" style="377"/>
    <col min="2" max="2" width="43.54296875" style="377" customWidth="1"/>
    <col min="3" max="3" width="100.54296875" style="377" customWidth="1"/>
    <col min="4" max="4" width="22.81640625" style="377" customWidth="1"/>
    <col min="5" max="16384" width="9.1796875" style="377"/>
  </cols>
  <sheetData>
    <row r="1" spans="1:6">
      <c r="A1" s="567" t="str">
        <f>'Cover Sheets'!A10:B10</f>
        <v>WAPA-UGP 2024 Rate Estimate Calculation</v>
      </c>
      <c r="B1" s="568"/>
      <c r="C1" s="569" t="s">
        <v>41</v>
      </c>
      <c r="E1" s="283"/>
      <c r="F1" s="30"/>
    </row>
    <row r="2" spans="1:6">
      <c r="A2" s="570" t="s">
        <v>2422</v>
      </c>
      <c r="B2" s="571"/>
      <c r="C2" s="572"/>
      <c r="E2" s="283"/>
      <c r="F2" s="30"/>
    </row>
    <row r="3" spans="1:6">
      <c r="A3" s="573" t="str">
        <f>'WS1-RateBase'!A4</f>
        <v>12 Months Ending 09/30/2024 ESTIMATE</v>
      </c>
      <c r="B3" s="571"/>
      <c r="C3" s="572"/>
      <c r="D3" s="283"/>
      <c r="E3" s="283"/>
      <c r="F3" s="30"/>
    </row>
    <row r="4" spans="1:6">
      <c r="A4" s="573" t="s">
        <v>304</v>
      </c>
      <c r="B4" s="576" t="s">
        <v>51</v>
      </c>
      <c r="C4" s="577" t="s">
        <v>52</v>
      </c>
      <c r="D4" s="283"/>
      <c r="E4" s="283"/>
      <c r="F4" s="30"/>
    </row>
    <row r="5" spans="1:6">
      <c r="A5" s="578">
        <v>1</v>
      </c>
      <c r="B5" s="574" t="s">
        <v>2712</v>
      </c>
      <c r="C5" s="575" t="s">
        <v>2727</v>
      </c>
    </row>
    <row r="6" spans="1:6">
      <c r="A6" s="578">
        <v>2</v>
      </c>
      <c r="B6" s="574" t="s">
        <v>1643</v>
      </c>
      <c r="C6" s="575" t="s">
        <v>2713</v>
      </c>
    </row>
    <row r="7" spans="1:6">
      <c r="A7" s="578">
        <v>3</v>
      </c>
      <c r="B7" s="574" t="s">
        <v>2714</v>
      </c>
      <c r="C7" s="575" t="s">
        <v>2715</v>
      </c>
    </row>
    <row r="8" spans="1:6">
      <c r="A8" s="578">
        <v>4</v>
      </c>
      <c r="B8" s="574" t="s">
        <v>2714</v>
      </c>
      <c r="C8" s="575" t="s">
        <v>2716</v>
      </c>
    </row>
    <row r="9" spans="1:6">
      <c r="A9" s="578">
        <v>5</v>
      </c>
      <c r="B9" s="574" t="s">
        <v>2714</v>
      </c>
      <c r="C9" s="575" t="s">
        <v>2717</v>
      </c>
    </row>
    <row r="10" spans="1:6">
      <c r="A10" s="578">
        <v>6</v>
      </c>
      <c r="B10" s="574" t="s">
        <v>2082</v>
      </c>
      <c r="C10" s="575" t="s">
        <v>2718</v>
      </c>
    </row>
    <row r="11" spans="1:6">
      <c r="A11" s="578">
        <v>7</v>
      </c>
      <c r="B11" s="574" t="s">
        <v>1987</v>
      </c>
      <c r="C11" s="575" t="s">
        <v>2719</v>
      </c>
    </row>
    <row r="12" spans="1:6">
      <c r="A12" s="578">
        <v>8</v>
      </c>
      <c r="B12" s="574" t="s">
        <v>1839</v>
      </c>
      <c r="C12" s="575" t="s">
        <v>2720</v>
      </c>
    </row>
    <row r="13" spans="1:6">
      <c r="A13" s="578">
        <v>9</v>
      </c>
      <c r="B13" s="574" t="s">
        <v>2088</v>
      </c>
      <c r="C13" s="575" t="s">
        <v>2721</v>
      </c>
    </row>
    <row r="14" spans="1:6">
      <c r="A14" s="578">
        <v>10</v>
      </c>
      <c r="B14" s="574" t="s">
        <v>2722</v>
      </c>
      <c r="C14" s="575" t="s">
        <v>2723</v>
      </c>
    </row>
    <row r="15" spans="1:6">
      <c r="A15" s="578">
        <v>11</v>
      </c>
      <c r="B15" s="574" t="s">
        <v>2685</v>
      </c>
      <c r="C15" s="575" t="s">
        <v>2724</v>
      </c>
    </row>
    <row r="16" spans="1:6">
      <c r="A16" s="578">
        <v>12</v>
      </c>
      <c r="B16" s="574" t="s">
        <v>2686</v>
      </c>
      <c r="C16" s="575" t="s">
        <v>2724</v>
      </c>
    </row>
    <row r="17" spans="1:3">
      <c r="A17" s="578">
        <v>13</v>
      </c>
      <c r="B17" s="574" t="s">
        <v>1862</v>
      </c>
      <c r="C17" s="575" t="s">
        <v>2725</v>
      </c>
    </row>
    <row r="18" spans="1:3" ht="15" thickBot="1">
      <c r="A18" s="578">
        <v>14</v>
      </c>
      <c r="B18" s="650" t="s">
        <v>2423</v>
      </c>
      <c r="C18" s="651" t="s">
        <v>2726</v>
      </c>
    </row>
    <row r="22" spans="1:3">
      <c r="B22" s="283"/>
    </row>
    <row r="23" spans="1:3">
      <c r="B23" s="283"/>
    </row>
    <row r="24" spans="1:3">
      <c r="B24" s="283"/>
    </row>
    <row r="25" spans="1:3">
      <c r="B25" s="283"/>
    </row>
    <row r="26" spans="1:3">
      <c r="B26" s="283"/>
    </row>
  </sheetData>
  <hyperlinks>
    <hyperlink ref="C1" location="'Cover Sheets'!A16" display="(Back to Worksheet Links)" xr:uid="{00000000-0004-0000-0C00-000000000000}"/>
  </hyperlinks>
  <pageMargins left="0.7" right="0.7" top="0.75" bottom="0.75" header="0.3" footer="0.3"/>
  <pageSetup scale="59"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D21"/>
  <sheetViews>
    <sheetView view="pageBreakPreview" zoomScaleNormal="100" zoomScaleSheetLayoutView="100" workbookViewId="0"/>
  </sheetViews>
  <sheetFormatPr defaultColWidth="13.453125" defaultRowHeight="14.5"/>
  <cols>
    <col min="1" max="1" width="13.453125" style="30"/>
    <col min="2" max="2" width="89.453125" style="30" bestFit="1" customWidth="1"/>
    <col min="3" max="3" width="14.54296875" style="30" customWidth="1"/>
    <col min="4" max="4" width="41.54296875" style="30" bestFit="1" customWidth="1"/>
    <col min="5" max="5" width="22.453125" style="30" customWidth="1"/>
    <col min="6" max="16384" width="13.453125" style="30"/>
  </cols>
  <sheetData>
    <row r="1" spans="1:4">
      <c r="A1" s="461" t="str">
        <f>'Cover Sheets'!A10:B10</f>
        <v>WAPA-UGP 2024 Rate Estimate Calculation</v>
      </c>
      <c r="B1" s="141"/>
      <c r="C1" s="142"/>
      <c r="D1" s="403" t="s">
        <v>41</v>
      </c>
    </row>
    <row r="2" spans="1:4">
      <c r="A2" s="463" t="s">
        <v>2424</v>
      </c>
      <c r="B2" s="289"/>
      <c r="C2" s="144"/>
      <c r="D2" s="364"/>
    </row>
    <row r="3" spans="1:4">
      <c r="A3" s="37" t="str">
        <f>'Summary-ATRR'!A3</f>
        <v>12 Months Ending 09/30/2024 ESTIMATE</v>
      </c>
      <c r="B3" s="144"/>
      <c r="C3" s="144"/>
      <c r="D3" s="145"/>
    </row>
    <row r="4" spans="1:4">
      <c r="A4" s="37"/>
      <c r="B4" s="581" t="s">
        <v>51</v>
      </c>
      <c r="C4" s="582" t="s">
        <v>52</v>
      </c>
      <c r="D4" s="583" t="s">
        <v>53</v>
      </c>
    </row>
    <row r="5" spans="1:4" ht="15" thickBot="1">
      <c r="A5" s="119" t="s">
        <v>304</v>
      </c>
      <c r="B5" s="579" t="s">
        <v>299</v>
      </c>
      <c r="C5" s="579" t="s">
        <v>2425</v>
      </c>
      <c r="D5" s="580" t="s">
        <v>45</v>
      </c>
    </row>
    <row r="6" spans="1:4">
      <c r="A6" s="146">
        <v>1</v>
      </c>
      <c r="B6" s="147" t="s">
        <v>2564</v>
      </c>
      <c r="C6" s="485">
        <f>'WS4-CostData'!K120</f>
        <v>10999667.459999999</v>
      </c>
      <c r="D6" s="149" t="s">
        <v>2426</v>
      </c>
    </row>
    <row r="7" spans="1:4">
      <c r="A7" s="146">
        <f t="shared" ref="A7:A21" si="0">A6+1</f>
        <v>2</v>
      </c>
      <c r="B7" s="147" t="s">
        <v>2565</v>
      </c>
      <c r="C7" s="485">
        <f>'WS4-CostData'!C95</f>
        <v>132268.33246110025</v>
      </c>
      <c r="D7" s="149" t="s">
        <v>317</v>
      </c>
    </row>
    <row r="8" spans="1:4">
      <c r="A8" s="146">
        <f t="shared" si="0"/>
        <v>3</v>
      </c>
      <c r="B8" s="147" t="s">
        <v>2566</v>
      </c>
      <c r="C8" s="485">
        <f>'WS4-CostData'!C48</f>
        <v>348403.04797659372</v>
      </c>
      <c r="D8" s="149" t="s">
        <v>324</v>
      </c>
    </row>
    <row r="9" spans="1:4">
      <c r="A9" s="146">
        <f t="shared" si="0"/>
        <v>4</v>
      </c>
      <c r="B9" s="147" t="s">
        <v>2567</v>
      </c>
      <c r="C9" s="485">
        <v>0</v>
      </c>
      <c r="D9" s="149" t="s">
        <v>2427</v>
      </c>
    </row>
    <row r="10" spans="1:4" ht="39.5">
      <c r="A10" s="146">
        <f t="shared" si="0"/>
        <v>5</v>
      </c>
      <c r="B10" s="147" t="s">
        <v>2568</v>
      </c>
      <c r="C10" s="485">
        <v>0</v>
      </c>
      <c r="D10" s="150" t="s">
        <v>2428</v>
      </c>
    </row>
    <row r="11" spans="1:4">
      <c r="A11" s="146">
        <f t="shared" si="0"/>
        <v>6</v>
      </c>
      <c r="B11" s="147" t="s">
        <v>331</v>
      </c>
      <c r="C11" s="151"/>
      <c r="D11" s="149"/>
    </row>
    <row r="12" spans="1:4">
      <c r="A12" s="146">
        <f t="shared" si="0"/>
        <v>7</v>
      </c>
      <c r="B12" s="152" t="s">
        <v>332</v>
      </c>
      <c r="C12" s="153">
        <f>'WS4-CostData'!K71</f>
        <v>3.9423571574590852E-2</v>
      </c>
      <c r="D12" s="149" t="s">
        <v>2634</v>
      </c>
    </row>
    <row r="13" spans="1:4">
      <c r="A13" s="146">
        <f t="shared" si="0"/>
        <v>8</v>
      </c>
      <c r="B13" s="152" t="s">
        <v>2569</v>
      </c>
      <c r="C13" s="485">
        <f>'WS4-CostData'!C26</f>
        <v>8213643.6485686414</v>
      </c>
      <c r="D13" s="149" t="s">
        <v>2429</v>
      </c>
    </row>
    <row r="14" spans="1:4">
      <c r="A14" s="146">
        <f t="shared" si="0"/>
        <v>9</v>
      </c>
      <c r="B14" s="152" t="s">
        <v>2570</v>
      </c>
      <c r="C14" s="485">
        <f>C12*C13</f>
        <v>323811.1682675294</v>
      </c>
      <c r="D14" s="149" t="s">
        <v>2430</v>
      </c>
    </row>
    <row r="15" spans="1:4">
      <c r="A15" s="146">
        <f t="shared" si="0"/>
        <v>10</v>
      </c>
      <c r="B15" s="147" t="s">
        <v>345</v>
      </c>
      <c r="C15" s="153"/>
      <c r="D15" s="154"/>
    </row>
    <row r="16" spans="1:4" ht="15" thickBot="1">
      <c r="A16" s="146">
        <f t="shared" si="0"/>
        <v>11</v>
      </c>
      <c r="B16" s="155" t="s">
        <v>2571</v>
      </c>
      <c r="C16" s="486">
        <f>C6+C7+C8+C14</f>
        <v>11804150.008705223</v>
      </c>
      <c r="D16" s="157" t="s">
        <v>2431</v>
      </c>
    </row>
    <row r="17" spans="1:4">
      <c r="A17" s="146">
        <f t="shared" si="0"/>
        <v>12</v>
      </c>
      <c r="B17" s="158" t="s">
        <v>2572</v>
      </c>
      <c r="C17" s="334">
        <f>C16*C21</f>
        <v>730106.99940206471</v>
      </c>
      <c r="D17" s="219" t="s">
        <v>2432</v>
      </c>
    </row>
    <row r="18" spans="1:4">
      <c r="A18" s="146">
        <f t="shared" si="0"/>
        <v>13</v>
      </c>
      <c r="B18" s="158" t="s">
        <v>2573</v>
      </c>
      <c r="C18" s="334">
        <v>445498</v>
      </c>
      <c r="D18" s="347" t="s">
        <v>2433</v>
      </c>
    </row>
    <row r="19" spans="1:4">
      <c r="A19" s="146">
        <f t="shared" si="0"/>
        <v>14</v>
      </c>
      <c r="B19" s="468" t="s">
        <v>2574</v>
      </c>
      <c r="C19" s="487">
        <f>C16-C17+C18</f>
        <v>11519541.009303158</v>
      </c>
      <c r="D19" s="219" t="s">
        <v>2434</v>
      </c>
    </row>
    <row r="20" spans="1:4">
      <c r="A20" s="146">
        <f t="shared" si="0"/>
        <v>15</v>
      </c>
      <c r="B20" s="291"/>
      <c r="C20" s="291"/>
      <c r="D20" s="219"/>
    </row>
    <row r="21" spans="1:4" s="31" customFormat="1" ht="13.5" thickBot="1">
      <c r="A21" s="119">
        <f t="shared" si="0"/>
        <v>16</v>
      </c>
      <c r="B21" s="341" t="s">
        <v>2435</v>
      </c>
      <c r="C21" s="342">
        <f>'WS8-TransFac'!H523/'WS8-TransFac'!K523</f>
        <v>6.1851721544002036E-2</v>
      </c>
      <c r="D21" s="220" t="s">
        <v>2635</v>
      </c>
    </row>
  </sheetData>
  <hyperlinks>
    <hyperlink ref="D1" location="'Cover Sheets'!A16"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43"/>
  <sheetViews>
    <sheetView view="pageBreakPreview" zoomScale="70" zoomScaleNormal="100" zoomScaleSheetLayoutView="70" workbookViewId="0"/>
  </sheetViews>
  <sheetFormatPr defaultColWidth="9.453125" defaultRowHeight="13"/>
  <cols>
    <col min="1" max="1" width="13.54296875" style="112" customWidth="1"/>
    <col min="2" max="2" width="19.453125" style="112" bestFit="1" customWidth="1"/>
    <col min="3" max="3" width="65.54296875" style="112" customWidth="1"/>
    <col min="4" max="4" width="27.54296875" style="112" customWidth="1"/>
    <col min="5" max="5" width="22" style="269" customWidth="1"/>
    <col min="6" max="6" width="16.54296875" style="112" customWidth="1"/>
    <col min="7" max="7" width="15" style="270" customWidth="1"/>
    <col min="8" max="8" width="17.453125" style="112" customWidth="1"/>
    <col min="9" max="9" width="16.453125" style="271" customWidth="1"/>
    <col min="10" max="10" width="23" style="112" customWidth="1"/>
    <col min="11" max="11" width="11.54296875" style="112" bestFit="1" customWidth="1"/>
    <col min="12" max="16384" width="9.453125" style="112"/>
  </cols>
  <sheetData>
    <row r="1" spans="1:14" ht="14.5">
      <c r="A1" s="280" t="str">
        <f>'Cover Sheets'!A10:B10</f>
        <v>WAPA-UGP 2024 Rate Estimate Calculation</v>
      </c>
      <c r="B1" s="133"/>
      <c r="C1" s="410" t="s">
        <v>41</v>
      </c>
      <c r="D1" s="113"/>
      <c r="E1" s="592"/>
      <c r="F1" s="113"/>
      <c r="G1" s="263"/>
      <c r="H1" s="113"/>
      <c r="I1" s="264"/>
    </row>
    <row r="2" spans="1:14">
      <c r="A2" s="317" t="s">
        <v>2436</v>
      </c>
      <c r="B2" s="134"/>
      <c r="C2" s="114"/>
      <c r="D2" s="114"/>
      <c r="E2" s="275"/>
      <c r="F2" s="114"/>
      <c r="G2" s="253"/>
      <c r="H2" s="114"/>
      <c r="I2" s="254"/>
    </row>
    <row r="3" spans="1:14">
      <c r="A3" s="318" t="str">
        <f>'WS1-RateBase'!A4</f>
        <v>12 Months Ending 09/30/2024 ESTIMATE</v>
      </c>
      <c r="B3" s="134"/>
      <c r="C3" s="114"/>
      <c r="D3" s="114"/>
      <c r="E3" s="275"/>
      <c r="F3" s="114"/>
      <c r="G3" s="253"/>
      <c r="H3" s="114"/>
      <c r="I3" s="254"/>
    </row>
    <row r="4" spans="1:14">
      <c r="A4" s="318"/>
      <c r="B4" s="134"/>
      <c r="C4" s="114"/>
      <c r="D4" s="114"/>
      <c r="E4" s="275"/>
      <c r="F4" s="114"/>
      <c r="G4" s="253"/>
      <c r="H4" s="114"/>
      <c r="I4" s="254"/>
    </row>
    <row r="5" spans="1:14">
      <c r="A5" s="318"/>
      <c r="B5" s="134"/>
      <c r="C5" s="599" t="s">
        <v>51</v>
      </c>
      <c r="D5" s="548" t="s">
        <v>52</v>
      </c>
      <c r="E5" s="593" t="s">
        <v>53</v>
      </c>
      <c r="F5" s="548" t="s">
        <v>54</v>
      </c>
      <c r="G5" s="548" t="s">
        <v>55</v>
      </c>
      <c r="H5" s="548" t="s">
        <v>75</v>
      </c>
      <c r="I5" s="586" t="s">
        <v>76</v>
      </c>
    </row>
    <row r="6" spans="1:14" s="3" customFormat="1" ht="52">
      <c r="A6" s="423" t="s">
        <v>304</v>
      </c>
      <c r="B6" s="277" t="s">
        <v>554</v>
      </c>
      <c r="C6" s="585" t="s">
        <v>2640</v>
      </c>
      <c r="D6" s="248"/>
      <c r="E6" s="272" t="s">
        <v>2575</v>
      </c>
      <c r="F6" s="272" t="s">
        <v>2641</v>
      </c>
      <c r="G6" s="273" t="s">
        <v>588</v>
      </c>
      <c r="H6" s="273" t="s">
        <v>589</v>
      </c>
      <c r="I6" s="274" t="s">
        <v>2642</v>
      </c>
      <c r="J6" s="6"/>
      <c r="N6" s="6"/>
    </row>
    <row r="7" spans="1:14" ht="15" customHeight="1">
      <c r="A7" s="281">
        <v>1</v>
      </c>
      <c r="B7" s="278" t="s">
        <v>1149</v>
      </c>
      <c r="C7" s="276" t="s">
        <v>1150</v>
      </c>
      <c r="D7" s="234"/>
      <c r="E7" s="99">
        <f>E53</f>
        <v>6174391.5099999988</v>
      </c>
      <c r="F7" s="237">
        <v>0</v>
      </c>
      <c r="G7" s="194">
        <v>0</v>
      </c>
      <c r="H7" s="322">
        <f>I7-E7</f>
        <v>0</v>
      </c>
      <c r="I7" s="238">
        <f>I53</f>
        <v>6174391.5099999988</v>
      </c>
      <c r="J7" s="464"/>
      <c r="L7" s="9"/>
      <c r="M7" s="9"/>
      <c r="N7" s="9"/>
    </row>
    <row r="8" spans="1:14">
      <c r="A8" s="281">
        <v>2</v>
      </c>
      <c r="B8" s="278" t="s">
        <v>1152</v>
      </c>
      <c r="C8" s="234" t="s">
        <v>2437</v>
      </c>
      <c r="D8" s="234"/>
      <c r="E8" s="99">
        <f>E59+E70</f>
        <v>1785957.7100000002</v>
      </c>
      <c r="F8" s="99">
        <v>0</v>
      </c>
      <c r="G8" s="194">
        <v>0</v>
      </c>
      <c r="H8" s="322">
        <f>I8-E8</f>
        <v>-283037.64288000017</v>
      </c>
      <c r="I8" s="238">
        <f>I59+I70</f>
        <v>1502920.06712</v>
      </c>
      <c r="J8" s="465"/>
      <c r="L8" s="9"/>
      <c r="M8" s="9"/>
      <c r="N8" s="13"/>
    </row>
    <row r="9" spans="1:14" ht="13.5" thickBot="1">
      <c r="A9" s="282">
        <v>3</v>
      </c>
      <c r="B9" s="279" t="s">
        <v>1154</v>
      </c>
      <c r="C9" s="239" t="s">
        <v>2438</v>
      </c>
      <c r="D9" s="239"/>
      <c r="E9" s="240">
        <f>E123+E142</f>
        <v>11977195.070000002</v>
      </c>
      <c r="F9" s="240">
        <f>'WS8-TransFac'!F294</f>
        <v>2661454</v>
      </c>
      <c r="G9" s="241">
        <v>0</v>
      </c>
      <c r="H9" s="323">
        <f>I9-E9</f>
        <v>-1265809.0272000004</v>
      </c>
      <c r="I9" s="242">
        <f>I123+I142</f>
        <v>10711386.042800002</v>
      </c>
      <c r="J9" s="465"/>
      <c r="L9" s="9"/>
      <c r="M9" s="9"/>
      <c r="N9" s="13"/>
    </row>
    <row r="10" spans="1:14">
      <c r="A10" s="333">
        <v>4</v>
      </c>
      <c r="B10" s="236"/>
      <c r="C10" s="243"/>
      <c r="D10" s="243" t="s">
        <v>355</v>
      </c>
      <c r="E10" s="594">
        <f>SUM(E7:E9)</f>
        <v>19937544.289999999</v>
      </c>
      <c r="F10" s="245">
        <f>SUM(F7:F9)</f>
        <v>2661454</v>
      </c>
      <c r="G10" s="244">
        <f>SUM(G7:G9)</f>
        <v>0</v>
      </c>
      <c r="H10" s="245">
        <f>SUM(H7:H9)</f>
        <v>-1548846.6700800005</v>
      </c>
      <c r="I10" s="246">
        <f>SUM(I7:I9)</f>
        <v>18388697.61992</v>
      </c>
      <c r="J10" s="12"/>
      <c r="K10" s="465"/>
      <c r="L10" s="9"/>
      <c r="M10" s="9"/>
      <c r="N10" s="13"/>
    </row>
    <row r="11" spans="1:14" ht="32.25" customHeight="1">
      <c r="A11" s="333">
        <v>5</v>
      </c>
      <c r="B11" s="236"/>
      <c r="C11" s="584" t="s">
        <v>2644</v>
      </c>
      <c r="D11" s="234"/>
      <c r="E11" s="99"/>
      <c r="F11" s="286"/>
      <c r="G11" s="194"/>
      <c r="H11" s="286"/>
      <c r="I11" s="309"/>
      <c r="J11" s="12"/>
      <c r="K11" s="501"/>
      <c r="L11" s="9"/>
      <c r="M11" s="9"/>
      <c r="N11" s="13"/>
    </row>
    <row r="12" spans="1:14" ht="22.5" customHeight="1">
      <c r="A12" s="732">
        <v>6</v>
      </c>
      <c r="B12" s="247" t="s">
        <v>554</v>
      </c>
      <c r="C12" s="248" t="s">
        <v>299</v>
      </c>
      <c r="D12" s="248" t="s">
        <v>563</v>
      </c>
      <c r="E12" s="595" t="s">
        <v>564</v>
      </c>
      <c r="F12" s="249" t="s">
        <v>2439</v>
      </c>
      <c r="G12" s="250" t="s">
        <v>2440</v>
      </c>
      <c r="H12" s="170" t="s">
        <v>2441</v>
      </c>
      <c r="I12" s="251" t="s">
        <v>2442</v>
      </c>
    </row>
    <row r="13" spans="1:14">
      <c r="A13" s="333">
        <v>7</v>
      </c>
      <c r="B13" s="252" t="s">
        <v>2443</v>
      </c>
      <c r="C13" s="275" t="s">
        <v>2455</v>
      </c>
      <c r="D13" s="234" t="s">
        <v>2444</v>
      </c>
      <c r="E13" s="99">
        <f>298.8</f>
        <v>298.8</v>
      </c>
      <c r="F13" s="325">
        <v>1</v>
      </c>
      <c r="G13" s="253">
        <f t="shared" ref="G13:G50" si="0">F13*E13</f>
        <v>298.8</v>
      </c>
      <c r="H13" s="325">
        <v>1</v>
      </c>
      <c r="I13" s="254">
        <f>E13*H13</f>
        <v>298.8</v>
      </c>
    </row>
    <row r="14" spans="1:14">
      <c r="A14" s="333">
        <v>8</v>
      </c>
      <c r="B14" s="252" t="s">
        <v>2443</v>
      </c>
      <c r="C14" s="275" t="s">
        <v>2445</v>
      </c>
      <c r="D14" s="234" t="s">
        <v>2446</v>
      </c>
      <c r="E14" s="99">
        <f>9789.59</f>
        <v>9789.59</v>
      </c>
      <c r="F14" s="325">
        <v>1</v>
      </c>
      <c r="G14" s="253">
        <f t="shared" si="0"/>
        <v>9789.59</v>
      </c>
      <c r="H14" s="325">
        <v>1</v>
      </c>
      <c r="I14" s="254">
        <f t="shared" ref="I14:I49" si="1">E14*H14</f>
        <v>9789.59</v>
      </c>
    </row>
    <row r="15" spans="1:14">
      <c r="A15" s="732">
        <v>9</v>
      </c>
      <c r="B15" s="252" t="s">
        <v>2443</v>
      </c>
      <c r="C15" s="275" t="s">
        <v>2447</v>
      </c>
      <c r="D15" s="234" t="s">
        <v>2446</v>
      </c>
      <c r="E15" s="99">
        <f>1538.62</f>
        <v>1538.62</v>
      </c>
      <c r="F15" s="325">
        <v>1</v>
      </c>
      <c r="G15" s="253">
        <f t="shared" si="0"/>
        <v>1538.62</v>
      </c>
      <c r="H15" s="325">
        <v>1</v>
      </c>
      <c r="I15" s="254">
        <f t="shared" si="1"/>
        <v>1538.62</v>
      </c>
    </row>
    <row r="16" spans="1:14">
      <c r="A16" s="333">
        <v>10</v>
      </c>
      <c r="B16" s="252" t="s">
        <v>2443</v>
      </c>
      <c r="C16" s="275" t="s">
        <v>2448</v>
      </c>
      <c r="D16" s="234" t="s">
        <v>2449</v>
      </c>
      <c r="E16" s="99">
        <f>295485.92</f>
        <v>295485.92</v>
      </c>
      <c r="F16" s="325">
        <v>1</v>
      </c>
      <c r="G16" s="253">
        <f t="shared" si="0"/>
        <v>295485.92</v>
      </c>
      <c r="H16" s="325">
        <v>1</v>
      </c>
      <c r="I16" s="254">
        <f t="shared" si="1"/>
        <v>295485.92</v>
      </c>
    </row>
    <row r="17" spans="1:9">
      <c r="A17" s="333">
        <v>11</v>
      </c>
      <c r="B17" s="252" t="s">
        <v>2443</v>
      </c>
      <c r="C17" s="275" t="s">
        <v>2455</v>
      </c>
      <c r="D17" s="234" t="s">
        <v>2444</v>
      </c>
      <c r="E17" s="99">
        <f>57816.18</f>
        <v>57816.18</v>
      </c>
      <c r="F17" s="325">
        <v>1</v>
      </c>
      <c r="G17" s="253">
        <f t="shared" si="0"/>
        <v>57816.18</v>
      </c>
      <c r="H17" s="325">
        <v>1</v>
      </c>
      <c r="I17" s="254">
        <f t="shared" si="1"/>
        <v>57816.18</v>
      </c>
    </row>
    <row r="18" spans="1:9">
      <c r="A18" s="732">
        <v>12</v>
      </c>
      <c r="B18" s="252" t="s">
        <v>2443</v>
      </c>
      <c r="C18" s="275" t="s">
        <v>2455</v>
      </c>
      <c r="D18" s="234" t="s">
        <v>2450</v>
      </c>
      <c r="E18" s="99">
        <f>5246.19</f>
        <v>5246.19</v>
      </c>
      <c r="F18" s="325">
        <v>1</v>
      </c>
      <c r="G18" s="253">
        <f t="shared" si="0"/>
        <v>5246.19</v>
      </c>
      <c r="H18" s="325">
        <v>1</v>
      </c>
      <c r="I18" s="254">
        <f t="shared" si="1"/>
        <v>5246.19</v>
      </c>
    </row>
    <row r="19" spans="1:9">
      <c r="A19" s="333">
        <v>13</v>
      </c>
      <c r="B19" s="252" t="s">
        <v>2443</v>
      </c>
      <c r="C19" s="275" t="s">
        <v>2451</v>
      </c>
      <c r="D19" s="234" t="s">
        <v>2450</v>
      </c>
      <c r="E19" s="99">
        <f>17479.6</f>
        <v>17479.599999999999</v>
      </c>
      <c r="F19" s="325">
        <v>1</v>
      </c>
      <c r="G19" s="253">
        <f t="shared" si="0"/>
        <v>17479.599999999999</v>
      </c>
      <c r="H19" s="325">
        <v>1</v>
      </c>
      <c r="I19" s="254">
        <f t="shared" si="1"/>
        <v>17479.599999999999</v>
      </c>
    </row>
    <row r="20" spans="1:9">
      <c r="A20" s="333">
        <v>14</v>
      </c>
      <c r="B20" s="252" t="s">
        <v>2443</v>
      </c>
      <c r="C20" s="275" t="s">
        <v>2452</v>
      </c>
      <c r="D20" s="234" t="s">
        <v>2452</v>
      </c>
      <c r="E20" s="99">
        <f>122582.16</f>
        <v>122582.16</v>
      </c>
      <c r="F20" s="325">
        <v>1</v>
      </c>
      <c r="G20" s="253">
        <f t="shared" si="0"/>
        <v>122582.16</v>
      </c>
      <c r="H20" s="325">
        <v>1</v>
      </c>
      <c r="I20" s="254">
        <f t="shared" si="1"/>
        <v>122582.16</v>
      </c>
    </row>
    <row r="21" spans="1:9">
      <c r="A21" s="732">
        <v>15</v>
      </c>
      <c r="B21" s="252" t="s">
        <v>2443</v>
      </c>
      <c r="C21" s="275" t="s">
        <v>2452</v>
      </c>
      <c r="D21" s="234" t="s">
        <v>2452</v>
      </c>
      <c r="E21" s="99">
        <f>12407.04</f>
        <v>12407.04</v>
      </c>
      <c r="F21" s="325">
        <v>1</v>
      </c>
      <c r="G21" s="253">
        <f t="shared" si="0"/>
        <v>12407.04</v>
      </c>
      <c r="H21" s="325">
        <v>1</v>
      </c>
      <c r="I21" s="254">
        <f t="shared" si="1"/>
        <v>12407.04</v>
      </c>
    </row>
    <row r="22" spans="1:9">
      <c r="A22" s="333">
        <v>16</v>
      </c>
      <c r="B22" s="252" t="s">
        <v>2443</v>
      </c>
      <c r="C22" s="275" t="s">
        <v>2453</v>
      </c>
      <c r="D22" s="234" t="s">
        <v>2454</v>
      </c>
      <c r="E22" s="99">
        <f>20216.81</f>
        <v>20216.810000000001</v>
      </c>
      <c r="F22" s="325">
        <v>1</v>
      </c>
      <c r="G22" s="253">
        <f t="shared" si="0"/>
        <v>20216.810000000001</v>
      </c>
      <c r="H22" s="325">
        <v>1</v>
      </c>
      <c r="I22" s="254">
        <f t="shared" si="1"/>
        <v>20216.810000000001</v>
      </c>
    </row>
    <row r="23" spans="1:9">
      <c r="A23" s="333">
        <v>17</v>
      </c>
      <c r="B23" s="252" t="s">
        <v>2443</v>
      </c>
      <c r="C23" s="275" t="s">
        <v>2455</v>
      </c>
      <c r="D23" s="234" t="s">
        <v>2444</v>
      </c>
      <c r="E23" s="99">
        <v>2474.7800000000002</v>
      </c>
      <c r="F23" s="325">
        <v>1</v>
      </c>
      <c r="G23" s="253">
        <f t="shared" si="0"/>
        <v>2474.7800000000002</v>
      </c>
      <c r="H23" s="325">
        <v>1</v>
      </c>
      <c r="I23" s="254">
        <f t="shared" si="1"/>
        <v>2474.7800000000002</v>
      </c>
    </row>
    <row r="24" spans="1:9">
      <c r="A24" s="732">
        <v>18</v>
      </c>
      <c r="B24" s="252" t="s">
        <v>2443</v>
      </c>
      <c r="C24" s="275" t="s">
        <v>2469</v>
      </c>
      <c r="D24" s="234" t="s">
        <v>2469</v>
      </c>
      <c r="E24" s="99">
        <v>43699.33</v>
      </c>
      <c r="F24" s="325">
        <v>1</v>
      </c>
      <c r="G24" s="253">
        <f>F24*E24</f>
        <v>43699.33</v>
      </c>
      <c r="H24" s="325">
        <v>1</v>
      </c>
      <c r="I24" s="254">
        <f>E24*H24</f>
        <v>43699.33</v>
      </c>
    </row>
    <row r="25" spans="1:9">
      <c r="A25" s="333">
        <v>19</v>
      </c>
      <c r="B25" s="252" t="s">
        <v>2443</v>
      </c>
      <c r="C25" s="275" t="s">
        <v>2445</v>
      </c>
      <c r="D25" s="234" t="s">
        <v>2446</v>
      </c>
      <c r="E25" s="99">
        <v>54137.52</v>
      </c>
      <c r="F25" s="325">
        <v>1</v>
      </c>
      <c r="G25" s="253">
        <f>F25*E25</f>
        <v>54137.52</v>
      </c>
      <c r="H25" s="325">
        <v>1</v>
      </c>
      <c r="I25" s="254">
        <f t="shared" si="1"/>
        <v>54137.52</v>
      </c>
    </row>
    <row r="26" spans="1:9">
      <c r="A26" s="333">
        <v>20</v>
      </c>
      <c r="B26" s="252" t="s">
        <v>2443</v>
      </c>
      <c r="C26" s="275" t="s">
        <v>2456</v>
      </c>
      <c r="D26" s="234" t="s">
        <v>2457</v>
      </c>
      <c r="E26" s="99">
        <v>531049.1</v>
      </c>
      <c r="F26" s="325">
        <v>1</v>
      </c>
      <c r="G26" s="253">
        <f t="shared" si="0"/>
        <v>531049.1</v>
      </c>
      <c r="H26" s="325">
        <v>1</v>
      </c>
      <c r="I26" s="254">
        <f t="shared" si="1"/>
        <v>531049.1</v>
      </c>
    </row>
    <row r="27" spans="1:9">
      <c r="A27" s="333">
        <v>21</v>
      </c>
      <c r="B27" s="252" t="s">
        <v>2443</v>
      </c>
      <c r="C27" s="275" t="s">
        <v>2456</v>
      </c>
      <c r="D27" s="234" t="s">
        <v>2458</v>
      </c>
      <c r="E27" s="99">
        <v>90309.47</v>
      </c>
      <c r="F27" s="325">
        <v>1</v>
      </c>
      <c r="G27" s="253">
        <f t="shared" si="0"/>
        <v>90309.47</v>
      </c>
      <c r="H27" s="325">
        <v>1</v>
      </c>
      <c r="I27" s="254">
        <f t="shared" si="1"/>
        <v>90309.47</v>
      </c>
    </row>
    <row r="28" spans="1:9">
      <c r="A28" s="732">
        <v>22</v>
      </c>
      <c r="B28" s="252" t="s">
        <v>2443</v>
      </c>
      <c r="C28" s="275" t="s">
        <v>2459</v>
      </c>
      <c r="D28" s="234" t="s">
        <v>581</v>
      </c>
      <c r="E28" s="99">
        <v>54257.11</v>
      </c>
      <c r="F28" s="325">
        <v>1</v>
      </c>
      <c r="G28" s="253">
        <f t="shared" si="0"/>
        <v>54257.11</v>
      </c>
      <c r="H28" s="325">
        <v>1</v>
      </c>
      <c r="I28" s="254">
        <f t="shared" si="1"/>
        <v>54257.11</v>
      </c>
    </row>
    <row r="29" spans="1:9">
      <c r="A29" s="333">
        <v>23</v>
      </c>
      <c r="B29" s="252" t="s">
        <v>2443</v>
      </c>
      <c r="C29" s="275" t="s">
        <v>2459</v>
      </c>
      <c r="D29" s="234" t="s">
        <v>2460</v>
      </c>
      <c r="E29" s="99">
        <v>475745.99</v>
      </c>
      <c r="F29" s="325">
        <v>1</v>
      </c>
      <c r="G29" s="253">
        <f t="shared" si="0"/>
        <v>475745.99</v>
      </c>
      <c r="H29" s="325">
        <v>1</v>
      </c>
      <c r="I29" s="254">
        <f t="shared" si="1"/>
        <v>475745.99</v>
      </c>
    </row>
    <row r="30" spans="1:9">
      <c r="A30" s="333">
        <v>24</v>
      </c>
      <c r="B30" s="252" t="s">
        <v>2443</v>
      </c>
      <c r="C30" s="275" t="s">
        <v>2461</v>
      </c>
      <c r="D30" s="234" t="s">
        <v>2462</v>
      </c>
      <c r="E30" s="99">
        <v>95962.39</v>
      </c>
      <c r="F30" s="325">
        <v>1</v>
      </c>
      <c r="G30" s="253">
        <f t="shared" si="0"/>
        <v>95962.39</v>
      </c>
      <c r="H30" s="325">
        <v>1</v>
      </c>
      <c r="I30" s="254">
        <f t="shared" si="1"/>
        <v>95962.39</v>
      </c>
    </row>
    <row r="31" spans="1:9">
      <c r="A31" s="732">
        <v>25</v>
      </c>
      <c r="B31" s="252" t="s">
        <v>2443</v>
      </c>
      <c r="C31" s="275" t="s">
        <v>2453</v>
      </c>
      <c r="D31" s="234" t="s">
        <v>2463</v>
      </c>
      <c r="E31" s="99">
        <v>12679.49</v>
      </c>
      <c r="F31" s="325">
        <v>1</v>
      </c>
      <c r="G31" s="253">
        <f t="shared" si="0"/>
        <v>12679.49</v>
      </c>
      <c r="H31" s="325">
        <v>1</v>
      </c>
      <c r="I31" s="254">
        <f t="shared" si="1"/>
        <v>12679.49</v>
      </c>
    </row>
    <row r="32" spans="1:9">
      <c r="A32" s="333">
        <v>26</v>
      </c>
      <c r="B32" s="252" t="s">
        <v>2443</v>
      </c>
      <c r="C32" s="275" t="s">
        <v>2453</v>
      </c>
      <c r="D32" s="234" t="s">
        <v>2141</v>
      </c>
      <c r="E32" s="99">
        <v>1022154.12</v>
      </c>
      <c r="F32" s="325">
        <v>1</v>
      </c>
      <c r="G32" s="253">
        <f t="shared" si="0"/>
        <v>1022154.12</v>
      </c>
      <c r="H32" s="325">
        <v>1</v>
      </c>
      <c r="I32" s="254">
        <f t="shared" si="1"/>
        <v>1022154.12</v>
      </c>
    </row>
    <row r="33" spans="1:9">
      <c r="A33" s="333">
        <v>27</v>
      </c>
      <c r="B33" s="252" t="s">
        <v>2443</v>
      </c>
      <c r="C33" s="275" t="s">
        <v>2453</v>
      </c>
      <c r="D33" s="234" t="s">
        <v>2464</v>
      </c>
      <c r="E33" s="99">
        <v>122476.25</v>
      </c>
      <c r="F33" s="325">
        <v>1</v>
      </c>
      <c r="G33" s="253">
        <f t="shared" si="0"/>
        <v>122476.25</v>
      </c>
      <c r="H33" s="325">
        <v>1</v>
      </c>
      <c r="I33" s="254">
        <f t="shared" si="1"/>
        <v>122476.25</v>
      </c>
    </row>
    <row r="34" spans="1:9">
      <c r="A34" s="732">
        <v>28</v>
      </c>
      <c r="B34" s="252" t="s">
        <v>2443</v>
      </c>
      <c r="C34" s="275" t="s">
        <v>2465</v>
      </c>
      <c r="D34" s="234" t="s">
        <v>2452</v>
      </c>
      <c r="E34" s="99">
        <v>733679.47</v>
      </c>
      <c r="F34" s="325">
        <v>1</v>
      </c>
      <c r="G34" s="253">
        <f t="shared" si="0"/>
        <v>733679.47</v>
      </c>
      <c r="H34" s="325">
        <v>1</v>
      </c>
      <c r="I34" s="254">
        <f t="shared" si="1"/>
        <v>733679.47</v>
      </c>
    </row>
    <row r="35" spans="1:9">
      <c r="A35" s="333">
        <v>29</v>
      </c>
      <c r="B35" s="252" t="s">
        <v>2443</v>
      </c>
      <c r="C35" s="275" t="s">
        <v>2465</v>
      </c>
      <c r="D35" s="234" t="s">
        <v>2466</v>
      </c>
      <c r="E35" s="99">
        <v>35291.83</v>
      </c>
      <c r="F35" s="325">
        <v>1</v>
      </c>
      <c r="G35" s="253">
        <f t="shared" si="0"/>
        <v>35291.83</v>
      </c>
      <c r="H35" s="325">
        <v>1</v>
      </c>
      <c r="I35" s="254">
        <f t="shared" si="1"/>
        <v>35291.83</v>
      </c>
    </row>
    <row r="36" spans="1:9">
      <c r="A36" s="333">
        <v>30</v>
      </c>
      <c r="B36" s="252" t="s">
        <v>2443</v>
      </c>
      <c r="C36" s="275" t="s">
        <v>2465</v>
      </c>
      <c r="D36" s="234" t="s">
        <v>2467</v>
      </c>
      <c r="E36" s="99">
        <v>13959.4</v>
      </c>
      <c r="F36" s="325">
        <v>1</v>
      </c>
      <c r="G36" s="253">
        <f t="shared" si="0"/>
        <v>13959.4</v>
      </c>
      <c r="H36" s="325">
        <v>1</v>
      </c>
      <c r="I36" s="254">
        <f t="shared" si="1"/>
        <v>13959.4</v>
      </c>
    </row>
    <row r="37" spans="1:9">
      <c r="A37" s="732">
        <v>31</v>
      </c>
      <c r="B37" s="252" t="s">
        <v>2443</v>
      </c>
      <c r="C37" s="275" t="s">
        <v>2465</v>
      </c>
      <c r="D37" s="234" t="s">
        <v>2452</v>
      </c>
      <c r="E37" s="99">
        <v>73162.179999999993</v>
      </c>
      <c r="F37" s="325">
        <v>1</v>
      </c>
      <c r="G37" s="253">
        <f t="shared" si="0"/>
        <v>73162.179999999993</v>
      </c>
      <c r="H37" s="325">
        <v>1</v>
      </c>
      <c r="I37" s="254">
        <f t="shared" si="1"/>
        <v>73162.179999999993</v>
      </c>
    </row>
    <row r="38" spans="1:9">
      <c r="A38" s="333">
        <v>32</v>
      </c>
      <c r="B38" s="252" t="s">
        <v>2443</v>
      </c>
      <c r="C38" s="275" t="s">
        <v>2455</v>
      </c>
      <c r="D38" s="234" t="s">
        <v>2444</v>
      </c>
      <c r="E38" s="99">
        <v>924.04</v>
      </c>
      <c r="F38" s="325">
        <v>1</v>
      </c>
      <c r="G38" s="253">
        <f t="shared" si="0"/>
        <v>924.04</v>
      </c>
      <c r="H38" s="325">
        <v>1</v>
      </c>
      <c r="I38" s="254">
        <f t="shared" si="1"/>
        <v>924.04</v>
      </c>
    </row>
    <row r="39" spans="1:9">
      <c r="A39" s="333">
        <v>33</v>
      </c>
      <c r="B39" s="252" t="s">
        <v>2443</v>
      </c>
      <c r="C39" s="275" t="s">
        <v>2468</v>
      </c>
      <c r="D39" s="234" t="s">
        <v>2469</v>
      </c>
      <c r="E39" s="99">
        <v>53112.38</v>
      </c>
      <c r="F39" s="325">
        <v>1</v>
      </c>
      <c r="G39" s="253">
        <f t="shared" si="0"/>
        <v>53112.38</v>
      </c>
      <c r="H39" s="325">
        <v>1</v>
      </c>
      <c r="I39" s="254">
        <f t="shared" si="1"/>
        <v>53112.38</v>
      </c>
    </row>
    <row r="40" spans="1:9">
      <c r="A40" s="732">
        <v>34</v>
      </c>
      <c r="B40" s="252" t="s">
        <v>2443</v>
      </c>
      <c r="C40" s="275" t="s">
        <v>2470</v>
      </c>
      <c r="D40" s="234" t="s">
        <v>2470</v>
      </c>
      <c r="E40" s="99">
        <v>184306.99</v>
      </c>
      <c r="F40" s="325">
        <v>1</v>
      </c>
      <c r="G40" s="253">
        <f t="shared" si="0"/>
        <v>184306.99</v>
      </c>
      <c r="H40" s="325">
        <v>1</v>
      </c>
      <c r="I40" s="254">
        <f t="shared" si="1"/>
        <v>184306.99</v>
      </c>
    </row>
    <row r="41" spans="1:9">
      <c r="A41" s="333">
        <v>35</v>
      </c>
      <c r="B41" s="252" t="s">
        <v>2443</v>
      </c>
      <c r="C41" s="275" t="s">
        <v>2453</v>
      </c>
      <c r="D41" s="234" t="s">
        <v>2141</v>
      </c>
      <c r="E41" s="99">
        <v>23257.8</v>
      </c>
      <c r="F41" s="325">
        <v>1</v>
      </c>
      <c r="G41" s="253">
        <f t="shared" si="0"/>
        <v>23257.8</v>
      </c>
      <c r="H41" s="325">
        <v>1</v>
      </c>
      <c r="I41" s="254">
        <f t="shared" si="1"/>
        <v>23257.8</v>
      </c>
    </row>
    <row r="42" spans="1:9">
      <c r="A42" s="333">
        <v>36</v>
      </c>
      <c r="B42" s="252" t="s">
        <v>2443</v>
      </c>
      <c r="C42" s="275" t="s">
        <v>2455</v>
      </c>
      <c r="D42" s="234" t="s">
        <v>2444</v>
      </c>
      <c r="E42" s="99">
        <v>293.75</v>
      </c>
      <c r="F42" s="325">
        <v>1</v>
      </c>
      <c r="G42" s="253">
        <f t="shared" si="0"/>
        <v>293.75</v>
      </c>
      <c r="H42" s="325">
        <v>1</v>
      </c>
      <c r="I42" s="254">
        <f t="shared" si="1"/>
        <v>293.75</v>
      </c>
    </row>
    <row r="43" spans="1:9">
      <c r="A43" s="333">
        <v>37</v>
      </c>
      <c r="B43" s="252" t="s">
        <v>2443</v>
      </c>
      <c r="C43" s="275" t="s">
        <v>2470</v>
      </c>
      <c r="D43" s="234" t="s">
        <v>2473</v>
      </c>
      <c r="E43" s="99">
        <v>28884.55</v>
      </c>
      <c r="F43" s="325">
        <v>1</v>
      </c>
      <c r="G43" s="253">
        <f t="shared" si="0"/>
        <v>28884.55</v>
      </c>
      <c r="H43" s="325">
        <v>1</v>
      </c>
      <c r="I43" s="254">
        <f t="shared" si="1"/>
        <v>28884.55</v>
      </c>
    </row>
    <row r="44" spans="1:9">
      <c r="A44" s="732">
        <v>38</v>
      </c>
      <c r="B44" s="252" t="s">
        <v>2443</v>
      </c>
      <c r="C44" s="275" t="s">
        <v>2470</v>
      </c>
      <c r="D44" s="234" t="s">
        <v>2474</v>
      </c>
      <c r="E44" s="99">
        <v>41065.94</v>
      </c>
      <c r="F44" s="325">
        <v>1</v>
      </c>
      <c r="G44" s="253">
        <f t="shared" si="0"/>
        <v>41065.94</v>
      </c>
      <c r="H44" s="325">
        <v>1</v>
      </c>
      <c r="I44" s="254">
        <f t="shared" si="1"/>
        <v>41065.94</v>
      </c>
    </row>
    <row r="45" spans="1:9">
      <c r="A45" s="333">
        <v>39</v>
      </c>
      <c r="B45" s="252" t="s">
        <v>2443</v>
      </c>
      <c r="C45" s="275" t="s">
        <v>2456</v>
      </c>
      <c r="D45" s="234" t="s">
        <v>2457</v>
      </c>
      <c r="E45" s="99">
        <v>93750.14</v>
      </c>
      <c r="F45" s="325">
        <v>1</v>
      </c>
      <c r="G45" s="253">
        <f t="shared" si="0"/>
        <v>93750.14</v>
      </c>
      <c r="H45" s="325">
        <v>1</v>
      </c>
      <c r="I45" s="254">
        <f t="shared" si="1"/>
        <v>93750.14</v>
      </c>
    </row>
    <row r="46" spans="1:9">
      <c r="A46" s="333">
        <v>40</v>
      </c>
      <c r="B46" s="252" t="s">
        <v>2443</v>
      </c>
      <c r="C46" s="275" t="s">
        <v>2455</v>
      </c>
      <c r="D46" s="234" t="s">
        <v>2444</v>
      </c>
      <c r="E46" s="99">
        <v>2600.2199999999998</v>
      </c>
      <c r="F46" s="325">
        <v>1</v>
      </c>
      <c r="G46" s="253">
        <f t="shared" si="0"/>
        <v>2600.2199999999998</v>
      </c>
      <c r="H46" s="325">
        <v>1</v>
      </c>
      <c r="I46" s="254">
        <f t="shared" si="1"/>
        <v>2600.2199999999998</v>
      </c>
    </row>
    <row r="47" spans="1:9">
      <c r="A47" s="732">
        <v>41</v>
      </c>
      <c r="B47" s="252" t="s">
        <v>2443</v>
      </c>
      <c r="C47" s="275" t="s">
        <v>2456</v>
      </c>
      <c r="D47" s="234" t="s">
        <v>2457</v>
      </c>
      <c r="E47" s="99">
        <v>1320912.96</v>
      </c>
      <c r="F47" s="325">
        <v>1</v>
      </c>
      <c r="G47" s="253">
        <f>F47*E47</f>
        <v>1320912.96</v>
      </c>
      <c r="H47" s="325">
        <v>1</v>
      </c>
      <c r="I47" s="254">
        <f>E47*H47</f>
        <v>1320912.96</v>
      </c>
    </row>
    <row r="48" spans="1:9">
      <c r="A48" s="333">
        <v>42</v>
      </c>
      <c r="B48" s="252" t="s">
        <v>2443</v>
      </c>
      <c r="C48" s="275" t="s">
        <v>2455</v>
      </c>
      <c r="D48" s="234" t="s">
        <v>2444</v>
      </c>
      <c r="E48" s="99">
        <v>445914.6</v>
      </c>
      <c r="F48" s="325">
        <v>1</v>
      </c>
      <c r="G48" s="253">
        <f t="shared" si="0"/>
        <v>445914.6</v>
      </c>
      <c r="H48" s="325">
        <v>1</v>
      </c>
      <c r="I48" s="254">
        <f t="shared" si="1"/>
        <v>445914.6</v>
      </c>
    </row>
    <row r="49" spans="1:9">
      <c r="A49" s="333">
        <v>43</v>
      </c>
      <c r="B49" s="252" t="s">
        <v>2443</v>
      </c>
      <c r="C49" s="275" t="s">
        <v>2469</v>
      </c>
      <c r="D49" s="234" t="s">
        <v>2469</v>
      </c>
      <c r="E49" s="99">
        <v>40641.57</v>
      </c>
      <c r="F49" s="325">
        <v>1</v>
      </c>
      <c r="G49" s="253">
        <f t="shared" si="0"/>
        <v>40641.57</v>
      </c>
      <c r="H49" s="325">
        <v>1</v>
      </c>
      <c r="I49" s="254">
        <f t="shared" si="1"/>
        <v>40641.57</v>
      </c>
    </row>
    <row r="50" spans="1:9">
      <c r="A50" s="732">
        <v>44</v>
      </c>
      <c r="B50" s="252" t="s">
        <v>2443</v>
      </c>
      <c r="C50" s="275" t="s">
        <v>2455</v>
      </c>
      <c r="D50" s="234" t="s">
        <v>2444</v>
      </c>
      <c r="E50" s="99">
        <v>577.47</v>
      </c>
      <c r="F50" s="325">
        <v>1</v>
      </c>
      <c r="G50" s="253">
        <f t="shared" si="0"/>
        <v>577.47</v>
      </c>
      <c r="H50" s="325">
        <v>1</v>
      </c>
      <c r="I50" s="254">
        <f>E50*H50</f>
        <v>577.47</v>
      </c>
    </row>
    <row r="51" spans="1:9">
      <c r="A51" s="333">
        <v>45</v>
      </c>
      <c r="B51" s="252" t="s">
        <v>2443</v>
      </c>
      <c r="C51" s="275" t="s">
        <v>2453</v>
      </c>
      <c r="D51" s="234" t="s">
        <v>2141</v>
      </c>
      <c r="E51" s="99">
        <v>33157.199999999997</v>
      </c>
      <c r="F51" s="325">
        <v>1</v>
      </c>
      <c r="G51" s="253">
        <f>F51*E51</f>
        <v>33157.199999999997</v>
      </c>
      <c r="H51" s="325">
        <v>1</v>
      </c>
      <c r="I51" s="254">
        <f>E51*H51</f>
        <v>33157.199999999997</v>
      </c>
    </row>
    <row r="52" spans="1:9">
      <c r="A52" s="333">
        <v>46</v>
      </c>
      <c r="B52" s="252" t="s">
        <v>2443</v>
      </c>
      <c r="C52" s="275" t="s">
        <v>2455</v>
      </c>
      <c r="D52" s="234" t="s">
        <v>2444</v>
      </c>
      <c r="E52" s="99">
        <v>1092.56</v>
      </c>
      <c r="F52" s="325">
        <v>1</v>
      </c>
      <c r="G52" s="253">
        <f>F52*E52</f>
        <v>1092.56</v>
      </c>
      <c r="H52" s="325">
        <v>1</v>
      </c>
      <c r="I52" s="254">
        <f>E52*H52</f>
        <v>1092.56</v>
      </c>
    </row>
    <row r="53" spans="1:9" ht="13.5" thickBot="1">
      <c r="A53" s="732">
        <v>47</v>
      </c>
      <c r="B53" s="252"/>
      <c r="C53" s="390" t="s">
        <v>379</v>
      </c>
      <c r="D53" s="255"/>
      <c r="E53" s="596">
        <f>SUM(E13:E52)</f>
        <v>6174391.5099999988</v>
      </c>
      <c r="F53" s="256"/>
      <c r="G53" s="257">
        <f>SUM(G13:G52)</f>
        <v>6174391.5099999988</v>
      </c>
      <c r="H53" s="256"/>
      <c r="I53" s="258">
        <f>SUM(I13:I52)</f>
        <v>6174391.5099999988</v>
      </c>
    </row>
    <row r="54" spans="1:9" ht="13.5" thickTop="1">
      <c r="A54" s="333">
        <v>48</v>
      </c>
      <c r="B54" s="252" t="s">
        <v>1152</v>
      </c>
      <c r="C54" s="275" t="s">
        <v>2475</v>
      </c>
      <c r="D54" s="234" t="s">
        <v>2475</v>
      </c>
      <c r="E54" s="99">
        <v>146013.4</v>
      </c>
      <c r="F54" s="369">
        <v>0.66700000000000004</v>
      </c>
      <c r="G54" s="253">
        <f t="shared" ref="G54:G58" si="2">F54*E54</f>
        <v>97390.9378</v>
      </c>
      <c r="H54" s="369">
        <v>0.80800000000000005</v>
      </c>
      <c r="I54" s="254">
        <f t="shared" ref="I54:I58" si="3">E54*H54</f>
        <v>117978.8272</v>
      </c>
    </row>
    <row r="55" spans="1:9">
      <c r="A55" s="333">
        <v>49</v>
      </c>
      <c r="B55" s="252" t="s">
        <v>1152</v>
      </c>
      <c r="C55" s="275" t="s">
        <v>2455</v>
      </c>
      <c r="D55" s="234" t="s">
        <v>2444</v>
      </c>
      <c r="E55" s="99">
        <v>10941.32</v>
      </c>
      <c r="F55" s="369">
        <v>0.66700000000000004</v>
      </c>
      <c r="G55" s="253">
        <f t="shared" si="2"/>
        <v>7297.8604400000004</v>
      </c>
      <c r="H55" s="369">
        <v>0.80800000000000005</v>
      </c>
      <c r="I55" s="254">
        <f t="shared" si="3"/>
        <v>8840.5865599999997</v>
      </c>
    </row>
    <row r="56" spans="1:9">
      <c r="A56" s="732">
        <v>50</v>
      </c>
      <c r="B56" s="252" t="s">
        <v>1152</v>
      </c>
      <c r="C56" s="275" t="s">
        <v>2458</v>
      </c>
      <c r="D56" s="234" t="s">
        <v>2458</v>
      </c>
      <c r="E56" s="99">
        <v>676146.99</v>
      </c>
      <c r="F56" s="369">
        <v>0.66700000000000004</v>
      </c>
      <c r="G56" s="253">
        <f t="shared" si="2"/>
        <v>450990.04233000003</v>
      </c>
      <c r="H56" s="369">
        <v>0.80800000000000005</v>
      </c>
      <c r="I56" s="254">
        <f t="shared" si="3"/>
        <v>546326.76792000001</v>
      </c>
    </row>
    <row r="57" spans="1:9">
      <c r="A57" s="333">
        <v>51</v>
      </c>
      <c r="B57" s="252" t="s">
        <v>1152</v>
      </c>
      <c r="C57" s="275" t="s">
        <v>2476</v>
      </c>
      <c r="D57" s="234" t="s">
        <v>2476</v>
      </c>
      <c r="E57" s="99">
        <v>67520.789999999994</v>
      </c>
      <c r="F57" s="369">
        <v>0.66700000000000004</v>
      </c>
      <c r="G57" s="253">
        <f t="shared" si="2"/>
        <v>45036.366929999997</v>
      </c>
      <c r="H57" s="369">
        <v>0.80800000000000005</v>
      </c>
      <c r="I57" s="254">
        <f t="shared" si="3"/>
        <v>54556.798320000002</v>
      </c>
    </row>
    <row r="58" spans="1:9">
      <c r="A58" s="333">
        <v>52</v>
      </c>
      <c r="B58" s="252" t="s">
        <v>1152</v>
      </c>
      <c r="C58" s="275" t="s">
        <v>2477</v>
      </c>
      <c r="D58" s="234" t="s">
        <v>2477</v>
      </c>
      <c r="E58" s="99">
        <v>573531.89</v>
      </c>
      <c r="F58" s="369">
        <v>0.66700000000000004</v>
      </c>
      <c r="G58" s="253">
        <f t="shared" si="2"/>
        <v>382545.77063000004</v>
      </c>
      <c r="H58" s="369">
        <v>0.80800000000000005</v>
      </c>
      <c r="I58" s="254">
        <f t="shared" si="3"/>
        <v>463413.76712000003</v>
      </c>
    </row>
    <row r="59" spans="1:9" ht="13.5" thickBot="1">
      <c r="A59" s="333">
        <v>53</v>
      </c>
      <c r="B59" s="252"/>
      <c r="C59" s="390" t="s">
        <v>379</v>
      </c>
      <c r="D59" s="255"/>
      <c r="E59" s="596">
        <f>SUM(E54:E58)</f>
        <v>1474154.3900000001</v>
      </c>
      <c r="F59" s="256"/>
      <c r="G59" s="257">
        <f>SUM(G54:G58)</f>
        <v>983260.97813000006</v>
      </c>
      <c r="H59" s="256"/>
      <c r="I59" s="258">
        <f>SUM(I54:I58)</f>
        <v>1191116.74712</v>
      </c>
    </row>
    <row r="60" spans="1:9" ht="13.5" thickTop="1">
      <c r="A60" s="732">
        <v>54</v>
      </c>
      <c r="B60" s="252" t="s">
        <v>1152</v>
      </c>
      <c r="C60" s="275" t="s">
        <v>2471</v>
      </c>
      <c r="D60" s="234" t="s">
        <v>2469</v>
      </c>
      <c r="E60" s="99">
        <v>54316.73</v>
      </c>
      <c r="F60" s="325">
        <v>1</v>
      </c>
      <c r="G60" s="253">
        <f t="shared" ref="G60:G69" si="4">F60*E60</f>
        <v>54316.73</v>
      </c>
      <c r="H60" s="325">
        <v>1</v>
      </c>
      <c r="I60" s="254">
        <f t="shared" ref="I60:I69" si="5">E60*H60</f>
        <v>54316.73</v>
      </c>
    </row>
    <row r="61" spans="1:9">
      <c r="A61" s="333">
        <v>55</v>
      </c>
      <c r="B61" s="252" t="s">
        <v>1152</v>
      </c>
      <c r="C61" s="275" t="s">
        <v>2455</v>
      </c>
      <c r="D61" s="234" t="s">
        <v>2444</v>
      </c>
      <c r="E61" s="99">
        <v>20639.32</v>
      </c>
      <c r="F61" s="325">
        <v>1</v>
      </c>
      <c r="G61" s="253">
        <f t="shared" si="4"/>
        <v>20639.32</v>
      </c>
      <c r="H61" s="325">
        <v>1</v>
      </c>
      <c r="I61" s="254">
        <f t="shared" si="5"/>
        <v>20639.32</v>
      </c>
    </row>
    <row r="62" spans="1:9">
      <c r="A62" s="333">
        <v>56</v>
      </c>
      <c r="B62" s="252" t="s">
        <v>1152</v>
      </c>
      <c r="C62" s="275" t="s">
        <v>2471</v>
      </c>
      <c r="D62" s="234" t="s">
        <v>2469</v>
      </c>
      <c r="E62" s="99">
        <v>141933.62</v>
      </c>
      <c r="F62" s="325">
        <v>1</v>
      </c>
      <c r="G62" s="253">
        <f t="shared" si="4"/>
        <v>141933.62</v>
      </c>
      <c r="H62" s="325">
        <v>1</v>
      </c>
      <c r="I62" s="254">
        <f t="shared" si="5"/>
        <v>141933.62</v>
      </c>
    </row>
    <row r="63" spans="1:9">
      <c r="A63" s="732">
        <v>57</v>
      </c>
      <c r="B63" s="252" t="s">
        <v>1152</v>
      </c>
      <c r="C63" s="275" t="s">
        <v>2455</v>
      </c>
      <c r="D63" s="234" t="s">
        <v>2444</v>
      </c>
      <c r="E63" s="99">
        <v>3902.43</v>
      </c>
      <c r="F63" s="325">
        <v>1</v>
      </c>
      <c r="G63" s="253">
        <f t="shared" si="4"/>
        <v>3902.43</v>
      </c>
      <c r="H63" s="325">
        <v>1</v>
      </c>
      <c r="I63" s="254">
        <f t="shared" si="5"/>
        <v>3902.43</v>
      </c>
    </row>
    <row r="64" spans="1:9">
      <c r="A64" s="333">
        <v>58</v>
      </c>
      <c r="B64" s="252" t="s">
        <v>1152</v>
      </c>
      <c r="C64" s="275" t="s">
        <v>2453</v>
      </c>
      <c r="D64" s="234" t="s">
        <v>2141</v>
      </c>
      <c r="E64" s="99">
        <v>61037.2</v>
      </c>
      <c r="F64" s="325">
        <v>1</v>
      </c>
      <c r="G64" s="253">
        <f t="shared" si="4"/>
        <v>61037.2</v>
      </c>
      <c r="H64" s="325">
        <v>1</v>
      </c>
      <c r="I64" s="254">
        <f t="shared" si="5"/>
        <v>61037.2</v>
      </c>
    </row>
    <row r="65" spans="1:9">
      <c r="A65" s="333">
        <v>59</v>
      </c>
      <c r="B65" s="252" t="s">
        <v>1152</v>
      </c>
      <c r="C65" s="275" t="s">
        <v>2455</v>
      </c>
      <c r="D65" s="234" t="s">
        <v>2444</v>
      </c>
      <c r="E65" s="99">
        <v>770.9</v>
      </c>
      <c r="F65" s="325">
        <v>1</v>
      </c>
      <c r="G65" s="253">
        <f t="shared" si="4"/>
        <v>770.9</v>
      </c>
      <c r="H65" s="325">
        <v>1</v>
      </c>
      <c r="I65" s="254">
        <f t="shared" si="5"/>
        <v>770.9</v>
      </c>
    </row>
    <row r="66" spans="1:9">
      <c r="A66" s="732">
        <v>60</v>
      </c>
      <c r="B66" s="252" t="s">
        <v>1152</v>
      </c>
      <c r="C66" s="275" t="s">
        <v>2455</v>
      </c>
      <c r="D66" s="234" t="s">
        <v>2444</v>
      </c>
      <c r="E66" s="99">
        <v>2877.74</v>
      </c>
      <c r="F66" s="325">
        <v>1</v>
      </c>
      <c r="G66" s="253">
        <f t="shared" si="4"/>
        <v>2877.74</v>
      </c>
      <c r="H66" s="325">
        <v>1</v>
      </c>
      <c r="I66" s="254">
        <f t="shared" si="5"/>
        <v>2877.74</v>
      </c>
    </row>
    <row r="67" spans="1:9">
      <c r="A67" s="333">
        <v>61</v>
      </c>
      <c r="B67" s="252" t="s">
        <v>1152</v>
      </c>
      <c r="C67" s="275" t="s">
        <v>2463</v>
      </c>
      <c r="D67" s="234" t="s">
        <v>2463</v>
      </c>
      <c r="E67" s="99">
        <v>16160.95</v>
      </c>
      <c r="F67" s="325">
        <v>1</v>
      </c>
      <c r="G67" s="253">
        <f t="shared" si="4"/>
        <v>16160.95</v>
      </c>
      <c r="H67" s="325">
        <v>1</v>
      </c>
      <c r="I67" s="254">
        <f t="shared" si="5"/>
        <v>16160.95</v>
      </c>
    </row>
    <row r="68" spans="1:9">
      <c r="A68" s="333">
        <v>62</v>
      </c>
      <c r="B68" s="252" t="s">
        <v>1152</v>
      </c>
      <c r="C68" s="275" t="s">
        <v>2453</v>
      </c>
      <c r="D68" s="234" t="s">
        <v>2141</v>
      </c>
      <c r="E68" s="99">
        <v>8952.5300000000007</v>
      </c>
      <c r="F68" s="325">
        <v>1</v>
      </c>
      <c r="G68" s="253">
        <f t="shared" si="4"/>
        <v>8952.5300000000007</v>
      </c>
      <c r="H68" s="325">
        <v>1</v>
      </c>
      <c r="I68" s="254">
        <f t="shared" si="5"/>
        <v>8952.5300000000007</v>
      </c>
    </row>
    <row r="69" spans="1:9">
      <c r="A69" s="732">
        <v>63</v>
      </c>
      <c r="B69" s="252" t="s">
        <v>1152</v>
      </c>
      <c r="C69" s="275" t="s">
        <v>2455</v>
      </c>
      <c r="D69" s="234" t="s">
        <v>2444</v>
      </c>
      <c r="E69" s="99">
        <v>1211.9000000000001</v>
      </c>
      <c r="F69" s="325">
        <v>1</v>
      </c>
      <c r="G69" s="253">
        <f t="shared" si="4"/>
        <v>1211.9000000000001</v>
      </c>
      <c r="H69" s="325">
        <v>1</v>
      </c>
      <c r="I69" s="254">
        <f t="shared" si="5"/>
        <v>1211.9000000000001</v>
      </c>
    </row>
    <row r="70" spans="1:9" ht="13.5" thickBot="1">
      <c r="A70" s="333">
        <v>64</v>
      </c>
      <c r="B70" s="252"/>
      <c r="C70" s="391" t="s">
        <v>379</v>
      </c>
      <c r="D70" s="259"/>
      <c r="E70" s="597">
        <f>SUM(E60:E69)</f>
        <v>311803.32000000007</v>
      </c>
      <c r="F70" s="260"/>
      <c r="G70" s="261">
        <f>SUM(G60:G69)</f>
        <v>311803.32000000007</v>
      </c>
      <c r="H70" s="259"/>
      <c r="I70" s="262">
        <f>SUM(I60:I69)</f>
        <v>311803.32000000007</v>
      </c>
    </row>
    <row r="71" spans="1:9">
      <c r="A71" s="333">
        <v>65</v>
      </c>
      <c r="B71" s="252" t="s">
        <v>1154</v>
      </c>
      <c r="C71" s="392" t="s">
        <v>2478</v>
      </c>
      <c r="D71" s="243" t="s">
        <v>2479</v>
      </c>
      <c r="E71" s="594">
        <f>134174.04</f>
        <v>134174.04</v>
      </c>
      <c r="F71" s="376">
        <v>1</v>
      </c>
      <c r="G71" s="263">
        <f>E71*F71</f>
        <v>134174.04</v>
      </c>
      <c r="H71" s="376">
        <v>1</v>
      </c>
      <c r="I71" s="264">
        <f>E71*H71</f>
        <v>134174.04</v>
      </c>
    </row>
    <row r="72" spans="1:9">
      <c r="A72" s="732">
        <v>66</v>
      </c>
      <c r="B72" s="252" t="s">
        <v>1154</v>
      </c>
      <c r="C72" s="389" t="s">
        <v>2480</v>
      </c>
      <c r="D72" s="234" t="s">
        <v>2472</v>
      </c>
      <c r="E72" s="99">
        <f>59005.31</f>
        <v>59005.31</v>
      </c>
      <c r="F72" s="325">
        <v>1</v>
      </c>
      <c r="G72" s="253">
        <f t="shared" ref="G72:G122" si="6">E72*F72</f>
        <v>59005.31</v>
      </c>
      <c r="H72" s="325">
        <v>1</v>
      </c>
      <c r="I72" s="254">
        <f t="shared" ref="I72:I122" si="7">E72*H72</f>
        <v>59005.31</v>
      </c>
    </row>
    <row r="73" spans="1:9">
      <c r="A73" s="333">
        <v>67</v>
      </c>
      <c r="B73" s="252" t="s">
        <v>1154</v>
      </c>
      <c r="C73" s="389" t="s">
        <v>2481</v>
      </c>
      <c r="D73" s="234" t="s">
        <v>2141</v>
      </c>
      <c r="E73" s="99">
        <f>119667.35</f>
        <v>119667.35</v>
      </c>
      <c r="F73" s="325">
        <v>1</v>
      </c>
      <c r="G73" s="253">
        <f t="shared" si="6"/>
        <v>119667.35</v>
      </c>
      <c r="H73" s="325">
        <v>1</v>
      </c>
      <c r="I73" s="254">
        <f t="shared" si="7"/>
        <v>119667.35</v>
      </c>
    </row>
    <row r="74" spans="1:9">
      <c r="A74" s="333">
        <v>68</v>
      </c>
      <c r="B74" s="252" t="s">
        <v>1154</v>
      </c>
      <c r="C74" s="389" t="s">
        <v>2463</v>
      </c>
      <c r="D74" s="234" t="s">
        <v>2463</v>
      </c>
      <c r="E74" s="99">
        <v>39790.21</v>
      </c>
      <c r="F74" s="325">
        <v>1</v>
      </c>
      <c r="G74" s="253">
        <f>E74*F74</f>
        <v>39790.21</v>
      </c>
      <c r="H74" s="325">
        <v>1</v>
      </c>
      <c r="I74" s="254">
        <f>E74*H74</f>
        <v>39790.21</v>
      </c>
    </row>
    <row r="75" spans="1:9">
      <c r="A75" s="333">
        <v>69</v>
      </c>
      <c r="B75" s="252" t="s">
        <v>1154</v>
      </c>
      <c r="C75" s="389" t="s">
        <v>2455</v>
      </c>
      <c r="D75" s="234" t="s">
        <v>2444</v>
      </c>
      <c r="E75" s="99">
        <v>1601.37</v>
      </c>
      <c r="F75" s="325">
        <v>1</v>
      </c>
      <c r="G75" s="253">
        <f>E75*F75</f>
        <v>1601.37</v>
      </c>
      <c r="H75" s="325">
        <v>1</v>
      </c>
      <c r="I75" s="254">
        <f>E75*H75</f>
        <v>1601.37</v>
      </c>
    </row>
    <row r="76" spans="1:9">
      <c r="A76" s="732">
        <v>70</v>
      </c>
      <c r="B76" s="252" t="s">
        <v>1154</v>
      </c>
      <c r="C76" s="389" t="s">
        <v>2470</v>
      </c>
      <c r="D76" s="234" t="s">
        <v>2471</v>
      </c>
      <c r="E76" s="99">
        <f>53164.52</f>
        <v>53164.52</v>
      </c>
      <c r="F76" s="325">
        <v>1</v>
      </c>
      <c r="G76" s="253">
        <f>E76*F76</f>
        <v>53164.52</v>
      </c>
      <c r="H76" s="325">
        <v>1</v>
      </c>
      <c r="I76" s="254">
        <f>E76*H76</f>
        <v>53164.52</v>
      </c>
    </row>
    <row r="77" spans="1:9">
      <c r="A77" s="333">
        <v>71</v>
      </c>
      <c r="B77" s="252" t="s">
        <v>1154</v>
      </c>
      <c r="C77" s="389" t="s">
        <v>2470</v>
      </c>
      <c r="D77" s="234" t="s">
        <v>2472</v>
      </c>
      <c r="E77" s="99">
        <f>307465.42</f>
        <v>307465.42</v>
      </c>
      <c r="F77" s="325">
        <v>1</v>
      </c>
      <c r="G77" s="253">
        <f t="shared" si="6"/>
        <v>307465.42</v>
      </c>
      <c r="H77" s="325">
        <v>1</v>
      </c>
      <c r="I77" s="254">
        <f>E77*H77</f>
        <v>307465.42</v>
      </c>
    </row>
    <row r="78" spans="1:9">
      <c r="A78" s="333">
        <v>72</v>
      </c>
      <c r="B78" s="252" t="s">
        <v>1154</v>
      </c>
      <c r="C78" s="389" t="s">
        <v>2470</v>
      </c>
      <c r="D78" s="234" t="s">
        <v>2479</v>
      </c>
      <c r="E78" s="99">
        <f>12819.56</f>
        <v>12819.56</v>
      </c>
      <c r="F78" s="325">
        <v>1</v>
      </c>
      <c r="G78" s="253">
        <f t="shared" si="6"/>
        <v>12819.56</v>
      </c>
      <c r="H78" s="325">
        <v>1</v>
      </c>
      <c r="I78" s="254">
        <f>E78*H78</f>
        <v>12819.56</v>
      </c>
    </row>
    <row r="79" spans="1:9">
      <c r="A79" s="732">
        <v>73</v>
      </c>
      <c r="B79" s="252" t="s">
        <v>1154</v>
      </c>
      <c r="C79" s="389" t="s">
        <v>2470</v>
      </c>
      <c r="D79" s="234" t="s">
        <v>2474</v>
      </c>
      <c r="E79" s="99">
        <f>415983</f>
        <v>415983</v>
      </c>
      <c r="F79" s="325">
        <v>1</v>
      </c>
      <c r="G79" s="253">
        <f t="shared" si="6"/>
        <v>415983</v>
      </c>
      <c r="H79" s="325">
        <v>1</v>
      </c>
      <c r="I79" s="254">
        <f t="shared" si="7"/>
        <v>415983</v>
      </c>
    </row>
    <row r="80" spans="1:9">
      <c r="A80" s="333">
        <v>74</v>
      </c>
      <c r="B80" s="252" t="s">
        <v>1154</v>
      </c>
      <c r="C80" s="389" t="s">
        <v>2455</v>
      </c>
      <c r="D80" s="234" t="s">
        <v>2444</v>
      </c>
      <c r="E80" s="99">
        <v>146434.79999999999</v>
      </c>
      <c r="F80" s="325">
        <v>1</v>
      </c>
      <c r="G80" s="253">
        <f t="shared" si="6"/>
        <v>146434.79999999999</v>
      </c>
      <c r="H80" s="325">
        <v>1</v>
      </c>
      <c r="I80" s="254">
        <f t="shared" si="7"/>
        <v>146434.79999999999</v>
      </c>
    </row>
    <row r="81" spans="1:9">
      <c r="A81" s="333">
        <v>75</v>
      </c>
      <c r="B81" s="252" t="s">
        <v>1154</v>
      </c>
      <c r="C81" s="389" t="s">
        <v>2455</v>
      </c>
      <c r="D81" s="234" t="s">
        <v>2444</v>
      </c>
      <c r="E81" s="99">
        <f>2533.43</f>
        <v>2533.4299999999998</v>
      </c>
      <c r="F81" s="325">
        <v>1</v>
      </c>
      <c r="G81" s="253">
        <f t="shared" si="6"/>
        <v>2533.4299999999998</v>
      </c>
      <c r="H81" s="325">
        <v>1</v>
      </c>
      <c r="I81" s="254">
        <f t="shared" si="7"/>
        <v>2533.4299999999998</v>
      </c>
    </row>
    <row r="82" spans="1:9">
      <c r="A82" s="732">
        <v>76</v>
      </c>
      <c r="B82" s="252" t="s">
        <v>1154</v>
      </c>
      <c r="C82" s="389" t="s">
        <v>2468</v>
      </c>
      <c r="D82" s="234" t="s">
        <v>2482</v>
      </c>
      <c r="E82" s="99">
        <f>31657.69</f>
        <v>31657.69</v>
      </c>
      <c r="F82" s="325">
        <v>1</v>
      </c>
      <c r="G82" s="253">
        <f t="shared" si="6"/>
        <v>31657.69</v>
      </c>
      <c r="H82" s="325">
        <v>1</v>
      </c>
      <c r="I82" s="254">
        <f t="shared" si="7"/>
        <v>31657.69</v>
      </c>
    </row>
    <row r="83" spans="1:9">
      <c r="A83" s="333">
        <v>77</v>
      </c>
      <c r="B83" s="252" t="s">
        <v>1154</v>
      </c>
      <c r="C83" s="389" t="s">
        <v>2465</v>
      </c>
      <c r="D83" s="234" t="s">
        <v>2452</v>
      </c>
      <c r="E83" s="99">
        <f>85009.25</f>
        <v>85009.25</v>
      </c>
      <c r="F83" s="325">
        <v>1</v>
      </c>
      <c r="G83" s="253">
        <f t="shared" si="6"/>
        <v>85009.25</v>
      </c>
      <c r="H83" s="325">
        <v>1</v>
      </c>
      <c r="I83" s="254">
        <f t="shared" si="7"/>
        <v>85009.25</v>
      </c>
    </row>
    <row r="84" spans="1:9">
      <c r="A84" s="333">
        <v>78</v>
      </c>
      <c r="B84" s="252" t="s">
        <v>1154</v>
      </c>
      <c r="C84" s="389" t="s">
        <v>2471</v>
      </c>
      <c r="D84" s="234" t="s">
        <v>2472</v>
      </c>
      <c r="E84" s="99">
        <f>108684.58</f>
        <v>108684.58</v>
      </c>
      <c r="F84" s="325">
        <v>1</v>
      </c>
      <c r="G84" s="253">
        <f t="shared" si="6"/>
        <v>108684.58</v>
      </c>
      <c r="H84" s="325">
        <v>1</v>
      </c>
      <c r="I84" s="254">
        <f t="shared" si="7"/>
        <v>108684.58</v>
      </c>
    </row>
    <row r="85" spans="1:9">
      <c r="A85" s="732">
        <v>79</v>
      </c>
      <c r="B85" s="252" t="s">
        <v>1154</v>
      </c>
      <c r="C85" s="389" t="s">
        <v>2471</v>
      </c>
      <c r="D85" s="234" t="s">
        <v>2474</v>
      </c>
      <c r="E85" s="99">
        <f>1933.73</f>
        <v>1933.73</v>
      </c>
      <c r="F85" s="325">
        <v>1</v>
      </c>
      <c r="G85" s="253">
        <f t="shared" si="6"/>
        <v>1933.73</v>
      </c>
      <c r="H85" s="325">
        <v>1</v>
      </c>
      <c r="I85" s="254">
        <f t="shared" si="7"/>
        <v>1933.73</v>
      </c>
    </row>
    <row r="86" spans="1:9">
      <c r="A86" s="333">
        <v>80</v>
      </c>
      <c r="B86" s="252" t="s">
        <v>1154</v>
      </c>
      <c r="C86" s="389" t="s">
        <v>2471</v>
      </c>
      <c r="D86" s="234" t="s">
        <v>2471</v>
      </c>
      <c r="E86" s="99">
        <f>38122.92</f>
        <v>38122.92</v>
      </c>
      <c r="F86" s="325">
        <v>1</v>
      </c>
      <c r="G86" s="253">
        <f t="shared" si="6"/>
        <v>38122.92</v>
      </c>
      <c r="H86" s="325">
        <v>1</v>
      </c>
      <c r="I86" s="254">
        <f t="shared" si="7"/>
        <v>38122.92</v>
      </c>
    </row>
    <row r="87" spans="1:9">
      <c r="A87" s="333">
        <v>81</v>
      </c>
      <c r="B87" s="252" t="s">
        <v>1154</v>
      </c>
      <c r="C87" s="389" t="s">
        <v>2455</v>
      </c>
      <c r="D87" s="234" t="s">
        <v>2444</v>
      </c>
      <c r="E87" s="99">
        <f>23485.53</f>
        <v>23485.53</v>
      </c>
      <c r="F87" s="325">
        <v>1</v>
      </c>
      <c r="G87" s="253">
        <f t="shared" si="6"/>
        <v>23485.53</v>
      </c>
      <c r="H87" s="325">
        <v>1</v>
      </c>
      <c r="I87" s="254">
        <f t="shared" si="7"/>
        <v>23485.53</v>
      </c>
    </row>
    <row r="88" spans="1:9">
      <c r="A88" s="732">
        <v>82</v>
      </c>
      <c r="B88" s="252" t="s">
        <v>1154</v>
      </c>
      <c r="C88" s="389" t="s">
        <v>2483</v>
      </c>
      <c r="D88" s="234" t="s">
        <v>2472</v>
      </c>
      <c r="E88" s="99">
        <f>25031.95</f>
        <v>25031.95</v>
      </c>
      <c r="F88" s="325">
        <v>1</v>
      </c>
      <c r="G88" s="253">
        <f t="shared" si="6"/>
        <v>25031.95</v>
      </c>
      <c r="H88" s="325">
        <v>1</v>
      </c>
      <c r="I88" s="254">
        <f t="shared" si="7"/>
        <v>25031.95</v>
      </c>
    </row>
    <row r="89" spans="1:9">
      <c r="A89" s="333">
        <v>83</v>
      </c>
      <c r="B89" s="252" t="s">
        <v>1154</v>
      </c>
      <c r="C89" s="389" t="s">
        <v>2484</v>
      </c>
      <c r="D89" s="234" t="s">
        <v>2444</v>
      </c>
      <c r="E89" s="99">
        <f>513.75</f>
        <v>513.75</v>
      </c>
      <c r="F89" s="325">
        <v>1</v>
      </c>
      <c r="G89" s="253">
        <f t="shared" si="6"/>
        <v>513.75</v>
      </c>
      <c r="H89" s="325">
        <v>1</v>
      </c>
      <c r="I89" s="254">
        <f t="shared" si="7"/>
        <v>513.75</v>
      </c>
    </row>
    <row r="90" spans="1:9">
      <c r="A90" s="333">
        <v>84</v>
      </c>
      <c r="B90" s="252" t="s">
        <v>1154</v>
      </c>
      <c r="C90" s="389" t="s">
        <v>2455</v>
      </c>
      <c r="D90" s="234" t="s">
        <v>2444</v>
      </c>
      <c r="E90" s="99">
        <f>18649.85</f>
        <v>18649.849999999999</v>
      </c>
      <c r="F90" s="325">
        <v>1</v>
      </c>
      <c r="G90" s="253">
        <f t="shared" si="6"/>
        <v>18649.849999999999</v>
      </c>
      <c r="H90" s="325">
        <v>1</v>
      </c>
      <c r="I90" s="254">
        <f t="shared" si="7"/>
        <v>18649.849999999999</v>
      </c>
    </row>
    <row r="91" spans="1:9">
      <c r="A91" s="333">
        <v>85</v>
      </c>
      <c r="B91" s="252" t="s">
        <v>1154</v>
      </c>
      <c r="C91" s="389" t="s">
        <v>2485</v>
      </c>
      <c r="D91" s="234" t="s">
        <v>2479</v>
      </c>
      <c r="E91" s="99">
        <f>2849.9</f>
        <v>2849.9</v>
      </c>
      <c r="F91" s="325">
        <v>1</v>
      </c>
      <c r="G91" s="253">
        <f t="shared" si="6"/>
        <v>2849.9</v>
      </c>
      <c r="H91" s="325">
        <v>1</v>
      </c>
      <c r="I91" s="254">
        <f t="shared" si="7"/>
        <v>2849.9</v>
      </c>
    </row>
    <row r="92" spans="1:9">
      <c r="A92" s="732">
        <v>86</v>
      </c>
      <c r="B92" s="252" t="s">
        <v>1154</v>
      </c>
      <c r="C92" s="389" t="s">
        <v>2486</v>
      </c>
      <c r="D92" s="234" t="s">
        <v>2479</v>
      </c>
      <c r="E92" s="99">
        <f>6624.56</f>
        <v>6624.56</v>
      </c>
      <c r="F92" s="325">
        <v>1</v>
      </c>
      <c r="G92" s="253">
        <f t="shared" si="6"/>
        <v>6624.56</v>
      </c>
      <c r="H92" s="325">
        <v>1</v>
      </c>
      <c r="I92" s="254">
        <f t="shared" si="7"/>
        <v>6624.56</v>
      </c>
    </row>
    <row r="93" spans="1:9">
      <c r="A93" s="333">
        <v>87</v>
      </c>
      <c r="B93" s="252" t="s">
        <v>1154</v>
      </c>
      <c r="C93" s="389" t="s">
        <v>2453</v>
      </c>
      <c r="D93" s="234" t="s">
        <v>2141</v>
      </c>
      <c r="E93" s="99">
        <v>-8952.5300000000007</v>
      </c>
      <c r="F93" s="325">
        <v>1</v>
      </c>
      <c r="G93" s="253">
        <f t="shared" si="6"/>
        <v>-8952.5300000000007</v>
      </c>
      <c r="H93" s="325">
        <v>1</v>
      </c>
      <c r="I93" s="254">
        <f t="shared" si="7"/>
        <v>-8952.5300000000007</v>
      </c>
    </row>
    <row r="94" spans="1:9">
      <c r="A94" s="333">
        <v>88</v>
      </c>
      <c r="B94" s="252" t="s">
        <v>1154</v>
      </c>
      <c r="C94" s="389" t="s">
        <v>2455</v>
      </c>
      <c r="D94" s="234" t="s">
        <v>2444</v>
      </c>
      <c r="E94" s="99">
        <v>-1211.9000000000001</v>
      </c>
      <c r="F94" s="325">
        <v>1</v>
      </c>
      <c r="G94" s="253">
        <f t="shared" si="6"/>
        <v>-1211.9000000000001</v>
      </c>
      <c r="H94" s="325">
        <v>1</v>
      </c>
      <c r="I94" s="254">
        <f t="shared" si="7"/>
        <v>-1211.9000000000001</v>
      </c>
    </row>
    <row r="95" spans="1:9">
      <c r="A95" s="732">
        <v>89</v>
      </c>
      <c r="B95" s="252" t="s">
        <v>1154</v>
      </c>
      <c r="C95" s="389" t="s">
        <v>2465</v>
      </c>
      <c r="D95" s="234" t="s">
        <v>2452</v>
      </c>
      <c r="E95" s="99">
        <f>226333.26</f>
        <v>226333.26</v>
      </c>
      <c r="F95" s="325">
        <v>1</v>
      </c>
      <c r="G95" s="253">
        <f t="shared" si="6"/>
        <v>226333.26</v>
      </c>
      <c r="H95" s="325">
        <v>1</v>
      </c>
      <c r="I95" s="254">
        <f t="shared" si="7"/>
        <v>226333.26</v>
      </c>
    </row>
    <row r="96" spans="1:9">
      <c r="A96" s="333">
        <v>90</v>
      </c>
      <c r="B96" s="252" t="s">
        <v>1154</v>
      </c>
      <c r="C96" s="389" t="s">
        <v>2455</v>
      </c>
      <c r="D96" s="234" t="s">
        <v>2444</v>
      </c>
      <c r="E96" s="99">
        <f>13470.93</f>
        <v>13470.93</v>
      </c>
      <c r="F96" s="325">
        <v>1</v>
      </c>
      <c r="G96" s="253">
        <f t="shared" si="6"/>
        <v>13470.93</v>
      </c>
      <c r="H96" s="325">
        <v>1</v>
      </c>
      <c r="I96" s="254">
        <f t="shared" si="7"/>
        <v>13470.93</v>
      </c>
    </row>
    <row r="97" spans="1:9">
      <c r="A97" s="333">
        <v>91</v>
      </c>
      <c r="B97" s="252" t="s">
        <v>1154</v>
      </c>
      <c r="C97" s="389" t="s">
        <v>2487</v>
      </c>
      <c r="D97" s="234" t="s">
        <v>2482</v>
      </c>
      <c r="E97" s="99">
        <f>70114.66</f>
        <v>70114.66</v>
      </c>
      <c r="F97" s="325">
        <v>1</v>
      </c>
      <c r="G97" s="253">
        <f t="shared" si="6"/>
        <v>70114.66</v>
      </c>
      <c r="H97" s="325">
        <v>1</v>
      </c>
      <c r="I97" s="254">
        <f t="shared" si="7"/>
        <v>70114.66</v>
      </c>
    </row>
    <row r="98" spans="1:9">
      <c r="A98" s="732">
        <v>92</v>
      </c>
      <c r="B98" s="252" t="s">
        <v>1154</v>
      </c>
      <c r="C98" s="389" t="s">
        <v>2455</v>
      </c>
      <c r="D98" s="234" t="s">
        <v>2444</v>
      </c>
      <c r="E98" s="99">
        <f>1421.38</f>
        <v>1421.38</v>
      </c>
      <c r="F98" s="325">
        <v>1</v>
      </c>
      <c r="G98" s="253">
        <f t="shared" si="6"/>
        <v>1421.38</v>
      </c>
      <c r="H98" s="325">
        <v>1</v>
      </c>
      <c r="I98" s="254">
        <f t="shared" si="7"/>
        <v>1421.38</v>
      </c>
    </row>
    <row r="99" spans="1:9">
      <c r="A99" s="333">
        <v>93</v>
      </c>
      <c r="B99" s="252" t="s">
        <v>1154</v>
      </c>
      <c r="C99" s="389" t="s">
        <v>2488</v>
      </c>
      <c r="D99" s="234" t="s">
        <v>2482</v>
      </c>
      <c r="E99" s="99">
        <f>61004.73</f>
        <v>61004.73</v>
      </c>
      <c r="F99" s="325">
        <v>1</v>
      </c>
      <c r="G99" s="253">
        <f t="shared" si="6"/>
        <v>61004.73</v>
      </c>
      <c r="H99" s="325">
        <v>1</v>
      </c>
      <c r="I99" s="254">
        <f t="shared" si="7"/>
        <v>61004.73</v>
      </c>
    </row>
    <row r="100" spans="1:9">
      <c r="A100" s="333">
        <v>94</v>
      </c>
      <c r="B100" s="252" t="s">
        <v>1154</v>
      </c>
      <c r="C100" s="389" t="s">
        <v>2489</v>
      </c>
      <c r="D100" s="234" t="s">
        <v>2141</v>
      </c>
      <c r="E100" s="99">
        <f>202050</f>
        <v>202050</v>
      </c>
      <c r="F100" s="325">
        <v>1</v>
      </c>
      <c r="G100" s="253">
        <f t="shared" si="6"/>
        <v>202050</v>
      </c>
      <c r="H100" s="325">
        <v>1</v>
      </c>
      <c r="I100" s="254">
        <f t="shared" si="7"/>
        <v>202050</v>
      </c>
    </row>
    <row r="101" spans="1:9">
      <c r="A101" s="732">
        <v>95</v>
      </c>
      <c r="B101" s="252" t="s">
        <v>1154</v>
      </c>
      <c r="C101" s="389" t="s">
        <v>2455</v>
      </c>
      <c r="D101" s="234" t="s">
        <v>2444</v>
      </c>
      <c r="E101" s="99">
        <f>6760.85</f>
        <v>6760.85</v>
      </c>
      <c r="F101" s="325">
        <v>1</v>
      </c>
      <c r="G101" s="253">
        <f t="shared" si="6"/>
        <v>6760.85</v>
      </c>
      <c r="H101" s="325">
        <v>1</v>
      </c>
      <c r="I101" s="254">
        <f t="shared" si="7"/>
        <v>6760.85</v>
      </c>
    </row>
    <row r="102" spans="1:9">
      <c r="A102" s="333">
        <v>96</v>
      </c>
      <c r="B102" s="252" t="s">
        <v>1154</v>
      </c>
      <c r="C102" s="389" t="s">
        <v>2141</v>
      </c>
      <c r="D102" s="234" t="s">
        <v>2464</v>
      </c>
      <c r="E102" s="99">
        <f>121027.36</f>
        <v>121027.36</v>
      </c>
      <c r="F102" s="325">
        <v>1</v>
      </c>
      <c r="G102" s="253">
        <f t="shared" si="6"/>
        <v>121027.36</v>
      </c>
      <c r="H102" s="325">
        <v>1</v>
      </c>
      <c r="I102" s="254">
        <f t="shared" si="7"/>
        <v>121027.36</v>
      </c>
    </row>
    <row r="103" spans="1:9">
      <c r="A103" s="333">
        <v>97</v>
      </c>
      <c r="B103" s="252" t="s">
        <v>1154</v>
      </c>
      <c r="C103" s="389" t="s">
        <v>2455</v>
      </c>
      <c r="D103" s="234" t="s">
        <v>2444</v>
      </c>
      <c r="E103" s="99">
        <f>2483.93</f>
        <v>2483.9299999999998</v>
      </c>
      <c r="F103" s="325">
        <v>1</v>
      </c>
      <c r="G103" s="253">
        <f t="shared" si="6"/>
        <v>2483.9299999999998</v>
      </c>
      <c r="H103" s="325">
        <v>1</v>
      </c>
      <c r="I103" s="254">
        <f t="shared" si="7"/>
        <v>2483.9299999999998</v>
      </c>
    </row>
    <row r="104" spans="1:9">
      <c r="A104" s="732">
        <v>98</v>
      </c>
      <c r="B104" s="252" t="s">
        <v>1154</v>
      </c>
      <c r="C104" s="389" t="s">
        <v>2490</v>
      </c>
      <c r="D104" s="234" t="s">
        <v>2462</v>
      </c>
      <c r="E104" s="99">
        <f>454503.96</f>
        <v>454503.96</v>
      </c>
      <c r="F104" s="325">
        <v>1</v>
      </c>
      <c r="G104" s="253">
        <f t="shared" si="6"/>
        <v>454503.96</v>
      </c>
      <c r="H104" s="325">
        <v>1</v>
      </c>
      <c r="I104" s="254">
        <f t="shared" si="7"/>
        <v>454503.96</v>
      </c>
    </row>
    <row r="105" spans="1:9">
      <c r="A105" s="333">
        <v>99</v>
      </c>
      <c r="B105" s="252" t="s">
        <v>1154</v>
      </c>
      <c r="C105" s="389" t="s">
        <v>2455</v>
      </c>
      <c r="D105" s="234" t="s">
        <v>2444</v>
      </c>
      <c r="E105" s="99">
        <f>12877</f>
        <v>12877</v>
      </c>
      <c r="F105" s="325">
        <v>1</v>
      </c>
      <c r="G105" s="253">
        <f t="shared" si="6"/>
        <v>12877</v>
      </c>
      <c r="H105" s="325">
        <v>1</v>
      </c>
      <c r="I105" s="254">
        <f t="shared" si="7"/>
        <v>12877</v>
      </c>
    </row>
    <row r="106" spans="1:9">
      <c r="A106" s="333">
        <v>100</v>
      </c>
      <c r="B106" s="252" t="s">
        <v>1154</v>
      </c>
      <c r="C106" s="389" t="s">
        <v>2491</v>
      </c>
      <c r="D106" s="234" t="s">
        <v>2141</v>
      </c>
      <c r="E106" s="99">
        <f>20216.8</f>
        <v>20216.8</v>
      </c>
      <c r="F106" s="325">
        <v>1</v>
      </c>
      <c r="G106" s="253">
        <f t="shared" si="6"/>
        <v>20216.8</v>
      </c>
      <c r="H106" s="325">
        <v>1</v>
      </c>
      <c r="I106" s="254">
        <f t="shared" si="7"/>
        <v>20216.8</v>
      </c>
    </row>
    <row r="107" spans="1:9">
      <c r="A107" s="333">
        <v>101</v>
      </c>
      <c r="B107" s="252" t="s">
        <v>1154</v>
      </c>
      <c r="C107" s="389" t="s">
        <v>2455</v>
      </c>
      <c r="D107" s="234" t="s">
        <v>2444</v>
      </c>
      <c r="E107" s="99">
        <f>1978.87</f>
        <v>1978.87</v>
      </c>
      <c r="F107" s="325">
        <v>1</v>
      </c>
      <c r="G107" s="253">
        <f t="shared" si="6"/>
        <v>1978.87</v>
      </c>
      <c r="H107" s="325">
        <v>1</v>
      </c>
      <c r="I107" s="254">
        <f t="shared" si="7"/>
        <v>1978.87</v>
      </c>
    </row>
    <row r="108" spans="1:9">
      <c r="A108" s="732">
        <v>102</v>
      </c>
      <c r="B108" s="252" t="s">
        <v>1154</v>
      </c>
      <c r="C108" s="389" t="s">
        <v>2492</v>
      </c>
      <c r="D108" s="234" t="s">
        <v>2466</v>
      </c>
      <c r="E108" s="99">
        <f>36320.07</f>
        <v>36320.07</v>
      </c>
      <c r="F108" s="325">
        <v>1</v>
      </c>
      <c r="G108" s="253">
        <f t="shared" si="6"/>
        <v>36320.07</v>
      </c>
      <c r="H108" s="325">
        <v>1</v>
      </c>
      <c r="I108" s="254">
        <f t="shared" si="7"/>
        <v>36320.07</v>
      </c>
    </row>
    <row r="109" spans="1:9">
      <c r="A109" s="333">
        <v>103</v>
      </c>
      <c r="B109" s="252" t="s">
        <v>1154</v>
      </c>
      <c r="C109" s="389" t="s">
        <v>2455</v>
      </c>
      <c r="D109" s="234" t="s">
        <v>2444</v>
      </c>
      <c r="E109" s="99">
        <f>630.74</f>
        <v>630.74</v>
      </c>
      <c r="F109" s="325">
        <v>1</v>
      </c>
      <c r="G109" s="253">
        <f t="shared" si="6"/>
        <v>630.74</v>
      </c>
      <c r="H109" s="325">
        <v>1</v>
      </c>
      <c r="I109" s="254">
        <f t="shared" si="7"/>
        <v>630.74</v>
      </c>
    </row>
    <row r="110" spans="1:9">
      <c r="A110" s="333">
        <v>104</v>
      </c>
      <c r="B110" s="252" t="s">
        <v>1154</v>
      </c>
      <c r="C110" s="389" t="s">
        <v>2493</v>
      </c>
      <c r="D110" s="234" t="s">
        <v>2141</v>
      </c>
      <c r="E110" s="99">
        <f>23846.74</f>
        <v>23846.74</v>
      </c>
      <c r="F110" s="325">
        <v>1</v>
      </c>
      <c r="G110" s="253">
        <f t="shared" si="6"/>
        <v>23846.74</v>
      </c>
      <c r="H110" s="325">
        <v>1</v>
      </c>
      <c r="I110" s="254">
        <f t="shared" si="7"/>
        <v>23846.74</v>
      </c>
    </row>
    <row r="111" spans="1:9">
      <c r="A111" s="732">
        <v>105</v>
      </c>
      <c r="B111" s="252" t="s">
        <v>1154</v>
      </c>
      <c r="C111" s="389" t="s">
        <v>2494</v>
      </c>
      <c r="D111" s="234" t="s">
        <v>2495</v>
      </c>
      <c r="E111" s="99">
        <f>57731</f>
        <v>57731</v>
      </c>
      <c r="F111" s="325">
        <v>1</v>
      </c>
      <c r="G111" s="253">
        <f t="shared" si="6"/>
        <v>57731</v>
      </c>
      <c r="H111" s="325">
        <v>1</v>
      </c>
      <c r="I111" s="254">
        <f t="shared" si="7"/>
        <v>57731</v>
      </c>
    </row>
    <row r="112" spans="1:9">
      <c r="A112" s="333">
        <v>106</v>
      </c>
      <c r="B112" s="252" t="s">
        <v>1154</v>
      </c>
      <c r="C112" s="389" t="s">
        <v>2468</v>
      </c>
      <c r="D112" s="234" t="s">
        <v>2469</v>
      </c>
      <c r="E112" s="99">
        <f>144190.32</f>
        <v>144190.32</v>
      </c>
      <c r="F112" s="325">
        <v>1</v>
      </c>
      <c r="G112" s="253">
        <f t="shared" si="6"/>
        <v>144190.32</v>
      </c>
      <c r="H112" s="325">
        <v>1</v>
      </c>
      <c r="I112" s="254">
        <f t="shared" si="7"/>
        <v>144190.32</v>
      </c>
    </row>
    <row r="113" spans="1:9">
      <c r="A113" s="333">
        <v>107</v>
      </c>
      <c r="B113" s="252" t="s">
        <v>1154</v>
      </c>
      <c r="C113" s="389" t="s">
        <v>2469</v>
      </c>
      <c r="D113" s="234" t="s">
        <v>2469</v>
      </c>
      <c r="E113" s="99">
        <v>167020.06</v>
      </c>
      <c r="F113" s="325">
        <v>1</v>
      </c>
      <c r="G113" s="253">
        <f t="shared" si="6"/>
        <v>167020.06</v>
      </c>
      <c r="H113" s="325">
        <v>1</v>
      </c>
      <c r="I113" s="254">
        <f t="shared" si="7"/>
        <v>167020.06</v>
      </c>
    </row>
    <row r="114" spans="1:9">
      <c r="A114" s="732">
        <v>108</v>
      </c>
      <c r="B114" s="252" t="s">
        <v>1154</v>
      </c>
      <c r="C114" s="389" t="s">
        <v>2455</v>
      </c>
      <c r="D114" s="234" t="s">
        <v>2444</v>
      </c>
      <c r="E114" s="99">
        <v>2373.14</v>
      </c>
      <c r="F114" s="325">
        <v>1</v>
      </c>
      <c r="G114" s="253">
        <f t="shared" si="6"/>
        <v>2373.14</v>
      </c>
      <c r="H114" s="325">
        <v>1</v>
      </c>
      <c r="I114" s="254">
        <f t="shared" si="7"/>
        <v>2373.14</v>
      </c>
    </row>
    <row r="115" spans="1:9">
      <c r="A115" s="333">
        <v>109</v>
      </c>
      <c r="B115" s="252" t="s">
        <v>1154</v>
      </c>
      <c r="C115" s="389" t="s">
        <v>2472</v>
      </c>
      <c r="D115" s="234" t="s">
        <v>2472</v>
      </c>
      <c r="E115" s="99">
        <v>267248.89</v>
      </c>
      <c r="F115" s="325">
        <v>1</v>
      </c>
      <c r="G115" s="253">
        <f t="shared" si="6"/>
        <v>267248.89</v>
      </c>
      <c r="H115" s="325">
        <v>1</v>
      </c>
      <c r="I115" s="254">
        <f t="shared" si="7"/>
        <v>267248.89</v>
      </c>
    </row>
    <row r="116" spans="1:9">
      <c r="A116" s="333">
        <v>110</v>
      </c>
      <c r="B116" s="252" t="s">
        <v>1154</v>
      </c>
      <c r="C116" s="389" t="s">
        <v>2455</v>
      </c>
      <c r="D116" s="234" t="s">
        <v>2444</v>
      </c>
      <c r="E116" s="99">
        <v>16353.85</v>
      </c>
      <c r="F116" s="325">
        <v>1</v>
      </c>
      <c r="G116" s="253">
        <f t="shared" si="6"/>
        <v>16353.85</v>
      </c>
      <c r="H116" s="325">
        <v>1</v>
      </c>
      <c r="I116" s="254">
        <f t="shared" si="7"/>
        <v>16353.85</v>
      </c>
    </row>
    <row r="117" spans="1:9">
      <c r="A117" s="732">
        <v>111</v>
      </c>
      <c r="B117" s="252" t="s">
        <v>1154</v>
      </c>
      <c r="C117" s="389" t="s">
        <v>2482</v>
      </c>
      <c r="D117" s="234" t="s">
        <v>2482</v>
      </c>
      <c r="E117" s="99">
        <v>24731.8</v>
      </c>
      <c r="F117" s="325">
        <v>1</v>
      </c>
      <c r="G117" s="253">
        <f t="shared" si="6"/>
        <v>24731.8</v>
      </c>
      <c r="H117" s="325">
        <v>1</v>
      </c>
      <c r="I117" s="254">
        <f t="shared" si="7"/>
        <v>24731.8</v>
      </c>
    </row>
    <row r="118" spans="1:9">
      <c r="A118" s="333">
        <v>112</v>
      </c>
      <c r="B118" s="252" t="s">
        <v>1154</v>
      </c>
      <c r="C118" s="389" t="s">
        <v>2455</v>
      </c>
      <c r="D118" s="234" t="s">
        <v>2444</v>
      </c>
      <c r="E118" s="99">
        <v>312.37</v>
      </c>
      <c r="F118" s="325">
        <v>1</v>
      </c>
      <c r="G118" s="253">
        <f t="shared" si="6"/>
        <v>312.37</v>
      </c>
      <c r="H118" s="325">
        <v>1</v>
      </c>
      <c r="I118" s="254">
        <f t="shared" si="7"/>
        <v>312.37</v>
      </c>
    </row>
    <row r="119" spans="1:9">
      <c r="A119" s="333">
        <v>113</v>
      </c>
      <c r="B119" s="252" t="s">
        <v>1154</v>
      </c>
      <c r="C119" s="389" t="s">
        <v>2496</v>
      </c>
      <c r="D119" s="234" t="s">
        <v>2482</v>
      </c>
      <c r="E119" s="99">
        <v>559892.23</v>
      </c>
      <c r="F119" s="325">
        <v>1</v>
      </c>
      <c r="G119" s="253">
        <f t="shared" si="6"/>
        <v>559892.23</v>
      </c>
      <c r="H119" s="325">
        <v>1</v>
      </c>
      <c r="I119" s="254">
        <f t="shared" si="7"/>
        <v>559892.23</v>
      </c>
    </row>
    <row r="120" spans="1:9">
      <c r="A120" s="732">
        <v>114</v>
      </c>
      <c r="B120" s="252" t="s">
        <v>1154</v>
      </c>
      <c r="C120" s="389" t="s">
        <v>2455</v>
      </c>
      <c r="D120" s="234" t="s">
        <v>2444</v>
      </c>
      <c r="E120" s="99">
        <v>33279.980000000003</v>
      </c>
      <c r="F120" s="325">
        <v>1</v>
      </c>
      <c r="G120" s="253">
        <f t="shared" si="6"/>
        <v>33279.980000000003</v>
      </c>
      <c r="H120" s="325">
        <v>1</v>
      </c>
      <c r="I120" s="254">
        <f t="shared" si="7"/>
        <v>33279.980000000003</v>
      </c>
    </row>
    <row r="121" spans="1:9">
      <c r="A121" s="333">
        <v>115</v>
      </c>
      <c r="B121" s="252" t="s">
        <v>1154</v>
      </c>
      <c r="C121" s="389" t="s">
        <v>2141</v>
      </c>
      <c r="D121" s="234" t="s">
        <v>2141</v>
      </c>
      <c r="E121" s="99">
        <v>1215753.6000000001</v>
      </c>
      <c r="F121" s="325">
        <v>1</v>
      </c>
      <c r="G121" s="253">
        <f t="shared" si="6"/>
        <v>1215753.6000000001</v>
      </c>
      <c r="H121" s="325">
        <v>1</v>
      </c>
      <c r="I121" s="254">
        <f t="shared" si="7"/>
        <v>1215753.6000000001</v>
      </c>
    </row>
    <row r="122" spans="1:9">
      <c r="A122" s="333">
        <v>116</v>
      </c>
      <c r="B122" s="252" t="s">
        <v>1154</v>
      </c>
      <c r="C122" s="389" t="s">
        <v>2455</v>
      </c>
      <c r="D122" s="234" t="s">
        <v>2444</v>
      </c>
      <c r="E122" s="99">
        <v>15472.91</v>
      </c>
      <c r="F122" s="325">
        <v>1</v>
      </c>
      <c r="G122" s="253">
        <f t="shared" si="6"/>
        <v>15472.91</v>
      </c>
      <c r="H122" s="325">
        <v>1</v>
      </c>
      <c r="I122" s="254">
        <f t="shared" si="7"/>
        <v>15472.91</v>
      </c>
    </row>
    <row r="123" spans="1:9" s="265" customFormat="1" ht="13.5" thickBot="1">
      <c r="A123" s="333">
        <v>117</v>
      </c>
      <c r="B123" s="252"/>
      <c r="C123" s="393" t="s">
        <v>379</v>
      </c>
      <c r="D123" s="255"/>
      <c r="E123" s="596">
        <f>SUM(E71:E122)</f>
        <v>5384439.7200000007</v>
      </c>
      <c r="F123" s="256"/>
      <c r="G123" s="257">
        <f>SUM(G71:G122)</f>
        <v>5384439.7200000007</v>
      </c>
      <c r="H123" s="255"/>
      <c r="I123" s="258">
        <f>SUM(I71:I122)</f>
        <v>5384439.7200000007</v>
      </c>
    </row>
    <row r="124" spans="1:9" ht="13.5" thickTop="1">
      <c r="A124" s="732">
        <v>118</v>
      </c>
      <c r="B124" s="252" t="s">
        <v>1154</v>
      </c>
      <c r="C124" s="389" t="s">
        <v>2497</v>
      </c>
      <c r="D124" s="234" t="s">
        <v>2498</v>
      </c>
      <c r="E124" s="99">
        <f>636801.91</f>
        <v>636801.91</v>
      </c>
      <c r="F124" s="369">
        <v>0.66700000000000004</v>
      </c>
      <c r="G124" s="253">
        <f>E124*F124</f>
        <v>424746.87397000007</v>
      </c>
      <c r="H124" s="369">
        <v>0.80800000000000005</v>
      </c>
      <c r="I124" s="254">
        <f>E124*H124</f>
        <v>514535.94328000006</v>
      </c>
    </row>
    <row r="125" spans="1:9">
      <c r="A125" s="333">
        <v>119</v>
      </c>
      <c r="B125" s="252" t="s">
        <v>1154</v>
      </c>
      <c r="C125" s="389" t="s">
        <v>2499</v>
      </c>
      <c r="D125" s="234" t="s">
        <v>2500</v>
      </c>
      <c r="E125" s="99">
        <v>152203.76</v>
      </c>
      <c r="F125" s="369">
        <v>0.66700000000000004</v>
      </c>
      <c r="G125" s="253">
        <f t="shared" ref="G125:G129" si="8">E125*F125</f>
        <v>101519.90792000001</v>
      </c>
      <c r="H125" s="369">
        <v>0.80800000000000005</v>
      </c>
      <c r="I125" s="254">
        <f t="shared" ref="I125:I128" si="9">E125*H125</f>
        <v>122980.63808000002</v>
      </c>
    </row>
    <row r="126" spans="1:9">
      <c r="A126" s="333">
        <v>120</v>
      </c>
      <c r="B126" s="252" t="s">
        <v>1154</v>
      </c>
      <c r="C126" s="389" t="s">
        <v>2501</v>
      </c>
      <c r="D126" s="234" t="s">
        <v>2501</v>
      </c>
      <c r="E126" s="99">
        <v>276283.57</v>
      </c>
      <c r="F126" s="369">
        <v>0.66700000000000004</v>
      </c>
      <c r="G126" s="253">
        <f t="shared" si="8"/>
        <v>184281.14119000002</v>
      </c>
      <c r="H126" s="369">
        <v>0.80800000000000005</v>
      </c>
      <c r="I126" s="254">
        <f t="shared" si="9"/>
        <v>223237.12456000003</v>
      </c>
    </row>
    <row r="127" spans="1:9">
      <c r="A127" s="732">
        <v>121</v>
      </c>
      <c r="B127" s="252" t="s">
        <v>1154</v>
      </c>
      <c r="C127" s="389" t="s">
        <v>2455</v>
      </c>
      <c r="D127" s="234" t="s">
        <v>2444</v>
      </c>
      <c r="E127" s="99">
        <v>2835.11</v>
      </c>
      <c r="F127" s="369">
        <v>0.66700000000000004</v>
      </c>
      <c r="G127" s="253">
        <f t="shared" si="8"/>
        <v>1891.0183700000002</v>
      </c>
      <c r="H127" s="369">
        <v>0.80800000000000005</v>
      </c>
      <c r="I127" s="254">
        <f t="shared" si="9"/>
        <v>2290.7688800000001</v>
      </c>
    </row>
    <row r="128" spans="1:9">
      <c r="A128" s="333">
        <v>122</v>
      </c>
      <c r="B128" s="252" t="s">
        <v>1154</v>
      </c>
      <c r="C128" s="389" t="s">
        <v>2465</v>
      </c>
      <c r="D128" s="234" t="s">
        <v>2502</v>
      </c>
      <c r="E128" s="99">
        <v>20893.47</v>
      </c>
      <c r="F128" s="369">
        <v>0.66700000000000004</v>
      </c>
      <c r="G128" s="253">
        <f t="shared" si="8"/>
        <v>13935.944490000002</v>
      </c>
      <c r="H128" s="369">
        <v>0.80800000000000005</v>
      </c>
      <c r="I128" s="254">
        <f t="shared" si="9"/>
        <v>16881.923760000001</v>
      </c>
    </row>
    <row r="129" spans="1:9">
      <c r="A129" s="333">
        <v>123</v>
      </c>
      <c r="B129" s="252" t="s">
        <v>1154</v>
      </c>
      <c r="C129" s="389" t="s">
        <v>2455</v>
      </c>
      <c r="D129" s="234" t="s">
        <v>2444</v>
      </c>
      <c r="E129" s="99">
        <f>405078.07</f>
        <v>405078.07</v>
      </c>
      <c r="F129" s="369">
        <v>0.66700000000000004</v>
      </c>
      <c r="G129" s="253">
        <f t="shared" si="8"/>
        <v>270187.07269</v>
      </c>
      <c r="H129" s="369">
        <v>0.80800000000000005</v>
      </c>
      <c r="I129" s="254">
        <f t="shared" ref="I129:I141" si="10">E129*H129</f>
        <v>327303.08056000003</v>
      </c>
    </row>
    <row r="130" spans="1:9">
      <c r="A130" s="732">
        <v>124</v>
      </c>
      <c r="B130" s="252" t="s">
        <v>1154</v>
      </c>
      <c r="C130" s="389" t="s">
        <v>2503</v>
      </c>
      <c r="D130" s="234" t="s">
        <v>2504</v>
      </c>
      <c r="E130" s="99">
        <f>651815.82</f>
        <v>651815.81999999995</v>
      </c>
      <c r="F130" s="369">
        <v>0.66700000000000004</v>
      </c>
      <c r="G130" s="253">
        <f t="shared" ref="G130:G141" si="11">E130*F130</f>
        <v>434761.15194000001</v>
      </c>
      <c r="H130" s="369">
        <v>0.80800000000000005</v>
      </c>
      <c r="I130" s="254">
        <f t="shared" si="10"/>
        <v>526667.18255999999</v>
      </c>
    </row>
    <row r="131" spans="1:9">
      <c r="A131" s="333">
        <v>125</v>
      </c>
      <c r="B131" s="252" t="s">
        <v>1154</v>
      </c>
      <c r="C131" s="389" t="s">
        <v>2455</v>
      </c>
      <c r="D131" s="234" t="s">
        <v>2444</v>
      </c>
      <c r="E131" s="99">
        <f>39508.27</f>
        <v>39508.269999999997</v>
      </c>
      <c r="F131" s="369">
        <v>0.66700000000000004</v>
      </c>
      <c r="G131" s="253">
        <f t="shared" si="11"/>
        <v>26352.016090000001</v>
      </c>
      <c r="H131" s="369">
        <v>0.80800000000000005</v>
      </c>
      <c r="I131" s="254">
        <f t="shared" si="10"/>
        <v>31922.68216</v>
      </c>
    </row>
    <row r="132" spans="1:9">
      <c r="A132" s="333">
        <v>126</v>
      </c>
      <c r="B132" s="252" t="s">
        <v>1154</v>
      </c>
      <c r="C132" s="389" t="s">
        <v>2505</v>
      </c>
      <c r="D132" s="234" t="s">
        <v>2505</v>
      </c>
      <c r="E132" s="99">
        <v>153427.82999999999</v>
      </c>
      <c r="F132" s="369">
        <v>0.66700000000000004</v>
      </c>
      <c r="G132" s="253">
        <f t="shared" si="11"/>
        <v>102336.36261</v>
      </c>
      <c r="H132" s="369">
        <v>0.80800000000000005</v>
      </c>
      <c r="I132" s="254">
        <f t="shared" si="10"/>
        <v>123969.68664</v>
      </c>
    </row>
    <row r="133" spans="1:9">
      <c r="A133" s="732">
        <v>127</v>
      </c>
      <c r="B133" s="252" t="s">
        <v>1154</v>
      </c>
      <c r="C133" s="389" t="s">
        <v>2455</v>
      </c>
      <c r="D133" s="234" t="s">
        <v>2444</v>
      </c>
      <c r="E133" s="99">
        <v>2051.63</v>
      </c>
      <c r="F133" s="369">
        <v>0.66700000000000004</v>
      </c>
      <c r="G133" s="253">
        <f t="shared" si="11"/>
        <v>1368.4372100000001</v>
      </c>
      <c r="H133" s="369">
        <v>0.80800000000000005</v>
      </c>
      <c r="I133" s="254">
        <f t="shared" si="10"/>
        <v>1657.7170400000002</v>
      </c>
    </row>
    <row r="134" spans="1:9">
      <c r="A134" s="333">
        <v>128</v>
      </c>
      <c r="B134" s="252" t="s">
        <v>1154</v>
      </c>
      <c r="C134" s="389" t="s">
        <v>2468</v>
      </c>
      <c r="D134" s="234" t="s">
        <v>2482</v>
      </c>
      <c r="E134" s="99">
        <f>146114.62</f>
        <v>146114.62</v>
      </c>
      <c r="F134" s="369">
        <v>0.66700000000000004</v>
      </c>
      <c r="G134" s="253">
        <f t="shared" si="11"/>
        <v>97458.451540000009</v>
      </c>
      <c r="H134" s="369">
        <v>0.80800000000000005</v>
      </c>
      <c r="I134" s="254">
        <f t="shared" si="10"/>
        <v>118060.61296</v>
      </c>
    </row>
    <row r="135" spans="1:9">
      <c r="A135" s="333">
        <v>129</v>
      </c>
      <c r="B135" s="252" t="s">
        <v>1154</v>
      </c>
      <c r="C135" s="389" t="s">
        <v>2506</v>
      </c>
      <c r="D135" s="234" t="s">
        <v>2444</v>
      </c>
      <c r="E135" s="99">
        <f>1844.89</f>
        <v>1844.89</v>
      </c>
      <c r="F135" s="369">
        <v>0.66700000000000004</v>
      </c>
      <c r="G135" s="253">
        <f t="shared" si="11"/>
        <v>1230.5416300000002</v>
      </c>
      <c r="H135" s="369">
        <v>0.80800000000000005</v>
      </c>
      <c r="I135" s="254">
        <f t="shared" si="10"/>
        <v>1490.6711200000002</v>
      </c>
    </row>
    <row r="136" spans="1:9">
      <c r="A136" s="732">
        <v>130</v>
      </c>
      <c r="B136" s="252" t="s">
        <v>1154</v>
      </c>
      <c r="C136" s="389" t="s">
        <v>2507</v>
      </c>
      <c r="D136" s="234" t="s">
        <v>2444</v>
      </c>
      <c r="E136" s="99">
        <f>3844.64</f>
        <v>3844.64</v>
      </c>
      <c r="F136" s="369">
        <v>0.66700000000000004</v>
      </c>
      <c r="G136" s="253">
        <f t="shared" si="11"/>
        <v>2564.3748799999998</v>
      </c>
      <c r="H136" s="369">
        <v>0.80800000000000005</v>
      </c>
      <c r="I136" s="254">
        <f t="shared" si="10"/>
        <v>3106.4691200000002</v>
      </c>
    </row>
    <row r="137" spans="1:9">
      <c r="A137" s="333">
        <v>131</v>
      </c>
      <c r="B137" s="252" t="s">
        <v>1154</v>
      </c>
      <c r="C137" s="389" t="s">
        <v>2508</v>
      </c>
      <c r="D137" s="234" t="s">
        <v>2509</v>
      </c>
      <c r="E137" s="99">
        <f>219050.16</f>
        <v>219050.16</v>
      </c>
      <c r="F137" s="369">
        <v>0.66700000000000004</v>
      </c>
      <c r="G137" s="253">
        <f t="shared" si="11"/>
        <v>146106.45672000002</v>
      </c>
      <c r="H137" s="369">
        <v>0.80800000000000005</v>
      </c>
      <c r="I137" s="254">
        <f t="shared" si="10"/>
        <v>176992.52928000002</v>
      </c>
    </row>
    <row r="138" spans="1:9">
      <c r="A138" s="333">
        <v>132</v>
      </c>
      <c r="B138" s="252" t="s">
        <v>1154</v>
      </c>
      <c r="C138" s="389" t="s">
        <v>2455</v>
      </c>
      <c r="D138" s="234" t="s">
        <v>2444</v>
      </c>
      <c r="E138" s="99">
        <f>285734.43</f>
        <v>285734.43</v>
      </c>
      <c r="F138" s="369">
        <v>0.66700000000000004</v>
      </c>
      <c r="G138" s="253">
        <f t="shared" si="11"/>
        <v>190584.86481</v>
      </c>
      <c r="H138" s="369">
        <v>0.80800000000000005</v>
      </c>
      <c r="I138" s="254">
        <f t="shared" si="10"/>
        <v>230873.41944</v>
      </c>
    </row>
    <row r="139" spans="1:9">
      <c r="A139" s="333">
        <v>133</v>
      </c>
      <c r="B139" s="252" t="s">
        <v>1154</v>
      </c>
      <c r="C139" s="389" t="s">
        <v>2510</v>
      </c>
      <c r="D139" s="234" t="s">
        <v>2511</v>
      </c>
      <c r="E139" s="99">
        <f>1929776.32</f>
        <v>1929776.32</v>
      </c>
      <c r="F139" s="369">
        <v>0.66700000000000004</v>
      </c>
      <c r="G139" s="253">
        <f t="shared" si="11"/>
        <v>1287160.80544</v>
      </c>
      <c r="H139" s="369">
        <v>0.80800000000000005</v>
      </c>
      <c r="I139" s="254">
        <f t="shared" si="10"/>
        <v>1559259.2665600001</v>
      </c>
    </row>
    <row r="140" spans="1:9">
      <c r="A140" s="732">
        <v>134</v>
      </c>
      <c r="B140" s="252" t="s">
        <v>1154</v>
      </c>
      <c r="C140" s="389" t="s">
        <v>2512</v>
      </c>
      <c r="D140" s="234" t="s">
        <v>2511</v>
      </c>
      <c r="E140" s="99">
        <f>303096.04</f>
        <v>303096.03999999998</v>
      </c>
      <c r="F140" s="369">
        <v>0.66700000000000004</v>
      </c>
      <c r="G140" s="253">
        <f t="shared" si="11"/>
        <v>202165.05867999999</v>
      </c>
      <c r="H140" s="369">
        <v>0.80800000000000005</v>
      </c>
      <c r="I140" s="254">
        <f t="shared" si="10"/>
        <v>244901.60032</v>
      </c>
    </row>
    <row r="141" spans="1:9">
      <c r="A141" s="333">
        <v>135</v>
      </c>
      <c r="B141" s="252" t="s">
        <v>1154</v>
      </c>
      <c r="C141" s="389" t="s">
        <v>2513</v>
      </c>
      <c r="D141" s="234" t="s">
        <v>2511</v>
      </c>
      <c r="E141" s="99">
        <f>1362394.81</f>
        <v>1362394.81</v>
      </c>
      <c r="F141" s="369">
        <v>0.66700000000000004</v>
      </c>
      <c r="G141" s="253">
        <f t="shared" si="11"/>
        <v>908717.33827000007</v>
      </c>
      <c r="H141" s="369">
        <v>0.80800000000000005</v>
      </c>
      <c r="I141" s="254">
        <f t="shared" si="10"/>
        <v>1100815.0064800002</v>
      </c>
    </row>
    <row r="142" spans="1:9" ht="13.5" thickBot="1">
      <c r="A142" s="733">
        <v>136</v>
      </c>
      <c r="B142" s="731"/>
      <c r="C142" s="734" t="s">
        <v>379</v>
      </c>
      <c r="D142" s="266"/>
      <c r="E142" s="598">
        <f>SUM(E124:E141)</f>
        <v>6592755.3500000015</v>
      </c>
      <c r="F142" s="266"/>
      <c r="G142" s="267">
        <f>SUM(G124:G141)</f>
        <v>4397367.8184500001</v>
      </c>
      <c r="H142" s="266"/>
      <c r="I142" s="268">
        <f>SUM(I124:I141)</f>
        <v>5326946.3228000011</v>
      </c>
    </row>
    <row r="143" spans="1:9">
      <c r="B143" s="265"/>
    </row>
  </sheetData>
  <hyperlinks>
    <hyperlink ref="C1" location="'Cover Sheets'!A16" display="(Back to Worksheet Links)" xr:uid="{00000000-0004-0000-0E00-000000000000}"/>
  </hyperlinks>
  <pageMargins left="0.7" right="0.7" top="0.75" bottom="0.75" header="0.3" footer="0.3"/>
  <pageSetup scale="57"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heetViews>
  <sheetFormatPr defaultColWidth="9.453125" defaultRowHeight="13"/>
  <cols>
    <col min="1" max="1" width="9.453125" style="112"/>
    <col min="2" max="2" width="47.453125" style="112" customWidth="1"/>
    <col min="3" max="3" width="38.54296875" style="112" customWidth="1"/>
    <col min="4" max="4" width="21" style="112" customWidth="1"/>
    <col min="5" max="5" width="22.453125" style="112" customWidth="1"/>
    <col min="6" max="16384" width="9.453125" style="112"/>
  </cols>
  <sheetData>
    <row r="1" spans="1:5" ht="14.5">
      <c r="A1" s="742" t="str">
        <f>'Cover Sheets'!A10:B10</f>
        <v>WAPA-UGP 2024 Rate Estimate Calculation</v>
      </c>
      <c r="B1" s="113"/>
      <c r="C1" s="113"/>
      <c r="D1" s="408" t="s">
        <v>41</v>
      </c>
    </row>
    <row r="2" spans="1:5">
      <c r="A2" s="744" t="s">
        <v>2514</v>
      </c>
      <c r="B2" s="114"/>
      <c r="C2" s="114"/>
      <c r="D2" s="429"/>
    </row>
    <row r="3" spans="1:5">
      <c r="A3" s="115" t="str">
        <f>'WS1-RateBase'!A4</f>
        <v>12 Months Ending 09/30/2024 ESTIMATE</v>
      </c>
      <c r="B3" s="114"/>
      <c r="C3" s="114"/>
      <c r="D3" s="134"/>
    </row>
    <row r="4" spans="1:5">
      <c r="A4" s="37"/>
      <c r="B4" s="581" t="s">
        <v>51</v>
      </c>
      <c r="C4" s="587" t="s">
        <v>52</v>
      </c>
      <c r="D4" s="583" t="s">
        <v>53</v>
      </c>
    </row>
    <row r="5" spans="1:5" ht="13.5" thickBot="1">
      <c r="A5" s="119" t="s">
        <v>304</v>
      </c>
      <c r="B5" s="579" t="s">
        <v>299</v>
      </c>
      <c r="C5" s="579" t="s">
        <v>2515</v>
      </c>
      <c r="D5" s="580" t="s">
        <v>45</v>
      </c>
    </row>
    <row r="6" spans="1:5">
      <c r="A6" s="122">
        <v>1</v>
      </c>
      <c r="B6" s="226" t="s">
        <v>2562</v>
      </c>
      <c r="C6" s="99">
        <f>C19</f>
        <v>312401.92459838401</v>
      </c>
      <c r="D6" s="135" t="s">
        <v>2516</v>
      </c>
    </row>
    <row r="7" spans="1:5" ht="14.5">
      <c r="A7" s="122">
        <v>2</v>
      </c>
      <c r="B7" s="226" t="s">
        <v>2702</v>
      </c>
      <c r="C7" s="477">
        <v>25054</v>
      </c>
      <c r="D7" s="345" t="s">
        <v>2433</v>
      </c>
      <c r="E7" s="328"/>
    </row>
    <row r="8" spans="1:5">
      <c r="A8" s="122">
        <v>3</v>
      </c>
      <c r="B8" s="469" t="s">
        <v>2563</v>
      </c>
      <c r="C8" s="478">
        <f>SUM(C6,C7)</f>
        <v>337455.92459838401</v>
      </c>
      <c r="D8" s="136" t="s">
        <v>2517</v>
      </c>
    </row>
    <row r="9" spans="1:5">
      <c r="A9" s="137"/>
      <c r="B9" s="226"/>
      <c r="C9" s="114"/>
      <c r="D9" s="136"/>
    </row>
    <row r="10" spans="1:5">
      <c r="A10" s="115"/>
      <c r="B10" s="227" t="s">
        <v>2518</v>
      </c>
      <c r="C10" s="114"/>
      <c r="D10" s="136"/>
    </row>
    <row r="11" spans="1:5">
      <c r="A11" s="138">
        <v>4</v>
      </c>
      <c r="B11" s="125" t="s">
        <v>2519</v>
      </c>
      <c r="C11" s="139">
        <f>'WS2-AllocFactor'!E35</f>
        <v>0.14632822760120381</v>
      </c>
      <c r="D11" s="128" t="s">
        <v>2520</v>
      </c>
    </row>
    <row r="12" spans="1:5" ht="13.5" thickBot="1">
      <c r="A12" s="138">
        <v>5</v>
      </c>
      <c r="B12" s="228" t="s">
        <v>2521</v>
      </c>
      <c r="C12" s="479">
        <f>'WS2-AllocFactor'!E36</f>
        <v>593667884.22427785</v>
      </c>
      <c r="D12" s="128" t="s">
        <v>2522</v>
      </c>
    </row>
    <row r="13" spans="1:5" ht="13.5" thickTop="1">
      <c r="A13" s="138">
        <v>6</v>
      </c>
      <c r="B13" s="228" t="s">
        <v>2523</v>
      </c>
      <c r="C13" s="99">
        <f>C11*C12</f>
        <v>86870369.282295242</v>
      </c>
      <c r="D13" s="136" t="s">
        <v>2524</v>
      </c>
    </row>
    <row r="14" spans="1:5" ht="13.5" thickBot="1">
      <c r="A14" s="138">
        <v>7</v>
      </c>
      <c r="B14" s="228" t="s">
        <v>2525</v>
      </c>
      <c r="C14" s="458">
        <v>2464000</v>
      </c>
      <c r="D14" s="128" t="s">
        <v>51</v>
      </c>
    </row>
    <row r="15" spans="1:5" ht="13.5" thickTop="1">
      <c r="A15" s="138">
        <v>8</v>
      </c>
      <c r="B15" s="125" t="s">
        <v>2526</v>
      </c>
      <c r="C15" s="476">
        <f>C13/C14</f>
        <v>35.255831689243202</v>
      </c>
      <c r="D15" s="136" t="s">
        <v>2527</v>
      </c>
    </row>
    <row r="16" spans="1:5">
      <c r="A16" s="138">
        <v>9</v>
      </c>
      <c r="B16" s="125" t="s">
        <v>2528</v>
      </c>
      <c r="C16" s="140">
        <f>8861</f>
        <v>8861</v>
      </c>
      <c r="D16" s="128" t="s">
        <v>52</v>
      </c>
    </row>
    <row r="17" spans="1:4">
      <c r="A17" s="138">
        <v>10</v>
      </c>
      <c r="B17" s="125" t="s">
        <v>2529</v>
      </c>
      <c r="C17" s="99">
        <f>C16*C15</f>
        <v>312401.92459838401</v>
      </c>
      <c r="D17" s="136" t="s">
        <v>2530</v>
      </c>
    </row>
    <row r="18" spans="1:4">
      <c r="A18" s="138">
        <v>18</v>
      </c>
      <c r="B18" s="125" t="s">
        <v>2531</v>
      </c>
      <c r="C18" s="480">
        <v>0</v>
      </c>
      <c r="D18" s="128" t="s">
        <v>53</v>
      </c>
    </row>
    <row r="19" spans="1:4">
      <c r="A19" s="588">
        <v>19</v>
      </c>
      <c r="B19" s="589" t="s">
        <v>2532</v>
      </c>
      <c r="C19" s="590">
        <f>C17+C18</f>
        <v>312401.92459838401</v>
      </c>
      <c r="D19" s="591"/>
    </row>
    <row r="20" spans="1:4">
      <c r="A20" s="346" t="s">
        <v>2533</v>
      </c>
      <c r="B20" s="114" t="s">
        <v>2534</v>
      </c>
      <c r="C20" s="114"/>
      <c r="D20" s="134"/>
    </row>
    <row r="21" spans="1:4">
      <c r="A21" s="346" t="s">
        <v>2535</v>
      </c>
      <c r="B21" s="114" t="s">
        <v>2536</v>
      </c>
      <c r="C21" s="114"/>
      <c r="D21" s="134"/>
    </row>
    <row r="22" spans="1:4" ht="13.5" thickBot="1">
      <c r="A22" s="368" t="s">
        <v>2537</v>
      </c>
      <c r="B22" s="132" t="s">
        <v>2538</v>
      </c>
      <c r="C22" s="132"/>
      <c r="D22" s="191"/>
    </row>
  </sheetData>
  <hyperlinks>
    <hyperlink ref="D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D23"/>
  <sheetViews>
    <sheetView view="pageBreakPreview" zoomScaleNormal="100" zoomScaleSheetLayoutView="100" workbookViewId="0"/>
  </sheetViews>
  <sheetFormatPr defaultColWidth="9.453125" defaultRowHeight="13"/>
  <cols>
    <col min="1" max="1" width="9.453125" style="112"/>
    <col min="2" max="2" width="46.54296875" style="112" customWidth="1"/>
    <col min="3" max="3" width="39.453125" style="112" customWidth="1"/>
    <col min="4" max="4" width="20.81640625" style="112" customWidth="1"/>
    <col min="5" max="5" width="22.54296875" style="112" customWidth="1"/>
    <col min="6" max="16384" width="9.453125" style="112"/>
  </cols>
  <sheetData>
    <row r="1" spans="1:4" ht="14.5">
      <c r="A1" s="742" t="str">
        <f>'Cover Sheets'!A10:B10</f>
        <v>WAPA-UGP 2024 Rate Estimate Calculation</v>
      </c>
      <c r="B1" s="113"/>
      <c r="C1" s="113"/>
      <c r="D1" s="403" t="s">
        <v>41</v>
      </c>
    </row>
    <row r="2" spans="1:4">
      <c r="A2" s="744" t="s">
        <v>2539</v>
      </c>
      <c r="B2" s="114"/>
      <c r="C2" s="114"/>
      <c r="D2" s="134"/>
    </row>
    <row r="3" spans="1:4">
      <c r="A3" s="115" t="str">
        <f>'WS1-RateBase'!A4</f>
        <v>12 Months Ending 09/30/2024 ESTIMATE</v>
      </c>
      <c r="B3" s="114"/>
      <c r="C3" s="114"/>
      <c r="D3" s="134"/>
    </row>
    <row r="4" spans="1:4">
      <c r="A4" s="37"/>
      <c r="B4" s="581" t="s">
        <v>51</v>
      </c>
      <c r="C4" s="587" t="s">
        <v>52</v>
      </c>
      <c r="D4" s="583" t="s">
        <v>53</v>
      </c>
    </row>
    <row r="5" spans="1:4" ht="13.5" thickBot="1">
      <c r="A5" s="119" t="s">
        <v>304</v>
      </c>
      <c r="B5" s="579" t="s">
        <v>299</v>
      </c>
      <c r="C5" s="579" t="s">
        <v>2540</v>
      </c>
      <c r="D5" s="580" t="s">
        <v>45</v>
      </c>
    </row>
    <row r="6" spans="1:4">
      <c r="A6" s="122">
        <v>1</v>
      </c>
      <c r="B6" s="123" t="s">
        <v>2519</v>
      </c>
      <c r="C6" s="124">
        <f>'WS2-AllocFactor'!E35</f>
        <v>0.14632822760120381</v>
      </c>
      <c r="D6" s="128" t="s">
        <v>2520</v>
      </c>
    </row>
    <row r="7" spans="1:4" ht="13.5" thickBot="1">
      <c r="A7" s="122">
        <v>2</v>
      </c>
      <c r="B7" s="125" t="s">
        <v>2521</v>
      </c>
      <c r="C7" s="481">
        <f>'WS2-AllocFactor'!E36</f>
        <v>593667884.22427785</v>
      </c>
      <c r="D7" s="128" t="s">
        <v>2522</v>
      </c>
    </row>
    <row r="8" spans="1:4" ht="13.5" thickTop="1">
      <c r="A8" s="122">
        <v>3</v>
      </c>
      <c r="B8" s="125" t="s">
        <v>2523</v>
      </c>
      <c r="C8" s="99">
        <f>C6*C7</f>
        <v>86870369.282295242</v>
      </c>
      <c r="D8" s="136" t="s">
        <v>2524</v>
      </c>
    </row>
    <row r="9" spans="1:4" ht="13.5" thickBot="1">
      <c r="A9" s="122">
        <v>4</v>
      </c>
      <c r="B9" s="126" t="s">
        <v>2525</v>
      </c>
      <c r="C9" s="638">
        <v>2438000</v>
      </c>
      <c r="D9" s="128" t="s">
        <v>51</v>
      </c>
    </row>
    <row r="10" spans="1:4" ht="13.5" thickTop="1">
      <c r="A10" s="122">
        <v>5</v>
      </c>
      <c r="B10" s="126" t="s">
        <v>2541</v>
      </c>
      <c r="C10" s="476">
        <f>C8/C9</f>
        <v>35.631816768783942</v>
      </c>
      <c r="D10" s="136" t="s">
        <v>2527</v>
      </c>
    </row>
    <row r="11" spans="1:4">
      <c r="A11" s="122">
        <v>6</v>
      </c>
      <c r="B11" s="126" t="s">
        <v>2542</v>
      </c>
      <c r="C11" s="482">
        <f>C10/12</f>
        <v>2.9693180640653285</v>
      </c>
      <c r="D11" s="136" t="s">
        <v>2543</v>
      </c>
    </row>
    <row r="12" spans="1:4">
      <c r="A12" s="122">
        <v>7</v>
      </c>
      <c r="B12" s="127" t="s">
        <v>2544</v>
      </c>
      <c r="C12" s="459">
        <v>167000</v>
      </c>
      <c r="D12" s="128" t="s">
        <v>52</v>
      </c>
    </row>
    <row r="13" spans="1:4">
      <c r="A13" s="122">
        <v>8</v>
      </c>
      <c r="B13" s="127" t="s">
        <v>2545</v>
      </c>
      <c r="C13" s="459">
        <v>93000</v>
      </c>
      <c r="D13" s="128" t="s">
        <v>53</v>
      </c>
    </row>
    <row r="14" spans="1:4">
      <c r="A14" s="122">
        <v>9</v>
      </c>
      <c r="B14" s="127" t="s">
        <v>2546</v>
      </c>
      <c r="C14" s="129">
        <f xml:space="preserve"> (0.03*C12) + (0.03 *C13)</f>
        <v>7800</v>
      </c>
      <c r="D14" s="136" t="s">
        <v>2547</v>
      </c>
    </row>
    <row r="15" spans="1:4">
      <c r="A15" s="122">
        <v>10</v>
      </c>
      <c r="B15" s="130" t="s">
        <v>2548</v>
      </c>
      <c r="C15" s="456">
        <f>C10*C14</f>
        <v>277928.17079651472</v>
      </c>
      <c r="D15" s="136" t="s">
        <v>2549</v>
      </c>
    </row>
    <row r="16" spans="1:4">
      <c r="A16" s="122">
        <v>11</v>
      </c>
      <c r="B16" s="226" t="s">
        <v>2703</v>
      </c>
      <c r="C16" s="483">
        <v>35551</v>
      </c>
      <c r="D16" s="344" t="s">
        <v>2433</v>
      </c>
    </row>
    <row r="17" spans="1:4">
      <c r="A17" s="122">
        <v>12</v>
      </c>
      <c r="B17" s="226" t="s">
        <v>2560</v>
      </c>
      <c r="C17" s="99">
        <v>42857.03</v>
      </c>
      <c r="D17" s="128" t="s">
        <v>55</v>
      </c>
    </row>
    <row r="18" spans="1:4">
      <c r="A18" s="122">
        <v>13</v>
      </c>
      <c r="B18" s="469" t="s">
        <v>2561</v>
      </c>
      <c r="C18" s="484">
        <f>C15+C16+C17</f>
        <v>356336.20079651475</v>
      </c>
      <c r="D18" s="134" t="s">
        <v>2550</v>
      </c>
    </row>
    <row r="19" spans="1:4">
      <c r="A19" s="131" t="s">
        <v>51</v>
      </c>
      <c r="B19" s="109" t="s">
        <v>2534</v>
      </c>
      <c r="C19" s="114"/>
      <c r="D19" s="134"/>
    </row>
    <row r="20" spans="1:4">
      <c r="A20" s="131" t="s">
        <v>52</v>
      </c>
      <c r="B20" s="229" t="s">
        <v>2551</v>
      </c>
      <c r="C20" s="114"/>
      <c r="D20" s="134"/>
    </row>
    <row r="21" spans="1:4">
      <c r="A21" s="131" t="s">
        <v>53</v>
      </c>
      <c r="B21" s="229" t="s">
        <v>2552</v>
      </c>
      <c r="C21" s="114"/>
      <c r="D21" s="134"/>
    </row>
    <row r="22" spans="1:4">
      <c r="A22" s="131" t="s">
        <v>54</v>
      </c>
      <c r="B22" s="114" t="s">
        <v>2636</v>
      </c>
      <c r="C22" s="114"/>
      <c r="D22" s="134"/>
    </row>
    <row r="23" spans="1:4" ht="13.5" thickBot="1">
      <c r="A23" s="343" t="s">
        <v>55</v>
      </c>
      <c r="B23" s="132" t="s">
        <v>2553</v>
      </c>
      <c r="C23" s="132"/>
      <c r="D23" s="191"/>
    </row>
  </sheetData>
  <hyperlinks>
    <hyperlink ref="D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5" ma:contentTypeDescription="Create a new document." ma:contentTypeScope="" ma:versionID="b897b1780df34ae0f57550afbc4b9c5c">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2a6d17bc0b8ff204b3782e856f853970"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D0378D-6065-49F7-8C64-7C994AC1ADC7}">
  <ds:schemaRefs>
    <ds:schemaRef ds:uri="http://schemas.microsoft.com/sharepoint/v3/contenttype/forms"/>
  </ds:schemaRefs>
</ds:datastoreItem>
</file>

<file path=customXml/itemProps2.xml><?xml version="1.0" encoding="utf-8"?>
<ds:datastoreItem xmlns:ds="http://schemas.openxmlformats.org/officeDocument/2006/customXml" ds:itemID="{AC0B147F-F626-4123-B249-328E5B684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F8C9F3-7F4D-4FE8-964A-5445C194410F}">
  <ds:schemaRefs>
    <ds:schemaRef ds:uri="cd37e4ec-a4e5-4d0a-bdfa-5343415a77e2"/>
    <ds:schemaRef ds:uri="http://schemas.openxmlformats.org/package/2006/metadata/core-propertie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486804b4-8bf7-446c-9514-b62a6521dc7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 Sheets</vt:lpstr>
      <vt:lpstr>Summary-ATRR</vt:lpstr>
      <vt:lpstr>Rev Log</vt:lpstr>
      <vt:lpstr>WS1-RateBase</vt:lpstr>
      <vt:lpstr>WS2-AllocFactor</vt:lpstr>
      <vt:lpstr>WS3-RevCredits</vt:lpstr>
      <vt:lpstr>WS4-CostData</vt:lpstr>
      <vt:lpstr>WS5-BPUz</vt:lpstr>
      <vt:lpstr>WS6-BPUr</vt:lpstr>
      <vt:lpstr>WS8-TransFac</vt:lpstr>
      <vt:lpstr>WS7-BPUFac</vt:lpstr>
      <vt:lpstr>WS9-AI-Incl</vt:lpstr>
      <vt:lpstr>WS10-AI-Excl</vt:lpstr>
      <vt:lpstr>WS11-FacChanges</vt:lpstr>
      <vt:lpstr>WS12-SSCD</vt:lpstr>
      <vt:lpstr>WS13-SSCDFac</vt:lpstr>
      <vt:lpstr>WS14-Reg</vt:lpstr>
      <vt:lpstr>WS15-Res</vt:lpstr>
      <vt:lpstr>'Rev Log'!Print_Area</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'WS8-TransFac'!Print_Area</vt:lpstr>
      <vt:lpstr>'WS9-AI-Incl'!Print_Area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2023-09-01T13:20:37Z</cp:lastPrinted>
  <dcterms:created xsi:type="dcterms:W3CDTF">2016-09-02T16:44:11Z</dcterms:created>
  <dcterms:modified xsi:type="dcterms:W3CDTF">2023-09-01T19:50:00Z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